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ink/ink383.xml" ContentType="application/inkml+xml"/>
  <Override PartName="/xl/ink/ink384.xml" ContentType="application/inkml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Dokumenty\ROZPOČET_2024\01_obec_ROZPOČET_2024\02_Normativní_rozpis_KÚ_s_MŠMT_k_20_03_2024\"/>
    </mc:Choice>
  </mc:AlternateContent>
  <xr:revisionPtr revIDLastSave="0" documentId="13_ncr:1_{8D06FB1F-0281-4490-B70A-C4B1F3D31246}" xr6:coauthVersionLast="47" xr6:coauthVersionMax="47" xr10:uidLastSave="{00000000-0000-0000-0000-000000000000}"/>
  <bookViews>
    <workbookView xWindow="-120" yWindow="-120" windowWidth="29040" windowHeight="15840" tabRatio="830" xr2:uid="{00000000-000D-0000-FFFF-FFFF00000000}"/>
  </bookViews>
  <sheets>
    <sheet name="komentář" sheetId="46" r:id="rId1"/>
    <sheet name="LB" sheetId="43" r:id="rId2"/>
    <sheet name="FR" sheetId="44" r:id="rId3"/>
    <sheet name="JN" sheetId="29" r:id="rId4"/>
    <sheet name="TA" sheetId="30" r:id="rId5"/>
    <sheet name="ŽB" sheetId="31" r:id="rId6"/>
    <sheet name="ČL" sheetId="32" r:id="rId7"/>
    <sheet name="NB" sheetId="39" r:id="rId8"/>
    <sheet name="SM" sheetId="40" r:id="rId9"/>
    <sheet name="JI" sheetId="41" r:id="rId10"/>
    <sheet name="TU" sheetId="42" r:id="rId11"/>
    <sheet name="sumář" sheetId="47" r:id="rId12"/>
  </sheets>
  <definedNames>
    <definedName name="_xlnm._FilterDatabase" localSheetId="6" hidden="1">ČL!$AR$1:$AR$315</definedName>
    <definedName name="_xlnm._FilterDatabase" localSheetId="2" hidden="1">FR!$G$1:$G$158</definedName>
    <definedName name="_xlnm._FilterDatabase" localSheetId="9" hidden="1">JI!$G$1:$G$156</definedName>
    <definedName name="_xlnm._FilterDatabase" localSheetId="3" hidden="1">JN!$AU$1:$AU$203</definedName>
    <definedName name="_xlnm._FilterDatabase" localSheetId="1" hidden="1">LB!$G$1:$G$1211</definedName>
    <definedName name="_xlnm._FilterDatabase" localSheetId="7" hidden="1">NB!$F$1:$F$155</definedName>
    <definedName name="_xlnm._FilterDatabase" localSheetId="8" hidden="1">SM!$AS$1:$AS$180</definedName>
    <definedName name="_xlnm._FilterDatabase" localSheetId="4" hidden="1">TA!$AS$1:$AS$133</definedName>
    <definedName name="_xlnm._FilterDatabase" localSheetId="10" hidden="1">TU!$AQ$1:$AQ$219</definedName>
    <definedName name="_xlnm._FilterDatabase" localSheetId="5" hidden="1">ŽB!$AQ$1:$AQ$133</definedName>
    <definedName name="_xlnm.Print_Titles" localSheetId="2">FR!$5:$11</definedName>
    <definedName name="_xlnm.Print_Titles" localSheetId="1">LB!$5:$11</definedName>
    <definedName name="_xlnm.Print_Area" localSheetId="2">FR!$A$1:$BA$158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7" i="39" l="1"/>
  <c r="J69" i="39"/>
  <c r="J62" i="39"/>
  <c r="J49" i="39"/>
  <c r="C15" i="47"/>
  <c r="D15" i="47"/>
  <c r="E15" i="47"/>
  <c r="G15" i="47"/>
  <c r="H15" i="47"/>
  <c r="I15" i="47"/>
  <c r="J15" i="47"/>
  <c r="K15" i="47"/>
  <c r="L15" i="47"/>
  <c r="M15" i="47"/>
  <c r="N15" i="47"/>
  <c r="O15" i="47"/>
  <c r="P15" i="47"/>
  <c r="Q15" i="47"/>
  <c r="R15" i="47"/>
  <c r="S15" i="47"/>
  <c r="T15" i="47"/>
  <c r="U15" i="47"/>
  <c r="V15" i="47"/>
  <c r="W15" i="47"/>
  <c r="X15" i="47"/>
  <c r="Y15" i="47"/>
  <c r="Z15" i="47"/>
  <c r="AA15" i="47"/>
  <c r="AB15" i="47"/>
  <c r="AC15" i="47"/>
  <c r="AD15" i="47"/>
  <c r="AE15" i="47"/>
  <c r="AF15" i="47"/>
  <c r="AG15" i="47"/>
  <c r="AH15" i="47"/>
  <c r="AI15" i="47"/>
  <c r="AJ15" i="47"/>
  <c r="AK15" i="47"/>
  <c r="AM15" i="47"/>
  <c r="AN15" i="47"/>
  <c r="AO15" i="47"/>
  <c r="AP15" i="47"/>
  <c r="AR15" i="47"/>
  <c r="AS15" i="47"/>
  <c r="AT15" i="47"/>
  <c r="C16" i="47"/>
  <c r="D16" i="47"/>
  <c r="E16" i="47"/>
  <c r="F16" i="47"/>
  <c r="G16" i="47"/>
  <c r="H16" i="47"/>
  <c r="I16" i="47"/>
  <c r="J16" i="47"/>
  <c r="K16" i="47"/>
  <c r="L16" i="47"/>
  <c r="M16" i="47"/>
  <c r="N16" i="47"/>
  <c r="O16" i="47"/>
  <c r="P16" i="47"/>
  <c r="Q16" i="47"/>
  <c r="R16" i="47"/>
  <c r="S16" i="47"/>
  <c r="T16" i="47"/>
  <c r="U16" i="47"/>
  <c r="V16" i="47"/>
  <c r="W16" i="47"/>
  <c r="X16" i="47"/>
  <c r="Y16" i="47"/>
  <c r="Z16" i="47"/>
  <c r="AA16" i="47"/>
  <c r="AB16" i="47"/>
  <c r="AC16" i="47"/>
  <c r="AD16" i="47"/>
  <c r="AE16" i="47"/>
  <c r="AF16" i="47"/>
  <c r="AG16" i="47"/>
  <c r="AH16" i="47"/>
  <c r="AI16" i="47"/>
  <c r="AJ16" i="47"/>
  <c r="AK16" i="47"/>
  <c r="AL16" i="47"/>
  <c r="AM16" i="47"/>
  <c r="AN16" i="47"/>
  <c r="AO16" i="47"/>
  <c r="AP16" i="47"/>
  <c r="AQ16" i="47"/>
  <c r="AR16" i="47"/>
  <c r="AS16" i="47"/>
  <c r="AT16" i="47"/>
  <c r="C17" i="47"/>
  <c r="D17" i="47"/>
  <c r="E17" i="47"/>
  <c r="F17" i="47"/>
  <c r="G17" i="47"/>
  <c r="H17" i="47"/>
  <c r="I17" i="47"/>
  <c r="J17" i="47"/>
  <c r="K17" i="47"/>
  <c r="L17" i="47"/>
  <c r="M17" i="47"/>
  <c r="N17" i="47"/>
  <c r="O17" i="47"/>
  <c r="P17" i="47"/>
  <c r="Q17" i="47"/>
  <c r="R17" i="47"/>
  <c r="S17" i="47"/>
  <c r="T17" i="47"/>
  <c r="U17" i="47"/>
  <c r="V17" i="47"/>
  <c r="W17" i="47"/>
  <c r="X17" i="47"/>
  <c r="Y17" i="47"/>
  <c r="Z17" i="47"/>
  <c r="AA17" i="47"/>
  <c r="AB17" i="47"/>
  <c r="AC17" i="47"/>
  <c r="AD17" i="47"/>
  <c r="AE17" i="47"/>
  <c r="AF17" i="47"/>
  <c r="AG17" i="47"/>
  <c r="AH17" i="47"/>
  <c r="AI17" i="47"/>
  <c r="AJ17" i="47"/>
  <c r="AK17" i="47"/>
  <c r="AL17" i="47"/>
  <c r="AM17" i="47"/>
  <c r="AN17" i="47"/>
  <c r="AO17" i="47"/>
  <c r="AP17" i="47"/>
  <c r="AQ17" i="47"/>
  <c r="AR17" i="47"/>
  <c r="AS17" i="47"/>
  <c r="AT17" i="47"/>
  <c r="C18" i="47"/>
  <c r="D18" i="47"/>
  <c r="E18" i="47"/>
  <c r="F18" i="47"/>
  <c r="G18" i="47"/>
  <c r="H18" i="47"/>
  <c r="I18" i="47"/>
  <c r="J18" i="47"/>
  <c r="K18" i="47"/>
  <c r="L18" i="47"/>
  <c r="M18" i="47"/>
  <c r="N18" i="47"/>
  <c r="O18" i="47"/>
  <c r="P18" i="47"/>
  <c r="Q18" i="47"/>
  <c r="R18" i="47"/>
  <c r="S18" i="47"/>
  <c r="T18" i="47"/>
  <c r="U18" i="47"/>
  <c r="V18" i="47"/>
  <c r="W18" i="47"/>
  <c r="X18" i="47"/>
  <c r="Y18" i="47"/>
  <c r="Z18" i="47"/>
  <c r="AA18" i="47"/>
  <c r="AB18" i="47"/>
  <c r="AC18" i="47"/>
  <c r="AD18" i="47"/>
  <c r="AE18" i="47"/>
  <c r="AF18" i="47"/>
  <c r="AG18" i="47"/>
  <c r="AH18" i="47"/>
  <c r="AI18" i="47"/>
  <c r="AJ18" i="47"/>
  <c r="AK18" i="47"/>
  <c r="AL18" i="47"/>
  <c r="AM18" i="47"/>
  <c r="AN18" i="47"/>
  <c r="AO18" i="47"/>
  <c r="AP18" i="47"/>
  <c r="AQ18" i="47"/>
  <c r="AR18" i="47"/>
  <c r="AS18" i="47"/>
  <c r="AT18" i="47"/>
  <c r="C20" i="47"/>
  <c r="D20" i="47"/>
  <c r="E20" i="47"/>
  <c r="F20" i="47"/>
  <c r="G20" i="47"/>
  <c r="H20" i="47"/>
  <c r="I20" i="47"/>
  <c r="J20" i="47"/>
  <c r="K20" i="47"/>
  <c r="L20" i="47"/>
  <c r="M20" i="47"/>
  <c r="N20" i="47"/>
  <c r="O20" i="47"/>
  <c r="P20" i="47"/>
  <c r="Q20" i="47"/>
  <c r="R20" i="47"/>
  <c r="S20" i="47"/>
  <c r="T20" i="47"/>
  <c r="U20" i="47"/>
  <c r="V20" i="47"/>
  <c r="W20" i="47"/>
  <c r="X20" i="47"/>
  <c r="Y20" i="47"/>
  <c r="Z20" i="47"/>
  <c r="AA20" i="47"/>
  <c r="AB20" i="47"/>
  <c r="AC20" i="47"/>
  <c r="AD20" i="47"/>
  <c r="AE20" i="47"/>
  <c r="AF20" i="47"/>
  <c r="AG20" i="47"/>
  <c r="AH20" i="47"/>
  <c r="AI20" i="47"/>
  <c r="AJ20" i="47"/>
  <c r="AK20" i="47"/>
  <c r="AL20" i="47"/>
  <c r="AM20" i="47"/>
  <c r="AN20" i="47"/>
  <c r="AO20" i="47"/>
  <c r="AP20" i="47"/>
  <c r="AQ20" i="47"/>
  <c r="AR20" i="47"/>
  <c r="AS20" i="47"/>
  <c r="AT20" i="47"/>
  <c r="C21" i="47"/>
  <c r="D21" i="47"/>
  <c r="E21" i="47"/>
  <c r="F21" i="47"/>
  <c r="G21" i="47"/>
  <c r="H21" i="47"/>
  <c r="I21" i="47"/>
  <c r="J21" i="47"/>
  <c r="K21" i="47"/>
  <c r="L21" i="47"/>
  <c r="N21" i="47"/>
  <c r="P21" i="47"/>
  <c r="Q21" i="47"/>
  <c r="R21" i="47"/>
  <c r="S21" i="47"/>
  <c r="W21" i="47"/>
  <c r="X21" i="47"/>
  <c r="Y21" i="47"/>
  <c r="AA21" i="47"/>
  <c r="AB21" i="47"/>
  <c r="AC21" i="47"/>
  <c r="AD21" i="47"/>
  <c r="AE21" i="47"/>
  <c r="AG21" i="47"/>
  <c r="AH21" i="47"/>
  <c r="AJ21" i="47"/>
  <c r="AN21" i="47"/>
  <c r="AQ21" i="47"/>
  <c r="AT21" i="47"/>
  <c r="C22" i="47"/>
  <c r="D22" i="47"/>
  <c r="E22" i="47"/>
  <c r="F22" i="47"/>
  <c r="G22" i="47"/>
  <c r="H22" i="47"/>
  <c r="I22" i="47"/>
  <c r="J22" i="47"/>
  <c r="K22" i="47"/>
  <c r="L22" i="47"/>
  <c r="N22" i="47"/>
  <c r="P22" i="47"/>
  <c r="Q22" i="47"/>
  <c r="R22" i="47"/>
  <c r="S22" i="47"/>
  <c r="W22" i="47"/>
  <c r="X22" i="47"/>
  <c r="Y22" i="47"/>
  <c r="AA22" i="47"/>
  <c r="AB22" i="47"/>
  <c r="AC22" i="47"/>
  <c r="AD22" i="47"/>
  <c r="AE22" i="47"/>
  <c r="AG22" i="47"/>
  <c r="AH22" i="47"/>
  <c r="AJ22" i="47"/>
  <c r="AN22" i="47"/>
  <c r="AQ22" i="47"/>
  <c r="AT22" i="47"/>
  <c r="B22" i="47"/>
  <c r="B21" i="47"/>
  <c r="B20" i="47"/>
  <c r="B18" i="47"/>
  <c r="B17" i="47"/>
  <c r="B16" i="47"/>
  <c r="AO212" i="42"/>
  <c r="AN212" i="42"/>
  <c r="AM212" i="42"/>
  <c r="AL212" i="42"/>
  <c r="AK212" i="42"/>
  <c r="AJ212" i="42"/>
  <c r="AI212" i="42"/>
  <c r="AH212" i="42"/>
  <c r="AE212" i="42"/>
  <c r="AD212" i="42"/>
  <c r="Y212" i="42"/>
  <c r="X212" i="42"/>
  <c r="W212" i="42"/>
  <c r="U212" i="42"/>
  <c r="T212" i="42"/>
  <c r="S212" i="42"/>
  <c r="R212" i="42"/>
  <c r="P212" i="42"/>
  <c r="O212" i="42"/>
  <c r="M212" i="42"/>
  <c r="J212" i="42"/>
  <c r="AO211" i="42"/>
  <c r="AN211" i="42"/>
  <c r="AM211" i="42"/>
  <c r="AL211" i="42"/>
  <c r="AK211" i="42"/>
  <c r="AJ211" i="42"/>
  <c r="AI211" i="42"/>
  <c r="AH211" i="42"/>
  <c r="AE211" i="42"/>
  <c r="AD211" i="42"/>
  <c r="Y211" i="42"/>
  <c r="X211" i="42"/>
  <c r="W211" i="42"/>
  <c r="U211" i="42"/>
  <c r="T211" i="42"/>
  <c r="S211" i="42"/>
  <c r="R211" i="42"/>
  <c r="P211" i="42"/>
  <c r="O211" i="42"/>
  <c r="M211" i="42"/>
  <c r="J211" i="42"/>
  <c r="AO210" i="42"/>
  <c r="AN210" i="42"/>
  <c r="AM210" i="42"/>
  <c r="AL210" i="42"/>
  <c r="AK210" i="42"/>
  <c r="AJ210" i="42"/>
  <c r="AI210" i="42"/>
  <c r="AH210" i="42"/>
  <c r="AE210" i="42"/>
  <c r="AD210" i="42"/>
  <c r="Y210" i="42"/>
  <c r="X210" i="42"/>
  <c r="W210" i="42"/>
  <c r="U210" i="42"/>
  <c r="T210" i="42"/>
  <c r="S210" i="42"/>
  <c r="R210" i="42"/>
  <c r="P210" i="42"/>
  <c r="O210" i="42"/>
  <c r="M210" i="42"/>
  <c r="J210" i="42"/>
  <c r="AO209" i="42"/>
  <c r="AN209" i="42"/>
  <c r="AM209" i="42"/>
  <c r="AL209" i="42"/>
  <c r="AK209" i="42"/>
  <c r="AJ209" i="42"/>
  <c r="AI209" i="42"/>
  <c r="AH209" i="42"/>
  <c r="AE209" i="42"/>
  <c r="AD209" i="42"/>
  <c r="Y209" i="42"/>
  <c r="X209" i="42"/>
  <c r="W209" i="42"/>
  <c r="U209" i="42"/>
  <c r="T209" i="42"/>
  <c r="S209" i="42"/>
  <c r="R209" i="42"/>
  <c r="O209" i="42"/>
  <c r="BA208" i="42"/>
  <c r="AZ208" i="42"/>
  <c r="AY208" i="42"/>
  <c r="AX208" i="42"/>
  <c r="AW208" i="42"/>
  <c r="AV208" i="42"/>
  <c r="AU208" i="42"/>
  <c r="AT208" i="42"/>
  <c r="AS208" i="42"/>
  <c r="AR208" i="42"/>
  <c r="AQ208" i="42"/>
  <c r="AP208" i="42"/>
  <c r="AO208" i="42"/>
  <c r="AN208" i="42"/>
  <c r="AM208" i="42"/>
  <c r="AL208" i="42"/>
  <c r="AK208" i="42"/>
  <c r="AJ208" i="42"/>
  <c r="AI208" i="42"/>
  <c r="AH208" i="42"/>
  <c r="AG208" i="42"/>
  <c r="AF208" i="42"/>
  <c r="AE208" i="42"/>
  <c r="AD208" i="42"/>
  <c r="AC208" i="42"/>
  <c r="AB208" i="42"/>
  <c r="AA208" i="42"/>
  <c r="Z208" i="42"/>
  <c r="Y208" i="42"/>
  <c r="X208" i="42"/>
  <c r="X202" i="42" s="1"/>
  <c r="Z201" i="42" s="1"/>
  <c r="W208" i="42"/>
  <c r="V208" i="42"/>
  <c r="U208" i="42"/>
  <c r="T208" i="42"/>
  <c r="S208" i="42"/>
  <c r="R208" i="42"/>
  <c r="Q208" i="42"/>
  <c r="P208" i="42"/>
  <c r="O208" i="42"/>
  <c r="N208" i="42"/>
  <c r="M208" i="42"/>
  <c r="L208" i="42"/>
  <c r="K208" i="42"/>
  <c r="J208" i="42"/>
  <c r="I208" i="42"/>
  <c r="BA207" i="42"/>
  <c r="AZ207" i="42"/>
  <c r="AY207" i="42"/>
  <c r="AX207" i="42"/>
  <c r="AW207" i="42"/>
  <c r="AV207" i="42"/>
  <c r="AU207" i="42"/>
  <c r="AT207" i="42"/>
  <c r="AS207" i="42"/>
  <c r="AR207" i="42"/>
  <c r="AQ207" i="42"/>
  <c r="AP207" i="42"/>
  <c r="AO207" i="42"/>
  <c r="AN207" i="42"/>
  <c r="AM207" i="42"/>
  <c r="AL207" i="42"/>
  <c r="AK207" i="42"/>
  <c r="AJ207" i="42"/>
  <c r="AI207" i="42"/>
  <c r="AH207" i="42"/>
  <c r="AG207" i="42"/>
  <c r="AF207" i="42"/>
  <c r="AE207" i="42"/>
  <c r="AD207" i="42"/>
  <c r="AC207" i="42"/>
  <c r="AB207" i="42"/>
  <c r="AA207" i="42"/>
  <c r="Z207" i="42"/>
  <c r="Y207" i="42"/>
  <c r="X207" i="42"/>
  <c r="W207" i="42"/>
  <c r="V207" i="42"/>
  <c r="U207" i="42"/>
  <c r="U202" i="42" s="1"/>
  <c r="T207" i="42"/>
  <c r="S207" i="42"/>
  <c r="R207" i="42"/>
  <c r="Q207" i="42"/>
  <c r="P207" i="42"/>
  <c r="O207" i="42"/>
  <c r="O202" i="42" s="1"/>
  <c r="N207" i="42"/>
  <c r="M207" i="42"/>
  <c r="L207" i="42"/>
  <c r="K207" i="42"/>
  <c r="J207" i="42"/>
  <c r="I207" i="42"/>
  <c r="AO206" i="42"/>
  <c r="AN206" i="42"/>
  <c r="AM206" i="42"/>
  <c r="AL206" i="42"/>
  <c r="AK206" i="42"/>
  <c r="AI206" i="42"/>
  <c r="AH206" i="42"/>
  <c r="AE206" i="42"/>
  <c r="AD206" i="42"/>
  <c r="AD202" i="42" s="1"/>
  <c r="AF201" i="42" s="1"/>
  <c r="Y206" i="42"/>
  <c r="X206" i="42"/>
  <c r="W206" i="42"/>
  <c r="U206" i="42"/>
  <c r="T206" i="42"/>
  <c r="S206" i="42"/>
  <c r="P206" i="42"/>
  <c r="O206" i="42"/>
  <c r="M206" i="42"/>
  <c r="J206" i="42"/>
  <c r="AO205" i="42"/>
  <c r="AN205" i="42"/>
  <c r="AM205" i="42"/>
  <c r="AL205" i="42"/>
  <c r="AK205" i="42"/>
  <c r="AJ205" i="42"/>
  <c r="AI205" i="42"/>
  <c r="AH205" i="42"/>
  <c r="AE205" i="42"/>
  <c r="AD205" i="42"/>
  <c r="Y205" i="42"/>
  <c r="X205" i="42"/>
  <c r="W205" i="42"/>
  <c r="U205" i="42"/>
  <c r="T205" i="42"/>
  <c r="S205" i="42"/>
  <c r="R205" i="42"/>
  <c r="P205" i="42"/>
  <c r="O205" i="42"/>
  <c r="M205" i="42"/>
  <c r="J205" i="42"/>
  <c r="AO204" i="42"/>
  <c r="AN204" i="42"/>
  <c r="AM204" i="42"/>
  <c r="AL204" i="42"/>
  <c r="AK204" i="42"/>
  <c r="AI204" i="42"/>
  <c r="AH204" i="42"/>
  <c r="AE204" i="42"/>
  <c r="AD204" i="42"/>
  <c r="Y204" i="42"/>
  <c r="X204" i="42"/>
  <c r="W204" i="42"/>
  <c r="U204" i="42"/>
  <c r="T204" i="42"/>
  <c r="S204" i="42"/>
  <c r="P204" i="42"/>
  <c r="O204" i="42"/>
  <c r="M204" i="42"/>
  <c r="J204" i="42"/>
  <c r="AO203" i="42"/>
  <c r="AN203" i="42"/>
  <c r="AM203" i="42"/>
  <c r="AL203" i="42"/>
  <c r="AK203" i="42"/>
  <c r="AI203" i="42"/>
  <c r="AH203" i="42"/>
  <c r="AE203" i="42"/>
  <c r="AE202" i="42" s="1"/>
  <c r="AD203" i="42"/>
  <c r="Y203" i="42"/>
  <c r="X203" i="42"/>
  <c r="W203" i="42"/>
  <c r="U203" i="42"/>
  <c r="T203" i="42"/>
  <c r="S203" i="42"/>
  <c r="P203" i="42"/>
  <c r="O203" i="42"/>
  <c r="M203" i="42"/>
  <c r="J203" i="42"/>
  <c r="AO202" i="42"/>
  <c r="AN202" i="42"/>
  <c r="AL202" i="42"/>
  <c r="AK202" i="42"/>
  <c r="AI202" i="42"/>
  <c r="AH202" i="42"/>
  <c r="Y202" i="42"/>
  <c r="W202" i="42"/>
  <c r="S202" i="42"/>
  <c r="AQ201" i="42"/>
  <c r="AO198" i="42"/>
  <c r="AN198" i="42"/>
  <c r="AM198" i="42"/>
  <c r="AL198" i="42"/>
  <c r="AK198" i="42"/>
  <c r="AJ198" i="42"/>
  <c r="AI198" i="42"/>
  <c r="AH198" i="42"/>
  <c r="AF198" i="42"/>
  <c r="AE198" i="42"/>
  <c r="AD198" i="42"/>
  <c r="Y198" i="42"/>
  <c r="X198" i="42"/>
  <c r="W198" i="42"/>
  <c r="U198" i="42"/>
  <c r="T198" i="42"/>
  <c r="S198" i="42"/>
  <c r="R198" i="42"/>
  <c r="Q198" i="42"/>
  <c r="O198" i="42"/>
  <c r="K198" i="42"/>
  <c r="BA197" i="42"/>
  <c r="AX197" i="42"/>
  <c r="AQ197" i="42"/>
  <c r="AP197" i="42"/>
  <c r="AF197" i="42"/>
  <c r="Z197" i="42"/>
  <c r="AU197" i="42" s="1"/>
  <c r="V197" i="42"/>
  <c r="Q197" i="42"/>
  <c r="N197" i="42"/>
  <c r="L197" i="42"/>
  <c r="K197" i="42"/>
  <c r="I197" i="42"/>
  <c r="BA196" i="42"/>
  <c r="AY196" i="42"/>
  <c r="AX196" i="42"/>
  <c r="AR196" i="42"/>
  <c r="AQ196" i="42"/>
  <c r="AP196" i="42"/>
  <c r="AZ196" i="42" s="1"/>
  <c r="AF196" i="42"/>
  <c r="AC196" i="42"/>
  <c r="AB196" i="42"/>
  <c r="AV196" i="42" s="1"/>
  <c r="Z196" i="42"/>
  <c r="AU196" i="42" s="1"/>
  <c r="V196" i="42"/>
  <c r="Q196" i="42"/>
  <c r="N196" i="42"/>
  <c r="L196" i="42"/>
  <c r="AW196" i="42" s="1"/>
  <c r="K196" i="42"/>
  <c r="I196" i="42"/>
  <c r="AX195" i="42"/>
  <c r="AV195" i="42"/>
  <c r="AU195" i="42"/>
  <c r="AR195" i="42"/>
  <c r="AQ195" i="42"/>
  <c r="AP195" i="42"/>
  <c r="AZ195" i="42" s="1"/>
  <c r="AF195" i="42"/>
  <c r="AC195" i="42"/>
  <c r="AB195" i="42"/>
  <c r="Z195" i="42"/>
  <c r="V195" i="42"/>
  <c r="Q195" i="42"/>
  <c r="P195" i="42"/>
  <c r="M195" i="42"/>
  <c r="M198" i="42" s="1"/>
  <c r="L195" i="42"/>
  <c r="K195" i="42"/>
  <c r="J195" i="42"/>
  <c r="AT195" i="42" s="1"/>
  <c r="I195" i="42"/>
  <c r="BA194" i="42"/>
  <c r="AX194" i="42"/>
  <c r="AU194" i="42"/>
  <c r="AR194" i="42"/>
  <c r="AQ194" i="42"/>
  <c r="AP194" i="42"/>
  <c r="AZ194" i="42" s="1"/>
  <c r="AF194" i="42"/>
  <c r="AC194" i="42"/>
  <c r="AB194" i="42"/>
  <c r="AV194" i="42" s="1"/>
  <c r="Z194" i="42"/>
  <c r="V194" i="42"/>
  <c r="Q194" i="42"/>
  <c r="N194" i="42"/>
  <c r="AY194" i="42" s="1"/>
  <c r="L194" i="42"/>
  <c r="L198" i="42" s="1"/>
  <c r="K194" i="42"/>
  <c r="BA193" i="42"/>
  <c r="AX193" i="42"/>
  <c r="AU193" i="42"/>
  <c r="AQ193" i="42"/>
  <c r="AP193" i="42"/>
  <c r="AF193" i="42"/>
  <c r="Z193" i="42"/>
  <c r="V193" i="42"/>
  <c r="Q193" i="42"/>
  <c r="N193" i="42"/>
  <c r="L193" i="42"/>
  <c r="I193" i="42" s="1"/>
  <c r="K193" i="42"/>
  <c r="BA192" i="42"/>
  <c r="AX192" i="42"/>
  <c r="AX198" i="42" s="1"/>
  <c r="AQ192" i="42"/>
  <c r="AQ198" i="42" s="1"/>
  <c r="AP192" i="42"/>
  <c r="AF192" i="42"/>
  <c r="Z192" i="42"/>
  <c r="V192" i="42"/>
  <c r="Q192" i="42"/>
  <c r="N192" i="42"/>
  <c r="L192" i="42"/>
  <c r="K192" i="42"/>
  <c r="I192" i="42"/>
  <c r="AO191" i="42"/>
  <c r="AN191" i="42"/>
  <c r="AM191" i="42"/>
  <c r="AL191" i="42"/>
  <c r="AK191" i="42"/>
  <c r="AJ191" i="42"/>
  <c r="AI191" i="42"/>
  <c r="AH191" i="42"/>
  <c r="AF191" i="42"/>
  <c r="AE191" i="42"/>
  <c r="AD191" i="42"/>
  <c r="Y191" i="42"/>
  <c r="X191" i="42"/>
  <c r="W191" i="42"/>
  <c r="U191" i="42"/>
  <c r="T191" i="42"/>
  <c r="S191" i="42"/>
  <c r="R191" i="42"/>
  <c r="P191" i="42"/>
  <c r="O191" i="42"/>
  <c r="M191" i="42"/>
  <c r="J191" i="42"/>
  <c r="BA190" i="42"/>
  <c r="AX190" i="42"/>
  <c r="AQ190" i="42"/>
  <c r="AP190" i="42"/>
  <c r="AF190" i="42"/>
  <c r="Z190" i="42"/>
  <c r="AU190" i="42" s="1"/>
  <c r="V190" i="42"/>
  <c r="Q190" i="42"/>
  <c r="N190" i="42"/>
  <c r="L190" i="42"/>
  <c r="K190" i="42"/>
  <c r="I190" i="42"/>
  <c r="BA189" i="42"/>
  <c r="AX189" i="42"/>
  <c r="AR189" i="42"/>
  <c r="AY189" i="42" s="1"/>
  <c r="AQ189" i="42"/>
  <c r="AP189" i="42"/>
  <c r="AZ189" i="42" s="1"/>
  <c r="AF189" i="42"/>
  <c r="AC189" i="42"/>
  <c r="Z189" i="42"/>
  <c r="AU189" i="42" s="1"/>
  <c r="V189" i="42"/>
  <c r="AB189" i="42" s="1"/>
  <c r="AV189" i="42" s="1"/>
  <c r="Q189" i="42"/>
  <c r="N189" i="42"/>
  <c r="L189" i="42"/>
  <c r="AW189" i="42" s="1"/>
  <c r="K189" i="42"/>
  <c r="I189" i="42"/>
  <c r="BA188" i="42"/>
  <c r="AX188" i="42"/>
  <c r="AV188" i="42"/>
  <c r="AU188" i="42"/>
  <c r="AR188" i="42"/>
  <c r="AQ188" i="42"/>
  <c r="AP188" i="42"/>
  <c r="AZ188" i="42" s="1"/>
  <c r="AF188" i="42"/>
  <c r="AC188" i="42"/>
  <c r="AB188" i="42"/>
  <c r="Z188" i="42"/>
  <c r="V188" i="42"/>
  <c r="Q188" i="42"/>
  <c r="N188" i="42"/>
  <c r="L188" i="42"/>
  <c r="AW188" i="42" s="1"/>
  <c r="K188" i="42"/>
  <c r="I188" i="42" s="1"/>
  <c r="AX187" i="42"/>
  <c r="AR187" i="42"/>
  <c r="AY187" i="42" s="1"/>
  <c r="AQ187" i="42"/>
  <c r="BA187" i="42" s="1"/>
  <c r="BA191" i="42" s="1"/>
  <c r="AP187" i="42"/>
  <c r="AZ187" i="42" s="1"/>
  <c r="AF187" i="42"/>
  <c r="AA187" i="42"/>
  <c r="Z187" i="42"/>
  <c r="AU187" i="42" s="1"/>
  <c r="V187" i="42"/>
  <c r="AB187" i="42" s="1"/>
  <c r="Q187" i="42"/>
  <c r="N187" i="42"/>
  <c r="L187" i="42"/>
  <c r="K187" i="42"/>
  <c r="BA186" i="42"/>
  <c r="AX186" i="42"/>
  <c r="AR186" i="42"/>
  <c r="AQ186" i="42"/>
  <c r="AP186" i="42"/>
  <c r="AF186" i="42"/>
  <c r="Z186" i="42"/>
  <c r="AU186" i="42" s="1"/>
  <c r="Q186" i="42"/>
  <c r="N186" i="42"/>
  <c r="L186" i="42"/>
  <c r="L191" i="42" s="1"/>
  <c r="K186" i="42"/>
  <c r="I186" i="42"/>
  <c r="AO185" i="42"/>
  <c r="AN185" i="42"/>
  <c r="AM185" i="42"/>
  <c r="AL185" i="42"/>
  <c r="AK185" i="42"/>
  <c r="AJ185" i="42"/>
  <c r="AI185" i="42"/>
  <c r="AH185" i="42"/>
  <c r="AF185" i="42"/>
  <c r="AE185" i="42"/>
  <c r="AD185" i="42"/>
  <c r="Z185" i="42"/>
  <c r="Y185" i="42"/>
  <c r="X185" i="42"/>
  <c r="W185" i="42"/>
  <c r="U185" i="42"/>
  <c r="T185" i="42"/>
  <c r="S185" i="42"/>
  <c r="R185" i="42"/>
  <c r="Q185" i="42"/>
  <c r="P185" i="42"/>
  <c r="O185" i="42"/>
  <c r="N185" i="42"/>
  <c r="M185" i="42"/>
  <c r="J185" i="42"/>
  <c r="BA184" i="42"/>
  <c r="AX184" i="42"/>
  <c r="AW184" i="42"/>
  <c r="AQ184" i="42"/>
  <c r="AP184" i="42"/>
  <c r="AF184" i="42"/>
  <c r="AC184" i="42"/>
  <c r="Z184" i="42"/>
  <c r="AU184" i="42" s="1"/>
  <c r="V184" i="42"/>
  <c r="AT184" i="42" s="1"/>
  <c r="Q184" i="42"/>
  <c r="N184" i="42"/>
  <c r="L184" i="42"/>
  <c r="K184" i="42"/>
  <c r="I184" i="42"/>
  <c r="AX183" i="42"/>
  <c r="AU183" i="42"/>
  <c r="AQ183" i="42"/>
  <c r="BA183" i="42" s="1"/>
  <c r="AP183" i="42"/>
  <c r="AZ183" i="42" s="1"/>
  <c r="AF183" i="42"/>
  <c r="AC183" i="42"/>
  <c r="AW183" i="42" s="1"/>
  <c r="AA183" i="42"/>
  <c r="Z183" i="42"/>
  <c r="V183" i="42"/>
  <c r="AT183" i="42" s="1"/>
  <c r="Q183" i="42"/>
  <c r="N183" i="42"/>
  <c r="L183" i="42"/>
  <c r="K183" i="42"/>
  <c r="AX182" i="42"/>
  <c r="AU182" i="42"/>
  <c r="AR182" i="42"/>
  <c r="AY182" i="42" s="1"/>
  <c r="AQ182" i="42"/>
  <c r="BA182" i="42" s="1"/>
  <c r="AP182" i="42"/>
  <c r="AZ182" i="42" s="1"/>
  <c r="AF182" i="42"/>
  <c r="Z182" i="42"/>
  <c r="V182" i="42"/>
  <c r="Q182" i="42"/>
  <c r="N182" i="42"/>
  <c r="L182" i="42"/>
  <c r="K182" i="42"/>
  <c r="BA181" i="42"/>
  <c r="AX181" i="42"/>
  <c r="AQ181" i="42"/>
  <c r="AP181" i="42"/>
  <c r="AF181" i="42"/>
  <c r="AC181" i="42"/>
  <c r="Z181" i="42"/>
  <c r="AU181" i="42" s="1"/>
  <c r="V181" i="42"/>
  <c r="AT181" i="42" s="1"/>
  <c r="Q181" i="42"/>
  <c r="N181" i="42"/>
  <c r="L181" i="42"/>
  <c r="K181" i="42"/>
  <c r="I181" i="42"/>
  <c r="AX180" i="42"/>
  <c r="AU180" i="42"/>
  <c r="AU185" i="42" s="1"/>
  <c r="AQ180" i="42"/>
  <c r="AP180" i="42"/>
  <c r="AZ180" i="42" s="1"/>
  <c r="AF180" i="42"/>
  <c r="AC180" i="42"/>
  <c r="AW180" i="42" s="1"/>
  <c r="AA180" i="42"/>
  <c r="Z180" i="42"/>
  <c r="V180" i="42"/>
  <c r="AT180" i="42" s="1"/>
  <c r="Q180" i="42"/>
  <c r="N180" i="42"/>
  <c r="L180" i="42"/>
  <c r="K180" i="42"/>
  <c r="AQ179" i="42"/>
  <c r="AO179" i="42"/>
  <c r="AN179" i="42"/>
  <c r="AM179" i="42"/>
  <c r="AL179" i="42"/>
  <c r="AK179" i="42"/>
  <c r="AJ179" i="42"/>
  <c r="AI179" i="42"/>
  <c r="AH179" i="42"/>
  <c r="AE179" i="42"/>
  <c r="AD179" i="42"/>
  <c r="Y179" i="42"/>
  <c r="X179" i="42"/>
  <c r="W179" i="42"/>
  <c r="U179" i="42"/>
  <c r="T179" i="42"/>
  <c r="S179" i="42"/>
  <c r="R179" i="42"/>
  <c r="P179" i="42"/>
  <c r="O179" i="42"/>
  <c r="M179" i="42"/>
  <c r="L179" i="42"/>
  <c r="K179" i="42"/>
  <c r="J179" i="42"/>
  <c r="BA178" i="42"/>
  <c r="AZ178" i="42"/>
  <c r="AY178" i="42"/>
  <c r="AX178" i="42"/>
  <c r="AU178" i="42"/>
  <c r="AR178" i="42"/>
  <c r="AQ178" i="42"/>
  <c r="AP178" i="42"/>
  <c r="AF178" i="42"/>
  <c r="Z178" i="42"/>
  <c r="Q178" i="42"/>
  <c r="V178" i="42" s="1"/>
  <c r="N178" i="42"/>
  <c r="L178" i="42"/>
  <c r="K178" i="42"/>
  <c r="I178" i="42"/>
  <c r="BA177" i="42"/>
  <c r="AZ177" i="42"/>
  <c r="AX177" i="42"/>
  <c r="AU177" i="42"/>
  <c r="AQ177" i="42"/>
  <c r="AP177" i="42"/>
  <c r="AR177" i="42" s="1"/>
  <c r="AY177" i="42" s="1"/>
  <c r="AF177" i="42"/>
  <c r="AC177" i="42"/>
  <c r="Z177" i="42"/>
  <c r="V177" i="42"/>
  <c r="Q177" i="42"/>
  <c r="N177" i="42"/>
  <c r="L177" i="42"/>
  <c r="K177" i="42"/>
  <c r="BA176" i="42"/>
  <c r="AZ176" i="42"/>
  <c r="AT176" i="42"/>
  <c r="AQ176" i="42"/>
  <c r="AP176" i="42"/>
  <c r="AR176" i="42" s="1"/>
  <c r="AF176" i="42"/>
  <c r="AC176" i="42"/>
  <c r="Z176" i="42"/>
  <c r="AU176" i="42" s="1"/>
  <c r="V176" i="42"/>
  <c r="AB176" i="42" s="1"/>
  <c r="AV176" i="42" s="1"/>
  <c r="Q176" i="42"/>
  <c r="N176" i="42"/>
  <c r="AY176" i="42" s="1"/>
  <c r="L176" i="42"/>
  <c r="AW176" i="42" s="1"/>
  <c r="K176" i="42"/>
  <c r="I176" i="42"/>
  <c r="BA175" i="42"/>
  <c r="AZ175" i="42"/>
  <c r="AY175" i="42"/>
  <c r="AX175" i="42"/>
  <c r="AU175" i="42"/>
  <c r="AR175" i="42"/>
  <c r="AQ175" i="42"/>
  <c r="AP175" i="42"/>
  <c r="AF175" i="42"/>
  <c r="Z175" i="42"/>
  <c r="Q175" i="42"/>
  <c r="V175" i="42" s="1"/>
  <c r="N175" i="42"/>
  <c r="L175" i="42"/>
  <c r="K175" i="42"/>
  <c r="I175" i="42"/>
  <c r="BA174" i="42"/>
  <c r="AZ174" i="42"/>
  <c r="AX174" i="42"/>
  <c r="AU174" i="42"/>
  <c r="AQ174" i="42"/>
  <c r="AP174" i="42"/>
  <c r="AR174" i="42" s="1"/>
  <c r="AY174" i="42" s="1"/>
  <c r="AF174" i="42"/>
  <c r="AC174" i="42"/>
  <c r="Z174" i="42"/>
  <c r="V174" i="42"/>
  <c r="Q174" i="42"/>
  <c r="N174" i="42"/>
  <c r="L174" i="42"/>
  <c r="K174" i="42"/>
  <c r="BA173" i="42"/>
  <c r="AZ173" i="42"/>
  <c r="AT173" i="42"/>
  <c r="AQ173" i="42"/>
  <c r="AP173" i="42"/>
  <c r="AP179" i="42" s="1"/>
  <c r="AF173" i="42"/>
  <c r="AX173" i="42" s="1"/>
  <c r="AC173" i="42"/>
  <c r="Z173" i="42"/>
  <c r="V173" i="42"/>
  <c r="AB173" i="42" s="1"/>
  <c r="Q173" i="42"/>
  <c r="N173" i="42"/>
  <c r="L173" i="42"/>
  <c r="AW173" i="42" s="1"/>
  <c r="K173" i="42"/>
  <c r="I173" i="42"/>
  <c r="AO172" i="42"/>
  <c r="AN172" i="42"/>
  <c r="AM172" i="42"/>
  <c r="AL172" i="42"/>
  <c r="AK172" i="42"/>
  <c r="AJ172" i="42"/>
  <c r="AI172" i="42"/>
  <c r="AH172" i="42"/>
  <c r="AE172" i="42"/>
  <c r="AD172" i="42"/>
  <c r="Y172" i="42"/>
  <c r="X172" i="42"/>
  <c r="W172" i="42"/>
  <c r="U172" i="42"/>
  <c r="T172" i="42"/>
  <c r="S172" i="42"/>
  <c r="R172" i="42"/>
  <c r="P172" i="42"/>
  <c r="O172" i="42"/>
  <c r="M172" i="42"/>
  <c r="J172" i="42"/>
  <c r="AY171" i="42"/>
  <c r="AX171" i="42"/>
  <c r="AU171" i="42"/>
  <c r="AR171" i="42"/>
  <c r="AQ171" i="42"/>
  <c r="BA171" i="42" s="1"/>
  <c r="AP171" i="42"/>
  <c r="AZ171" i="42" s="1"/>
  <c r="AF171" i="42"/>
  <c r="AB171" i="42"/>
  <c r="AV171" i="42" s="1"/>
  <c r="Z171" i="42"/>
  <c r="V171" i="42"/>
  <c r="Q171" i="42"/>
  <c r="N171" i="42"/>
  <c r="L171" i="42"/>
  <c r="K171" i="42"/>
  <c r="BA170" i="42"/>
  <c r="AX170" i="42"/>
  <c r="AQ170" i="42"/>
  <c r="AP170" i="42"/>
  <c r="AF170" i="42"/>
  <c r="AC170" i="42"/>
  <c r="AW170" i="42" s="1"/>
  <c r="Z170" i="42"/>
  <c r="AU170" i="42" s="1"/>
  <c r="V170" i="42"/>
  <c r="Q170" i="42"/>
  <c r="N170" i="42"/>
  <c r="L170" i="42"/>
  <c r="K170" i="42"/>
  <c r="I170" i="42"/>
  <c r="AX169" i="42"/>
  <c r="AU169" i="42"/>
  <c r="AQ169" i="42"/>
  <c r="BA169" i="42" s="1"/>
  <c r="AP169" i="42"/>
  <c r="AZ169" i="42" s="1"/>
  <c r="AF169" i="42"/>
  <c r="AC169" i="42"/>
  <c r="AW169" i="42" s="1"/>
  <c r="AA169" i="42"/>
  <c r="Z169" i="42"/>
  <c r="V169" i="42"/>
  <c r="AT169" i="42" s="1"/>
  <c r="Q169" i="42"/>
  <c r="N169" i="42"/>
  <c r="L169" i="42"/>
  <c r="K169" i="42"/>
  <c r="AX168" i="42"/>
  <c r="AX172" i="42" s="1"/>
  <c r="AU168" i="42"/>
  <c r="AR168" i="42"/>
  <c r="AY168" i="42" s="1"/>
  <c r="AQ168" i="42"/>
  <c r="BA168" i="42" s="1"/>
  <c r="AP168" i="42"/>
  <c r="AZ168" i="42" s="1"/>
  <c r="AF168" i="42"/>
  <c r="AA168" i="42"/>
  <c r="Z168" i="42"/>
  <c r="V168" i="42"/>
  <c r="AB168" i="42" s="1"/>
  <c r="Q168" i="42"/>
  <c r="N168" i="42"/>
  <c r="L168" i="42"/>
  <c r="K168" i="42"/>
  <c r="BA167" i="42"/>
  <c r="AX167" i="42"/>
  <c r="AQ167" i="42"/>
  <c r="AP167" i="42"/>
  <c r="AF167" i="42"/>
  <c r="AF172" i="42" s="1"/>
  <c r="Z167" i="42"/>
  <c r="V167" i="42"/>
  <c r="Q167" i="42"/>
  <c r="Q172" i="42" s="1"/>
  <c r="N167" i="42"/>
  <c r="L167" i="42"/>
  <c r="K167" i="42"/>
  <c r="AO166" i="42"/>
  <c r="AN166" i="42"/>
  <c r="AM166" i="42"/>
  <c r="AL166" i="42"/>
  <c r="AK166" i="42"/>
  <c r="AJ166" i="42"/>
  <c r="AI166" i="42"/>
  <c r="AH166" i="42"/>
  <c r="AF166" i="42"/>
  <c r="AE166" i="42"/>
  <c r="AD166" i="42"/>
  <c r="Y166" i="42"/>
  <c r="X166" i="42"/>
  <c r="W166" i="42"/>
  <c r="U166" i="42"/>
  <c r="T166" i="42"/>
  <c r="S166" i="42"/>
  <c r="R166" i="42"/>
  <c r="Q166" i="42"/>
  <c r="P166" i="42"/>
  <c r="O166" i="42"/>
  <c r="N166" i="42"/>
  <c r="M166" i="42"/>
  <c r="K166" i="42"/>
  <c r="J166" i="42"/>
  <c r="BA165" i="42"/>
  <c r="AX165" i="42"/>
  <c r="AQ165" i="42"/>
  <c r="AP165" i="42"/>
  <c r="AZ165" i="42" s="1"/>
  <c r="AF165" i="42"/>
  <c r="Z165" i="42"/>
  <c r="AU165" i="42" s="1"/>
  <c r="V165" i="42"/>
  <c r="Q165" i="42"/>
  <c r="N165" i="42"/>
  <c r="L165" i="42"/>
  <c r="K165" i="42"/>
  <c r="I165" i="42"/>
  <c r="BA164" i="42"/>
  <c r="BA166" i="42" s="1"/>
  <c r="AX164" i="42"/>
  <c r="AU164" i="42"/>
  <c r="AR164" i="42"/>
  <c r="AQ164" i="42"/>
  <c r="AP164" i="42"/>
  <c r="AZ164" i="42" s="1"/>
  <c r="AF164" i="42"/>
  <c r="AC164" i="42"/>
  <c r="AB164" i="42"/>
  <c r="AV164" i="42" s="1"/>
  <c r="Z164" i="42"/>
  <c r="Z166" i="42" s="1"/>
  <c r="V164" i="42"/>
  <c r="Q164" i="42"/>
  <c r="N164" i="42"/>
  <c r="AY164" i="42" s="1"/>
  <c r="L164" i="42"/>
  <c r="AW164" i="42" s="1"/>
  <c r="K164" i="42"/>
  <c r="I164" i="42"/>
  <c r="BA163" i="42"/>
  <c r="AX163" i="42"/>
  <c r="AU163" i="42"/>
  <c r="AQ163" i="42"/>
  <c r="AQ166" i="42" s="1"/>
  <c r="AP163" i="42"/>
  <c r="AF163" i="42"/>
  <c r="AC163" i="42"/>
  <c r="Z163" i="42"/>
  <c r="V163" i="42"/>
  <c r="Q163" i="42"/>
  <c r="N163" i="42"/>
  <c r="L163" i="42"/>
  <c r="K163" i="42"/>
  <c r="AO162" i="42"/>
  <c r="AN162" i="42"/>
  <c r="AM162" i="42"/>
  <c r="AL162" i="42"/>
  <c r="AK162" i="42"/>
  <c r="AJ162" i="42"/>
  <c r="AI162" i="42"/>
  <c r="AH162" i="42"/>
  <c r="AF162" i="42"/>
  <c r="AE162" i="42"/>
  <c r="AD162" i="42"/>
  <c r="Y162" i="42"/>
  <c r="X162" i="42"/>
  <c r="W162" i="42"/>
  <c r="U162" i="42"/>
  <c r="T162" i="42"/>
  <c r="S162" i="42"/>
  <c r="R162" i="42"/>
  <c r="Q162" i="42"/>
  <c r="P162" i="42"/>
  <c r="O162" i="42"/>
  <c r="M162" i="42"/>
  <c r="K162" i="42"/>
  <c r="J162" i="42"/>
  <c r="BA161" i="42"/>
  <c r="AX161" i="42"/>
  <c r="AV161" i="42"/>
  <c r="AU161" i="42"/>
  <c r="AR161" i="42"/>
  <c r="AQ161" i="42"/>
  <c r="AP161" i="42"/>
  <c r="AZ161" i="42" s="1"/>
  <c r="AF161" i="42"/>
  <c r="AC161" i="42"/>
  <c r="AB161" i="42"/>
  <c r="Z161" i="42"/>
  <c r="V161" i="42"/>
  <c r="Q161" i="42"/>
  <c r="N161" i="42"/>
  <c r="AY161" i="42" s="1"/>
  <c r="L161" i="42"/>
  <c r="K161" i="42"/>
  <c r="BA160" i="42"/>
  <c r="AX160" i="42"/>
  <c r="AQ160" i="42"/>
  <c r="AP160" i="42"/>
  <c r="AF160" i="42"/>
  <c r="Z160" i="42"/>
  <c r="AU160" i="42" s="1"/>
  <c r="V160" i="42"/>
  <c r="Q160" i="42"/>
  <c r="N160" i="42"/>
  <c r="L160" i="42"/>
  <c r="K160" i="42"/>
  <c r="I160" i="42"/>
  <c r="BA159" i="42"/>
  <c r="AX159" i="42"/>
  <c r="AQ159" i="42"/>
  <c r="AP159" i="42"/>
  <c r="AZ159" i="42" s="1"/>
  <c r="AF159" i="42"/>
  <c r="AC159" i="42"/>
  <c r="Z159" i="42"/>
  <c r="AU159" i="42" s="1"/>
  <c r="V159" i="42"/>
  <c r="Q159" i="42"/>
  <c r="N159" i="42"/>
  <c r="L159" i="42"/>
  <c r="K159" i="42"/>
  <c r="BA158" i="42"/>
  <c r="AX158" i="42"/>
  <c r="AU158" i="42"/>
  <c r="AR158" i="42"/>
  <c r="AQ158" i="42"/>
  <c r="AP158" i="42"/>
  <c r="AZ158" i="42" s="1"/>
  <c r="AF158" i="42"/>
  <c r="AC158" i="42"/>
  <c r="AB158" i="42"/>
  <c r="Z158" i="42"/>
  <c r="V158" i="42"/>
  <c r="Q158" i="42"/>
  <c r="N158" i="42"/>
  <c r="L158" i="42"/>
  <c r="AW158" i="42" s="1"/>
  <c r="K158" i="42"/>
  <c r="AV158" i="42" s="1"/>
  <c r="AX157" i="42"/>
  <c r="AX162" i="42" s="1"/>
  <c r="AQ157" i="42"/>
  <c r="AP157" i="42"/>
  <c r="AF157" i="42"/>
  <c r="AB157" i="42"/>
  <c r="AV157" i="42" s="1"/>
  <c r="Z157" i="42"/>
  <c r="V157" i="42"/>
  <c r="Q157" i="42"/>
  <c r="N157" i="42"/>
  <c r="L157" i="42"/>
  <c r="K157" i="42"/>
  <c r="I157" i="42" s="1"/>
  <c r="AP156" i="42"/>
  <c r="AO156" i="42"/>
  <c r="AN156" i="42"/>
  <c r="AM156" i="42"/>
  <c r="AL156" i="42"/>
  <c r="AK156" i="42"/>
  <c r="AJ156" i="42"/>
  <c r="AI156" i="42"/>
  <c r="AH156" i="42"/>
  <c r="AE156" i="42"/>
  <c r="AD156" i="42"/>
  <c r="Y156" i="42"/>
  <c r="X156" i="42"/>
  <c r="W156" i="42"/>
  <c r="U156" i="42"/>
  <c r="T156" i="42"/>
  <c r="S156" i="42"/>
  <c r="R156" i="42"/>
  <c r="Q156" i="42"/>
  <c r="P156" i="42"/>
  <c r="O156" i="42"/>
  <c r="M156" i="42"/>
  <c r="J156" i="42"/>
  <c r="AZ155" i="42"/>
  <c r="AV155" i="42"/>
  <c r="AT155" i="42"/>
  <c r="AR155" i="42"/>
  <c r="AQ155" i="42"/>
  <c r="BA155" i="42" s="1"/>
  <c r="AP155" i="42"/>
  <c r="AF155" i="42"/>
  <c r="AX155" i="42" s="1"/>
  <c r="AC155" i="42"/>
  <c r="AB155" i="42"/>
  <c r="AA155" i="42"/>
  <c r="Z155" i="42"/>
  <c r="AU155" i="42" s="1"/>
  <c r="Q155" i="42"/>
  <c r="V155" i="42" s="1"/>
  <c r="N155" i="42"/>
  <c r="AY155" i="42" s="1"/>
  <c r="L155" i="42"/>
  <c r="AW155" i="42" s="1"/>
  <c r="K155" i="42"/>
  <c r="I155" i="42"/>
  <c r="AX154" i="42"/>
  <c r="AT154" i="42"/>
  <c r="AT156" i="42" s="1"/>
  <c r="AQ154" i="42"/>
  <c r="AP154" i="42"/>
  <c r="AZ154" i="42" s="1"/>
  <c r="AZ156" i="42" s="1"/>
  <c r="AF154" i="42"/>
  <c r="AC154" i="42"/>
  <c r="AC156" i="42" s="1"/>
  <c r="Z154" i="42"/>
  <c r="Q154" i="42"/>
  <c r="V154" i="42" s="1"/>
  <c r="V156" i="42" s="1"/>
  <c r="N154" i="42"/>
  <c r="L154" i="42"/>
  <c r="AW154" i="42" s="1"/>
  <c r="AW156" i="42" s="1"/>
  <c r="K154" i="42"/>
  <c r="AP153" i="42"/>
  <c r="AO153" i="42"/>
  <c r="AN153" i="42"/>
  <c r="AM153" i="42"/>
  <c r="AL153" i="42"/>
  <c r="AK153" i="42"/>
  <c r="AJ153" i="42"/>
  <c r="AI153" i="42"/>
  <c r="AH153" i="42"/>
  <c r="AE153" i="42"/>
  <c r="AD153" i="42"/>
  <c r="Y153" i="42"/>
  <c r="X153" i="42"/>
  <c r="W153" i="42"/>
  <c r="U153" i="42"/>
  <c r="T153" i="42"/>
  <c r="S153" i="42"/>
  <c r="R153" i="42"/>
  <c r="P153" i="42"/>
  <c r="O153" i="42"/>
  <c r="M153" i="42"/>
  <c r="L153" i="42"/>
  <c r="J153" i="42"/>
  <c r="AU152" i="42"/>
  <c r="AQ152" i="42"/>
  <c r="BA152" i="42" s="1"/>
  <c r="AP152" i="42"/>
  <c r="AZ152" i="42" s="1"/>
  <c r="AF152" i="42"/>
  <c r="AX152" i="42" s="1"/>
  <c r="Z152" i="42"/>
  <c r="V152" i="42"/>
  <c r="AB152" i="42" s="1"/>
  <c r="AV152" i="42" s="1"/>
  <c r="Q152" i="42"/>
  <c r="N152" i="42"/>
  <c r="L152" i="42"/>
  <c r="K152" i="42"/>
  <c r="I152" i="42"/>
  <c r="AT151" i="42"/>
  <c r="AQ151" i="42"/>
  <c r="BA151" i="42" s="1"/>
  <c r="AP151" i="42"/>
  <c r="AF151" i="42"/>
  <c r="AX151" i="42" s="1"/>
  <c r="AC151" i="42"/>
  <c r="AW151" i="42" s="1"/>
  <c r="Z151" i="42"/>
  <c r="AU151" i="42" s="1"/>
  <c r="V151" i="42"/>
  <c r="AB151" i="42" s="1"/>
  <c r="Q151" i="42"/>
  <c r="N151" i="42"/>
  <c r="L151" i="42"/>
  <c r="K151" i="42"/>
  <c r="AV151" i="42" s="1"/>
  <c r="I151" i="42"/>
  <c r="AU150" i="42"/>
  <c r="AQ150" i="42"/>
  <c r="BA150" i="42" s="1"/>
  <c r="AP150" i="42"/>
  <c r="AZ150" i="42" s="1"/>
  <c r="AF150" i="42"/>
  <c r="AX150" i="42" s="1"/>
  <c r="Z150" i="42"/>
  <c r="V150" i="42"/>
  <c r="AB150" i="42" s="1"/>
  <c r="AV150" i="42" s="1"/>
  <c r="Q150" i="42"/>
  <c r="N150" i="42"/>
  <c r="L150" i="42"/>
  <c r="K150" i="42"/>
  <c r="I150" i="42"/>
  <c r="AT149" i="42"/>
  <c r="AQ149" i="42"/>
  <c r="AP149" i="42"/>
  <c r="AF149" i="42"/>
  <c r="AC149" i="42"/>
  <c r="AW149" i="42" s="1"/>
  <c r="Z149" i="42"/>
  <c r="AU149" i="42" s="1"/>
  <c r="V149" i="42"/>
  <c r="AB149" i="42" s="1"/>
  <c r="AB153" i="42" s="1"/>
  <c r="Q149" i="42"/>
  <c r="N149" i="42"/>
  <c r="L149" i="42"/>
  <c r="K149" i="42"/>
  <c r="K153" i="42" s="1"/>
  <c r="I149" i="42"/>
  <c r="I153" i="42" s="1"/>
  <c r="AQ148" i="42"/>
  <c r="AO148" i="42"/>
  <c r="AN148" i="42"/>
  <c r="AM148" i="42"/>
  <c r="AL148" i="42"/>
  <c r="AK148" i="42"/>
  <c r="AJ148" i="42"/>
  <c r="AI148" i="42"/>
  <c r="AH148" i="42"/>
  <c r="AE148" i="42"/>
  <c r="AD148" i="42"/>
  <c r="Y148" i="42"/>
  <c r="X148" i="42"/>
  <c r="W148" i="42"/>
  <c r="U148" i="42"/>
  <c r="T148" i="42"/>
  <c r="S148" i="42"/>
  <c r="R148" i="42"/>
  <c r="Q148" i="42"/>
  <c r="P148" i="42"/>
  <c r="O148" i="42"/>
  <c r="M148" i="42"/>
  <c r="J148" i="42"/>
  <c r="AZ147" i="42"/>
  <c r="AV147" i="42"/>
  <c r="AT147" i="42"/>
  <c r="AR147" i="42"/>
  <c r="AQ147" i="42"/>
  <c r="BA147" i="42" s="1"/>
  <c r="AP147" i="42"/>
  <c r="AF147" i="42"/>
  <c r="AX147" i="42" s="1"/>
  <c r="AC147" i="42"/>
  <c r="AB147" i="42"/>
  <c r="AA147" i="42"/>
  <c r="AG147" i="42" s="1"/>
  <c r="Z147" i="42"/>
  <c r="AU147" i="42" s="1"/>
  <c r="Q147" i="42"/>
  <c r="V147" i="42" s="1"/>
  <c r="N147" i="42"/>
  <c r="AY147" i="42" s="1"/>
  <c r="L147" i="42"/>
  <c r="AW147" i="42" s="1"/>
  <c r="K147" i="42"/>
  <c r="I147" i="42"/>
  <c r="AS147" i="42" s="1"/>
  <c r="AX146" i="42"/>
  <c r="AT146" i="42"/>
  <c r="AT148" i="42" s="1"/>
  <c r="AQ146" i="42"/>
  <c r="BA146" i="42" s="1"/>
  <c r="BA148" i="42" s="1"/>
  <c r="AP146" i="42"/>
  <c r="AP148" i="42" s="1"/>
  <c r="AF146" i="42"/>
  <c r="AC146" i="42"/>
  <c r="AC148" i="42" s="1"/>
  <c r="Z146" i="42"/>
  <c r="Q146" i="42"/>
  <c r="V146" i="42" s="1"/>
  <c r="V148" i="42" s="1"/>
  <c r="N146" i="42"/>
  <c r="L146" i="42"/>
  <c r="K146" i="42"/>
  <c r="AP145" i="42"/>
  <c r="AO145" i="42"/>
  <c r="AN145" i="42"/>
  <c r="AM145" i="42"/>
  <c r="AL145" i="42"/>
  <c r="AK145" i="42"/>
  <c r="AJ145" i="42"/>
  <c r="AI145" i="42"/>
  <c r="AH145" i="42"/>
  <c r="AE145" i="42"/>
  <c r="AD145" i="42"/>
  <c r="Y145" i="42"/>
  <c r="X145" i="42"/>
  <c r="W145" i="42"/>
  <c r="U145" i="42"/>
  <c r="T145" i="42"/>
  <c r="S145" i="42"/>
  <c r="R145" i="42"/>
  <c r="P145" i="42"/>
  <c r="O145" i="42"/>
  <c r="M145" i="42"/>
  <c r="L145" i="42"/>
  <c r="J145" i="42"/>
  <c r="AU144" i="42"/>
  <c r="AQ144" i="42"/>
  <c r="BA144" i="42" s="1"/>
  <c r="AP144" i="42"/>
  <c r="AZ144" i="42" s="1"/>
  <c r="AF144" i="42"/>
  <c r="AX144" i="42" s="1"/>
  <c r="Z144" i="42"/>
  <c r="V144" i="42"/>
  <c r="AB144" i="42" s="1"/>
  <c r="AV144" i="42" s="1"/>
  <c r="Q144" i="42"/>
  <c r="N144" i="42"/>
  <c r="L144" i="42"/>
  <c r="K144" i="42"/>
  <c r="I144" i="42"/>
  <c r="AT143" i="42"/>
  <c r="AQ143" i="42"/>
  <c r="BA143" i="42" s="1"/>
  <c r="AP143" i="42"/>
  <c r="AF143" i="42"/>
  <c r="AX143" i="42" s="1"/>
  <c r="AC143" i="42"/>
  <c r="AW143" i="42" s="1"/>
  <c r="Z143" i="42"/>
  <c r="AU143" i="42" s="1"/>
  <c r="V143" i="42"/>
  <c r="AB143" i="42" s="1"/>
  <c r="Q143" i="42"/>
  <c r="N143" i="42"/>
  <c r="L143" i="42"/>
  <c r="K143" i="42"/>
  <c r="AV143" i="42" s="1"/>
  <c r="I143" i="42"/>
  <c r="AU142" i="42"/>
  <c r="AQ142" i="42"/>
  <c r="BA142" i="42" s="1"/>
  <c r="AP142" i="42"/>
  <c r="AZ142" i="42" s="1"/>
  <c r="AF142" i="42"/>
  <c r="AX142" i="42" s="1"/>
  <c r="Z142" i="42"/>
  <c r="V142" i="42"/>
  <c r="AB142" i="42" s="1"/>
  <c r="AV142" i="42" s="1"/>
  <c r="Q142" i="42"/>
  <c r="N142" i="42"/>
  <c r="L142" i="42"/>
  <c r="K142" i="42"/>
  <c r="I142" i="42"/>
  <c r="AT141" i="42"/>
  <c r="AQ141" i="42"/>
  <c r="BA141" i="42" s="1"/>
  <c r="AP141" i="42"/>
  <c r="AF141" i="42"/>
  <c r="AX141" i="42" s="1"/>
  <c r="AC141" i="42"/>
  <c r="AW141" i="42" s="1"/>
  <c r="Z141" i="42"/>
  <c r="AU141" i="42" s="1"/>
  <c r="V141" i="42"/>
  <c r="AB141" i="42" s="1"/>
  <c r="Q141" i="42"/>
  <c r="N141" i="42"/>
  <c r="L141" i="42"/>
  <c r="K141" i="42"/>
  <c r="AV141" i="42" s="1"/>
  <c r="I141" i="42"/>
  <c r="AQ140" i="42"/>
  <c r="BA140" i="42" s="1"/>
  <c r="AP140" i="42"/>
  <c r="AZ140" i="42" s="1"/>
  <c r="AF140" i="42"/>
  <c r="AX140" i="42" s="1"/>
  <c r="Z140" i="42"/>
  <c r="V140" i="42"/>
  <c r="AB140" i="42" s="1"/>
  <c r="AV140" i="42" s="1"/>
  <c r="Q140" i="42"/>
  <c r="N140" i="42"/>
  <c r="L140" i="42"/>
  <c r="K140" i="42"/>
  <c r="I140" i="42"/>
  <c r="AT139" i="42"/>
  <c r="AQ139" i="42"/>
  <c r="AP139" i="42"/>
  <c r="AF139" i="42"/>
  <c r="AC139" i="42"/>
  <c r="AW139" i="42" s="1"/>
  <c r="Z139" i="42"/>
  <c r="AU139" i="42" s="1"/>
  <c r="V139" i="42"/>
  <c r="AB139" i="42" s="1"/>
  <c r="AB145" i="42" s="1"/>
  <c r="Q139" i="42"/>
  <c r="N139" i="42"/>
  <c r="L139" i="42"/>
  <c r="K139" i="42"/>
  <c r="K145" i="42" s="1"/>
  <c r="I139" i="42"/>
  <c r="AO138" i="42"/>
  <c r="AN138" i="42"/>
  <c r="AM138" i="42"/>
  <c r="AL138" i="42"/>
  <c r="AK138" i="42"/>
  <c r="AJ138" i="42"/>
  <c r="AI138" i="42"/>
  <c r="AH138" i="42"/>
  <c r="AE138" i="42"/>
  <c r="AD138" i="42"/>
  <c r="Y138" i="42"/>
  <c r="X138" i="42"/>
  <c r="W138" i="42"/>
  <c r="U138" i="42"/>
  <c r="T138" i="42"/>
  <c r="S138" i="42"/>
  <c r="R138" i="42"/>
  <c r="Q138" i="42"/>
  <c r="P138" i="42"/>
  <c r="O138" i="42"/>
  <c r="M138" i="42"/>
  <c r="J138" i="42"/>
  <c r="AZ137" i="42"/>
  <c r="AV137" i="42"/>
  <c r="AT137" i="42"/>
  <c r="AR137" i="42"/>
  <c r="AQ137" i="42"/>
  <c r="BA137" i="42" s="1"/>
  <c r="AP137" i="42"/>
  <c r="AF137" i="42"/>
  <c r="AX137" i="42" s="1"/>
  <c r="AC137" i="42"/>
  <c r="AB137" i="42"/>
  <c r="AA137" i="42"/>
  <c r="Z137" i="42"/>
  <c r="AU137" i="42" s="1"/>
  <c r="Q137" i="42"/>
  <c r="V137" i="42" s="1"/>
  <c r="N137" i="42"/>
  <c r="AY137" i="42" s="1"/>
  <c r="L137" i="42"/>
  <c r="AW137" i="42" s="1"/>
  <c r="K137" i="42"/>
  <c r="I137" i="42"/>
  <c r="AX136" i="42"/>
  <c r="AT136" i="42"/>
  <c r="AT138" i="42" s="1"/>
  <c r="AQ136" i="42"/>
  <c r="AP136" i="42"/>
  <c r="AP138" i="42" s="1"/>
  <c r="AF136" i="42"/>
  <c r="AC136" i="42"/>
  <c r="AC138" i="42" s="1"/>
  <c r="Z136" i="42"/>
  <c r="Q136" i="42"/>
  <c r="V136" i="42" s="1"/>
  <c r="V138" i="42" s="1"/>
  <c r="N136" i="42"/>
  <c r="L136" i="42"/>
  <c r="K136" i="42"/>
  <c r="AP135" i="42"/>
  <c r="AO135" i="42"/>
  <c r="AN135" i="42"/>
  <c r="AM135" i="42"/>
  <c r="AL135" i="42"/>
  <c r="AK135" i="42"/>
  <c r="AJ135" i="42"/>
  <c r="AI135" i="42"/>
  <c r="AH135" i="42"/>
  <c r="AE135" i="42"/>
  <c r="AD135" i="42"/>
  <c r="Z135" i="42"/>
  <c r="Y135" i="42"/>
  <c r="X135" i="42"/>
  <c r="W135" i="42"/>
  <c r="U135" i="42"/>
  <c r="T135" i="42"/>
  <c r="S135" i="42"/>
  <c r="R135" i="42"/>
  <c r="P135" i="42"/>
  <c r="O135" i="42"/>
  <c r="M135" i="42"/>
  <c r="L135" i="42"/>
  <c r="J135" i="42"/>
  <c r="AU134" i="42"/>
  <c r="AQ134" i="42"/>
  <c r="BA134" i="42" s="1"/>
  <c r="AP134" i="42"/>
  <c r="AZ134" i="42" s="1"/>
  <c r="AF134" i="42"/>
  <c r="AX134" i="42" s="1"/>
  <c r="Z134" i="42"/>
  <c r="V134" i="42"/>
  <c r="AB134" i="42" s="1"/>
  <c r="AV134" i="42" s="1"/>
  <c r="Q134" i="42"/>
  <c r="N134" i="42"/>
  <c r="L134" i="42"/>
  <c r="K134" i="42"/>
  <c r="I134" i="42"/>
  <c r="AT133" i="42"/>
  <c r="AQ133" i="42"/>
  <c r="AP133" i="42"/>
  <c r="AF133" i="42"/>
  <c r="AC133" i="42"/>
  <c r="AW133" i="42" s="1"/>
  <c r="Z133" i="42"/>
  <c r="AU133" i="42" s="1"/>
  <c r="AU135" i="42" s="1"/>
  <c r="V133" i="42"/>
  <c r="AB133" i="42" s="1"/>
  <c r="AB135" i="42" s="1"/>
  <c r="Q133" i="42"/>
  <c r="N133" i="42"/>
  <c r="L133" i="42"/>
  <c r="K133" i="42"/>
  <c r="K135" i="42" s="1"/>
  <c r="I133" i="42"/>
  <c r="AQ132" i="42"/>
  <c r="AO132" i="42"/>
  <c r="AN132" i="42"/>
  <c r="AM132" i="42"/>
  <c r="AL132" i="42"/>
  <c r="AK132" i="42"/>
  <c r="AJ132" i="42"/>
  <c r="AI132" i="42"/>
  <c r="AH132" i="42"/>
  <c r="AE132" i="42"/>
  <c r="AD132" i="42"/>
  <c r="Y132" i="42"/>
  <c r="X132" i="42"/>
  <c r="W132" i="42"/>
  <c r="U132" i="42"/>
  <c r="T132" i="42"/>
  <c r="S132" i="42"/>
  <c r="R132" i="42"/>
  <c r="P132" i="42"/>
  <c r="O132" i="42"/>
  <c r="M132" i="42"/>
  <c r="J132" i="42"/>
  <c r="AZ131" i="42"/>
  <c r="AV131" i="42"/>
  <c r="AT131" i="42"/>
  <c r="AR131" i="42"/>
  <c r="AQ131" i="42"/>
  <c r="BA131" i="42" s="1"/>
  <c r="AP131" i="42"/>
  <c r="AF131" i="42"/>
  <c r="AX131" i="42" s="1"/>
  <c r="AC131" i="42"/>
  <c r="AB131" i="42"/>
  <c r="AA131" i="42"/>
  <c r="AG131" i="42" s="1"/>
  <c r="Z131" i="42"/>
  <c r="AU131" i="42" s="1"/>
  <c r="Q131" i="42"/>
  <c r="V131" i="42" s="1"/>
  <c r="N131" i="42"/>
  <c r="AY131" i="42" s="1"/>
  <c r="L131" i="42"/>
  <c r="AW131" i="42" s="1"/>
  <c r="K131" i="42"/>
  <c r="I131" i="42"/>
  <c r="AS131" i="42" s="1"/>
  <c r="AX130" i="42"/>
  <c r="AT130" i="42"/>
  <c r="AQ130" i="42"/>
  <c r="BA130" i="42" s="1"/>
  <c r="AP130" i="42"/>
  <c r="AZ130" i="42" s="1"/>
  <c r="AF130" i="42"/>
  <c r="AC130" i="42"/>
  <c r="Z130" i="42"/>
  <c r="AU130" i="42" s="1"/>
  <c r="Q130" i="42"/>
  <c r="V130" i="42" s="1"/>
  <c r="AB130" i="42" s="1"/>
  <c r="N130" i="42"/>
  <c r="L130" i="42"/>
  <c r="K130" i="42"/>
  <c r="AZ129" i="42"/>
  <c r="AQ129" i="42"/>
  <c r="BA129" i="42" s="1"/>
  <c r="AP129" i="42"/>
  <c r="AR129" i="42" s="1"/>
  <c r="AY129" i="42" s="1"/>
  <c r="AF129" i="42"/>
  <c r="AX129" i="42" s="1"/>
  <c r="Z129" i="42"/>
  <c r="AU129" i="42" s="1"/>
  <c r="Q129" i="42"/>
  <c r="N129" i="42"/>
  <c r="L129" i="42"/>
  <c r="K129" i="42"/>
  <c r="AZ128" i="42"/>
  <c r="AV128" i="42"/>
  <c r="AT128" i="42"/>
  <c r="AR128" i="42"/>
  <c r="AQ128" i="42"/>
  <c r="BA128" i="42" s="1"/>
  <c r="AP128" i="42"/>
  <c r="AF128" i="42"/>
  <c r="AX128" i="42" s="1"/>
  <c r="AC128" i="42"/>
  <c r="AB128" i="42"/>
  <c r="AA128" i="42"/>
  <c r="Z128" i="42"/>
  <c r="AU128" i="42" s="1"/>
  <c r="Q128" i="42"/>
  <c r="V128" i="42" s="1"/>
  <c r="N128" i="42"/>
  <c r="AY128" i="42" s="1"/>
  <c r="L128" i="42"/>
  <c r="AW128" i="42" s="1"/>
  <c r="K128" i="42"/>
  <c r="I128" i="42"/>
  <c r="AX127" i="42"/>
  <c r="AX132" i="42" s="1"/>
  <c r="AT127" i="42"/>
  <c r="AQ127" i="42"/>
  <c r="BA127" i="42" s="1"/>
  <c r="AP127" i="42"/>
  <c r="AP132" i="42" s="1"/>
  <c r="AF127" i="42"/>
  <c r="AC127" i="42"/>
  <c r="Z127" i="42"/>
  <c r="Q127" i="42"/>
  <c r="V127" i="42" s="1"/>
  <c r="N127" i="42"/>
  <c r="L127" i="42"/>
  <c r="K127" i="42"/>
  <c r="AP126" i="42"/>
  <c r="AO126" i="42"/>
  <c r="AN126" i="42"/>
  <c r="AM126" i="42"/>
  <c r="AL126" i="42"/>
  <c r="AK126" i="42"/>
  <c r="AJ126" i="42"/>
  <c r="AI126" i="42"/>
  <c r="AH126" i="42"/>
  <c r="AE126" i="42"/>
  <c r="AD126" i="42"/>
  <c r="Y126" i="42"/>
  <c r="X126" i="42"/>
  <c r="W126" i="42"/>
  <c r="U126" i="42"/>
  <c r="T126" i="42"/>
  <c r="S126" i="42"/>
  <c r="R126" i="42"/>
  <c r="P126" i="42"/>
  <c r="O126" i="42"/>
  <c r="M126" i="42"/>
  <c r="L126" i="42"/>
  <c r="J126" i="42"/>
  <c r="AU125" i="42"/>
  <c r="AR125" i="42"/>
  <c r="AY125" i="42" s="1"/>
  <c r="AQ125" i="42"/>
  <c r="BA125" i="42" s="1"/>
  <c r="AP125" i="42"/>
  <c r="AZ125" i="42" s="1"/>
  <c r="AF125" i="42"/>
  <c r="AX125" i="42" s="1"/>
  <c r="AB125" i="42"/>
  <c r="AA125" i="42"/>
  <c r="Z125" i="42"/>
  <c r="V125" i="42"/>
  <c r="Q125" i="42"/>
  <c r="N125" i="42"/>
  <c r="L125" i="42"/>
  <c r="K125" i="42"/>
  <c r="AX124" i="42"/>
  <c r="AU124" i="42"/>
  <c r="AQ124" i="42"/>
  <c r="AP124" i="42"/>
  <c r="AZ124" i="42" s="1"/>
  <c r="AF124" i="42"/>
  <c r="AB124" i="42"/>
  <c r="Z124" i="42"/>
  <c r="V124" i="42"/>
  <c r="AA124" i="42" s="1"/>
  <c r="Q124" i="42"/>
  <c r="N124" i="42"/>
  <c r="L124" i="42"/>
  <c r="K124" i="42"/>
  <c r="BA123" i="42"/>
  <c r="AZ123" i="42"/>
  <c r="AZ126" i="42" s="1"/>
  <c r="AU123" i="42"/>
  <c r="AU126" i="42" s="1"/>
  <c r="AR123" i="42"/>
  <c r="AQ123" i="42"/>
  <c r="AP123" i="42"/>
  <c r="AF123" i="42"/>
  <c r="AX123" i="42" s="1"/>
  <c r="AX126" i="42" s="1"/>
  <c r="Z123" i="42"/>
  <c r="Z126" i="42" s="1"/>
  <c r="Q123" i="42"/>
  <c r="Q126" i="42" s="1"/>
  <c r="N123" i="42"/>
  <c r="N126" i="42" s="1"/>
  <c r="L123" i="42"/>
  <c r="K123" i="42"/>
  <c r="AQ122" i="42"/>
  <c r="AO122" i="42"/>
  <c r="AN122" i="42"/>
  <c r="AM122" i="42"/>
  <c r="AL122" i="42"/>
  <c r="AK122" i="42"/>
  <c r="AI122" i="42"/>
  <c r="AH122" i="42"/>
  <c r="AE122" i="42"/>
  <c r="AD122" i="42"/>
  <c r="Y122" i="42"/>
  <c r="X122" i="42"/>
  <c r="W122" i="42"/>
  <c r="U122" i="42"/>
  <c r="T122" i="42"/>
  <c r="S122" i="42"/>
  <c r="R122" i="42"/>
  <c r="P122" i="42"/>
  <c r="O122" i="42"/>
  <c r="M122" i="42"/>
  <c r="J122" i="42"/>
  <c r="BA121" i="42"/>
  <c r="AZ121" i="42"/>
  <c r="AU121" i="42"/>
  <c r="AQ121" i="42"/>
  <c r="AR121" i="42" s="1"/>
  <c r="AP121" i="42"/>
  <c r="AF121" i="42"/>
  <c r="AX121" i="42" s="1"/>
  <c r="Z121" i="42"/>
  <c r="Q121" i="42"/>
  <c r="V121" i="42" s="1"/>
  <c r="AT121" i="42" s="1"/>
  <c r="N121" i="42"/>
  <c r="L121" i="42"/>
  <c r="K121" i="42"/>
  <c r="BA120" i="42"/>
  <c r="AZ120" i="42"/>
  <c r="AU120" i="42"/>
  <c r="AR120" i="42"/>
  <c r="AY120" i="42" s="1"/>
  <c r="AQ120" i="42"/>
  <c r="AP120" i="42"/>
  <c r="AF120" i="42"/>
  <c r="AX120" i="42" s="1"/>
  <c r="Z120" i="42"/>
  <c r="Q120" i="42"/>
  <c r="V120" i="42" s="1"/>
  <c r="N120" i="42"/>
  <c r="L120" i="42"/>
  <c r="K120" i="42"/>
  <c r="AZ119" i="42"/>
  <c r="AX119" i="42"/>
  <c r="AW119" i="42"/>
  <c r="AU119" i="42"/>
  <c r="AR119" i="42"/>
  <c r="AY119" i="42" s="1"/>
  <c r="AQ119" i="42"/>
  <c r="BA119" i="42" s="1"/>
  <c r="AP119" i="42"/>
  <c r="AF119" i="42"/>
  <c r="AC119" i="42"/>
  <c r="AB119" i="42"/>
  <c r="Z119" i="42"/>
  <c r="V119" i="42"/>
  <c r="AT119" i="42" s="1"/>
  <c r="Q119" i="42"/>
  <c r="N119" i="42"/>
  <c r="L119" i="42"/>
  <c r="K119" i="42"/>
  <c r="BA118" i="42"/>
  <c r="AQ118" i="42"/>
  <c r="AJ118" i="42"/>
  <c r="AJ122" i="42" s="1"/>
  <c r="AF118" i="42"/>
  <c r="AX118" i="42" s="1"/>
  <c r="Z118" i="42"/>
  <c r="AU118" i="42" s="1"/>
  <c r="R118" i="42"/>
  <c r="R206" i="42" s="1"/>
  <c r="Q118" i="42"/>
  <c r="N118" i="42"/>
  <c r="L118" i="42"/>
  <c r="K118" i="42"/>
  <c r="I118" i="42"/>
  <c r="AZ117" i="42"/>
  <c r="AU117" i="42"/>
  <c r="AU122" i="42" s="1"/>
  <c r="AQ117" i="42"/>
  <c r="BA117" i="42" s="1"/>
  <c r="AP117" i="42"/>
  <c r="AF117" i="42"/>
  <c r="AX117" i="42" s="1"/>
  <c r="AA117" i="42"/>
  <c r="Z117" i="42"/>
  <c r="Z122" i="42" s="1"/>
  <c r="Q117" i="42"/>
  <c r="V117" i="42" s="1"/>
  <c r="N117" i="42"/>
  <c r="N122" i="42" s="1"/>
  <c r="L117" i="42"/>
  <c r="K117" i="42"/>
  <c r="AO116" i="42"/>
  <c r="AN116" i="42"/>
  <c r="AM116" i="42"/>
  <c r="AL116" i="42"/>
  <c r="AK116" i="42"/>
  <c r="AJ116" i="42"/>
  <c r="AI116" i="42"/>
  <c r="AH116" i="42"/>
  <c r="AE116" i="42"/>
  <c r="AD116" i="42"/>
  <c r="Y116" i="42"/>
  <c r="X116" i="42"/>
  <c r="W116" i="42"/>
  <c r="U116" i="42"/>
  <c r="T116" i="42"/>
  <c r="S116" i="42"/>
  <c r="R116" i="42"/>
  <c r="Q116" i="42"/>
  <c r="P116" i="42"/>
  <c r="O116" i="42"/>
  <c r="M116" i="42"/>
  <c r="J116" i="42"/>
  <c r="AZ115" i="42"/>
  <c r="AQ115" i="42"/>
  <c r="BA115" i="42" s="1"/>
  <c r="AP115" i="42"/>
  <c r="AR115" i="42" s="1"/>
  <c r="AF115" i="42"/>
  <c r="AX115" i="42" s="1"/>
  <c r="AB115" i="42"/>
  <c r="Z115" i="42"/>
  <c r="AU115" i="42" s="1"/>
  <c r="Q115" i="42"/>
  <c r="V115" i="42" s="1"/>
  <c r="AA115" i="42" s="1"/>
  <c r="N115" i="42"/>
  <c r="AY115" i="42" s="1"/>
  <c r="L115" i="42"/>
  <c r="K115" i="42"/>
  <c r="AT114" i="42"/>
  <c r="AQ114" i="42"/>
  <c r="BA114" i="42" s="1"/>
  <c r="BA116" i="42" s="1"/>
  <c r="AP114" i="42"/>
  <c r="AZ114" i="42" s="1"/>
  <c r="AF114" i="42"/>
  <c r="AC114" i="42"/>
  <c r="Z114" i="42"/>
  <c r="Q114" i="42"/>
  <c r="V114" i="42" s="1"/>
  <c r="AB114" i="42" s="1"/>
  <c r="N114" i="42"/>
  <c r="L114" i="42"/>
  <c r="L116" i="42" s="1"/>
  <c r="K114" i="42"/>
  <c r="I114" i="42"/>
  <c r="AQ113" i="42"/>
  <c r="AO113" i="42"/>
  <c r="AN113" i="42"/>
  <c r="AM113" i="42"/>
  <c r="AL113" i="42"/>
  <c r="AK113" i="42"/>
  <c r="AJ113" i="42"/>
  <c r="AI113" i="42"/>
  <c r="AH113" i="42"/>
  <c r="AE113" i="42"/>
  <c r="AD113" i="42"/>
  <c r="Y113" i="42"/>
  <c r="X113" i="42"/>
  <c r="W113" i="42"/>
  <c r="U113" i="42"/>
  <c r="T113" i="42"/>
  <c r="S113" i="42"/>
  <c r="R113" i="42"/>
  <c r="O113" i="42"/>
  <c r="M113" i="42"/>
  <c r="J113" i="42"/>
  <c r="AZ112" i="42"/>
  <c r="AQ112" i="42"/>
  <c r="BA112" i="42" s="1"/>
  <c r="AP112" i="42"/>
  <c r="AF112" i="42"/>
  <c r="AX112" i="42" s="1"/>
  <c r="Z112" i="42"/>
  <c r="AU112" i="42" s="1"/>
  <c r="Q112" i="42"/>
  <c r="V112" i="42" s="1"/>
  <c r="N112" i="42"/>
  <c r="L112" i="42"/>
  <c r="K112" i="42"/>
  <c r="I112" i="42"/>
  <c r="AZ111" i="42"/>
  <c r="AU111" i="42"/>
  <c r="AQ111" i="42"/>
  <c r="BA111" i="42" s="1"/>
  <c r="AP111" i="42"/>
  <c r="AF111" i="42"/>
  <c r="AX111" i="42" s="1"/>
  <c r="AA111" i="42"/>
  <c r="Z111" i="42"/>
  <c r="Q111" i="42"/>
  <c r="V111" i="42" s="1"/>
  <c r="N111" i="42"/>
  <c r="L111" i="42"/>
  <c r="K111" i="42"/>
  <c r="AZ110" i="42"/>
  <c r="AQ110" i="42"/>
  <c r="AP110" i="42"/>
  <c r="AF110" i="42"/>
  <c r="Z110" i="42"/>
  <c r="AU110" i="42" s="1"/>
  <c r="Q110" i="42"/>
  <c r="V110" i="42" s="1"/>
  <c r="P110" i="42"/>
  <c r="N110" i="42" s="1"/>
  <c r="M110" i="42"/>
  <c r="L110" i="42"/>
  <c r="K110" i="42"/>
  <c r="J110" i="42"/>
  <c r="I110" i="42"/>
  <c r="AX109" i="42"/>
  <c r="AQ109" i="42"/>
  <c r="BA109" i="42" s="1"/>
  <c r="AP109" i="42"/>
  <c r="AZ109" i="42" s="1"/>
  <c r="AJ109" i="42"/>
  <c r="AF109" i="42"/>
  <c r="Z109" i="42"/>
  <c r="AU109" i="42" s="1"/>
  <c r="V109" i="42"/>
  <c r="R109" i="42"/>
  <c r="Q109" i="42"/>
  <c r="N109" i="42"/>
  <c r="L109" i="42"/>
  <c r="K109" i="42"/>
  <c r="I109" i="42"/>
  <c r="BA108" i="42"/>
  <c r="AX108" i="42"/>
  <c r="AU108" i="42"/>
  <c r="AR108" i="42"/>
  <c r="AY108" i="42" s="1"/>
  <c r="AQ108" i="42"/>
  <c r="AP108" i="42"/>
  <c r="AZ108" i="42" s="1"/>
  <c r="AF108" i="42"/>
  <c r="Z108" i="42"/>
  <c r="Z113" i="42" s="1"/>
  <c r="Q108" i="42"/>
  <c r="V108" i="42" s="1"/>
  <c r="N108" i="42"/>
  <c r="L108" i="42"/>
  <c r="K108" i="42"/>
  <c r="I108" i="42"/>
  <c r="BA107" i="42"/>
  <c r="AZ107" i="42"/>
  <c r="AU107" i="42"/>
  <c r="AQ107" i="42"/>
  <c r="AP107" i="42"/>
  <c r="AP113" i="42" s="1"/>
  <c r="AF107" i="42"/>
  <c r="AX107" i="42" s="1"/>
  <c r="Z107" i="42"/>
  <c r="Q107" i="42"/>
  <c r="N107" i="42"/>
  <c r="L107" i="42"/>
  <c r="K107" i="42"/>
  <c r="AZ106" i="42"/>
  <c r="AX106" i="42"/>
  <c r="AP106" i="42"/>
  <c r="AO106" i="42"/>
  <c r="AN106" i="42"/>
  <c r="AM106" i="42"/>
  <c r="AL106" i="42"/>
  <c r="AK106" i="42"/>
  <c r="AJ106" i="42"/>
  <c r="AI106" i="42"/>
  <c r="AH106" i="42"/>
  <c r="AF106" i="42"/>
  <c r="AE106" i="42"/>
  <c r="AD106" i="42"/>
  <c r="Z106" i="42"/>
  <c r="Y106" i="42"/>
  <c r="X106" i="42"/>
  <c r="W106" i="42"/>
  <c r="U106" i="42"/>
  <c r="T106" i="42"/>
  <c r="S106" i="42"/>
  <c r="R106" i="42"/>
  <c r="Q106" i="42"/>
  <c r="P106" i="42"/>
  <c r="O106" i="42"/>
  <c r="M106" i="42"/>
  <c r="L106" i="42"/>
  <c r="J106" i="42"/>
  <c r="AX105" i="42"/>
  <c r="AU105" i="42"/>
  <c r="AQ105" i="42"/>
  <c r="BA105" i="42" s="1"/>
  <c r="AP105" i="42"/>
  <c r="AZ105" i="42" s="1"/>
  <c r="AF105" i="42"/>
  <c r="AC105" i="42"/>
  <c r="AW105" i="42" s="1"/>
  <c r="AB105" i="42"/>
  <c r="AA105" i="42"/>
  <c r="AG105" i="42" s="1"/>
  <c r="Z105" i="42"/>
  <c r="V105" i="42"/>
  <c r="AT105" i="42" s="1"/>
  <c r="Q105" i="42"/>
  <c r="N105" i="42"/>
  <c r="L105" i="42"/>
  <c r="K105" i="42"/>
  <c r="AX104" i="42"/>
  <c r="AU104" i="42"/>
  <c r="AQ104" i="42"/>
  <c r="BA104" i="42" s="1"/>
  <c r="AP104" i="42"/>
  <c r="AZ104" i="42" s="1"/>
  <c r="AF104" i="42"/>
  <c r="Z104" i="42"/>
  <c r="V104" i="42"/>
  <c r="Q104" i="42"/>
  <c r="N104" i="42"/>
  <c r="L104" i="42"/>
  <c r="K104" i="42"/>
  <c r="I104" i="42" s="1"/>
  <c r="BA103" i="42"/>
  <c r="AX103" i="42"/>
  <c r="AQ103" i="42"/>
  <c r="AP103" i="42"/>
  <c r="AZ103" i="42" s="1"/>
  <c r="AF103" i="42"/>
  <c r="AC103" i="42"/>
  <c r="AW103" i="42" s="1"/>
  <c r="Z103" i="42"/>
  <c r="AU103" i="42" s="1"/>
  <c r="V103" i="42"/>
  <c r="AT103" i="42" s="1"/>
  <c r="Q103" i="42"/>
  <c r="N103" i="42"/>
  <c r="L103" i="42"/>
  <c r="K103" i="42"/>
  <c r="I103" i="42"/>
  <c r="AX102" i="42"/>
  <c r="AU102" i="42"/>
  <c r="AQ102" i="42"/>
  <c r="BA102" i="42" s="1"/>
  <c r="AP102" i="42"/>
  <c r="AZ102" i="42" s="1"/>
  <c r="AF102" i="42"/>
  <c r="AC102" i="42"/>
  <c r="AW102" i="42" s="1"/>
  <c r="AB102" i="42"/>
  <c r="AA102" i="42"/>
  <c r="AG102" i="42" s="1"/>
  <c r="Z102" i="42"/>
  <c r="V102" i="42"/>
  <c r="AT102" i="42" s="1"/>
  <c r="Q102" i="42"/>
  <c r="N102" i="42"/>
  <c r="N106" i="42" s="1"/>
  <c r="L102" i="42"/>
  <c r="K102" i="42"/>
  <c r="AX101" i="42"/>
  <c r="AU101" i="42"/>
  <c r="AQ101" i="42"/>
  <c r="AP101" i="42"/>
  <c r="AZ101" i="42" s="1"/>
  <c r="AF101" i="42"/>
  <c r="Z101" i="42"/>
  <c r="V101" i="42"/>
  <c r="Q101" i="42"/>
  <c r="N101" i="42"/>
  <c r="L101" i="42"/>
  <c r="K101" i="42"/>
  <c r="K106" i="42" s="1"/>
  <c r="BA100" i="42"/>
  <c r="AQ100" i="42"/>
  <c r="AO100" i="42"/>
  <c r="AN100" i="42"/>
  <c r="AM100" i="42"/>
  <c r="AL100" i="42"/>
  <c r="AK100" i="42"/>
  <c r="AJ100" i="42"/>
  <c r="AI100" i="42"/>
  <c r="AH100" i="42"/>
  <c r="AE100" i="42"/>
  <c r="AD100" i="42"/>
  <c r="Z100" i="42"/>
  <c r="Y100" i="42"/>
  <c r="X100" i="42"/>
  <c r="W100" i="42"/>
  <c r="U100" i="42"/>
  <c r="T100" i="42"/>
  <c r="S100" i="42"/>
  <c r="R100" i="42"/>
  <c r="P100" i="42"/>
  <c r="O100" i="42"/>
  <c r="M100" i="42"/>
  <c r="K100" i="42"/>
  <c r="J100" i="42"/>
  <c r="BA99" i="42"/>
  <c r="AZ99" i="42"/>
  <c r="AU99" i="42"/>
  <c r="AQ99" i="42"/>
  <c r="AP99" i="42"/>
  <c r="AR99" i="42" s="1"/>
  <c r="AY99" i="42" s="1"/>
  <c r="AF99" i="42"/>
  <c r="AX99" i="42" s="1"/>
  <c r="Z99" i="42"/>
  <c r="Q99" i="42"/>
  <c r="V99" i="42" s="1"/>
  <c r="N99" i="42"/>
  <c r="L99" i="42"/>
  <c r="K99" i="42"/>
  <c r="BA98" i="42"/>
  <c r="AZ98" i="42"/>
  <c r="AX98" i="42"/>
  <c r="AT98" i="42"/>
  <c r="AQ98" i="42"/>
  <c r="AP98" i="42"/>
  <c r="AR98" i="42" s="1"/>
  <c r="AF98" i="42"/>
  <c r="AC98" i="42"/>
  <c r="Z98" i="42"/>
  <c r="AU98" i="42" s="1"/>
  <c r="V98" i="42"/>
  <c r="AB98" i="42" s="1"/>
  <c r="AV98" i="42" s="1"/>
  <c r="Q98" i="42"/>
  <c r="N98" i="42"/>
  <c r="AY98" i="42" s="1"/>
  <c r="L98" i="42"/>
  <c r="K98" i="42"/>
  <c r="I98" i="42"/>
  <c r="BA97" i="42"/>
  <c r="AX97" i="42"/>
  <c r="AR97" i="42"/>
  <c r="AQ97" i="42"/>
  <c r="AP97" i="42"/>
  <c r="AZ97" i="42" s="1"/>
  <c r="AZ100" i="42" s="1"/>
  <c r="AF97" i="42"/>
  <c r="AF100" i="42" s="1"/>
  <c r="Z97" i="42"/>
  <c r="AU97" i="42" s="1"/>
  <c r="AU100" i="42" s="1"/>
  <c r="Q97" i="42"/>
  <c r="N97" i="42"/>
  <c r="N100" i="42" s="1"/>
  <c r="L97" i="42"/>
  <c r="K97" i="42"/>
  <c r="I97" i="42"/>
  <c r="AO96" i="42"/>
  <c r="AN96" i="42"/>
  <c r="AM96" i="42"/>
  <c r="AL96" i="42"/>
  <c r="AK96" i="42"/>
  <c r="AJ96" i="42"/>
  <c r="AI96" i="42"/>
  <c r="AH96" i="42"/>
  <c r="AF96" i="42"/>
  <c r="AE96" i="42"/>
  <c r="AD96" i="42"/>
  <c r="Z96" i="42"/>
  <c r="Y96" i="42"/>
  <c r="X96" i="42"/>
  <c r="W96" i="42"/>
  <c r="U96" i="42"/>
  <c r="T96" i="42"/>
  <c r="S96" i="42"/>
  <c r="R96" i="42"/>
  <c r="Q96" i="42"/>
  <c r="P96" i="42"/>
  <c r="O96" i="42"/>
  <c r="N96" i="42"/>
  <c r="M96" i="42"/>
  <c r="J96" i="42"/>
  <c r="BA95" i="42"/>
  <c r="AX95" i="42"/>
  <c r="AQ95" i="42"/>
  <c r="AP95" i="42"/>
  <c r="AZ95" i="42" s="1"/>
  <c r="AF95" i="42"/>
  <c r="AC95" i="42"/>
  <c r="AW95" i="42" s="1"/>
  <c r="Z95" i="42"/>
  <c r="AU95" i="42" s="1"/>
  <c r="V95" i="42"/>
  <c r="Q95" i="42"/>
  <c r="N95" i="42"/>
  <c r="L95" i="42"/>
  <c r="K95" i="42"/>
  <c r="I95" i="42"/>
  <c r="AX94" i="42"/>
  <c r="AU94" i="42"/>
  <c r="AQ94" i="42"/>
  <c r="BA94" i="42" s="1"/>
  <c r="AP94" i="42"/>
  <c r="AZ94" i="42" s="1"/>
  <c r="AF94" i="42"/>
  <c r="AC94" i="42"/>
  <c r="AW94" i="42" s="1"/>
  <c r="AB94" i="42"/>
  <c r="AA94" i="42"/>
  <c r="Z94" i="42"/>
  <c r="V94" i="42"/>
  <c r="AT94" i="42" s="1"/>
  <c r="Q94" i="42"/>
  <c r="N94" i="42"/>
  <c r="L94" i="42"/>
  <c r="K94" i="42"/>
  <c r="AX93" i="42"/>
  <c r="AU93" i="42"/>
  <c r="AQ93" i="42"/>
  <c r="AP93" i="42"/>
  <c r="AZ93" i="42" s="1"/>
  <c r="AF93" i="42"/>
  <c r="AB93" i="42"/>
  <c r="AV93" i="42" s="1"/>
  <c r="Z93" i="42"/>
  <c r="V93" i="42"/>
  <c r="Q93" i="42"/>
  <c r="N93" i="42"/>
  <c r="L93" i="42"/>
  <c r="K93" i="42"/>
  <c r="BA92" i="42"/>
  <c r="AX92" i="42"/>
  <c r="AQ92" i="42"/>
  <c r="AP92" i="42"/>
  <c r="AF92" i="42"/>
  <c r="AC92" i="42"/>
  <c r="AW92" i="42" s="1"/>
  <c r="Z92" i="42"/>
  <c r="AU92" i="42" s="1"/>
  <c r="V92" i="42"/>
  <c r="V96" i="42" s="1"/>
  <c r="Q92" i="42"/>
  <c r="N92" i="42"/>
  <c r="L92" i="42"/>
  <c r="K92" i="42"/>
  <c r="I92" i="42"/>
  <c r="AX91" i="42"/>
  <c r="AU91" i="42"/>
  <c r="AU96" i="42" s="1"/>
  <c r="AQ91" i="42"/>
  <c r="AP91" i="42"/>
  <c r="AZ91" i="42" s="1"/>
  <c r="AF91" i="42"/>
  <c r="AC91" i="42"/>
  <c r="AB91" i="42"/>
  <c r="AA91" i="42"/>
  <c r="Z91" i="42"/>
  <c r="V91" i="42"/>
  <c r="AT91" i="42" s="1"/>
  <c r="Q91" i="42"/>
  <c r="N91" i="42"/>
  <c r="L91" i="42"/>
  <c r="K91" i="42"/>
  <c r="AO90" i="42"/>
  <c r="AN90" i="42"/>
  <c r="AM90" i="42"/>
  <c r="AL90" i="42"/>
  <c r="AK90" i="42"/>
  <c r="AI90" i="42"/>
  <c r="AH90" i="42"/>
  <c r="AE90" i="42"/>
  <c r="AD90" i="42"/>
  <c r="Y90" i="42"/>
  <c r="X90" i="42"/>
  <c r="W90" i="42"/>
  <c r="U90" i="42"/>
  <c r="T90" i="42"/>
  <c r="S90" i="42"/>
  <c r="P90" i="42"/>
  <c r="O90" i="42"/>
  <c r="M90" i="42"/>
  <c r="J90" i="42"/>
  <c r="BA89" i="42"/>
  <c r="AX89" i="42"/>
  <c r="AV89" i="42"/>
  <c r="AR89" i="42"/>
  <c r="AQ89" i="42"/>
  <c r="AP89" i="42"/>
  <c r="AZ89" i="42" s="1"/>
  <c r="AF89" i="42"/>
  <c r="AC89" i="42"/>
  <c r="AB89" i="42"/>
  <c r="Z89" i="42"/>
  <c r="AU89" i="42" s="1"/>
  <c r="V89" i="42"/>
  <c r="AT89" i="42" s="1"/>
  <c r="Q89" i="42"/>
  <c r="N89" i="42"/>
  <c r="AY89" i="42" s="1"/>
  <c r="L89" i="42"/>
  <c r="AW89" i="42" s="1"/>
  <c r="K89" i="42"/>
  <c r="I89" i="42"/>
  <c r="AX88" i="42"/>
  <c r="AQ88" i="42"/>
  <c r="BA88" i="42" s="1"/>
  <c r="AP88" i="42"/>
  <c r="AJ88" i="42"/>
  <c r="AJ203" i="42" s="1"/>
  <c r="AF88" i="42"/>
  <c r="Z88" i="42"/>
  <c r="AU88" i="42" s="1"/>
  <c r="R88" i="42"/>
  <c r="R203" i="42" s="1"/>
  <c r="Q88" i="42"/>
  <c r="N88" i="42"/>
  <c r="L88" i="42"/>
  <c r="K88" i="42"/>
  <c r="BA87" i="42"/>
  <c r="AZ87" i="42"/>
  <c r="AU87" i="42"/>
  <c r="AR87" i="42"/>
  <c r="AQ87" i="42"/>
  <c r="AQ90" i="42" s="1"/>
  <c r="AP87" i="42"/>
  <c r="AF87" i="42"/>
  <c r="AX87" i="42" s="1"/>
  <c r="AX90" i="42" s="1"/>
  <c r="Z87" i="42"/>
  <c r="V87" i="42"/>
  <c r="Q87" i="42"/>
  <c r="Q90" i="42" s="1"/>
  <c r="N87" i="42"/>
  <c r="N90" i="42" s="1"/>
  <c r="L87" i="42"/>
  <c r="L90" i="42" s="1"/>
  <c r="K87" i="42"/>
  <c r="AO86" i="42"/>
  <c r="AN86" i="42"/>
  <c r="AM86" i="42"/>
  <c r="AL86" i="42"/>
  <c r="AK86" i="42"/>
  <c r="AJ86" i="42"/>
  <c r="AI86" i="42"/>
  <c r="AH86" i="42"/>
  <c r="AE86" i="42"/>
  <c r="AD86" i="42"/>
  <c r="Z86" i="42"/>
  <c r="Y86" i="42"/>
  <c r="X86" i="42"/>
  <c r="W86" i="42"/>
  <c r="U86" i="42"/>
  <c r="T86" i="42"/>
  <c r="S86" i="42"/>
  <c r="R86" i="42"/>
  <c r="P86" i="42"/>
  <c r="O86" i="42"/>
  <c r="N86" i="42"/>
  <c r="M86" i="42"/>
  <c r="J86" i="42"/>
  <c r="AZ85" i="42"/>
  <c r="AX85" i="42"/>
  <c r="AQ85" i="42"/>
  <c r="BA85" i="42" s="1"/>
  <c r="AP85" i="42"/>
  <c r="AF85" i="42"/>
  <c r="AA85" i="42"/>
  <c r="Z85" i="42"/>
  <c r="AU85" i="42" s="1"/>
  <c r="V85" i="42"/>
  <c r="AC85" i="42" s="1"/>
  <c r="AW85" i="42" s="1"/>
  <c r="Q85" i="42"/>
  <c r="N85" i="42"/>
  <c r="L85" i="42"/>
  <c r="K85" i="42"/>
  <c r="BA84" i="42"/>
  <c r="AZ84" i="42"/>
  <c r="AU84" i="42"/>
  <c r="AQ84" i="42"/>
  <c r="AR84" i="42" s="1"/>
  <c r="AP84" i="42"/>
  <c r="AF84" i="42"/>
  <c r="AX84" i="42" s="1"/>
  <c r="Z84" i="42"/>
  <c r="Q84" i="42"/>
  <c r="V84" i="42" s="1"/>
  <c r="N84" i="42"/>
  <c r="AY84" i="42" s="1"/>
  <c r="L84" i="42"/>
  <c r="I84" i="42" s="1"/>
  <c r="K84" i="42"/>
  <c r="AZ83" i="42"/>
  <c r="AX83" i="42"/>
  <c r="AQ83" i="42"/>
  <c r="AP83" i="42"/>
  <c r="AF83" i="42"/>
  <c r="AA83" i="42"/>
  <c r="Z83" i="42"/>
  <c r="AU83" i="42" s="1"/>
  <c r="V83" i="42"/>
  <c r="AC83" i="42" s="1"/>
  <c r="AW83" i="42" s="1"/>
  <c r="Q83" i="42"/>
  <c r="N83" i="42"/>
  <c r="L83" i="42"/>
  <c r="K83" i="42"/>
  <c r="I83" i="42" s="1"/>
  <c r="BA82" i="42"/>
  <c r="AZ82" i="42"/>
  <c r="AU82" i="42"/>
  <c r="AQ82" i="42"/>
  <c r="AR82" i="42" s="1"/>
  <c r="AP82" i="42"/>
  <c r="AF82" i="42"/>
  <c r="AX82" i="42" s="1"/>
  <c r="Z82" i="42"/>
  <c r="Q82" i="42"/>
  <c r="V82" i="42" s="1"/>
  <c r="N82" i="42"/>
  <c r="AY82" i="42" s="1"/>
  <c r="L82" i="42"/>
  <c r="K82" i="42"/>
  <c r="I82" i="42" s="1"/>
  <c r="AZ81" i="42"/>
  <c r="AZ86" i="42" s="1"/>
  <c r="AX81" i="42"/>
  <c r="AQ81" i="42"/>
  <c r="AP81" i="42"/>
  <c r="AF81" i="42"/>
  <c r="AA81" i="42"/>
  <c r="Z81" i="42"/>
  <c r="AU81" i="42" s="1"/>
  <c r="V81" i="42"/>
  <c r="AC81" i="42" s="1"/>
  <c r="AW81" i="42" s="1"/>
  <c r="Q81" i="42"/>
  <c r="N81" i="42"/>
  <c r="L81" i="42"/>
  <c r="K81" i="42"/>
  <c r="BA80" i="42"/>
  <c r="AZ80" i="42"/>
  <c r="AU80" i="42"/>
  <c r="AU86" i="42" s="1"/>
  <c r="AQ80" i="42"/>
  <c r="AR80" i="42" s="1"/>
  <c r="AP80" i="42"/>
  <c r="AF80" i="42"/>
  <c r="AX80" i="42" s="1"/>
  <c r="Z80" i="42"/>
  <c r="Q80" i="42"/>
  <c r="N80" i="42"/>
  <c r="L80" i="42"/>
  <c r="L86" i="42" s="1"/>
  <c r="K80" i="42"/>
  <c r="AZ79" i="42"/>
  <c r="AQ79" i="42"/>
  <c r="AP79" i="42"/>
  <c r="AO79" i="42"/>
  <c r="AN79" i="42"/>
  <c r="AM79" i="42"/>
  <c r="AL79" i="42"/>
  <c r="AK79" i="42"/>
  <c r="AJ79" i="42"/>
  <c r="AI79" i="42"/>
  <c r="AH79" i="42"/>
  <c r="AE79" i="42"/>
  <c r="AD79" i="42"/>
  <c r="Y79" i="42"/>
  <c r="X79" i="42"/>
  <c r="W79" i="42"/>
  <c r="U79" i="42"/>
  <c r="T79" i="42"/>
  <c r="S79" i="42"/>
  <c r="R79" i="42"/>
  <c r="Q79" i="42"/>
  <c r="P79" i="42"/>
  <c r="O79" i="42"/>
  <c r="M79" i="42"/>
  <c r="L79" i="42"/>
  <c r="K79" i="42"/>
  <c r="J79" i="42"/>
  <c r="AZ78" i="42"/>
  <c r="AZ211" i="42" s="1"/>
  <c r="AX78" i="42"/>
  <c r="AX211" i="42" s="1"/>
  <c r="AQ78" i="42"/>
  <c r="AP78" i="42"/>
  <c r="AP211" i="42" s="1"/>
  <c r="AF78" i="42"/>
  <c r="AF211" i="42" s="1"/>
  <c r="Z78" i="42"/>
  <c r="V78" i="42"/>
  <c r="V211" i="42" s="1"/>
  <c r="Q78" i="42"/>
  <c r="Q211" i="42" s="1"/>
  <c r="N78" i="42"/>
  <c r="N211" i="42" s="1"/>
  <c r="L78" i="42"/>
  <c r="L211" i="42" s="1"/>
  <c r="K78" i="42"/>
  <c r="I78" i="42"/>
  <c r="AQ77" i="42"/>
  <c r="AO77" i="42"/>
  <c r="AN77" i="42"/>
  <c r="AM77" i="42"/>
  <c r="AL77" i="42"/>
  <c r="AK77" i="42"/>
  <c r="AJ77" i="42"/>
  <c r="AI77" i="42"/>
  <c r="AH77" i="42"/>
  <c r="AE77" i="42"/>
  <c r="AD77" i="42"/>
  <c r="Y77" i="42"/>
  <c r="X77" i="42"/>
  <c r="W77" i="42"/>
  <c r="U77" i="42"/>
  <c r="T77" i="42"/>
  <c r="S77" i="42"/>
  <c r="R77" i="42"/>
  <c r="P77" i="42"/>
  <c r="O77" i="42"/>
  <c r="M77" i="42"/>
  <c r="L77" i="42"/>
  <c r="J77" i="42"/>
  <c r="AZ76" i="42"/>
  <c r="AT76" i="42"/>
  <c r="AR76" i="42"/>
  <c r="AQ76" i="42"/>
  <c r="BA76" i="42" s="1"/>
  <c r="AP76" i="42"/>
  <c r="AF76" i="42"/>
  <c r="AX76" i="42" s="1"/>
  <c r="AC76" i="42"/>
  <c r="Z76" i="42"/>
  <c r="AU76" i="42" s="1"/>
  <c r="Q76" i="42"/>
  <c r="V76" i="42" s="1"/>
  <c r="N76" i="42"/>
  <c r="AY76" i="42" s="1"/>
  <c r="L76" i="42"/>
  <c r="AW76" i="42" s="1"/>
  <c r="K76" i="42"/>
  <c r="AZ75" i="42"/>
  <c r="AY75" i="42"/>
  <c r="AR75" i="42"/>
  <c r="AQ75" i="42"/>
  <c r="BA75" i="42" s="1"/>
  <c r="AP75" i="42"/>
  <c r="AF75" i="42"/>
  <c r="AX75" i="42" s="1"/>
  <c r="Z75" i="42"/>
  <c r="AU75" i="42" s="1"/>
  <c r="Q75" i="42"/>
  <c r="V75" i="42" s="1"/>
  <c r="N75" i="42"/>
  <c r="L75" i="42"/>
  <c r="K75" i="42"/>
  <c r="AZ74" i="42"/>
  <c r="AY74" i="42"/>
  <c r="AT74" i="42"/>
  <c r="AR74" i="42"/>
  <c r="AQ74" i="42"/>
  <c r="BA74" i="42" s="1"/>
  <c r="AP74" i="42"/>
  <c r="AF74" i="42"/>
  <c r="AX74" i="42" s="1"/>
  <c r="AC74" i="42"/>
  <c r="Z74" i="42"/>
  <c r="AU74" i="42" s="1"/>
  <c r="Q74" i="42"/>
  <c r="V74" i="42" s="1"/>
  <c r="N74" i="42"/>
  <c r="L74" i="42"/>
  <c r="K74" i="42"/>
  <c r="AZ73" i="42"/>
  <c r="AT73" i="42"/>
  <c r="AR73" i="42"/>
  <c r="AQ73" i="42"/>
  <c r="BA73" i="42" s="1"/>
  <c r="AP73" i="42"/>
  <c r="AF73" i="42"/>
  <c r="AX73" i="42" s="1"/>
  <c r="AC73" i="42"/>
  <c r="Z73" i="42"/>
  <c r="AU73" i="42" s="1"/>
  <c r="Q73" i="42"/>
  <c r="V73" i="42" s="1"/>
  <c r="N73" i="42"/>
  <c r="AY73" i="42" s="1"/>
  <c r="L73" i="42"/>
  <c r="AW73" i="42" s="1"/>
  <c r="K73" i="42"/>
  <c r="K77" i="42" s="1"/>
  <c r="AZ72" i="42"/>
  <c r="AY72" i="42"/>
  <c r="AR72" i="42"/>
  <c r="AQ72" i="42"/>
  <c r="BA72" i="42" s="1"/>
  <c r="AP72" i="42"/>
  <c r="AJ72" i="42"/>
  <c r="AJ204" i="42" s="1"/>
  <c r="AF72" i="42"/>
  <c r="AX72" i="42" s="1"/>
  <c r="Z72" i="42"/>
  <c r="AU72" i="42" s="1"/>
  <c r="V72" i="42"/>
  <c r="AT72" i="42" s="1"/>
  <c r="R72" i="42"/>
  <c r="R204" i="42" s="1"/>
  <c r="Q72" i="42"/>
  <c r="N72" i="42"/>
  <c r="L72" i="42"/>
  <c r="K72" i="42"/>
  <c r="I72" i="42"/>
  <c r="BA71" i="42"/>
  <c r="AQ71" i="42"/>
  <c r="AP71" i="42"/>
  <c r="AF71" i="42"/>
  <c r="AX71" i="42" s="1"/>
  <c r="Z71" i="42"/>
  <c r="Z77" i="42" s="1"/>
  <c r="V71" i="42"/>
  <c r="Q71" i="42"/>
  <c r="N71" i="42"/>
  <c r="L71" i="42"/>
  <c r="K71" i="42"/>
  <c r="I71" i="42"/>
  <c r="AU70" i="42"/>
  <c r="AP70" i="42"/>
  <c r="AO70" i="42"/>
  <c r="AN70" i="42"/>
  <c r="AM70" i="42"/>
  <c r="AL70" i="42"/>
  <c r="AK70" i="42"/>
  <c r="AJ70" i="42"/>
  <c r="AI70" i="42"/>
  <c r="AH70" i="42"/>
  <c r="AF70" i="42"/>
  <c r="AE70" i="42"/>
  <c r="AD70" i="42"/>
  <c r="Y70" i="42"/>
  <c r="X70" i="42"/>
  <c r="W70" i="42"/>
  <c r="U70" i="42"/>
  <c r="T70" i="42"/>
  <c r="S70" i="42"/>
  <c r="R70" i="42"/>
  <c r="Q70" i="42"/>
  <c r="P70" i="42"/>
  <c r="O70" i="42"/>
  <c r="M70" i="42"/>
  <c r="K70" i="42"/>
  <c r="J70" i="42"/>
  <c r="AX69" i="42"/>
  <c r="AR69" i="42"/>
  <c r="AQ69" i="42"/>
  <c r="BA69" i="42" s="1"/>
  <c r="AP69" i="42"/>
  <c r="AZ69" i="42" s="1"/>
  <c r="AF69" i="42"/>
  <c r="AC69" i="42"/>
  <c r="AB69" i="42"/>
  <c r="AA69" i="42"/>
  <c r="Z69" i="42"/>
  <c r="AU69" i="42" s="1"/>
  <c r="V69" i="42"/>
  <c r="AT69" i="42" s="1"/>
  <c r="Q69" i="42"/>
  <c r="N69" i="42"/>
  <c r="AY69" i="42" s="1"/>
  <c r="L69" i="42"/>
  <c r="AW69" i="42" s="1"/>
  <c r="K69" i="42"/>
  <c r="AX68" i="42"/>
  <c r="AU68" i="42"/>
  <c r="AR68" i="42"/>
  <c r="AY68" i="42" s="1"/>
  <c r="AQ68" i="42"/>
  <c r="BA68" i="42" s="1"/>
  <c r="AP68" i="42"/>
  <c r="AZ68" i="42" s="1"/>
  <c r="AF68" i="42"/>
  <c r="AC68" i="42"/>
  <c r="AB68" i="42"/>
  <c r="AA68" i="42"/>
  <c r="AG68" i="42" s="1"/>
  <c r="Z68" i="42"/>
  <c r="V68" i="42"/>
  <c r="AT68" i="42" s="1"/>
  <c r="Q68" i="42"/>
  <c r="N68" i="42"/>
  <c r="L68" i="42"/>
  <c r="AW68" i="42" s="1"/>
  <c r="K68" i="42"/>
  <c r="AV68" i="42" s="1"/>
  <c r="AX67" i="42"/>
  <c r="AU67" i="42"/>
  <c r="AR67" i="42"/>
  <c r="AQ67" i="42"/>
  <c r="BA67" i="42" s="1"/>
  <c r="AP67" i="42"/>
  <c r="AZ67" i="42" s="1"/>
  <c r="AF67" i="42"/>
  <c r="AC67" i="42"/>
  <c r="AB67" i="42"/>
  <c r="AA67" i="42"/>
  <c r="AG67" i="42" s="1"/>
  <c r="Z67" i="42"/>
  <c r="V67" i="42"/>
  <c r="AT67" i="42" s="1"/>
  <c r="Q67" i="42"/>
  <c r="N67" i="42"/>
  <c r="AY67" i="42" s="1"/>
  <c r="L67" i="42"/>
  <c r="K67" i="42"/>
  <c r="AV67" i="42" s="1"/>
  <c r="AY66" i="42"/>
  <c r="AX66" i="42"/>
  <c r="AU66" i="42"/>
  <c r="AR66" i="42"/>
  <c r="AQ66" i="42"/>
  <c r="BA66" i="42" s="1"/>
  <c r="BA70" i="42" s="1"/>
  <c r="AP66" i="42"/>
  <c r="AZ66" i="42" s="1"/>
  <c r="AZ70" i="42" s="1"/>
  <c r="AF66" i="42"/>
  <c r="AC66" i="42"/>
  <c r="AC70" i="42" s="1"/>
  <c r="AB66" i="42"/>
  <c r="AA66" i="42"/>
  <c r="AA70" i="42" s="1"/>
  <c r="Z66" i="42"/>
  <c r="Z70" i="42" s="1"/>
  <c r="V66" i="42"/>
  <c r="V70" i="42" s="1"/>
  <c r="Q66" i="42"/>
  <c r="N66" i="42"/>
  <c r="L66" i="42"/>
  <c r="AW66" i="42" s="1"/>
  <c r="K66" i="42"/>
  <c r="AO65" i="42"/>
  <c r="AN65" i="42"/>
  <c r="AM65" i="42"/>
  <c r="AL65" i="42"/>
  <c r="AK65" i="42"/>
  <c r="AJ65" i="42"/>
  <c r="AI65" i="42"/>
  <c r="AH65" i="42"/>
  <c r="AF65" i="42"/>
  <c r="AE65" i="42"/>
  <c r="AD65" i="42"/>
  <c r="Y65" i="42"/>
  <c r="X65" i="42"/>
  <c r="W65" i="42"/>
  <c r="U65" i="42"/>
  <c r="T65" i="42"/>
  <c r="S65" i="42"/>
  <c r="R65" i="42"/>
  <c r="P65" i="42"/>
  <c r="O65" i="42"/>
  <c r="N65" i="42"/>
  <c r="M65" i="42"/>
  <c r="J65" i="42"/>
  <c r="BA64" i="42"/>
  <c r="AU64" i="42"/>
  <c r="AQ64" i="42"/>
  <c r="AP64" i="42"/>
  <c r="AF64" i="42"/>
  <c r="AX64" i="42" s="1"/>
  <c r="Z64" i="42"/>
  <c r="V64" i="42"/>
  <c r="Q64" i="42"/>
  <c r="N64" i="42"/>
  <c r="L64" i="42"/>
  <c r="K64" i="42"/>
  <c r="I64" i="42"/>
  <c r="BA63" i="42"/>
  <c r="AQ63" i="42"/>
  <c r="AP63" i="42"/>
  <c r="AF63" i="42"/>
  <c r="AX63" i="42" s="1"/>
  <c r="Z63" i="42"/>
  <c r="AU63" i="42" s="1"/>
  <c r="V63" i="42"/>
  <c r="Q63" i="42"/>
  <c r="N63" i="42"/>
  <c r="L63" i="42"/>
  <c r="K63" i="42"/>
  <c r="I63" i="42"/>
  <c r="BA62" i="42"/>
  <c r="AU62" i="42"/>
  <c r="AQ62" i="42"/>
  <c r="AP62" i="42"/>
  <c r="AF62" i="42"/>
  <c r="AX62" i="42" s="1"/>
  <c r="Z62" i="42"/>
  <c r="V62" i="42"/>
  <c r="Q62" i="42"/>
  <c r="N62" i="42"/>
  <c r="L62" i="42"/>
  <c r="K62" i="42"/>
  <c r="I62" i="42"/>
  <c r="BA61" i="42"/>
  <c r="AU61" i="42"/>
  <c r="AQ61" i="42"/>
  <c r="AP61" i="42"/>
  <c r="AF61" i="42"/>
  <c r="AX61" i="42" s="1"/>
  <c r="AX65" i="42" s="1"/>
  <c r="Z61" i="42"/>
  <c r="V61" i="42"/>
  <c r="Q61" i="42"/>
  <c r="N61" i="42"/>
  <c r="L61" i="42"/>
  <c r="K61" i="42"/>
  <c r="I61" i="42"/>
  <c r="BA60" i="42"/>
  <c r="AQ60" i="42"/>
  <c r="AP60" i="42"/>
  <c r="AF60" i="42"/>
  <c r="AX60" i="42" s="1"/>
  <c r="Z60" i="42"/>
  <c r="Z206" i="42" s="1"/>
  <c r="V60" i="42"/>
  <c r="Q60" i="42"/>
  <c r="Q65" i="42" s="1"/>
  <c r="N60" i="42"/>
  <c r="L60" i="42"/>
  <c r="L206" i="42" s="1"/>
  <c r="K60" i="42"/>
  <c r="I60" i="42"/>
  <c r="AO59" i="42"/>
  <c r="AN59" i="42"/>
  <c r="AM59" i="42"/>
  <c r="AL59" i="42"/>
  <c r="AK59" i="42"/>
  <c r="AJ59" i="42"/>
  <c r="AI59" i="42"/>
  <c r="AH59" i="42"/>
  <c r="AE59" i="42"/>
  <c r="AD59" i="42"/>
  <c r="Y59" i="42"/>
  <c r="X59" i="42"/>
  <c r="W59" i="42"/>
  <c r="U59" i="42"/>
  <c r="T59" i="42"/>
  <c r="S59" i="42"/>
  <c r="R59" i="42"/>
  <c r="Q59" i="42"/>
  <c r="O59" i="42"/>
  <c r="M59" i="42"/>
  <c r="AZ58" i="42"/>
  <c r="AX58" i="42"/>
  <c r="AR58" i="42"/>
  <c r="AY58" i="42" s="1"/>
  <c r="AQ58" i="42"/>
  <c r="BA58" i="42" s="1"/>
  <c r="AP58" i="42"/>
  <c r="AF58" i="42"/>
  <c r="Z58" i="42"/>
  <c r="AU58" i="42" s="1"/>
  <c r="Q58" i="42"/>
  <c r="V58" i="42" s="1"/>
  <c r="N58" i="42"/>
  <c r="L58" i="42"/>
  <c r="K58" i="42"/>
  <c r="AZ57" i="42"/>
  <c r="AY57" i="42"/>
  <c r="AX57" i="42"/>
  <c r="AR57" i="42"/>
  <c r="AQ57" i="42"/>
  <c r="BA57" i="42" s="1"/>
  <c r="AP57" i="42"/>
  <c r="AF57" i="42"/>
  <c r="AC57" i="42"/>
  <c r="Z57" i="42"/>
  <c r="AU57" i="42" s="1"/>
  <c r="Q57" i="42"/>
  <c r="V57" i="42" s="1"/>
  <c r="N57" i="42"/>
  <c r="L57" i="42"/>
  <c r="K57" i="42"/>
  <c r="AZ56" i="42"/>
  <c r="AX56" i="42"/>
  <c r="AR56" i="42"/>
  <c r="AQ56" i="42"/>
  <c r="AP56" i="42"/>
  <c r="AF56" i="42"/>
  <c r="Z56" i="42"/>
  <c r="AU56" i="42" s="1"/>
  <c r="Q56" i="42"/>
  <c r="V56" i="42" s="1"/>
  <c r="P56" i="42"/>
  <c r="N56" i="42"/>
  <c r="AY56" i="42" s="1"/>
  <c r="M56" i="42"/>
  <c r="M209" i="42" s="1"/>
  <c r="J56" i="42"/>
  <c r="J209" i="42" s="1"/>
  <c r="J202" i="42" s="1"/>
  <c r="BA55" i="42"/>
  <c r="AU55" i="42"/>
  <c r="AQ55" i="42"/>
  <c r="AP55" i="42"/>
  <c r="AF55" i="42"/>
  <c r="AX55" i="42" s="1"/>
  <c r="Z55" i="42"/>
  <c r="V55" i="42"/>
  <c r="Q55" i="42"/>
  <c r="N55" i="42"/>
  <c r="L55" i="42"/>
  <c r="K55" i="42"/>
  <c r="I55" i="42"/>
  <c r="BA54" i="42"/>
  <c r="AQ54" i="42"/>
  <c r="AQ59" i="42" s="1"/>
  <c r="AP54" i="42"/>
  <c r="AF54" i="42"/>
  <c r="AF59" i="42" s="1"/>
  <c r="Z54" i="42"/>
  <c r="Z59" i="42" s="1"/>
  <c r="V54" i="42"/>
  <c r="Q54" i="42"/>
  <c r="N54" i="42"/>
  <c r="L54" i="42"/>
  <c r="K54" i="42"/>
  <c r="I54" i="42"/>
  <c r="AQ53" i="42"/>
  <c r="AP53" i="42"/>
  <c r="AO53" i="42"/>
  <c r="AN53" i="42"/>
  <c r="AM53" i="42"/>
  <c r="AL53" i="42"/>
  <c r="AK53" i="42"/>
  <c r="AJ53" i="42"/>
  <c r="AI53" i="42"/>
  <c r="AH53" i="42"/>
  <c r="AE53" i="42"/>
  <c r="AD53" i="42"/>
  <c r="Y53" i="42"/>
  <c r="X53" i="42"/>
  <c r="W53" i="42"/>
  <c r="U53" i="42"/>
  <c r="T53" i="42"/>
  <c r="S53" i="42"/>
  <c r="R53" i="42"/>
  <c r="P53" i="42"/>
  <c r="O53" i="42"/>
  <c r="M53" i="42"/>
  <c r="K53" i="42"/>
  <c r="J53" i="42"/>
  <c r="AZ52" i="42"/>
  <c r="AY52" i="42"/>
  <c r="AX52" i="42"/>
  <c r="AR52" i="42"/>
  <c r="AQ52" i="42"/>
  <c r="BA52" i="42" s="1"/>
  <c r="AP52" i="42"/>
  <c r="AF52" i="42"/>
  <c r="AC52" i="42"/>
  <c r="Z52" i="42"/>
  <c r="AU52" i="42" s="1"/>
  <c r="Q52" i="42"/>
  <c r="V52" i="42" s="1"/>
  <c r="N52" i="42"/>
  <c r="L52" i="42"/>
  <c r="K52" i="42"/>
  <c r="AZ51" i="42"/>
  <c r="AX51" i="42"/>
  <c r="AR51" i="42"/>
  <c r="AQ51" i="42"/>
  <c r="BA51" i="42" s="1"/>
  <c r="BA210" i="42" s="1"/>
  <c r="AP51" i="42"/>
  <c r="AF51" i="42"/>
  <c r="Z51" i="42"/>
  <c r="AU51" i="42" s="1"/>
  <c r="Q51" i="42"/>
  <c r="N51" i="42"/>
  <c r="L51" i="42"/>
  <c r="K51" i="42"/>
  <c r="AZ50" i="42"/>
  <c r="AT50" i="42"/>
  <c r="AR50" i="42"/>
  <c r="AQ50" i="42"/>
  <c r="BA50" i="42" s="1"/>
  <c r="AP50" i="42"/>
  <c r="AF50" i="42"/>
  <c r="AX50" i="42" s="1"/>
  <c r="AC50" i="42"/>
  <c r="AB50" i="42"/>
  <c r="Z50" i="42"/>
  <c r="AU50" i="42" s="1"/>
  <c r="Q50" i="42"/>
  <c r="V50" i="42" s="1"/>
  <c r="AA50" i="42" s="1"/>
  <c r="N50" i="42"/>
  <c r="AY50" i="42" s="1"/>
  <c r="L50" i="42"/>
  <c r="AW50" i="42" s="1"/>
  <c r="K50" i="42"/>
  <c r="AZ49" i="42"/>
  <c r="AT49" i="42"/>
  <c r="AR49" i="42"/>
  <c r="AQ49" i="42"/>
  <c r="BA49" i="42" s="1"/>
  <c r="AP49" i="42"/>
  <c r="AF49" i="42"/>
  <c r="AX49" i="42" s="1"/>
  <c r="AC49" i="42"/>
  <c r="AB49" i="42"/>
  <c r="Z49" i="42"/>
  <c r="AU49" i="42" s="1"/>
  <c r="Q49" i="42"/>
  <c r="V49" i="42" s="1"/>
  <c r="AA49" i="42" s="1"/>
  <c r="N49" i="42"/>
  <c r="AY49" i="42" s="1"/>
  <c r="L49" i="42"/>
  <c r="K49" i="42"/>
  <c r="AZ48" i="42"/>
  <c r="AR48" i="42"/>
  <c r="AQ48" i="42"/>
  <c r="BA48" i="42" s="1"/>
  <c r="AP48" i="42"/>
  <c r="AF48" i="42"/>
  <c r="Z48" i="42"/>
  <c r="Z53" i="42" s="1"/>
  <c r="Q48" i="42"/>
  <c r="N48" i="42"/>
  <c r="L48" i="42"/>
  <c r="K48" i="42"/>
  <c r="K204" i="42" s="1"/>
  <c r="AO47" i="42"/>
  <c r="AN47" i="42"/>
  <c r="AM47" i="42"/>
  <c r="AL47" i="42"/>
  <c r="AK47" i="42"/>
  <c r="AJ47" i="42"/>
  <c r="AI47" i="42"/>
  <c r="AH47" i="42"/>
  <c r="AF47" i="42"/>
  <c r="AE47" i="42"/>
  <c r="AD47" i="42"/>
  <c r="Z47" i="42"/>
  <c r="Y47" i="42"/>
  <c r="X47" i="42"/>
  <c r="W47" i="42"/>
  <c r="U47" i="42"/>
  <c r="T47" i="42"/>
  <c r="S47" i="42"/>
  <c r="R47" i="42"/>
  <c r="P47" i="42"/>
  <c r="O47" i="42"/>
  <c r="N47" i="42"/>
  <c r="M47" i="42"/>
  <c r="L47" i="42"/>
  <c r="J47" i="42"/>
  <c r="AQ46" i="42"/>
  <c r="BA46" i="42" s="1"/>
  <c r="AP46" i="42"/>
  <c r="AF46" i="42"/>
  <c r="AF212" i="42" s="1"/>
  <c r="Z46" i="42"/>
  <c r="Z212" i="42" s="1"/>
  <c r="Q46" i="42"/>
  <c r="N46" i="42"/>
  <c r="N212" i="42" s="1"/>
  <c r="L46" i="42"/>
  <c r="L212" i="42" s="1"/>
  <c r="K46" i="42"/>
  <c r="AU45" i="42"/>
  <c r="AP45" i="42"/>
  <c r="AO45" i="42"/>
  <c r="AN45" i="42"/>
  <c r="AM45" i="42"/>
  <c r="AL45" i="42"/>
  <c r="AK45" i="42"/>
  <c r="AJ45" i="42"/>
  <c r="AI45" i="42"/>
  <c r="AH45" i="42"/>
  <c r="AE45" i="42"/>
  <c r="AD45" i="42"/>
  <c r="Y45" i="42"/>
  <c r="X45" i="42"/>
  <c r="W45" i="42"/>
  <c r="U45" i="42"/>
  <c r="T45" i="42"/>
  <c r="S45" i="42"/>
  <c r="R45" i="42"/>
  <c r="Q45" i="42"/>
  <c r="P45" i="42"/>
  <c r="O45" i="42"/>
  <c r="M45" i="42"/>
  <c r="K45" i="42"/>
  <c r="J45" i="42"/>
  <c r="BA44" i="42"/>
  <c r="AX44" i="42"/>
  <c r="AU44" i="42"/>
  <c r="AR44" i="42"/>
  <c r="AY44" i="42" s="1"/>
  <c r="AQ44" i="42"/>
  <c r="AP44" i="42"/>
  <c r="AZ44" i="42" s="1"/>
  <c r="AF44" i="42"/>
  <c r="AC44" i="42"/>
  <c r="AB44" i="42"/>
  <c r="Z44" i="42"/>
  <c r="V44" i="42"/>
  <c r="AA44" i="42" s="1"/>
  <c r="AG44" i="42" s="1"/>
  <c r="Q44" i="42"/>
  <c r="N44" i="42"/>
  <c r="L44" i="42"/>
  <c r="K44" i="42"/>
  <c r="AV44" i="42" s="1"/>
  <c r="BA43" i="42"/>
  <c r="AX43" i="42"/>
  <c r="AU43" i="42"/>
  <c r="AR43" i="42"/>
  <c r="AQ43" i="42"/>
  <c r="AP43" i="42"/>
  <c r="AZ43" i="42" s="1"/>
  <c r="AF43" i="42"/>
  <c r="AC43" i="42"/>
  <c r="AB43" i="42"/>
  <c r="Z43" i="42"/>
  <c r="V43" i="42"/>
  <c r="AA43" i="42" s="1"/>
  <c r="Q43" i="42"/>
  <c r="N43" i="42"/>
  <c r="L43" i="42"/>
  <c r="K43" i="42"/>
  <c r="AV43" i="42" s="1"/>
  <c r="BA42" i="42"/>
  <c r="BA45" i="42" s="1"/>
  <c r="AX42" i="42"/>
  <c r="AU42" i="42"/>
  <c r="AR42" i="42"/>
  <c r="AQ42" i="42"/>
  <c r="AQ45" i="42" s="1"/>
  <c r="AP42" i="42"/>
  <c r="AZ42" i="42" s="1"/>
  <c r="AF42" i="42"/>
  <c r="AF45" i="42" s="1"/>
  <c r="AC42" i="42"/>
  <c r="AC45" i="42" s="1"/>
  <c r="AB42" i="42"/>
  <c r="AB45" i="42" s="1"/>
  <c r="Z42" i="42"/>
  <c r="Z45" i="42" s="1"/>
  <c r="V42" i="42"/>
  <c r="V45" i="42" s="1"/>
  <c r="Q42" i="42"/>
  <c r="N42" i="42"/>
  <c r="AY42" i="42" s="1"/>
  <c r="L42" i="42"/>
  <c r="K42" i="42"/>
  <c r="AV42" i="42" s="1"/>
  <c r="AV45" i="42" s="1"/>
  <c r="AX41" i="42"/>
  <c r="AO41" i="42"/>
  <c r="AN41" i="42"/>
  <c r="AM41" i="42"/>
  <c r="AL41" i="42"/>
  <c r="AK41" i="42"/>
  <c r="AJ41" i="42"/>
  <c r="AI41" i="42"/>
  <c r="AH41" i="42"/>
  <c r="AF41" i="42"/>
  <c r="AE41" i="42"/>
  <c r="AD41" i="42"/>
  <c r="Z41" i="42"/>
  <c r="Y41" i="42"/>
  <c r="X41" i="42"/>
  <c r="W41" i="42"/>
  <c r="U41" i="42"/>
  <c r="T41" i="42"/>
  <c r="S41" i="42"/>
  <c r="R41" i="42"/>
  <c r="Q41" i="42"/>
  <c r="P41" i="42"/>
  <c r="O41" i="42"/>
  <c r="N41" i="42"/>
  <c r="M41" i="42"/>
  <c r="K41" i="42"/>
  <c r="J41" i="42"/>
  <c r="BA40" i="42"/>
  <c r="AX40" i="42"/>
  <c r="AU40" i="42"/>
  <c r="AQ40" i="42"/>
  <c r="AP40" i="42"/>
  <c r="AZ40" i="42" s="1"/>
  <c r="AF40" i="42"/>
  <c r="Z40" i="42"/>
  <c r="V40" i="42"/>
  <c r="Q40" i="42"/>
  <c r="N40" i="42"/>
  <c r="L40" i="42"/>
  <c r="K40" i="42"/>
  <c r="I40" i="42"/>
  <c r="BA39" i="42"/>
  <c r="BA41" i="42" s="1"/>
  <c r="AX39" i="42"/>
  <c r="AU39" i="42"/>
  <c r="AQ39" i="42"/>
  <c r="AQ41" i="42" s="1"/>
  <c r="AP39" i="42"/>
  <c r="AZ39" i="42" s="1"/>
  <c r="AF39" i="42"/>
  <c r="Z39" i="42"/>
  <c r="V39" i="42"/>
  <c r="Q39" i="42"/>
  <c r="N39" i="42"/>
  <c r="L39" i="42"/>
  <c r="L41" i="42" s="1"/>
  <c r="K39" i="42"/>
  <c r="I39" i="42"/>
  <c r="BA38" i="42"/>
  <c r="AU38" i="42"/>
  <c r="AP38" i="42"/>
  <c r="AO38" i="42"/>
  <c r="AN38" i="42"/>
  <c r="AM38" i="42"/>
  <c r="AL38" i="42"/>
  <c r="AK38" i="42"/>
  <c r="AJ38" i="42"/>
  <c r="AI38" i="42"/>
  <c r="AH38" i="42"/>
  <c r="AF38" i="42"/>
  <c r="AE38" i="42"/>
  <c r="AD38" i="42"/>
  <c r="AC38" i="42"/>
  <c r="Z38" i="42"/>
  <c r="Y38" i="42"/>
  <c r="X38" i="42"/>
  <c r="W38" i="42"/>
  <c r="U38" i="42"/>
  <c r="T38" i="42"/>
  <c r="S38" i="42"/>
  <c r="R38" i="42"/>
  <c r="Q38" i="42"/>
  <c r="P38" i="42"/>
  <c r="O38" i="42"/>
  <c r="M38" i="42"/>
  <c r="K38" i="42"/>
  <c r="J38" i="42"/>
  <c r="BA37" i="42"/>
  <c r="AX37" i="42"/>
  <c r="AU37" i="42"/>
  <c r="AR37" i="42"/>
  <c r="AQ37" i="42"/>
  <c r="AP37" i="42"/>
  <c r="AZ37" i="42" s="1"/>
  <c r="AF37" i="42"/>
  <c r="AC37" i="42"/>
  <c r="AB37" i="42"/>
  <c r="Z37" i="42"/>
  <c r="V37" i="42"/>
  <c r="AA37" i="42" s="1"/>
  <c r="Q37" i="42"/>
  <c r="N37" i="42"/>
  <c r="AY37" i="42" s="1"/>
  <c r="L37" i="42"/>
  <c r="AW37" i="42" s="1"/>
  <c r="K37" i="42"/>
  <c r="AV37" i="42" s="1"/>
  <c r="BA36" i="42"/>
  <c r="AX36" i="42"/>
  <c r="AU36" i="42"/>
  <c r="AR36" i="42"/>
  <c r="AQ36" i="42"/>
  <c r="AP36" i="42"/>
  <c r="AZ36" i="42" s="1"/>
  <c r="AF36" i="42"/>
  <c r="AC36" i="42"/>
  <c r="AB36" i="42"/>
  <c r="Z36" i="42"/>
  <c r="V36" i="42"/>
  <c r="AA36" i="42" s="1"/>
  <c r="Q36" i="42"/>
  <c r="N36" i="42"/>
  <c r="L36" i="42"/>
  <c r="K36" i="42"/>
  <c r="AV36" i="42" s="1"/>
  <c r="BA35" i="42"/>
  <c r="AX35" i="42"/>
  <c r="AU35" i="42"/>
  <c r="AR35" i="42"/>
  <c r="AQ35" i="42"/>
  <c r="AQ38" i="42" s="1"/>
  <c r="AP35" i="42"/>
  <c r="AZ35" i="42" s="1"/>
  <c r="AF35" i="42"/>
  <c r="AC35" i="42"/>
  <c r="AB35" i="42"/>
  <c r="AB38" i="42" s="1"/>
  <c r="Z35" i="42"/>
  <c r="V35" i="42"/>
  <c r="V38" i="42" s="1"/>
  <c r="Q35" i="42"/>
  <c r="N35" i="42"/>
  <c r="N38" i="42" s="1"/>
  <c r="L35" i="42"/>
  <c r="K35" i="42"/>
  <c r="AV35" i="42" s="1"/>
  <c r="AV38" i="42" s="1"/>
  <c r="AX34" i="42"/>
  <c r="AO34" i="42"/>
  <c r="AN34" i="42"/>
  <c r="AM34" i="42"/>
  <c r="AL34" i="42"/>
  <c r="AK34" i="42"/>
  <c r="AJ34" i="42"/>
  <c r="AI34" i="42"/>
  <c r="AH34" i="42"/>
  <c r="AF34" i="42"/>
  <c r="AE34" i="42"/>
  <c r="AD34" i="42"/>
  <c r="Z34" i="42"/>
  <c r="Y34" i="42"/>
  <c r="X34" i="42"/>
  <c r="W34" i="42"/>
  <c r="U34" i="42"/>
  <c r="T34" i="42"/>
  <c r="S34" i="42"/>
  <c r="R34" i="42"/>
  <c r="Q34" i="42"/>
  <c r="P34" i="42"/>
  <c r="O34" i="42"/>
  <c r="N34" i="42"/>
  <c r="M34" i="42"/>
  <c r="K34" i="42"/>
  <c r="J34" i="42"/>
  <c r="BA33" i="42"/>
  <c r="AX33" i="42"/>
  <c r="AU33" i="42"/>
  <c r="AQ33" i="42"/>
  <c r="AP33" i="42"/>
  <c r="AZ33" i="42" s="1"/>
  <c r="AF33" i="42"/>
  <c r="Z33" i="42"/>
  <c r="V33" i="42"/>
  <c r="Q33" i="42"/>
  <c r="N33" i="42"/>
  <c r="L33" i="42"/>
  <c r="K33" i="42"/>
  <c r="I33" i="42"/>
  <c r="BA32" i="42"/>
  <c r="AX32" i="42"/>
  <c r="AU32" i="42"/>
  <c r="AQ32" i="42"/>
  <c r="AP32" i="42"/>
  <c r="AZ32" i="42" s="1"/>
  <c r="AF32" i="42"/>
  <c r="Z32" i="42"/>
  <c r="V32" i="42"/>
  <c r="Q32" i="42"/>
  <c r="N32" i="42"/>
  <c r="L32" i="42"/>
  <c r="K32" i="42"/>
  <c r="I32" i="42"/>
  <c r="BA31" i="42"/>
  <c r="BA34" i="42" s="1"/>
  <c r="AX31" i="42"/>
  <c r="AU31" i="42"/>
  <c r="AQ31" i="42"/>
  <c r="AQ34" i="42" s="1"/>
  <c r="AP31" i="42"/>
  <c r="AZ31" i="42" s="1"/>
  <c r="AF31" i="42"/>
  <c r="Z31" i="42"/>
  <c r="V31" i="42"/>
  <c r="Q31" i="42"/>
  <c r="N31" i="42"/>
  <c r="L31" i="42"/>
  <c r="L34" i="42" s="1"/>
  <c r="K31" i="42"/>
  <c r="I31" i="42"/>
  <c r="I34" i="42" s="1"/>
  <c r="BA30" i="42"/>
  <c r="AU30" i="42"/>
  <c r="AP30" i="42"/>
  <c r="AO30" i="42"/>
  <c r="AN30" i="42"/>
  <c r="AM30" i="42"/>
  <c r="AL30" i="42"/>
  <c r="AK30" i="42"/>
  <c r="AJ30" i="42"/>
  <c r="AI30" i="42"/>
  <c r="AH30" i="42"/>
  <c r="AF30" i="42"/>
  <c r="AE30" i="42"/>
  <c r="AD30" i="42"/>
  <c r="AC30" i="42"/>
  <c r="Z30" i="42"/>
  <c r="Y30" i="42"/>
  <c r="X30" i="42"/>
  <c r="W30" i="42"/>
  <c r="U30" i="42"/>
  <c r="T30" i="42"/>
  <c r="S30" i="42"/>
  <c r="R30" i="42"/>
  <c r="Q30" i="42"/>
  <c r="P30" i="42"/>
  <c r="O30" i="42"/>
  <c r="M30" i="42"/>
  <c r="K30" i="42"/>
  <c r="J30" i="42"/>
  <c r="BA29" i="42"/>
  <c r="AX29" i="42"/>
  <c r="AU29" i="42"/>
  <c r="AR29" i="42"/>
  <c r="AQ29" i="42"/>
  <c r="AP29" i="42"/>
  <c r="AZ29" i="42" s="1"/>
  <c r="AF29" i="42"/>
  <c r="AC29" i="42"/>
  <c r="AB29" i="42"/>
  <c r="Z29" i="42"/>
  <c r="V29" i="42"/>
  <c r="AA29" i="42" s="1"/>
  <c r="Q29" i="42"/>
  <c r="N29" i="42"/>
  <c r="AY29" i="42" s="1"/>
  <c r="L29" i="42"/>
  <c r="AW29" i="42" s="1"/>
  <c r="K29" i="42"/>
  <c r="AV29" i="42" s="1"/>
  <c r="BA28" i="42"/>
  <c r="AX28" i="42"/>
  <c r="AU28" i="42"/>
  <c r="AR28" i="42"/>
  <c r="AQ28" i="42"/>
  <c r="AP28" i="42"/>
  <c r="AZ28" i="42" s="1"/>
  <c r="AF28" i="42"/>
  <c r="AC28" i="42"/>
  <c r="AB28" i="42"/>
  <c r="Z28" i="42"/>
  <c r="V28" i="42"/>
  <c r="AA28" i="42" s="1"/>
  <c r="Q28" i="42"/>
  <c r="N28" i="42"/>
  <c r="L28" i="42"/>
  <c r="AW28" i="42" s="1"/>
  <c r="K28" i="42"/>
  <c r="AV28" i="42" s="1"/>
  <c r="BA27" i="42"/>
  <c r="AX27" i="42"/>
  <c r="AU27" i="42"/>
  <c r="AR27" i="42"/>
  <c r="AQ27" i="42"/>
  <c r="AQ30" i="42" s="1"/>
  <c r="AP27" i="42"/>
  <c r="AZ27" i="42" s="1"/>
  <c r="AF27" i="42"/>
  <c r="AC27" i="42"/>
  <c r="AB27" i="42"/>
  <c r="AB30" i="42" s="1"/>
  <c r="Z27" i="42"/>
  <c r="V27" i="42"/>
  <c r="V30" i="42" s="1"/>
  <c r="Q27" i="42"/>
  <c r="N27" i="42"/>
  <c r="N30" i="42" s="1"/>
  <c r="L27" i="42"/>
  <c r="K27" i="42"/>
  <c r="AV27" i="42" s="1"/>
  <c r="AV30" i="42" s="1"/>
  <c r="AX26" i="42"/>
  <c r="AO26" i="42"/>
  <c r="AN26" i="42"/>
  <c r="AM26" i="42"/>
  <c r="AL26" i="42"/>
  <c r="AK26" i="42"/>
  <c r="AJ26" i="42"/>
  <c r="AI26" i="42"/>
  <c r="AH26" i="42"/>
  <c r="AF26" i="42"/>
  <c r="AE26" i="42"/>
  <c r="AD26" i="42"/>
  <c r="Z26" i="42"/>
  <c r="Y26" i="42"/>
  <c r="X26" i="42"/>
  <c r="W26" i="42"/>
  <c r="U26" i="42"/>
  <c r="T26" i="42"/>
  <c r="S26" i="42"/>
  <c r="R26" i="42"/>
  <c r="Q26" i="42"/>
  <c r="P26" i="42"/>
  <c r="O26" i="42"/>
  <c r="N26" i="42"/>
  <c r="M26" i="42"/>
  <c r="K26" i="42"/>
  <c r="J26" i="42"/>
  <c r="BA25" i="42"/>
  <c r="AX25" i="42"/>
  <c r="AU25" i="42"/>
  <c r="AQ25" i="42"/>
  <c r="AP25" i="42"/>
  <c r="AZ25" i="42" s="1"/>
  <c r="AF25" i="42"/>
  <c r="Z25" i="42"/>
  <c r="V25" i="42"/>
  <c r="Q25" i="42"/>
  <c r="N25" i="42"/>
  <c r="L25" i="42"/>
  <c r="K25" i="42"/>
  <c r="I25" i="42"/>
  <c r="BA24" i="42"/>
  <c r="AX24" i="42"/>
  <c r="AU24" i="42"/>
  <c r="AQ24" i="42"/>
  <c r="AP24" i="42"/>
  <c r="AZ24" i="42" s="1"/>
  <c r="AF24" i="42"/>
  <c r="Z24" i="42"/>
  <c r="V24" i="42"/>
  <c r="Q24" i="42"/>
  <c r="N24" i="42"/>
  <c r="L24" i="42"/>
  <c r="K24" i="42"/>
  <c r="I24" i="42"/>
  <c r="BA23" i="42"/>
  <c r="BA26" i="42" s="1"/>
  <c r="AX23" i="42"/>
  <c r="AU23" i="42"/>
  <c r="AQ23" i="42"/>
  <c r="AQ26" i="42" s="1"/>
  <c r="AP23" i="42"/>
  <c r="AZ23" i="42" s="1"/>
  <c r="AF23" i="42"/>
  <c r="Z23" i="42"/>
  <c r="V23" i="42"/>
  <c r="Q23" i="42"/>
  <c r="N23" i="42"/>
  <c r="L23" i="42"/>
  <c r="L26" i="42" s="1"/>
  <c r="K23" i="42"/>
  <c r="I23" i="42"/>
  <c r="BA22" i="42"/>
  <c r="AU22" i="42"/>
  <c r="AP22" i="42"/>
  <c r="AO22" i="42"/>
  <c r="AN22" i="42"/>
  <c r="AM22" i="42"/>
  <c r="AL22" i="42"/>
  <c r="AK22" i="42"/>
  <c r="AJ22" i="42"/>
  <c r="AI22" i="42"/>
  <c r="AH22" i="42"/>
  <c r="AF22" i="42"/>
  <c r="AE22" i="42"/>
  <c r="AD22" i="42"/>
  <c r="AC22" i="42"/>
  <c r="Z22" i="42"/>
  <c r="Y22" i="42"/>
  <c r="X22" i="42"/>
  <c r="W22" i="42"/>
  <c r="U22" i="42"/>
  <c r="T22" i="42"/>
  <c r="S22" i="42"/>
  <c r="R22" i="42"/>
  <c r="Q22" i="42"/>
  <c r="P22" i="42"/>
  <c r="O22" i="42"/>
  <c r="M22" i="42"/>
  <c r="K22" i="42"/>
  <c r="J22" i="42"/>
  <c r="BA21" i="42"/>
  <c r="AX21" i="42"/>
  <c r="AU21" i="42"/>
  <c r="AR21" i="42"/>
  <c r="AQ21" i="42"/>
  <c r="AP21" i="42"/>
  <c r="AZ21" i="42" s="1"/>
  <c r="AF21" i="42"/>
  <c r="AC21" i="42"/>
  <c r="AB21" i="42"/>
  <c r="Z21" i="42"/>
  <c r="V21" i="42"/>
  <c r="AA21" i="42" s="1"/>
  <c r="Q21" i="42"/>
  <c r="N21" i="42"/>
  <c r="AY21" i="42" s="1"/>
  <c r="L21" i="42"/>
  <c r="AW21" i="42" s="1"/>
  <c r="K21" i="42"/>
  <c r="AV21" i="42" s="1"/>
  <c r="BA20" i="42"/>
  <c r="AX20" i="42"/>
  <c r="AU20" i="42"/>
  <c r="AR20" i="42"/>
  <c r="AQ20" i="42"/>
  <c r="AP20" i="42"/>
  <c r="AZ20" i="42" s="1"/>
  <c r="AF20" i="42"/>
  <c r="AC20" i="42"/>
  <c r="AB20" i="42"/>
  <c r="Z20" i="42"/>
  <c r="V20" i="42"/>
  <c r="AA20" i="42" s="1"/>
  <c r="Q20" i="42"/>
  <c r="N20" i="42"/>
  <c r="L20" i="42"/>
  <c r="K20" i="42"/>
  <c r="AV20" i="42" s="1"/>
  <c r="BA19" i="42"/>
  <c r="AX19" i="42"/>
  <c r="AU19" i="42"/>
  <c r="AR19" i="42"/>
  <c r="AQ19" i="42"/>
  <c r="AQ22" i="42" s="1"/>
  <c r="AP19" i="42"/>
  <c r="AZ19" i="42" s="1"/>
  <c r="AF19" i="42"/>
  <c r="AC19" i="42"/>
  <c r="AB19" i="42"/>
  <c r="AB22" i="42" s="1"/>
  <c r="Z19" i="42"/>
  <c r="V19" i="42"/>
  <c r="V22" i="42" s="1"/>
  <c r="Q19" i="42"/>
  <c r="N19" i="42"/>
  <c r="N22" i="42" s="1"/>
  <c r="L19" i="42"/>
  <c r="K19" i="42"/>
  <c r="AV19" i="42" s="1"/>
  <c r="AV22" i="42" s="1"/>
  <c r="AO18" i="42"/>
  <c r="AN18" i="42"/>
  <c r="AM18" i="42"/>
  <c r="AL18" i="42"/>
  <c r="AK18" i="42"/>
  <c r="AJ18" i="42"/>
  <c r="AI18" i="42"/>
  <c r="AH18" i="42"/>
  <c r="AF18" i="42"/>
  <c r="AE18" i="42"/>
  <c r="AD18" i="42"/>
  <c r="Z18" i="42"/>
  <c r="Y18" i="42"/>
  <c r="X18" i="42"/>
  <c r="W18" i="42"/>
  <c r="U18" i="42"/>
  <c r="T18" i="42"/>
  <c r="S18" i="42"/>
  <c r="R18" i="42"/>
  <c r="P18" i="42"/>
  <c r="O18" i="42"/>
  <c r="N18" i="42"/>
  <c r="M18" i="42"/>
  <c r="J18" i="42"/>
  <c r="BA17" i="42"/>
  <c r="AX17" i="42"/>
  <c r="AU17" i="42"/>
  <c r="AQ17" i="42"/>
  <c r="AP17" i="42"/>
  <c r="AP209" i="42" s="1"/>
  <c r="AF17" i="42"/>
  <c r="Z17" i="42"/>
  <c r="Z209" i="42" s="1"/>
  <c r="V17" i="42"/>
  <c r="Q17" i="42"/>
  <c r="Q209" i="42" s="1"/>
  <c r="N17" i="42"/>
  <c r="L17" i="42"/>
  <c r="K17" i="42"/>
  <c r="I17" i="42"/>
  <c r="BA16" i="42"/>
  <c r="AU16" i="42"/>
  <c r="AQ16" i="42"/>
  <c r="AP16" i="42"/>
  <c r="AZ16" i="42" s="1"/>
  <c r="AF16" i="42"/>
  <c r="AX16" i="42" s="1"/>
  <c r="Z16" i="42"/>
  <c r="V16" i="42"/>
  <c r="Q16" i="42"/>
  <c r="N16" i="42"/>
  <c r="L16" i="42"/>
  <c r="K16" i="42"/>
  <c r="I16" i="42"/>
  <c r="BA15" i="42"/>
  <c r="AU15" i="42"/>
  <c r="AQ15" i="42"/>
  <c r="AP15" i="42"/>
  <c r="AZ15" i="42" s="1"/>
  <c r="AF15" i="42"/>
  <c r="AX15" i="42" s="1"/>
  <c r="Z15" i="42"/>
  <c r="V15" i="42"/>
  <c r="Q15" i="42"/>
  <c r="N15" i="42"/>
  <c r="L15" i="42"/>
  <c r="K15" i="42"/>
  <c r="I15" i="42"/>
  <c r="BA14" i="42"/>
  <c r="AU14" i="42"/>
  <c r="AU205" i="42" s="1"/>
  <c r="AQ14" i="42"/>
  <c r="AQ205" i="42" s="1"/>
  <c r="AP14" i="42"/>
  <c r="AP205" i="42" s="1"/>
  <c r="AF14" i="42"/>
  <c r="AF205" i="42" s="1"/>
  <c r="Z14" i="42"/>
  <c r="Z205" i="42" s="1"/>
  <c r="V14" i="42"/>
  <c r="Q14" i="42"/>
  <c r="Q205" i="42" s="1"/>
  <c r="N14" i="42"/>
  <c r="N205" i="42" s="1"/>
  <c r="L14" i="42"/>
  <c r="L205" i="42" s="1"/>
  <c r="K14" i="42"/>
  <c r="K205" i="42" s="1"/>
  <c r="I14" i="42"/>
  <c r="BA13" i="42"/>
  <c r="AU13" i="42"/>
  <c r="AQ13" i="42"/>
  <c r="AP13" i="42"/>
  <c r="AZ13" i="42" s="1"/>
  <c r="AF13" i="42"/>
  <c r="AX13" i="42" s="1"/>
  <c r="Z13" i="42"/>
  <c r="V13" i="42"/>
  <c r="Q13" i="42"/>
  <c r="N13" i="42"/>
  <c r="L13" i="42"/>
  <c r="K13" i="42"/>
  <c r="I13" i="42"/>
  <c r="BA12" i="42"/>
  <c r="AU12" i="42"/>
  <c r="AQ12" i="42"/>
  <c r="AQ203" i="42" s="1"/>
  <c r="AP12" i="42"/>
  <c r="AP203" i="42" s="1"/>
  <c r="AF12" i="42"/>
  <c r="AF203" i="42" s="1"/>
  <c r="Z12" i="42"/>
  <c r="Z203" i="42" s="1"/>
  <c r="V12" i="42"/>
  <c r="Q12" i="42"/>
  <c r="Q18" i="42" s="1"/>
  <c r="N12" i="42"/>
  <c r="L12" i="42"/>
  <c r="K12" i="42"/>
  <c r="K203" i="42" s="1"/>
  <c r="I12" i="42"/>
  <c r="AO154" i="41"/>
  <c r="AN154" i="41"/>
  <c r="AM154" i="41"/>
  <c r="AL154" i="41"/>
  <c r="AK154" i="41"/>
  <c r="AJ154" i="41"/>
  <c r="AI154" i="41"/>
  <c r="AH154" i="41"/>
  <c r="AE154" i="41"/>
  <c r="AD154" i="41"/>
  <c r="Y154" i="41"/>
  <c r="X154" i="41"/>
  <c r="W154" i="41"/>
  <c r="U154" i="41"/>
  <c r="T154" i="41"/>
  <c r="S154" i="41"/>
  <c r="R154" i="41"/>
  <c r="P154" i="41"/>
  <c r="O154" i="41"/>
  <c r="M154" i="41"/>
  <c r="J154" i="41"/>
  <c r="AO153" i="41"/>
  <c r="AN153" i="41"/>
  <c r="AM153" i="41"/>
  <c r="AL153" i="41"/>
  <c r="AK153" i="41"/>
  <c r="AJ153" i="41"/>
  <c r="AI153" i="41"/>
  <c r="AH153" i="41"/>
  <c r="AE153" i="41"/>
  <c r="AD153" i="41"/>
  <c r="Y153" i="41"/>
  <c r="X153" i="41"/>
  <c r="W153" i="41"/>
  <c r="U153" i="41"/>
  <c r="T153" i="41"/>
  <c r="S153" i="41"/>
  <c r="R153" i="41"/>
  <c r="P153" i="41"/>
  <c r="O153" i="41"/>
  <c r="M153" i="41"/>
  <c r="J153" i="41"/>
  <c r="AO152" i="41"/>
  <c r="AN152" i="41"/>
  <c r="AM152" i="41"/>
  <c r="AL152" i="41"/>
  <c r="AK152" i="41"/>
  <c r="AJ152" i="41"/>
  <c r="AI152" i="41"/>
  <c r="AH152" i="41"/>
  <c r="AE152" i="41"/>
  <c r="AD152" i="41"/>
  <c r="Y152" i="41"/>
  <c r="X152" i="41"/>
  <c r="W152" i="41"/>
  <c r="U152" i="41"/>
  <c r="T152" i="41"/>
  <c r="S152" i="41"/>
  <c r="R152" i="41"/>
  <c r="O152" i="41"/>
  <c r="AO151" i="41"/>
  <c r="AN151" i="41"/>
  <c r="AM151" i="41"/>
  <c r="AL151" i="41"/>
  <c r="AK151" i="41"/>
  <c r="AJ151" i="41"/>
  <c r="AI151" i="41"/>
  <c r="AH151" i="41"/>
  <c r="AE151" i="41"/>
  <c r="AD151" i="41"/>
  <c r="Y151" i="41"/>
  <c r="X151" i="41"/>
  <c r="W151" i="41"/>
  <c r="U151" i="41"/>
  <c r="T151" i="41"/>
  <c r="S151" i="41"/>
  <c r="R151" i="41"/>
  <c r="O151" i="41"/>
  <c r="BA150" i="41"/>
  <c r="AZ150" i="41"/>
  <c r="AY150" i="41"/>
  <c r="AX150" i="41"/>
  <c r="AW150" i="41"/>
  <c r="AV150" i="41"/>
  <c r="AU150" i="41"/>
  <c r="AT150" i="41"/>
  <c r="AS150" i="41"/>
  <c r="AR150" i="41"/>
  <c r="AQ150" i="41"/>
  <c r="AP150" i="41"/>
  <c r="AO150" i="41"/>
  <c r="AN150" i="41"/>
  <c r="AM150" i="41"/>
  <c r="AL150" i="41"/>
  <c r="AK150" i="41"/>
  <c r="AJ150" i="41"/>
  <c r="AI150" i="41"/>
  <c r="AH150" i="41"/>
  <c r="AG150" i="41"/>
  <c r="AF150" i="41"/>
  <c r="AE150" i="41"/>
  <c r="AD150" i="41"/>
  <c r="AC150" i="41"/>
  <c r="AB150" i="41"/>
  <c r="AA150" i="41"/>
  <c r="Z150" i="41"/>
  <c r="Y150" i="41"/>
  <c r="X150" i="41"/>
  <c r="W150" i="41"/>
  <c r="V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BA149" i="41"/>
  <c r="AZ149" i="41"/>
  <c r="AY149" i="41"/>
  <c r="AX149" i="41"/>
  <c r="AW149" i="41"/>
  <c r="AV149" i="41"/>
  <c r="AU149" i="41"/>
  <c r="AT149" i="41"/>
  <c r="AS149" i="41"/>
  <c r="AR149" i="41"/>
  <c r="AQ149" i="41"/>
  <c r="AP149" i="41"/>
  <c r="AO149" i="41"/>
  <c r="AN149" i="41"/>
  <c r="AM149" i="41"/>
  <c r="AL149" i="41"/>
  <c r="AK149" i="41"/>
  <c r="AJ149" i="41"/>
  <c r="AI149" i="41"/>
  <c r="AH149" i="41"/>
  <c r="AG149" i="41"/>
  <c r="AF149" i="41"/>
  <c r="AE149" i="41"/>
  <c r="AD149" i="41"/>
  <c r="AC149" i="41"/>
  <c r="AB149" i="41"/>
  <c r="AA149" i="41"/>
  <c r="Z149" i="41"/>
  <c r="Y149" i="41"/>
  <c r="X149" i="41"/>
  <c r="W149" i="41"/>
  <c r="V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AO148" i="41"/>
  <c r="AN148" i="41"/>
  <c r="AM148" i="41"/>
  <c r="AL148" i="41"/>
  <c r="AK148" i="41"/>
  <c r="AJ148" i="41"/>
  <c r="AI148" i="41"/>
  <c r="AH148" i="41"/>
  <c r="AE148" i="41"/>
  <c r="AD148" i="41"/>
  <c r="Y148" i="41"/>
  <c r="X148" i="41"/>
  <c r="X144" i="41" s="1"/>
  <c r="W148" i="41"/>
  <c r="U148" i="41"/>
  <c r="T148" i="41"/>
  <c r="S148" i="41"/>
  <c r="R148" i="41"/>
  <c r="P148" i="41"/>
  <c r="O148" i="41"/>
  <c r="M148" i="41"/>
  <c r="J148" i="41"/>
  <c r="BA147" i="41"/>
  <c r="AZ147" i="41"/>
  <c r="AY147" i="41"/>
  <c r="AX147" i="41"/>
  <c r="AW147" i="41"/>
  <c r="AV147" i="41"/>
  <c r="AU147" i="41"/>
  <c r="AT147" i="41"/>
  <c r="AS147" i="41"/>
  <c r="AR147" i="41"/>
  <c r="AQ147" i="41"/>
  <c r="AP147" i="41"/>
  <c r="AO147" i="41"/>
  <c r="AN147" i="41"/>
  <c r="AM147" i="41"/>
  <c r="AL147" i="41"/>
  <c r="AK147" i="41"/>
  <c r="AJ147" i="41"/>
  <c r="AI147" i="41"/>
  <c r="AH147" i="41"/>
  <c r="AG147" i="41"/>
  <c r="AF147" i="41"/>
  <c r="AE147" i="41"/>
  <c r="AD147" i="41"/>
  <c r="AC147" i="41"/>
  <c r="AB147" i="41"/>
  <c r="AA147" i="41"/>
  <c r="Z147" i="41"/>
  <c r="Y147" i="41"/>
  <c r="X147" i="41"/>
  <c r="W147" i="41"/>
  <c r="V147" i="41"/>
  <c r="U147" i="41"/>
  <c r="T147" i="41"/>
  <c r="S147" i="41"/>
  <c r="R147" i="41"/>
  <c r="Q147" i="41"/>
  <c r="P147" i="41"/>
  <c r="O147" i="41"/>
  <c r="N147" i="41"/>
  <c r="M147" i="41"/>
  <c r="L147" i="41"/>
  <c r="K147" i="41"/>
  <c r="J147" i="41"/>
  <c r="I147" i="41"/>
  <c r="AO146" i="41"/>
  <c r="AN146" i="41"/>
  <c r="AM146" i="41"/>
  <c r="AL146" i="41"/>
  <c r="AK146" i="41"/>
  <c r="AI146" i="41"/>
  <c r="AH146" i="41"/>
  <c r="AE146" i="41"/>
  <c r="Y146" i="41"/>
  <c r="X146" i="41"/>
  <c r="W146" i="41"/>
  <c r="U146" i="41"/>
  <c r="T146" i="41"/>
  <c r="S146" i="41"/>
  <c r="P146" i="41"/>
  <c r="O146" i="41"/>
  <c r="M146" i="41"/>
  <c r="J146" i="41"/>
  <c r="AO145" i="41"/>
  <c r="AN145" i="41"/>
  <c r="AM145" i="41"/>
  <c r="AL145" i="41"/>
  <c r="AL144" i="41" s="1"/>
  <c r="AQ143" i="41" s="1"/>
  <c r="AK145" i="41"/>
  <c r="AJ145" i="41"/>
  <c r="AI145" i="41"/>
  <c r="AH145" i="41"/>
  <c r="AE145" i="41"/>
  <c r="AD145" i="41"/>
  <c r="Y145" i="41"/>
  <c r="X145" i="41"/>
  <c r="W145" i="41"/>
  <c r="U145" i="41"/>
  <c r="T145" i="41"/>
  <c r="S145" i="41"/>
  <c r="S144" i="41" s="1"/>
  <c r="R145" i="41"/>
  <c r="P145" i="41"/>
  <c r="O145" i="41"/>
  <c r="M145" i="41"/>
  <c r="J145" i="41"/>
  <c r="AO144" i="41"/>
  <c r="AN144" i="41"/>
  <c r="AK144" i="41"/>
  <c r="AI144" i="41"/>
  <c r="AH144" i="41"/>
  <c r="AE144" i="41"/>
  <c r="Y144" i="41"/>
  <c r="W144" i="41"/>
  <c r="AQ140" i="41"/>
  <c r="AP140" i="41"/>
  <c r="AO140" i="41"/>
  <c r="AN140" i="41"/>
  <c r="AM140" i="41"/>
  <c r="AL140" i="41"/>
  <c r="AK140" i="41"/>
  <c r="AJ140" i="41"/>
  <c r="AI140" i="41"/>
  <c r="AH140" i="41"/>
  <c r="AE140" i="41"/>
  <c r="AD140" i="41"/>
  <c r="Y140" i="41"/>
  <c r="X140" i="41"/>
  <c r="W140" i="41"/>
  <c r="U140" i="41"/>
  <c r="T140" i="41"/>
  <c r="S140" i="41"/>
  <c r="R140" i="41"/>
  <c r="P140" i="41"/>
  <c r="O140" i="41"/>
  <c r="M140" i="41"/>
  <c r="L140" i="41"/>
  <c r="J140" i="41"/>
  <c r="BA139" i="41"/>
  <c r="AZ139" i="41"/>
  <c r="AY139" i="41"/>
  <c r="AU139" i="41"/>
  <c r="AT139" i="41"/>
  <c r="AQ139" i="41"/>
  <c r="AP139" i="41"/>
  <c r="AR139" i="41" s="1"/>
  <c r="AF139" i="41"/>
  <c r="AX139" i="41" s="1"/>
  <c r="AC139" i="41"/>
  <c r="Z139" i="41"/>
  <c r="V139" i="41"/>
  <c r="Q139" i="41"/>
  <c r="N139" i="41"/>
  <c r="L139" i="41"/>
  <c r="AW139" i="41" s="1"/>
  <c r="K139" i="41"/>
  <c r="I139" i="41"/>
  <c r="BA138" i="41"/>
  <c r="AZ138" i="41"/>
  <c r="AU138" i="41"/>
  <c r="AT138" i="41"/>
  <c r="AQ138" i="41"/>
  <c r="AP138" i="41"/>
  <c r="AR138" i="41" s="1"/>
  <c r="AF138" i="41"/>
  <c r="AX138" i="41" s="1"/>
  <c r="AC138" i="41"/>
  <c r="Z138" i="41"/>
  <c r="V138" i="41"/>
  <c r="Q138" i="41"/>
  <c r="N138" i="41"/>
  <c r="AY138" i="41" s="1"/>
  <c r="L138" i="41"/>
  <c r="K138" i="41"/>
  <c r="I138" i="41"/>
  <c r="BA137" i="41"/>
  <c r="AZ137" i="41"/>
  <c r="AU137" i="41"/>
  <c r="AT137" i="41"/>
  <c r="AQ137" i="41"/>
  <c r="AP137" i="41"/>
  <c r="AR137" i="41" s="1"/>
  <c r="AF137" i="41"/>
  <c r="AX137" i="41" s="1"/>
  <c r="AC137" i="41"/>
  <c r="Z137" i="41"/>
  <c r="V137" i="41"/>
  <c r="Q137" i="41"/>
  <c r="N137" i="41"/>
  <c r="AY137" i="41" s="1"/>
  <c r="L137" i="41"/>
  <c r="AW137" i="41" s="1"/>
  <c r="K137" i="41"/>
  <c r="I137" i="41"/>
  <c r="BA136" i="41"/>
  <c r="AU136" i="41"/>
  <c r="AQ136" i="41"/>
  <c r="AP136" i="41"/>
  <c r="AF136" i="41"/>
  <c r="AX136" i="41" s="1"/>
  <c r="Z136" i="41"/>
  <c r="Q136" i="41"/>
  <c r="V136" i="41" s="1"/>
  <c r="N136" i="41"/>
  <c r="L136" i="41"/>
  <c r="K136" i="41"/>
  <c r="I136" i="41"/>
  <c r="BA135" i="41"/>
  <c r="AU135" i="41"/>
  <c r="AQ135" i="41"/>
  <c r="AP135" i="41"/>
  <c r="AF135" i="41"/>
  <c r="AX135" i="41" s="1"/>
  <c r="Z135" i="41"/>
  <c r="Q135" i="41"/>
  <c r="V135" i="41" s="1"/>
  <c r="N135" i="41"/>
  <c r="L135" i="41"/>
  <c r="K135" i="41"/>
  <c r="I135" i="41"/>
  <c r="BA134" i="41"/>
  <c r="BA140" i="41" s="1"/>
  <c r="AZ134" i="41"/>
  <c r="AY134" i="41"/>
  <c r="AQ134" i="41"/>
  <c r="AP134" i="41"/>
  <c r="AR134" i="41" s="1"/>
  <c r="AF134" i="41"/>
  <c r="AX134" i="41" s="1"/>
  <c r="Z134" i="41"/>
  <c r="V134" i="41"/>
  <c r="Q134" i="41"/>
  <c r="N134" i="41"/>
  <c r="L134" i="41"/>
  <c r="K134" i="41"/>
  <c r="K140" i="41" s="1"/>
  <c r="I134" i="41"/>
  <c r="BA133" i="41"/>
  <c r="AZ133" i="41"/>
  <c r="AP133" i="41"/>
  <c r="AO133" i="41"/>
  <c r="AN133" i="41"/>
  <c r="AM133" i="41"/>
  <c r="AL133" i="41"/>
  <c r="AK133" i="41"/>
  <c r="AJ133" i="41"/>
  <c r="AI133" i="41"/>
  <c r="AH133" i="41"/>
  <c r="AE133" i="41"/>
  <c r="AD133" i="41"/>
  <c r="Y133" i="41"/>
  <c r="X133" i="41"/>
  <c r="W133" i="41"/>
  <c r="U133" i="41"/>
  <c r="T133" i="41"/>
  <c r="S133" i="41"/>
  <c r="R133" i="41"/>
  <c r="Q133" i="41"/>
  <c r="P133" i="41"/>
  <c r="O133" i="41"/>
  <c r="M133" i="41"/>
  <c r="J133" i="41"/>
  <c r="AX132" i="41"/>
  <c r="AR132" i="41"/>
  <c r="AY132" i="41" s="1"/>
  <c r="AQ132" i="41"/>
  <c r="BA132" i="41" s="1"/>
  <c r="AP132" i="41"/>
  <c r="AZ132" i="41" s="1"/>
  <c r="AF132" i="41"/>
  <c r="AC132" i="41"/>
  <c r="AB132" i="41"/>
  <c r="AA132" i="41"/>
  <c r="Z132" i="41"/>
  <c r="AU132" i="41" s="1"/>
  <c r="Q132" i="41"/>
  <c r="V132" i="41" s="1"/>
  <c r="AT132" i="41" s="1"/>
  <c r="N132" i="41"/>
  <c r="L132" i="41"/>
  <c r="AW132" i="41" s="1"/>
  <c r="K132" i="41"/>
  <c r="AV132" i="41" s="1"/>
  <c r="AX131" i="41"/>
  <c r="AR131" i="41"/>
  <c r="AY131" i="41" s="1"/>
  <c r="AQ131" i="41"/>
  <c r="BA131" i="41" s="1"/>
  <c r="AP131" i="41"/>
  <c r="AZ131" i="41" s="1"/>
  <c r="AF131" i="41"/>
  <c r="AC131" i="41"/>
  <c r="AB131" i="41"/>
  <c r="AA131" i="41"/>
  <c r="Z131" i="41"/>
  <c r="AU131" i="41" s="1"/>
  <c r="Q131" i="41"/>
  <c r="V131" i="41" s="1"/>
  <c r="AT131" i="41" s="1"/>
  <c r="N131" i="41"/>
  <c r="L131" i="41"/>
  <c r="AW131" i="41" s="1"/>
  <c r="K131" i="41"/>
  <c r="AX130" i="41"/>
  <c r="AU130" i="41"/>
  <c r="AR130" i="41"/>
  <c r="AQ130" i="41"/>
  <c r="BA130" i="41" s="1"/>
  <c r="AP130" i="41"/>
  <c r="AZ130" i="41" s="1"/>
  <c r="AF130" i="41"/>
  <c r="AC130" i="41"/>
  <c r="Z130" i="41"/>
  <c r="Q130" i="41"/>
  <c r="V130" i="41" s="1"/>
  <c r="N130" i="41"/>
  <c r="AY130" i="41" s="1"/>
  <c r="L130" i="41"/>
  <c r="K130" i="41"/>
  <c r="I130" i="41" s="1"/>
  <c r="BA129" i="41"/>
  <c r="AZ129" i="41"/>
  <c r="AY129" i="41"/>
  <c r="AY133" i="41" s="1"/>
  <c r="AU129" i="41"/>
  <c r="AR129" i="41"/>
  <c r="AQ129" i="41"/>
  <c r="AP129" i="41"/>
  <c r="AF129" i="41"/>
  <c r="Z129" i="41"/>
  <c r="Q129" i="41"/>
  <c r="V129" i="41" s="1"/>
  <c r="N129" i="41"/>
  <c r="N133" i="41" s="1"/>
  <c r="L129" i="41"/>
  <c r="K129" i="41"/>
  <c r="AO128" i="41"/>
  <c r="AN128" i="41"/>
  <c r="AM128" i="41"/>
  <c r="AL128" i="41"/>
  <c r="AK128" i="41"/>
  <c r="AJ128" i="41"/>
  <c r="AI128" i="41"/>
  <c r="AH128" i="41"/>
  <c r="AF128" i="41"/>
  <c r="AE128" i="41"/>
  <c r="AD128" i="41"/>
  <c r="Y128" i="41"/>
  <c r="X128" i="41"/>
  <c r="W128" i="41"/>
  <c r="V128" i="41"/>
  <c r="U128" i="41"/>
  <c r="T128" i="41"/>
  <c r="S128" i="41"/>
  <c r="R128" i="41"/>
  <c r="Q128" i="41"/>
  <c r="P128" i="41"/>
  <c r="O128" i="41"/>
  <c r="N128" i="41"/>
  <c r="M128" i="41"/>
  <c r="J128" i="41"/>
  <c r="AX127" i="41"/>
  <c r="AR127" i="41"/>
  <c r="AQ127" i="41"/>
  <c r="BA127" i="41" s="1"/>
  <c r="AP127" i="41"/>
  <c r="AZ127" i="41" s="1"/>
  <c r="AF127" i="41"/>
  <c r="AB127" i="41"/>
  <c r="Z127" i="41"/>
  <c r="V127" i="41"/>
  <c r="AT127" i="41" s="1"/>
  <c r="AT128" i="41" s="1"/>
  <c r="Q127" i="41"/>
  <c r="N127" i="41"/>
  <c r="L127" i="41"/>
  <c r="K127" i="41"/>
  <c r="AV127" i="41" s="1"/>
  <c r="I127" i="41"/>
  <c r="AX126" i="41"/>
  <c r="AQ126" i="41"/>
  <c r="BA126" i="41" s="1"/>
  <c r="AP126" i="41"/>
  <c r="AF126" i="41"/>
  <c r="AB126" i="41"/>
  <c r="Z126" i="41"/>
  <c r="AU126" i="41" s="1"/>
  <c r="V126" i="41"/>
  <c r="AT126" i="41" s="1"/>
  <c r="Q126" i="41"/>
  <c r="N126" i="41"/>
  <c r="L126" i="41"/>
  <c r="I126" i="41" s="1"/>
  <c r="K126" i="41"/>
  <c r="AV126" i="41" s="1"/>
  <c r="AX125" i="41"/>
  <c r="AR125" i="41"/>
  <c r="AQ125" i="41"/>
  <c r="AP125" i="41"/>
  <c r="AF125" i="41"/>
  <c r="AB125" i="41"/>
  <c r="AA125" i="41"/>
  <c r="Z125" i="41"/>
  <c r="V125" i="41"/>
  <c r="AT125" i="41" s="1"/>
  <c r="Q125" i="41"/>
  <c r="N125" i="41"/>
  <c r="L125" i="41"/>
  <c r="L128" i="41" s="1"/>
  <c r="K125" i="41"/>
  <c r="K128" i="41" s="1"/>
  <c r="AQ124" i="41"/>
  <c r="AP124" i="41"/>
  <c r="AO124" i="41"/>
  <c r="AN124" i="41"/>
  <c r="AM124" i="41"/>
  <c r="AL124" i="41"/>
  <c r="AK124" i="41"/>
  <c r="AJ124" i="41"/>
  <c r="AI124" i="41"/>
  <c r="AH124" i="41"/>
  <c r="AE124" i="41"/>
  <c r="AD124" i="41"/>
  <c r="Z124" i="41"/>
  <c r="Y124" i="41"/>
  <c r="X124" i="41"/>
  <c r="W124" i="41"/>
  <c r="U124" i="41"/>
  <c r="T124" i="41"/>
  <c r="S124" i="41"/>
  <c r="O124" i="41"/>
  <c r="M124" i="41"/>
  <c r="BA123" i="41"/>
  <c r="AZ123" i="41"/>
  <c r="AY123" i="41"/>
  <c r="AU123" i="41"/>
  <c r="AT123" i="41"/>
  <c r="AR123" i="41"/>
  <c r="AQ123" i="41"/>
  <c r="AP123" i="41"/>
  <c r="AF123" i="41"/>
  <c r="AX123" i="41" s="1"/>
  <c r="AC123" i="41"/>
  <c r="Z123" i="41"/>
  <c r="Q123" i="41"/>
  <c r="V123" i="41" s="1"/>
  <c r="N123" i="41"/>
  <c r="L123" i="41"/>
  <c r="AW123" i="41" s="1"/>
  <c r="K123" i="41"/>
  <c r="BA122" i="41"/>
  <c r="AZ122" i="41"/>
  <c r="AY122" i="41"/>
  <c r="AU122" i="41"/>
  <c r="AT122" i="41"/>
  <c r="AR122" i="41"/>
  <c r="AQ122" i="41"/>
  <c r="AP122" i="41"/>
  <c r="AF122" i="41"/>
  <c r="AX122" i="41" s="1"/>
  <c r="AC122" i="41"/>
  <c r="Z122" i="41"/>
  <c r="Q122" i="41"/>
  <c r="V122" i="41" s="1"/>
  <c r="N122" i="41"/>
  <c r="L122" i="41"/>
  <c r="K122" i="41"/>
  <c r="J122" i="41"/>
  <c r="I122" i="41"/>
  <c r="BA121" i="41"/>
  <c r="AT121" i="41"/>
  <c r="AQ121" i="41"/>
  <c r="AP121" i="41"/>
  <c r="AR121" i="41" s="1"/>
  <c r="AF121" i="41"/>
  <c r="AX121" i="41" s="1"/>
  <c r="Z121" i="41"/>
  <c r="AU121" i="41" s="1"/>
  <c r="V121" i="41"/>
  <c r="Q121" i="41"/>
  <c r="N121" i="41"/>
  <c r="AY121" i="41" s="1"/>
  <c r="L121" i="41"/>
  <c r="K121" i="41"/>
  <c r="I121" i="41"/>
  <c r="BA120" i="41"/>
  <c r="AQ120" i="41"/>
  <c r="AP120" i="41"/>
  <c r="AF120" i="41"/>
  <c r="AX120" i="41" s="1"/>
  <c r="Z120" i="41"/>
  <c r="AU120" i="41" s="1"/>
  <c r="Q120" i="41"/>
  <c r="V120" i="41" s="1"/>
  <c r="P120" i="41"/>
  <c r="P124" i="41" s="1"/>
  <c r="M120" i="41"/>
  <c r="J120" i="41"/>
  <c r="AT120" i="41" s="1"/>
  <c r="AX119" i="41"/>
  <c r="AQ119" i="41"/>
  <c r="AP119" i="41"/>
  <c r="AZ119" i="41" s="1"/>
  <c r="AJ119" i="41"/>
  <c r="AF119" i="41"/>
  <c r="Z119" i="41"/>
  <c r="AU119" i="41" s="1"/>
  <c r="R119" i="41"/>
  <c r="R124" i="41" s="1"/>
  <c r="Q119" i="41"/>
  <c r="V119" i="41" s="1"/>
  <c r="N119" i="41"/>
  <c r="L119" i="41"/>
  <c r="K119" i="41"/>
  <c r="I119" i="41" s="1"/>
  <c r="BA118" i="41"/>
  <c r="AZ118" i="41"/>
  <c r="AY118" i="41"/>
  <c r="AU118" i="41"/>
  <c r="AR118" i="41"/>
  <c r="AQ118" i="41"/>
  <c r="AP118" i="41"/>
  <c r="AF118" i="41"/>
  <c r="AX118" i="41" s="1"/>
  <c r="Z118" i="41"/>
  <c r="Q118" i="41"/>
  <c r="V118" i="41" s="1"/>
  <c r="N118" i="41"/>
  <c r="L118" i="41"/>
  <c r="K118" i="41"/>
  <c r="BA117" i="41"/>
  <c r="AZ117" i="41"/>
  <c r="AY117" i="41"/>
  <c r="AU117" i="41"/>
  <c r="AR117" i="41"/>
  <c r="AQ117" i="41"/>
  <c r="AP117" i="41"/>
  <c r="AF117" i="41"/>
  <c r="Z117" i="41"/>
  <c r="V117" i="41"/>
  <c r="Q117" i="41"/>
  <c r="N117" i="41"/>
  <c r="L117" i="41"/>
  <c r="K117" i="41"/>
  <c r="AO116" i="41"/>
  <c r="AN116" i="41"/>
  <c r="AM116" i="41"/>
  <c r="AL116" i="41"/>
  <c r="AK116" i="41"/>
  <c r="AJ116" i="41"/>
  <c r="AI116" i="41"/>
  <c r="AH116" i="41"/>
  <c r="AF116" i="41"/>
  <c r="AE116" i="41"/>
  <c r="AD116" i="41"/>
  <c r="Y116" i="41"/>
  <c r="X116" i="41"/>
  <c r="W116" i="41"/>
  <c r="V116" i="41"/>
  <c r="U116" i="41"/>
  <c r="T116" i="41"/>
  <c r="S116" i="41"/>
  <c r="R116" i="41"/>
  <c r="Q116" i="41"/>
  <c r="P116" i="41"/>
  <c r="O116" i="41"/>
  <c r="N116" i="41"/>
  <c r="M116" i="41"/>
  <c r="J116" i="41"/>
  <c r="BA115" i="41"/>
  <c r="AX115" i="41"/>
  <c r="AQ115" i="41"/>
  <c r="AP115" i="41"/>
  <c r="AF115" i="41"/>
  <c r="Z115" i="41"/>
  <c r="AU115" i="41" s="1"/>
  <c r="V115" i="41"/>
  <c r="Q115" i="41"/>
  <c r="N115" i="41"/>
  <c r="L115" i="41"/>
  <c r="K115" i="41"/>
  <c r="I115" i="41"/>
  <c r="AX114" i="41"/>
  <c r="AU114" i="41"/>
  <c r="AQ114" i="41"/>
  <c r="AR114" i="41" s="1"/>
  <c r="AP114" i="41"/>
  <c r="AZ114" i="41" s="1"/>
  <c r="AF114" i="41"/>
  <c r="AB114" i="41"/>
  <c r="Z114" i="41"/>
  <c r="AA114" i="41" s="1"/>
  <c r="V114" i="41"/>
  <c r="Q114" i="41"/>
  <c r="N114" i="41"/>
  <c r="L114" i="41"/>
  <c r="I114" i="41" s="1"/>
  <c r="K114" i="41"/>
  <c r="AX113" i="41"/>
  <c r="AU113" i="41"/>
  <c r="AR113" i="41"/>
  <c r="AQ113" i="41"/>
  <c r="BA113" i="41" s="1"/>
  <c r="AP113" i="41"/>
  <c r="AZ113" i="41" s="1"/>
  <c r="AF113" i="41"/>
  <c r="AA113" i="41"/>
  <c r="Z113" i="41"/>
  <c r="V113" i="41"/>
  <c r="AB113" i="41" s="1"/>
  <c r="Q113" i="41"/>
  <c r="N113" i="41"/>
  <c r="L113" i="41"/>
  <c r="K113" i="41"/>
  <c r="BA112" i="41"/>
  <c r="AX112" i="41"/>
  <c r="AQ112" i="41"/>
  <c r="AR112" i="41" s="1"/>
  <c r="AP112" i="41"/>
  <c r="AZ112" i="41" s="1"/>
  <c r="AF112" i="41"/>
  <c r="AB112" i="41"/>
  <c r="AV112" i="41" s="1"/>
  <c r="Z112" i="41"/>
  <c r="AA112" i="41" s="1"/>
  <c r="V112" i="41"/>
  <c r="Q112" i="41"/>
  <c r="N112" i="41"/>
  <c r="L112" i="41"/>
  <c r="K112" i="41"/>
  <c r="AX111" i="41"/>
  <c r="AU111" i="41"/>
  <c r="AQ111" i="41"/>
  <c r="BA111" i="41" s="1"/>
  <c r="AP111" i="41"/>
  <c r="AF111" i="41"/>
  <c r="AA111" i="41"/>
  <c r="Z111" i="41"/>
  <c r="V111" i="41"/>
  <c r="Q111" i="41"/>
  <c r="N111" i="41"/>
  <c r="L111" i="41"/>
  <c r="K111" i="41"/>
  <c r="I111" i="41" s="1"/>
  <c r="AX110" i="41"/>
  <c r="AQ110" i="41"/>
  <c r="BA110" i="41" s="1"/>
  <c r="AP110" i="41"/>
  <c r="AF110" i="41"/>
  <c r="AB110" i="41"/>
  <c r="AV110" i="41" s="1"/>
  <c r="Z110" i="41"/>
  <c r="Z116" i="41" s="1"/>
  <c r="V110" i="41"/>
  <c r="Q110" i="41"/>
  <c r="N110" i="41"/>
  <c r="L110" i="41"/>
  <c r="K110" i="41"/>
  <c r="I110" i="41"/>
  <c r="AO109" i="41"/>
  <c r="AN109" i="41"/>
  <c r="AM109" i="41"/>
  <c r="AL109" i="41"/>
  <c r="AK109" i="41"/>
  <c r="AI109" i="41"/>
  <c r="AH109" i="41"/>
  <c r="AE109" i="41"/>
  <c r="AD109" i="41"/>
  <c r="Y109" i="41"/>
  <c r="X109" i="41"/>
  <c r="W109" i="41"/>
  <c r="U109" i="41"/>
  <c r="T109" i="41"/>
  <c r="S109" i="41"/>
  <c r="R109" i="41"/>
  <c r="P109" i="41"/>
  <c r="O109" i="41"/>
  <c r="M109" i="41"/>
  <c r="J109" i="41"/>
  <c r="BA108" i="41"/>
  <c r="BA154" i="41" s="1"/>
  <c r="AZ108" i="41"/>
  <c r="AZ154" i="41" s="1"/>
  <c r="AU108" i="41"/>
  <c r="AU154" i="41" s="1"/>
  <c r="AT108" i="41"/>
  <c r="AT154" i="41" s="1"/>
  <c r="AR108" i="41"/>
  <c r="AR154" i="41" s="1"/>
  <c r="AQ108" i="41"/>
  <c r="AQ154" i="41" s="1"/>
  <c r="AP108" i="41"/>
  <c r="AP154" i="41" s="1"/>
  <c r="AF108" i="41"/>
  <c r="AF154" i="41" s="1"/>
  <c r="AC108" i="41"/>
  <c r="AC154" i="41" s="1"/>
  <c r="AB108" i="41"/>
  <c r="AB154" i="41" s="1"/>
  <c r="Z108" i="41"/>
  <c r="Z154" i="41" s="1"/>
  <c r="V108" i="41"/>
  <c r="Q108" i="41"/>
  <c r="Q154" i="41" s="1"/>
  <c r="N108" i="41"/>
  <c r="L108" i="41"/>
  <c r="L109" i="41" s="1"/>
  <c r="K108" i="41"/>
  <c r="K154" i="41" s="1"/>
  <c r="BA107" i="41"/>
  <c r="AZ107" i="41"/>
  <c r="AU107" i="41"/>
  <c r="AT107" i="41"/>
  <c r="AR107" i="41"/>
  <c r="AQ107" i="41"/>
  <c r="AP107" i="41"/>
  <c r="AF107" i="41"/>
  <c r="AX107" i="41" s="1"/>
  <c r="AB107" i="41"/>
  <c r="Z107" i="41"/>
  <c r="Q107" i="41"/>
  <c r="V107" i="41" s="1"/>
  <c r="N107" i="41"/>
  <c r="L107" i="41"/>
  <c r="K107" i="41"/>
  <c r="AZ106" i="41"/>
  <c r="AU106" i="41"/>
  <c r="AQ106" i="41"/>
  <c r="BA106" i="41" s="1"/>
  <c r="AP106" i="41"/>
  <c r="AF106" i="41"/>
  <c r="AX106" i="41" s="1"/>
  <c r="Z106" i="41"/>
  <c r="Q106" i="41"/>
  <c r="V106" i="41" s="1"/>
  <c r="N106" i="41"/>
  <c r="L106" i="41"/>
  <c r="K106" i="41"/>
  <c r="BA105" i="41"/>
  <c r="AZ105" i="41"/>
  <c r="AY105" i="41"/>
  <c r="AU105" i="41"/>
  <c r="AR105" i="41"/>
  <c r="AQ105" i="41"/>
  <c r="AP105" i="41"/>
  <c r="AF105" i="41"/>
  <c r="AX105" i="41" s="1"/>
  <c r="Z105" i="41"/>
  <c r="Q105" i="41"/>
  <c r="V105" i="41" s="1"/>
  <c r="N105" i="41"/>
  <c r="L105" i="41"/>
  <c r="K105" i="41"/>
  <c r="BA104" i="41"/>
  <c r="AZ104" i="41"/>
  <c r="AY104" i="41"/>
  <c r="AQ104" i="41"/>
  <c r="AJ104" i="41"/>
  <c r="AP104" i="41" s="1"/>
  <c r="AR104" i="41" s="1"/>
  <c r="AF104" i="41"/>
  <c r="AX104" i="41" s="1"/>
  <c r="Z104" i="41"/>
  <c r="AU104" i="41" s="1"/>
  <c r="V104" i="41"/>
  <c r="R104" i="41"/>
  <c r="Q104" i="41"/>
  <c r="N104" i="41"/>
  <c r="L104" i="41"/>
  <c r="K104" i="41"/>
  <c r="I104" i="41"/>
  <c r="AZ103" i="41"/>
  <c r="AQ103" i="41"/>
  <c r="BA103" i="41" s="1"/>
  <c r="AP103" i="41"/>
  <c r="AF103" i="41"/>
  <c r="AX103" i="41" s="1"/>
  <c r="AA103" i="41"/>
  <c r="Z103" i="41"/>
  <c r="AU103" i="41" s="1"/>
  <c r="V103" i="41"/>
  <c r="Q103" i="41"/>
  <c r="N103" i="41"/>
  <c r="L103" i="41"/>
  <c r="K103" i="41"/>
  <c r="I103" i="41" s="1"/>
  <c r="AZ102" i="41"/>
  <c r="AU102" i="41"/>
  <c r="AQ102" i="41"/>
  <c r="BA102" i="41" s="1"/>
  <c r="AP102" i="41"/>
  <c r="AF102" i="41"/>
  <c r="Z102" i="41"/>
  <c r="Z109" i="41" s="1"/>
  <c r="Q102" i="41"/>
  <c r="N102" i="41"/>
  <c r="N109" i="41" s="1"/>
  <c r="L102" i="41"/>
  <c r="K102" i="41"/>
  <c r="I102" i="41"/>
  <c r="AQ101" i="41"/>
  <c r="AO101" i="41"/>
  <c r="AN101" i="41"/>
  <c r="AM101" i="41"/>
  <c r="AL101" i="41"/>
  <c r="AK101" i="41"/>
  <c r="AJ101" i="41"/>
  <c r="AI101" i="41"/>
  <c r="AH101" i="41"/>
  <c r="AE101" i="41"/>
  <c r="AD101" i="41"/>
  <c r="Y101" i="41"/>
  <c r="X101" i="41"/>
  <c r="W101" i="41"/>
  <c r="U101" i="41"/>
  <c r="T101" i="41"/>
  <c r="S101" i="41"/>
  <c r="R101" i="41"/>
  <c r="P101" i="41"/>
  <c r="O101" i="41"/>
  <c r="M101" i="41"/>
  <c r="J101" i="41"/>
  <c r="AX100" i="41"/>
  <c r="AT100" i="41"/>
  <c r="AR100" i="41"/>
  <c r="AQ100" i="41"/>
  <c r="BA100" i="41" s="1"/>
  <c r="AP100" i="41"/>
  <c r="AZ100" i="41" s="1"/>
  <c r="AF100" i="41"/>
  <c r="Z100" i="41"/>
  <c r="Q100" i="41"/>
  <c r="V100" i="41" s="1"/>
  <c r="AC100" i="41" s="1"/>
  <c r="N100" i="41"/>
  <c r="L100" i="41"/>
  <c r="AW100" i="41" s="1"/>
  <c r="K100" i="41"/>
  <c r="I100" i="41"/>
  <c r="AZ99" i="41"/>
  <c r="AX99" i="41"/>
  <c r="AT99" i="41"/>
  <c r="AR99" i="41"/>
  <c r="AQ99" i="41"/>
  <c r="BA99" i="41" s="1"/>
  <c r="AP99" i="41"/>
  <c r="AF99" i="41"/>
  <c r="AB99" i="41"/>
  <c r="AA99" i="41"/>
  <c r="Z99" i="41"/>
  <c r="AU99" i="41" s="1"/>
  <c r="V99" i="41"/>
  <c r="AC99" i="41" s="1"/>
  <c r="Q99" i="41"/>
  <c r="N99" i="41"/>
  <c r="L99" i="41"/>
  <c r="AW99" i="41" s="1"/>
  <c r="K99" i="41"/>
  <c r="BA98" i="41"/>
  <c r="BA101" i="41" s="1"/>
  <c r="AU98" i="41"/>
  <c r="AQ98" i="41"/>
  <c r="AP98" i="41"/>
  <c r="AF98" i="41"/>
  <c r="AF101" i="41" s="1"/>
  <c r="Z98" i="41"/>
  <c r="Q98" i="41"/>
  <c r="N98" i="41"/>
  <c r="N101" i="41" s="1"/>
  <c r="L98" i="41"/>
  <c r="I98" i="41" s="1"/>
  <c r="K98" i="41"/>
  <c r="AO97" i="41"/>
  <c r="AN97" i="41"/>
  <c r="AM97" i="41"/>
  <c r="AL97" i="41"/>
  <c r="AK97" i="41"/>
  <c r="AJ97" i="41"/>
  <c r="AI97" i="41"/>
  <c r="AH97" i="41"/>
  <c r="AE97" i="41"/>
  <c r="AD97" i="41"/>
  <c r="Y97" i="41"/>
  <c r="X97" i="41"/>
  <c r="W97" i="41"/>
  <c r="V97" i="41"/>
  <c r="U97" i="41"/>
  <c r="T97" i="41"/>
  <c r="S97" i="41"/>
  <c r="R97" i="41"/>
  <c r="P97" i="41"/>
  <c r="O97" i="41"/>
  <c r="N97" i="41"/>
  <c r="M97" i="41"/>
  <c r="J97" i="41"/>
  <c r="AQ96" i="41"/>
  <c r="BA96" i="41" s="1"/>
  <c r="AP96" i="41"/>
  <c r="AF96" i="41"/>
  <c r="AX96" i="41" s="1"/>
  <c r="Z96" i="41"/>
  <c r="AU96" i="41" s="1"/>
  <c r="Q96" i="41"/>
  <c r="V96" i="41" s="1"/>
  <c r="N96" i="41"/>
  <c r="L96" i="41"/>
  <c r="K96" i="41"/>
  <c r="I96" i="41" s="1"/>
  <c r="AQ95" i="41"/>
  <c r="BA95" i="41" s="1"/>
  <c r="AP95" i="41"/>
  <c r="AF95" i="41"/>
  <c r="AX95" i="41" s="1"/>
  <c r="Z95" i="41"/>
  <c r="AU95" i="41" s="1"/>
  <c r="Q95" i="41"/>
  <c r="V95" i="41" s="1"/>
  <c r="N95" i="41"/>
  <c r="L95" i="41"/>
  <c r="K95" i="41"/>
  <c r="I95" i="41" s="1"/>
  <c r="AQ94" i="41"/>
  <c r="AP94" i="41"/>
  <c r="AF94" i="41"/>
  <c r="AF97" i="41" s="1"/>
  <c r="Z94" i="41"/>
  <c r="Q94" i="41"/>
  <c r="V94" i="41" s="1"/>
  <c r="N94" i="41"/>
  <c r="L94" i="41"/>
  <c r="L97" i="41" s="1"/>
  <c r="K94" i="41"/>
  <c r="K97" i="41" s="1"/>
  <c r="AQ93" i="41"/>
  <c r="AP93" i="41"/>
  <c r="AO93" i="41"/>
  <c r="AN93" i="41"/>
  <c r="AM93" i="41"/>
  <c r="AL93" i="41"/>
  <c r="AK93" i="41"/>
  <c r="AJ93" i="41"/>
  <c r="AI93" i="41"/>
  <c r="AH93" i="41"/>
  <c r="AE93" i="41"/>
  <c r="AD93" i="41"/>
  <c r="Y93" i="41"/>
  <c r="X93" i="41"/>
  <c r="W93" i="41"/>
  <c r="U93" i="41"/>
  <c r="T93" i="41"/>
  <c r="S93" i="41"/>
  <c r="R93" i="41"/>
  <c r="P93" i="41"/>
  <c r="O93" i="41"/>
  <c r="M93" i="41"/>
  <c r="J93" i="41"/>
  <c r="AZ92" i="41"/>
  <c r="AU92" i="41"/>
  <c r="AQ92" i="41"/>
  <c r="AR92" i="41" s="1"/>
  <c r="AP92" i="41"/>
  <c r="AF92" i="41"/>
  <c r="AX92" i="41" s="1"/>
  <c r="Z92" i="41"/>
  <c r="Q92" i="41"/>
  <c r="V92" i="41" s="1"/>
  <c r="N92" i="41"/>
  <c r="AY92" i="41" s="1"/>
  <c r="L92" i="41"/>
  <c r="K92" i="41"/>
  <c r="K93" i="41" s="1"/>
  <c r="J92" i="41"/>
  <c r="BA91" i="41"/>
  <c r="AZ91" i="41"/>
  <c r="AU91" i="41"/>
  <c r="AR91" i="41"/>
  <c r="AQ91" i="41"/>
  <c r="AP91" i="41"/>
  <c r="AF91" i="41"/>
  <c r="AX91" i="41" s="1"/>
  <c r="Z91" i="41"/>
  <c r="V91" i="41"/>
  <c r="Q91" i="41"/>
  <c r="N91" i="41"/>
  <c r="AY91" i="41" s="1"/>
  <c r="L91" i="41"/>
  <c r="K91" i="41"/>
  <c r="BA90" i="41"/>
  <c r="AZ90" i="41"/>
  <c r="AU90" i="41"/>
  <c r="AR90" i="41"/>
  <c r="AQ90" i="41"/>
  <c r="AP90" i="41"/>
  <c r="AF90" i="41"/>
  <c r="AX90" i="41" s="1"/>
  <c r="Z90" i="41"/>
  <c r="Q90" i="41"/>
  <c r="V90" i="41" s="1"/>
  <c r="N90" i="41"/>
  <c r="AY90" i="41" s="1"/>
  <c r="L90" i="41"/>
  <c r="K90" i="41"/>
  <c r="BA89" i="41"/>
  <c r="AZ89" i="41"/>
  <c r="AX89" i="41"/>
  <c r="AU89" i="41"/>
  <c r="AR89" i="41"/>
  <c r="AQ89" i="41"/>
  <c r="AP89" i="41"/>
  <c r="AF89" i="41"/>
  <c r="Z89" i="41"/>
  <c r="Q89" i="41"/>
  <c r="V89" i="41" s="1"/>
  <c r="N89" i="41"/>
  <c r="AY89" i="41" s="1"/>
  <c r="L89" i="41"/>
  <c r="K89" i="41"/>
  <c r="BA88" i="41"/>
  <c r="AZ88" i="41"/>
  <c r="AU88" i="41"/>
  <c r="AU93" i="41" s="1"/>
  <c r="AT88" i="41"/>
  <c r="AR88" i="41"/>
  <c r="AQ88" i="41"/>
  <c r="AP88" i="41"/>
  <c r="AF88" i="41"/>
  <c r="AF93" i="41" s="1"/>
  <c r="AB88" i="41"/>
  <c r="Z88" i="41"/>
  <c r="Z93" i="41" s="1"/>
  <c r="V88" i="41"/>
  <c r="Q88" i="41"/>
  <c r="N88" i="41"/>
  <c r="AY88" i="41" s="1"/>
  <c r="L88" i="41"/>
  <c r="L93" i="41" s="1"/>
  <c r="K88" i="41"/>
  <c r="AU87" i="41"/>
  <c r="AO87" i="41"/>
  <c r="AN87" i="41"/>
  <c r="AM87" i="41"/>
  <c r="AL87" i="41"/>
  <c r="AK87" i="41"/>
  <c r="AJ87" i="41"/>
  <c r="AI87" i="41"/>
  <c r="AH87" i="41"/>
  <c r="AF87" i="41"/>
  <c r="AE87" i="41"/>
  <c r="AD87" i="41"/>
  <c r="Z87" i="41"/>
  <c r="Y87" i="41"/>
  <c r="X87" i="41"/>
  <c r="W87" i="41"/>
  <c r="U87" i="41"/>
  <c r="T87" i="41"/>
  <c r="S87" i="41"/>
  <c r="R87" i="41"/>
  <c r="Q87" i="41"/>
  <c r="P87" i="41"/>
  <c r="O87" i="41"/>
  <c r="N87" i="41"/>
  <c r="M87" i="41"/>
  <c r="K87" i="41"/>
  <c r="J87" i="41"/>
  <c r="AX86" i="41"/>
  <c r="AU86" i="41"/>
  <c r="AQ86" i="41"/>
  <c r="AP86" i="41"/>
  <c r="AZ86" i="41" s="1"/>
  <c r="AF86" i="41"/>
  <c r="AA86" i="41"/>
  <c r="Z86" i="41"/>
  <c r="V86" i="41"/>
  <c r="AB86" i="41" s="1"/>
  <c r="Q86" i="41"/>
  <c r="N86" i="41"/>
  <c r="L86" i="41"/>
  <c r="K86" i="41"/>
  <c r="AX85" i="41"/>
  <c r="AU85" i="41"/>
  <c r="AQ85" i="41"/>
  <c r="AP85" i="41"/>
  <c r="AZ85" i="41" s="1"/>
  <c r="AF85" i="41"/>
  <c r="Z85" i="41"/>
  <c r="V85" i="41"/>
  <c r="Q85" i="41"/>
  <c r="N85" i="41"/>
  <c r="L85" i="41"/>
  <c r="K85" i="41"/>
  <c r="BA84" i="41"/>
  <c r="AX84" i="41"/>
  <c r="AX87" i="41" s="1"/>
  <c r="AU84" i="41"/>
  <c r="AR84" i="41"/>
  <c r="AQ84" i="41"/>
  <c r="AP84" i="41"/>
  <c r="AZ84" i="41" s="1"/>
  <c r="AZ87" i="41" s="1"/>
  <c r="AF84" i="41"/>
  <c r="Z84" i="41"/>
  <c r="V84" i="41"/>
  <c r="Q84" i="41"/>
  <c r="N84" i="41"/>
  <c r="AY84" i="41" s="1"/>
  <c r="L84" i="41"/>
  <c r="K84" i="41"/>
  <c r="AQ83" i="41"/>
  <c r="AP83" i="41"/>
  <c r="AO83" i="41"/>
  <c r="AN83" i="41"/>
  <c r="AM83" i="41"/>
  <c r="AL83" i="41"/>
  <c r="AK83" i="41"/>
  <c r="AJ83" i="41"/>
  <c r="AI83" i="41"/>
  <c r="AH83" i="41"/>
  <c r="AE83" i="41"/>
  <c r="AD83" i="41"/>
  <c r="Z83" i="41"/>
  <c r="Y83" i="41"/>
  <c r="X83" i="41"/>
  <c r="W83" i="41"/>
  <c r="U83" i="41"/>
  <c r="T83" i="41"/>
  <c r="S83" i="41"/>
  <c r="R83" i="41"/>
  <c r="P83" i="41"/>
  <c r="O83" i="41"/>
  <c r="M83" i="41"/>
  <c r="K83" i="41"/>
  <c r="J83" i="41"/>
  <c r="BA82" i="41"/>
  <c r="AZ82" i="41"/>
  <c r="AY82" i="41"/>
  <c r="AU82" i="41"/>
  <c r="AR82" i="41"/>
  <c r="AQ82" i="41"/>
  <c r="AP82" i="41"/>
  <c r="AF82" i="41"/>
  <c r="AX82" i="41" s="1"/>
  <c r="Z82" i="41"/>
  <c r="V82" i="41"/>
  <c r="Q82" i="41"/>
  <c r="N82" i="41"/>
  <c r="L82" i="41"/>
  <c r="K82" i="41"/>
  <c r="BA81" i="41"/>
  <c r="AZ81" i="41"/>
  <c r="AX81" i="41"/>
  <c r="AU81" i="41"/>
  <c r="AR81" i="41"/>
  <c r="AY81" i="41" s="1"/>
  <c r="AQ81" i="41"/>
  <c r="AP81" i="41"/>
  <c r="AF81" i="41"/>
  <c r="AC81" i="41"/>
  <c r="AB81" i="41"/>
  <c r="AV81" i="41" s="1"/>
  <c r="Z81" i="41"/>
  <c r="V81" i="41"/>
  <c r="Q81" i="41"/>
  <c r="N81" i="41"/>
  <c r="L81" i="41"/>
  <c r="K81" i="41"/>
  <c r="BA80" i="41"/>
  <c r="AZ80" i="41"/>
  <c r="AZ83" i="41" s="1"/>
  <c r="AU80" i="41"/>
  <c r="AU83" i="41" s="1"/>
  <c r="AR80" i="41"/>
  <c r="AR83" i="41" s="1"/>
  <c r="AQ80" i="41"/>
  <c r="AP80" i="41"/>
  <c r="AF80" i="41"/>
  <c r="Z80" i="41"/>
  <c r="Q80" i="41"/>
  <c r="N80" i="41"/>
  <c r="L80" i="41"/>
  <c r="K80" i="41"/>
  <c r="AO79" i="41"/>
  <c r="AN79" i="41"/>
  <c r="AM79" i="41"/>
  <c r="AL79" i="41"/>
  <c r="AK79" i="41"/>
  <c r="AJ79" i="41"/>
  <c r="AI79" i="41"/>
  <c r="AH79" i="41"/>
  <c r="AF79" i="41"/>
  <c r="AE79" i="41"/>
  <c r="AD79" i="41"/>
  <c r="Y79" i="41"/>
  <c r="X79" i="41"/>
  <c r="W79" i="41"/>
  <c r="U79" i="41"/>
  <c r="T79" i="41"/>
  <c r="S79" i="41"/>
  <c r="R79" i="41"/>
  <c r="Q79" i="41"/>
  <c r="P79" i="41"/>
  <c r="O79" i="41"/>
  <c r="N79" i="41"/>
  <c r="M79" i="41"/>
  <c r="J79" i="41"/>
  <c r="AX78" i="41"/>
  <c r="AU78" i="41"/>
  <c r="AQ78" i="41"/>
  <c r="BA78" i="41" s="1"/>
  <c r="AP78" i="41"/>
  <c r="AZ78" i="41" s="1"/>
  <c r="AF78" i="41"/>
  <c r="AB78" i="41"/>
  <c r="AA78" i="41"/>
  <c r="Z78" i="41"/>
  <c r="V78" i="41"/>
  <c r="Q78" i="41"/>
  <c r="N78" i="41"/>
  <c r="L78" i="41"/>
  <c r="K78" i="41"/>
  <c r="BA77" i="41"/>
  <c r="AX77" i="41"/>
  <c r="AR77" i="41"/>
  <c r="AQ77" i="41"/>
  <c r="AP77" i="41"/>
  <c r="AZ77" i="41" s="1"/>
  <c r="AF77" i="41"/>
  <c r="AB77" i="41"/>
  <c r="Z77" i="41"/>
  <c r="AU77" i="41" s="1"/>
  <c r="V77" i="41"/>
  <c r="Q77" i="41"/>
  <c r="N77" i="41"/>
  <c r="L77" i="41"/>
  <c r="K77" i="41"/>
  <c r="AV77" i="41" s="1"/>
  <c r="I77" i="41"/>
  <c r="AX76" i="41"/>
  <c r="AU76" i="41"/>
  <c r="AR76" i="41"/>
  <c r="AQ76" i="41"/>
  <c r="BA76" i="41" s="1"/>
  <c r="AP76" i="41"/>
  <c r="AZ76" i="41" s="1"/>
  <c r="AF76" i="41"/>
  <c r="AB76" i="41"/>
  <c r="AA76" i="41"/>
  <c r="Z76" i="41"/>
  <c r="V76" i="41"/>
  <c r="Q76" i="41"/>
  <c r="N76" i="41"/>
  <c r="L76" i="41"/>
  <c r="K76" i="41"/>
  <c r="AX75" i="41"/>
  <c r="AX79" i="41" s="1"/>
  <c r="AU75" i="41"/>
  <c r="AQ75" i="41"/>
  <c r="BA75" i="41" s="1"/>
  <c r="AP75" i="41"/>
  <c r="AF75" i="41"/>
  <c r="AB75" i="41"/>
  <c r="AV75" i="41" s="1"/>
  <c r="Z75" i="41"/>
  <c r="V75" i="41"/>
  <c r="Q75" i="41"/>
  <c r="N75" i="41"/>
  <c r="L75" i="41"/>
  <c r="K75" i="41"/>
  <c r="I75" i="41" s="1"/>
  <c r="BA74" i="41"/>
  <c r="AX74" i="41"/>
  <c r="AQ74" i="41"/>
  <c r="AP74" i="41"/>
  <c r="AF74" i="41"/>
  <c r="Z74" i="41"/>
  <c r="AU74" i="41" s="1"/>
  <c r="V74" i="41"/>
  <c r="Q74" i="41"/>
  <c r="N74" i="41"/>
  <c r="L74" i="41"/>
  <c r="K74" i="41"/>
  <c r="I74" i="41"/>
  <c r="BA73" i="41"/>
  <c r="BA79" i="41" s="1"/>
  <c r="AX73" i="41"/>
  <c r="AQ73" i="41"/>
  <c r="AP73" i="41"/>
  <c r="AF73" i="41"/>
  <c r="AA73" i="41"/>
  <c r="Z73" i="41"/>
  <c r="AU73" i="41" s="1"/>
  <c r="V73" i="41"/>
  <c r="Q73" i="41"/>
  <c r="N73" i="41"/>
  <c r="L73" i="41"/>
  <c r="K73" i="41"/>
  <c r="I73" i="41" s="1"/>
  <c r="AQ72" i="41"/>
  <c r="AP72" i="41"/>
  <c r="AO72" i="41"/>
  <c r="AN72" i="41"/>
  <c r="AM72" i="41"/>
  <c r="AL72" i="41"/>
  <c r="AK72" i="41"/>
  <c r="AJ72" i="41"/>
  <c r="AI72" i="41"/>
  <c r="AH72" i="41"/>
  <c r="AE72" i="41"/>
  <c r="AD72" i="41"/>
  <c r="Z72" i="41"/>
  <c r="Y72" i="41"/>
  <c r="X72" i="41"/>
  <c r="W72" i="41"/>
  <c r="U72" i="41"/>
  <c r="T72" i="41"/>
  <c r="S72" i="41"/>
  <c r="R72" i="41"/>
  <c r="Q72" i="41"/>
  <c r="P72" i="41"/>
  <c r="O72" i="41"/>
  <c r="M72" i="41"/>
  <c r="K72" i="41"/>
  <c r="J72" i="41"/>
  <c r="BA71" i="41"/>
  <c r="AZ71" i="41"/>
  <c r="AU71" i="41"/>
  <c r="AR71" i="41"/>
  <c r="AQ71" i="41"/>
  <c r="AP71" i="41"/>
  <c r="AF71" i="41"/>
  <c r="AX71" i="41" s="1"/>
  <c r="AC71" i="41"/>
  <c r="AB71" i="41"/>
  <c r="Z71" i="41"/>
  <c r="Q71" i="41"/>
  <c r="V71" i="41" s="1"/>
  <c r="AA71" i="41" s="1"/>
  <c r="N71" i="41"/>
  <c r="L71" i="41"/>
  <c r="K71" i="41"/>
  <c r="AV71" i="41" s="1"/>
  <c r="BA70" i="41"/>
  <c r="AZ70" i="41"/>
  <c r="AX70" i="41"/>
  <c r="AU70" i="41"/>
  <c r="AR70" i="41"/>
  <c r="AQ70" i="41"/>
  <c r="AP70" i="41"/>
  <c r="AF70" i="41"/>
  <c r="Z70" i="41"/>
  <c r="V70" i="41"/>
  <c r="Q70" i="41"/>
  <c r="N70" i="41"/>
  <c r="AY70" i="41" s="1"/>
  <c r="L70" i="41"/>
  <c r="K70" i="41"/>
  <c r="BA69" i="41"/>
  <c r="AZ69" i="41"/>
  <c r="AX69" i="41"/>
  <c r="AU69" i="41"/>
  <c r="AR69" i="41"/>
  <c r="AY69" i="41" s="1"/>
  <c r="AQ69" i="41"/>
  <c r="AP69" i="41"/>
  <c r="AF69" i="41"/>
  <c r="AB69" i="41"/>
  <c r="Z69" i="41"/>
  <c r="Q69" i="41"/>
  <c r="V69" i="41" s="1"/>
  <c r="N69" i="41"/>
  <c r="L69" i="41"/>
  <c r="K69" i="41"/>
  <c r="BA68" i="41"/>
  <c r="AZ68" i="41"/>
  <c r="AU68" i="41"/>
  <c r="AR68" i="41"/>
  <c r="AY68" i="41" s="1"/>
  <c r="AQ68" i="41"/>
  <c r="AP68" i="41"/>
  <c r="AF68" i="41"/>
  <c r="AX68" i="41" s="1"/>
  <c r="AC68" i="41"/>
  <c r="AB68" i="41"/>
  <c r="Z68" i="41"/>
  <c r="Q68" i="41"/>
  <c r="V68" i="41" s="1"/>
  <c r="AA68" i="41" s="1"/>
  <c r="AG68" i="41" s="1"/>
  <c r="N68" i="41"/>
  <c r="N72" i="41" s="1"/>
  <c r="L68" i="41"/>
  <c r="K68" i="41"/>
  <c r="AV68" i="41" s="1"/>
  <c r="BA67" i="41"/>
  <c r="AZ67" i="41"/>
  <c r="AY67" i="41"/>
  <c r="AU67" i="41"/>
  <c r="AT67" i="41"/>
  <c r="AR67" i="41"/>
  <c r="AQ67" i="41"/>
  <c r="AP67" i="41"/>
  <c r="AF67" i="41"/>
  <c r="AX67" i="41" s="1"/>
  <c r="AX72" i="41" s="1"/>
  <c r="AC67" i="41"/>
  <c r="Z67" i="41"/>
  <c r="V67" i="41"/>
  <c r="Q67" i="41"/>
  <c r="N67" i="41"/>
  <c r="L67" i="41"/>
  <c r="K67" i="41"/>
  <c r="BA66" i="41"/>
  <c r="AZ66" i="41"/>
  <c r="AY66" i="41"/>
  <c r="AX66" i="41"/>
  <c r="AU66" i="41"/>
  <c r="AU72" i="41" s="1"/>
  <c r="AR66" i="41"/>
  <c r="AR72" i="41" s="1"/>
  <c r="AQ66" i="41"/>
  <c r="AP66" i="41"/>
  <c r="AF66" i="41"/>
  <c r="AC66" i="41"/>
  <c r="Z66" i="41"/>
  <c r="V66" i="41"/>
  <c r="Q66" i="41"/>
  <c r="N66" i="41"/>
  <c r="L66" i="41"/>
  <c r="K66" i="41"/>
  <c r="AO65" i="41"/>
  <c r="AN65" i="41"/>
  <c r="AM65" i="41"/>
  <c r="AL65" i="41"/>
  <c r="AK65" i="41"/>
  <c r="AJ65" i="41"/>
  <c r="AI65" i="41"/>
  <c r="AH65" i="41"/>
  <c r="AF65" i="41"/>
  <c r="AE65" i="41"/>
  <c r="AD65" i="41"/>
  <c r="Y65" i="41"/>
  <c r="X65" i="41"/>
  <c r="W65" i="41"/>
  <c r="U65" i="41"/>
  <c r="T65" i="41"/>
  <c r="S65" i="41"/>
  <c r="R65" i="41"/>
  <c r="Q65" i="41"/>
  <c r="P65" i="41"/>
  <c r="O65" i="41"/>
  <c r="N65" i="41"/>
  <c r="M65" i="41"/>
  <c r="K65" i="41"/>
  <c r="J65" i="41"/>
  <c r="BA64" i="41"/>
  <c r="AX64" i="41"/>
  <c r="AQ64" i="41"/>
  <c r="AP64" i="41"/>
  <c r="AF64" i="41"/>
  <c r="AB64" i="41"/>
  <c r="AV64" i="41" s="1"/>
  <c r="Z64" i="41"/>
  <c r="AU64" i="41" s="1"/>
  <c r="AU65" i="41" s="1"/>
  <c r="V64" i="41"/>
  <c r="Q64" i="41"/>
  <c r="N64" i="41"/>
  <c r="L64" i="41"/>
  <c r="K64" i="41"/>
  <c r="I64" i="41"/>
  <c r="AX63" i="41"/>
  <c r="AQ63" i="41"/>
  <c r="BA63" i="41" s="1"/>
  <c r="AP63" i="41"/>
  <c r="AZ63" i="41" s="1"/>
  <c r="AF63" i="41"/>
  <c r="Z63" i="41"/>
  <c r="AU63" i="41" s="1"/>
  <c r="V63" i="41"/>
  <c r="Q63" i="41"/>
  <c r="N63" i="41"/>
  <c r="L63" i="41"/>
  <c r="K63" i="41"/>
  <c r="I63" i="41"/>
  <c r="AX62" i="41"/>
  <c r="AQ62" i="41"/>
  <c r="AQ65" i="41" s="1"/>
  <c r="AP62" i="41"/>
  <c r="AF62" i="41"/>
  <c r="Z62" i="41"/>
  <c r="AU62" i="41" s="1"/>
  <c r="V62" i="41"/>
  <c r="Q62" i="41"/>
  <c r="N62" i="41"/>
  <c r="L62" i="41"/>
  <c r="L65" i="41" s="1"/>
  <c r="K62" i="41"/>
  <c r="I62" i="41"/>
  <c r="AQ61" i="41"/>
  <c r="AO61" i="41"/>
  <c r="AN61" i="41"/>
  <c r="AM61" i="41"/>
  <c r="AL61" i="41"/>
  <c r="AK61" i="41"/>
  <c r="AJ61" i="41"/>
  <c r="AI61" i="41"/>
  <c r="AH61" i="41"/>
  <c r="AE61" i="41"/>
  <c r="AD61" i="41"/>
  <c r="Y61" i="41"/>
  <c r="X61" i="41"/>
  <c r="W61" i="41"/>
  <c r="U61" i="41"/>
  <c r="T61" i="41"/>
  <c r="S61" i="41"/>
  <c r="R61" i="41"/>
  <c r="P61" i="41"/>
  <c r="O61" i="41"/>
  <c r="N61" i="41"/>
  <c r="M61" i="41"/>
  <c r="K61" i="41"/>
  <c r="J61" i="41"/>
  <c r="AX60" i="41"/>
  <c r="AQ60" i="41"/>
  <c r="BA60" i="41" s="1"/>
  <c r="AP60" i="41"/>
  <c r="AF60" i="41"/>
  <c r="Z60" i="41"/>
  <c r="AU60" i="41" s="1"/>
  <c r="V60" i="41"/>
  <c r="Q60" i="41"/>
  <c r="Q61" i="41" s="1"/>
  <c r="N60" i="41"/>
  <c r="L60" i="41"/>
  <c r="K60" i="41"/>
  <c r="I60" i="41"/>
  <c r="BA59" i="41"/>
  <c r="BA61" i="41" s="1"/>
  <c r="AU59" i="41"/>
  <c r="AU61" i="41" s="1"/>
  <c r="AT59" i="41"/>
  <c r="AQ59" i="41"/>
  <c r="AP59" i="41"/>
  <c r="AF59" i="41"/>
  <c r="AB59" i="41"/>
  <c r="Z59" i="41"/>
  <c r="Z61" i="41" s="1"/>
  <c r="V59" i="41"/>
  <c r="AC59" i="41" s="1"/>
  <c r="Q59" i="41"/>
  <c r="N59" i="41"/>
  <c r="L59" i="41"/>
  <c r="K59" i="41"/>
  <c r="AV59" i="41" s="1"/>
  <c r="AX58" i="41"/>
  <c r="AO58" i="41"/>
  <c r="AN58" i="41"/>
  <c r="AM58" i="41"/>
  <c r="AL58" i="41"/>
  <c r="AK58" i="41"/>
  <c r="AJ58" i="41"/>
  <c r="AI58" i="41"/>
  <c r="AH58" i="41"/>
  <c r="AE58" i="41"/>
  <c r="AD58" i="41"/>
  <c r="Z58" i="41"/>
  <c r="Y58" i="41"/>
  <c r="X58" i="41"/>
  <c r="W58" i="41"/>
  <c r="U58" i="41"/>
  <c r="T58" i="41"/>
  <c r="S58" i="41"/>
  <c r="R58" i="41"/>
  <c r="Q58" i="41"/>
  <c r="P58" i="41"/>
  <c r="O58" i="41"/>
  <c r="M58" i="41"/>
  <c r="BA57" i="41"/>
  <c r="AZ57" i="41"/>
  <c r="AU57" i="41"/>
  <c r="AR57" i="41"/>
  <c r="AQ57" i="41"/>
  <c r="AP57" i="41"/>
  <c r="AF57" i="41"/>
  <c r="AX57" i="41" s="1"/>
  <c r="Z57" i="41"/>
  <c r="V57" i="41"/>
  <c r="Q57" i="41"/>
  <c r="N57" i="41"/>
  <c r="AY57" i="41" s="1"/>
  <c r="L57" i="41"/>
  <c r="K57" i="41"/>
  <c r="BA56" i="41"/>
  <c r="AZ56" i="41"/>
  <c r="AU56" i="41"/>
  <c r="AT56" i="41"/>
  <c r="AQ56" i="41"/>
  <c r="AR56" i="41" s="1"/>
  <c r="AP56" i="41"/>
  <c r="AF56" i="41"/>
  <c r="AX56" i="41" s="1"/>
  <c r="AC56" i="41"/>
  <c r="AW56" i="41" s="1"/>
  <c r="Z56" i="41"/>
  <c r="Q56" i="41"/>
  <c r="V56" i="41" s="1"/>
  <c r="N56" i="41"/>
  <c r="AY56" i="41" s="1"/>
  <c r="L56" i="41"/>
  <c r="K56" i="41"/>
  <c r="AZ55" i="41"/>
  <c r="AX55" i="41"/>
  <c r="AU55" i="41"/>
  <c r="AQ55" i="41"/>
  <c r="BA55" i="41" s="1"/>
  <c r="AP55" i="41"/>
  <c r="AF55" i="41"/>
  <c r="AF58" i="41" s="1"/>
  <c r="AB55" i="41"/>
  <c r="AA55" i="41"/>
  <c r="Z55" i="41"/>
  <c r="V55" i="41"/>
  <c r="AT55" i="41" s="1"/>
  <c r="Q55" i="41"/>
  <c r="N55" i="41"/>
  <c r="L55" i="41"/>
  <c r="K55" i="41"/>
  <c r="AZ54" i="41"/>
  <c r="AU54" i="41"/>
  <c r="AR54" i="41"/>
  <c r="AQ54" i="41"/>
  <c r="AP54" i="41"/>
  <c r="AF54" i="41"/>
  <c r="Z54" i="41"/>
  <c r="V54" i="41"/>
  <c r="Q54" i="41"/>
  <c r="P54" i="41"/>
  <c r="BA54" i="41" s="1"/>
  <c r="M54" i="41"/>
  <c r="AX54" i="41" s="1"/>
  <c r="J54" i="41"/>
  <c r="BA53" i="41"/>
  <c r="AU53" i="41"/>
  <c r="AQ53" i="41"/>
  <c r="AP53" i="41"/>
  <c r="AF53" i="41"/>
  <c r="AX53" i="41" s="1"/>
  <c r="Z53" i="41"/>
  <c r="Q53" i="41"/>
  <c r="V53" i="41" s="1"/>
  <c r="N53" i="41"/>
  <c r="L53" i="41"/>
  <c r="K53" i="41"/>
  <c r="I53" i="41" s="1"/>
  <c r="BA52" i="41"/>
  <c r="AZ52" i="41"/>
  <c r="AX52" i="41"/>
  <c r="AT52" i="41"/>
  <c r="AR52" i="41"/>
  <c r="AQ52" i="41"/>
  <c r="AP52" i="41"/>
  <c r="AF52" i="41"/>
  <c r="AB52" i="41"/>
  <c r="AA52" i="41"/>
  <c r="AG52" i="41" s="1"/>
  <c r="Z52" i="41"/>
  <c r="AU52" i="41" s="1"/>
  <c r="AU58" i="41" s="1"/>
  <c r="V52" i="41"/>
  <c r="AC52" i="41" s="1"/>
  <c r="Q52" i="41"/>
  <c r="N52" i="41"/>
  <c r="L52" i="41"/>
  <c r="AW52" i="41" s="1"/>
  <c r="K52" i="41"/>
  <c r="BA51" i="41"/>
  <c r="BA58" i="41" s="1"/>
  <c r="AU51" i="41"/>
  <c r="AQ51" i="41"/>
  <c r="AP51" i="41"/>
  <c r="AF51" i="41"/>
  <c r="AX51" i="41" s="1"/>
  <c r="Z51" i="41"/>
  <c r="Q51" i="41"/>
  <c r="V51" i="41" s="1"/>
  <c r="N51" i="41"/>
  <c r="L51" i="41"/>
  <c r="K51" i="41"/>
  <c r="I51" i="41" s="1"/>
  <c r="AO50" i="41"/>
  <c r="AN50" i="41"/>
  <c r="AM50" i="41"/>
  <c r="AL50" i="41"/>
  <c r="AK50" i="41"/>
  <c r="AJ50" i="41"/>
  <c r="AI50" i="41"/>
  <c r="AH50" i="41"/>
  <c r="AE50" i="41"/>
  <c r="AD50" i="41"/>
  <c r="Y50" i="41"/>
  <c r="X50" i="41"/>
  <c r="W50" i="41"/>
  <c r="U50" i="41"/>
  <c r="T50" i="41"/>
  <c r="S50" i="41"/>
  <c r="R50" i="41"/>
  <c r="O50" i="41"/>
  <c r="M50" i="41"/>
  <c r="J50" i="41"/>
  <c r="AZ49" i="41"/>
  <c r="AY49" i="41"/>
  <c r="AX49" i="41"/>
  <c r="AU49" i="41"/>
  <c r="AR49" i="41"/>
  <c r="AQ49" i="41"/>
  <c r="BA49" i="41" s="1"/>
  <c r="AP49" i="41"/>
  <c r="AF49" i="41"/>
  <c r="AB49" i="41"/>
  <c r="AA49" i="41"/>
  <c r="Z49" i="41"/>
  <c r="V49" i="41"/>
  <c r="AT49" i="41" s="1"/>
  <c r="Q49" i="41"/>
  <c r="N49" i="41"/>
  <c r="L49" i="41"/>
  <c r="K49" i="41"/>
  <c r="BA48" i="41"/>
  <c r="AZ48" i="41"/>
  <c r="AU48" i="41"/>
  <c r="AR48" i="41"/>
  <c r="AQ48" i="41"/>
  <c r="AP48" i="41"/>
  <c r="AF48" i="41"/>
  <c r="AX48" i="41" s="1"/>
  <c r="Z48" i="41"/>
  <c r="V48" i="41"/>
  <c r="Q48" i="41"/>
  <c r="N48" i="41"/>
  <c r="AY48" i="41" s="1"/>
  <c r="L48" i="41"/>
  <c r="K48" i="41"/>
  <c r="BA47" i="41"/>
  <c r="AZ47" i="41"/>
  <c r="AU47" i="41"/>
  <c r="AT47" i="41"/>
  <c r="AQ47" i="41"/>
  <c r="AR47" i="41" s="1"/>
  <c r="AP47" i="41"/>
  <c r="AF47" i="41"/>
  <c r="AC47" i="41"/>
  <c r="AW47" i="41" s="1"/>
  <c r="Z47" i="41"/>
  <c r="Q47" i="41"/>
  <c r="V47" i="41" s="1"/>
  <c r="P47" i="41"/>
  <c r="M47" i="41"/>
  <c r="K47" i="41"/>
  <c r="J47" i="41"/>
  <c r="L47" i="41" s="1"/>
  <c r="I47" i="41"/>
  <c r="BA46" i="41"/>
  <c r="AU46" i="41"/>
  <c r="AT46" i="41"/>
  <c r="AQ46" i="41"/>
  <c r="AP46" i="41"/>
  <c r="AZ46" i="41" s="1"/>
  <c r="AF46" i="41"/>
  <c r="AX46" i="41" s="1"/>
  <c r="AB46" i="41"/>
  <c r="Z46" i="41"/>
  <c r="V46" i="41"/>
  <c r="AC46" i="41" s="1"/>
  <c r="Q46" i="41"/>
  <c r="N46" i="41"/>
  <c r="L46" i="41"/>
  <c r="K46" i="41"/>
  <c r="AV46" i="41" s="1"/>
  <c r="AX45" i="41"/>
  <c r="AQ45" i="41"/>
  <c r="BA45" i="41" s="1"/>
  <c r="AP45" i="41"/>
  <c r="AF45" i="41"/>
  <c r="Z45" i="41"/>
  <c r="AU45" i="41" s="1"/>
  <c r="V45" i="41"/>
  <c r="Q45" i="41"/>
  <c r="Q50" i="41" s="1"/>
  <c r="N45" i="41"/>
  <c r="L45" i="41"/>
  <c r="K45" i="41"/>
  <c r="I45" i="41"/>
  <c r="BA44" i="41"/>
  <c r="BA50" i="41" s="1"/>
  <c r="AU44" i="41"/>
  <c r="AU50" i="41" s="1"/>
  <c r="AT44" i="41"/>
  <c r="AQ44" i="41"/>
  <c r="AP44" i="41"/>
  <c r="AZ44" i="41" s="1"/>
  <c r="AF44" i="41"/>
  <c r="AX44" i="41" s="1"/>
  <c r="AB44" i="41"/>
  <c r="Z44" i="41"/>
  <c r="Z50" i="41" s="1"/>
  <c r="V44" i="41"/>
  <c r="AC44" i="41" s="1"/>
  <c r="Q44" i="41"/>
  <c r="N44" i="41"/>
  <c r="L44" i="41"/>
  <c r="K44" i="41"/>
  <c r="AO43" i="41"/>
  <c r="AN43" i="41"/>
  <c r="AM43" i="41"/>
  <c r="AL43" i="41"/>
  <c r="AK43" i="41"/>
  <c r="AI43" i="41"/>
  <c r="AH43" i="41"/>
  <c r="AE43" i="41"/>
  <c r="AD43" i="41"/>
  <c r="Y43" i="41"/>
  <c r="X43" i="41"/>
  <c r="W43" i="41"/>
  <c r="U43" i="41"/>
  <c r="T43" i="41"/>
  <c r="S43" i="41"/>
  <c r="P43" i="41"/>
  <c r="O43" i="41"/>
  <c r="M43" i="41"/>
  <c r="J43" i="41"/>
  <c r="BA42" i="41"/>
  <c r="AZ42" i="41"/>
  <c r="AU42" i="41"/>
  <c r="AR42" i="41"/>
  <c r="AQ42" i="41"/>
  <c r="AP42" i="41"/>
  <c r="AF42" i="41"/>
  <c r="AX42" i="41" s="1"/>
  <c r="Z42" i="41"/>
  <c r="V42" i="41"/>
  <c r="Q42" i="41"/>
  <c r="N42" i="41"/>
  <c r="AY42" i="41" s="1"/>
  <c r="L42" i="41"/>
  <c r="K42" i="41"/>
  <c r="BA41" i="41"/>
  <c r="AZ41" i="41"/>
  <c r="AU41" i="41"/>
  <c r="AQ41" i="41"/>
  <c r="AR41" i="41" s="1"/>
  <c r="AP41" i="41"/>
  <c r="AF41" i="41"/>
  <c r="AX41" i="41" s="1"/>
  <c r="Z41" i="41"/>
  <c r="Q41" i="41"/>
  <c r="V41" i="41" s="1"/>
  <c r="N41" i="41"/>
  <c r="AY41" i="41" s="1"/>
  <c r="L41" i="41"/>
  <c r="K41" i="41"/>
  <c r="AZ40" i="41"/>
  <c r="AX40" i="41"/>
  <c r="AU40" i="41"/>
  <c r="AR40" i="41"/>
  <c r="AY40" i="41" s="1"/>
  <c r="AQ40" i="41"/>
  <c r="BA40" i="41" s="1"/>
  <c r="AP40" i="41"/>
  <c r="AF40" i="41"/>
  <c r="AB40" i="41"/>
  <c r="AA40" i="41"/>
  <c r="Z40" i="41"/>
  <c r="V40" i="41"/>
  <c r="AT40" i="41" s="1"/>
  <c r="Q40" i="41"/>
  <c r="N40" i="41"/>
  <c r="L40" i="41"/>
  <c r="K40" i="41"/>
  <c r="BA39" i="41"/>
  <c r="AU39" i="41"/>
  <c r="AQ39" i="41"/>
  <c r="AJ39" i="41"/>
  <c r="AF39" i="41"/>
  <c r="AX39" i="41" s="1"/>
  <c r="AX43" i="41" s="1"/>
  <c r="Z39" i="41"/>
  <c r="V39" i="41"/>
  <c r="R39" i="41"/>
  <c r="Q39" i="41"/>
  <c r="N39" i="41"/>
  <c r="L39" i="41"/>
  <c r="K39" i="41"/>
  <c r="I39" i="41"/>
  <c r="BA38" i="41"/>
  <c r="AU38" i="41"/>
  <c r="AT38" i="41"/>
  <c r="AQ38" i="41"/>
  <c r="AP38" i="41"/>
  <c r="AF38" i="41"/>
  <c r="AX38" i="41" s="1"/>
  <c r="AC38" i="41"/>
  <c r="AW38" i="41" s="1"/>
  <c r="Z38" i="41"/>
  <c r="V38" i="41"/>
  <c r="AB38" i="41" s="1"/>
  <c r="Q38" i="41"/>
  <c r="N38" i="41"/>
  <c r="L38" i="41"/>
  <c r="K38" i="41"/>
  <c r="AV38" i="41" s="1"/>
  <c r="I38" i="41"/>
  <c r="AQ37" i="41"/>
  <c r="BA37" i="41" s="1"/>
  <c r="AP37" i="41"/>
  <c r="AF37" i="41"/>
  <c r="AX37" i="41" s="1"/>
  <c r="Z37" i="41"/>
  <c r="V37" i="41"/>
  <c r="Q37" i="41"/>
  <c r="N37" i="41"/>
  <c r="L37" i="41"/>
  <c r="K37" i="41"/>
  <c r="I37" i="41"/>
  <c r="AO36" i="41"/>
  <c r="AN36" i="41"/>
  <c r="AM36" i="41"/>
  <c r="AL36" i="41"/>
  <c r="AK36" i="41"/>
  <c r="AJ36" i="41"/>
  <c r="AI36" i="41"/>
  <c r="AH36" i="41"/>
  <c r="AE36" i="41"/>
  <c r="AD36" i="41"/>
  <c r="Y36" i="41"/>
  <c r="X36" i="41"/>
  <c r="W36" i="41"/>
  <c r="U36" i="41"/>
  <c r="T36" i="41"/>
  <c r="S36" i="41"/>
  <c r="R36" i="41"/>
  <c r="Q36" i="41"/>
  <c r="O36" i="41"/>
  <c r="M36" i="41"/>
  <c r="AX35" i="41"/>
  <c r="AQ35" i="41"/>
  <c r="AR35" i="41" s="1"/>
  <c r="AP35" i="41"/>
  <c r="AZ35" i="41" s="1"/>
  <c r="AF35" i="41"/>
  <c r="AC35" i="41"/>
  <c r="AA35" i="41"/>
  <c r="Z35" i="41"/>
  <c r="AU35" i="41" s="1"/>
  <c r="Q35" i="41"/>
  <c r="V35" i="41" s="1"/>
  <c r="AB35" i="41" s="1"/>
  <c r="P35" i="41"/>
  <c r="N35" i="41" s="1"/>
  <c r="M35" i="41"/>
  <c r="M152" i="41" s="1"/>
  <c r="L35" i="41"/>
  <c r="AW35" i="41" s="1"/>
  <c r="J35" i="41"/>
  <c r="BA34" i="41"/>
  <c r="AQ34" i="41"/>
  <c r="AP34" i="41"/>
  <c r="AF34" i="41"/>
  <c r="AX34" i="41" s="1"/>
  <c r="Z34" i="41"/>
  <c r="AU34" i="41" s="1"/>
  <c r="V34" i="41"/>
  <c r="Q34" i="41"/>
  <c r="N34" i="41"/>
  <c r="L34" i="41"/>
  <c r="K34" i="41"/>
  <c r="I34" i="41"/>
  <c r="BA33" i="41"/>
  <c r="AX33" i="41"/>
  <c r="AQ33" i="41"/>
  <c r="AP33" i="41"/>
  <c r="AF33" i="41"/>
  <c r="Z33" i="41"/>
  <c r="AU33" i="41" s="1"/>
  <c r="AU36" i="41" s="1"/>
  <c r="V33" i="41"/>
  <c r="Q33" i="41"/>
  <c r="P33" i="41"/>
  <c r="P36" i="41" s="1"/>
  <c r="M33" i="41"/>
  <c r="L33" i="41"/>
  <c r="K33" i="41"/>
  <c r="J33" i="41"/>
  <c r="AT33" i="41" s="1"/>
  <c r="BA32" i="41"/>
  <c r="AX32" i="41"/>
  <c r="AR32" i="41"/>
  <c r="AQ32" i="41"/>
  <c r="AP32" i="41"/>
  <c r="AZ32" i="41" s="1"/>
  <c r="AF32" i="41"/>
  <c r="AC32" i="41"/>
  <c r="AB32" i="41"/>
  <c r="AV32" i="41" s="1"/>
  <c r="Z32" i="41"/>
  <c r="AU32" i="41" s="1"/>
  <c r="V32" i="41"/>
  <c r="AA32" i="41" s="1"/>
  <c r="Q32" i="41"/>
  <c r="N32" i="41"/>
  <c r="AY32" i="41" s="1"/>
  <c r="L32" i="41"/>
  <c r="K32" i="41"/>
  <c r="BA31" i="41"/>
  <c r="AX31" i="41"/>
  <c r="AR31" i="41"/>
  <c r="AQ31" i="41"/>
  <c r="AQ148" i="41" s="1"/>
  <c r="AP31" i="41"/>
  <c r="AZ31" i="41" s="1"/>
  <c r="AF31" i="41"/>
  <c r="AC31" i="41"/>
  <c r="AB31" i="41"/>
  <c r="Z31" i="41"/>
  <c r="AU31" i="41" s="1"/>
  <c r="AU148" i="41" s="1"/>
  <c r="V31" i="41"/>
  <c r="AT31" i="41" s="1"/>
  <c r="Q31" i="41"/>
  <c r="Q148" i="41" s="1"/>
  <c r="N31" i="41"/>
  <c r="N148" i="41" s="1"/>
  <c r="L31" i="41"/>
  <c r="K31" i="41"/>
  <c r="K148" i="41" s="1"/>
  <c r="BA30" i="41"/>
  <c r="AX30" i="41"/>
  <c r="AR30" i="41"/>
  <c r="AQ30" i="41"/>
  <c r="AQ36" i="41" s="1"/>
  <c r="AP30" i="41"/>
  <c r="AP36" i="41" s="1"/>
  <c r="AF30" i="41"/>
  <c r="AC30" i="41"/>
  <c r="AB30" i="41"/>
  <c r="Z30" i="41"/>
  <c r="AU30" i="41" s="1"/>
  <c r="V30" i="41"/>
  <c r="AA30" i="41" s="1"/>
  <c r="Q30" i="41"/>
  <c r="N30" i="41"/>
  <c r="L30" i="41"/>
  <c r="K30" i="41"/>
  <c r="AX29" i="41"/>
  <c r="AQ29" i="41"/>
  <c r="AO29" i="41"/>
  <c r="AN29" i="41"/>
  <c r="AM29" i="41"/>
  <c r="AL29" i="41"/>
  <c r="AK29" i="41"/>
  <c r="AJ29" i="41"/>
  <c r="AI29" i="41"/>
  <c r="AH29" i="41"/>
  <c r="AF29" i="41"/>
  <c r="AE29" i="41"/>
  <c r="AD29" i="41"/>
  <c r="Y29" i="41"/>
  <c r="X29" i="41"/>
  <c r="W29" i="41"/>
  <c r="U29" i="41"/>
  <c r="T29" i="41"/>
  <c r="S29" i="41"/>
  <c r="R29" i="41"/>
  <c r="Q29" i="41"/>
  <c r="P29" i="41"/>
  <c r="O29" i="41"/>
  <c r="N29" i="41"/>
  <c r="M29" i="41"/>
  <c r="L29" i="41"/>
  <c r="K29" i="41"/>
  <c r="J29" i="41"/>
  <c r="I29" i="41"/>
  <c r="BA28" i="41"/>
  <c r="AX28" i="41"/>
  <c r="AU28" i="41"/>
  <c r="AQ28" i="41"/>
  <c r="AQ153" i="41" s="1"/>
  <c r="AP28" i="41"/>
  <c r="AF28" i="41"/>
  <c r="AF153" i="41" s="1"/>
  <c r="Z28" i="41"/>
  <c r="Z153" i="41" s="1"/>
  <c r="V28" i="41"/>
  <c r="Q28" i="41"/>
  <c r="Q153" i="41" s="1"/>
  <c r="N28" i="41"/>
  <c r="N153" i="41" s="1"/>
  <c r="L28" i="41"/>
  <c r="L153" i="41" s="1"/>
  <c r="K28" i="41"/>
  <c r="K153" i="41" s="1"/>
  <c r="I28" i="41"/>
  <c r="AP27" i="41"/>
  <c r="AO27" i="41"/>
  <c r="AN27" i="41"/>
  <c r="AM27" i="41"/>
  <c r="AL27" i="41"/>
  <c r="AK27" i="41"/>
  <c r="AJ27" i="41"/>
  <c r="AI27" i="41"/>
  <c r="AH27" i="41"/>
  <c r="AE27" i="41"/>
  <c r="AD27" i="41"/>
  <c r="Y27" i="41"/>
  <c r="X27" i="41"/>
  <c r="W27" i="41"/>
  <c r="U27" i="41"/>
  <c r="T27" i="41"/>
  <c r="S27" i="41"/>
  <c r="R27" i="41"/>
  <c r="P27" i="41"/>
  <c r="O27" i="41"/>
  <c r="M27" i="41"/>
  <c r="K27" i="41"/>
  <c r="J27" i="41"/>
  <c r="BA26" i="41"/>
  <c r="AX26" i="41"/>
  <c r="AR26" i="41"/>
  <c r="AQ26" i="41"/>
  <c r="AP26" i="41"/>
  <c r="AZ26" i="41" s="1"/>
  <c r="AF26" i="41"/>
  <c r="AC26" i="41"/>
  <c r="AB26" i="41"/>
  <c r="AV26" i="41" s="1"/>
  <c r="Z26" i="41"/>
  <c r="AU26" i="41" s="1"/>
  <c r="V26" i="41"/>
  <c r="AA26" i="41" s="1"/>
  <c r="Q26" i="41"/>
  <c r="N26" i="41"/>
  <c r="AY26" i="41" s="1"/>
  <c r="L26" i="41"/>
  <c r="K26" i="41"/>
  <c r="BA25" i="41"/>
  <c r="AX25" i="41"/>
  <c r="AR25" i="41"/>
  <c r="AQ25" i="41"/>
  <c r="AP25" i="41"/>
  <c r="AZ25" i="41" s="1"/>
  <c r="AF25" i="41"/>
  <c r="AC25" i="41"/>
  <c r="AB25" i="41"/>
  <c r="AV25" i="41" s="1"/>
  <c r="Z25" i="41"/>
  <c r="AU25" i="41" s="1"/>
  <c r="V25" i="41"/>
  <c r="AA25" i="41" s="1"/>
  <c r="Q25" i="41"/>
  <c r="N25" i="41"/>
  <c r="AY25" i="41" s="1"/>
  <c r="L25" i="41"/>
  <c r="K25" i="41"/>
  <c r="BA24" i="41"/>
  <c r="AX24" i="41"/>
  <c r="AR24" i="41"/>
  <c r="AQ24" i="41"/>
  <c r="AP24" i="41"/>
  <c r="AZ24" i="41" s="1"/>
  <c r="AF24" i="41"/>
  <c r="AC24" i="41"/>
  <c r="AB24" i="41"/>
  <c r="AV24" i="41" s="1"/>
  <c r="Z24" i="41"/>
  <c r="AU24" i="41" s="1"/>
  <c r="V24" i="41"/>
  <c r="AA24" i="41" s="1"/>
  <c r="AG24" i="41" s="1"/>
  <c r="Q24" i="41"/>
  <c r="N24" i="41"/>
  <c r="AY24" i="41" s="1"/>
  <c r="L24" i="41"/>
  <c r="K24" i="41"/>
  <c r="BA23" i="41"/>
  <c r="AY23" i="41"/>
  <c r="AR23" i="41"/>
  <c r="AQ23" i="41"/>
  <c r="AP23" i="41"/>
  <c r="AZ23" i="41" s="1"/>
  <c r="AD23" i="41"/>
  <c r="AC23" i="41"/>
  <c r="Z23" i="41"/>
  <c r="AU23" i="41" s="1"/>
  <c r="Q23" i="41"/>
  <c r="V23" i="41" s="1"/>
  <c r="N23" i="41"/>
  <c r="L23" i="41"/>
  <c r="K23" i="41"/>
  <c r="AZ22" i="41"/>
  <c r="AZ27" i="41" s="1"/>
  <c r="AT22" i="41"/>
  <c r="AQ22" i="41"/>
  <c r="AQ27" i="41" s="1"/>
  <c r="AP22" i="41"/>
  <c r="AR22" i="41" s="1"/>
  <c r="AF22" i="41"/>
  <c r="AC22" i="41"/>
  <c r="AW22" i="41" s="1"/>
  <c r="Z22" i="41"/>
  <c r="Z27" i="41" s="1"/>
  <c r="Q22" i="41"/>
  <c r="V22" i="41" s="1"/>
  <c r="N22" i="41"/>
  <c r="L22" i="41"/>
  <c r="K22" i="41"/>
  <c r="AO21" i="41"/>
  <c r="AN21" i="41"/>
  <c r="AM21" i="41"/>
  <c r="AL21" i="41"/>
  <c r="AK21" i="41"/>
  <c r="AJ21" i="41"/>
  <c r="AI21" i="41"/>
  <c r="AH21" i="41"/>
  <c r="AE21" i="41"/>
  <c r="AD21" i="41"/>
  <c r="Y21" i="41"/>
  <c r="X21" i="41"/>
  <c r="W21" i="41"/>
  <c r="U21" i="41"/>
  <c r="T21" i="41"/>
  <c r="S21" i="41"/>
  <c r="R21" i="41"/>
  <c r="P21" i="41"/>
  <c r="O21" i="41"/>
  <c r="M21" i="41"/>
  <c r="L21" i="41"/>
  <c r="J21" i="41"/>
  <c r="AQ20" i="41"/>
  <c r="BA20" i="41" s="1"/>
  <c r="AP20" i="41"/>
  <c r="AF20" i="41"/>
  <c r="AX20" i="41" s="1"/>
  <c r="AA20" i="41"/>
  <c r="Z20" i="41"/>
  <c r="AU20" i="41" s="1"/>
  <c r="Q20" i="41"/>
  <c r="V20" i="41" s="1"/>
  <c r="N20" i="41"/>
  <c r="L20" i="41"/>
  <c r="K20" i="41"/>
  <c r="I20" i="41" s="1"/>
  <c r="AQ19" i="41"/>
  <c r="AP19" i="41"/>
  <c r="AF19" i="41"/>
  <c r="AX19" i="41" s="1"/>
  <c r="AX152" i="41" s="1"/>
  <c r="Z19" i="41"/>
  <c r="Q19" i="41"/>
  <c r="N19" i="41"/>
  <c r="L19" i="41"/>
  <c r="K19" i="41"/>
  <c r="AQ18" i="41"/>
  <c r="BA18" i="41" s="1"/>
  <c r="AP18" i="41"/>
  <c r="AF18" i="41"/>
  <c r="AX18" i="41" s="1"/>
  <c r="AA18" i="41"/>
  <c r="Z18" i="41"/>
  <c r="AU18" i="41" s="1"/>
  <c r="Q18" i="41"/>
  <c r="V18" i="41" s="1"/>
  <c r="N18" i="41"/>
  <c r="L18" i="41"/>
  <c r="K18" i="41"/>
  <c r="I18" i="41" s="1"/>
  <c r="AQ17" i="41"/>
  <c r="AP17" i="41"/>
  <c r="AF17" i="41"/>
  <c r="AX17" i="41" s="1"/>
  <c r="Z17" i="41"/>
  <c r="Q17" i="41"/>
  <c r="Q21" i="41" s="1"/>
  <c r="N17" i="41"/>
  <c r="L17" i="41"/>
  <c r="K17" i="41"/>
  <c r="AO16" i="41"/>
  <c r="AN16" i="41"/>
  <c r="AM16" i="41"/>
  <c r="AL16" i="41"/>
  <c r="AK16" i="41"/>
  <c r="AJ16" i="41"/>
  <c r="AI16" i="41"/>
  <c r="AH16" i="41"/>
  <c r="AE16" i="41"/>
  <c r="AE141" i="41" s="1"/>
  <c r="AD16" i="41"/>
  <c r="Y16" i="41"/>
  <c r="X16" i="41"/>
  <c r="W16" i="41"/>
  <c r="U16" i="41"/>
  <c r="T16" i="41"/>
  <c r="S16" i="41"/>
  <c r="R16" i="41"/>
  <c r="O16" i="41"/>
  <c r="M16" i="41"/>
  <c r="M141" i="41" s="1"/>
  <c r="AZ15" i="41"/>
  <c r="AQ15" i="41"/>
  <c r="AP15" i="41"/>
  <c r="AF15" i="41"/>
  <c r="Z15" i="41"/>
  <c r="AU15" i="41" s="1"/>
  <c r="Q15" i="41"/>
  <c r="P15" i="41"/>
  <c r="M15" i="41"/>
  <c r="J15" i="41"/>
  <c r="AZ14" i="41"/>
  <c r="AQ14" i="41"/>
  <c r="BA14" i="41" s="1"/>
  <c r="AP14" i="41"/>
  <c r="AR14" i="41" s="1"/>
  <c r="AF14" i="41"/>
  <c r="AX14" i="41" s="1"/>
  <c r="AA14" i="41"/>
  <c r="Z14" i="41"/>
  <c r="AU14" i="41" s="1"/>
  <c r="Q14" i="41"/>
  <c r="V14" i="41" s="1"/>
  <c r="N14" i="41"/>
  <c r="L14" i="41"/>
  <c r="K14" i="41"/>
  <c r="I14" i="41"/>
  <c r="AQ13" i="41"/>
  <c r="BA13" i="41" s="1"/>
  <c r="AP13" i="41"/>
  <c r="AR13" i="41" s="1"/>
  <c r="AF13" i="41"/>
  <c r="AX13" i="41" s="1"/>
  <c r="AA13" i="41"/>
  <c r="Z13" i="41"/>
  <c r="AU13" i="41" s="1"/>
  <c r="Q13" i="41"/>
  <c r="V13" i="41" s="1"/>
  <c r="N13" i="41"/>
  <c r="L13" i="41"/>
  <c r="K13" i="41"/>
  <c r="I13" i="41" s="1"/>
  <c r="AQ12" i="41"/>
  <c r="AQ16" i="41" s="1"/>
  <c r="AP12" i="41"/>
  <c r="AZ12" i="41" s="1"/>
  <c r="AF12" i="41"/>
  <c r="Z12" i="41"/>
  <c r="Q12" i="41"/>
  <c r="N12" i="41"/>
  <c r="L12" i="41"/>
  <c r="K12" i="41"/>
  <c r="I12" i="41"/>
  <c r="AO178" i="40"/>
  <c r="AN178" i="40"/>
  <c r="AM178" i="40"/>
  <c r="AL178" i="40"/>
  <c r="AK178" i="40"/>
  <c r="AJ178" i="40"/>
  <c r="AI178" i="40"/>
  <c r="AH178" i="40"/>
  <c r="AE178" i="40"/>
  <c r="AD178" i="40"/>
  <c r="Y178" i="40"/>
  <c r="X178" i="40"/>
  <c r="W178" i="40"/>
  <c r="U178" i="40"/>
  <c r="T178" i="40"/>
  <c r="S178" i="40"/>
  <c r="R178" i="40"/>
  <c r="P178" i="40"/>
  <c r="O178" i="40"/>
  <c r="M178" i="40"/>
  <c r="J178" i="40"/>
  <c r="AO177" i="40"/>
  <c r="AN177" i="40"/>
  <c r="AM177" i="40"/>
  <c r="AL177" i="40"/>
  <c r="AK177" i="40"/>
  <c r="AJ177" i="40"/>
  <c r="AI177" i="40"/>
  <c r="AH177" i="40"/>
  <c r="AE177" i="40"/>
  <c r="AD177" i="40"/>
  <c r="Y177" i="40"/>
  <c r="X177" i="40"/>
  <c r="W177" i="40"/>
  <c r="U177" i="40"/>
  <c r="T177" i="40"/>
  <c r="S177" i="40"/>
  <c r="R177" i="40"/>
  <c r="P177" i="40"/>
  <c r="O177" i="40"/>
  <c r="M177" i="40"/>
  <c r="J177" i="40"/>
  <c r="AO176" i="40"/>
  <c r="AN176" i="40"/>
  <c r="AM176" i="40"/>
  <c r="AL176" i="40"/>
  <c r="AK176" i="40"/>
  <c r="AJ176" i="40"/>
  <c r="AI176" i="40"/>
  <c r="AH176" i="40"/>
  <c r="AE176" i="40"/>
  <c r="AD176" i="40"/>
  <c r="Y176" i="40"/>
  <c r="X176" i="40"/>
  <c r="W176" i="40"/>
  <c r="U176" i="40"/>
  <c r="T176" i="40"/>
  <c r="S176" i="40"/>
  <c r="R176" i="40"/>
  <c r="P176" i="40"/>
  <c r="O176" i="40"/>
  <c r="M176" i="40"/>
  <c r="J176" i="40"/>
  <c r="AO175" i="40"/>
  <c r="AN175" i="40"/>
  <c r="AM175" i="40"/>
  <c r="AL175" i="40"/>
  <c r="AK175" i="40"/>
  <c r="AJ175" i="40"/>
  <c r="AI175" i="40"/>
  <c r="AH175" i="40"/>
  <c r="AE175" i="40"/>
  <c r="AD175" i="40"/>
  <c r="Y175" i="40"/>
  <c r="X175" i="40"/>
  <c r="W175" i="40"/>
  <c r="U175" i="40"/>
  <c r="T175" i="40"/>
  <c r="S175" i="40"/>
  <c r="R175" i="40"/>
  <c r="O175" i="40"/>
  <c r="BA174" i="40"/>
  <c r="AZ174" i="40"/>
  <c r="AY174" i="40"/>
  <c r="AX174" i="40"/>
  <c r="AW174" i="40"/>
  <c r="AV174" i="40"/>
  <c r="AU174" i="40"/>
  <c r="AT174" i="40"/>
  <c r="AS174" i="40"/>
  <c r="AR174" i="40"/>
  <c r="AQ174" i="40"/>
  <c r="AP174" i="40"/>
  <c r="AO174" i="40"/>
  <c r="AN174" i="40"/>
  <c r="AM174" i="40"/>
  <c r="AL174" i="40"/>
  <c r="AK174" i="40"/>
  <c r="AJ174" i="40"/>
  <c r="AI174" i="40"/>
  <c r="AH174" i="40"/>
  <c r="AG174" i="40"/>
  <c r="AF174" i="40"/>
  <c r="AE174" i="40"/>
  <c r="AD174" i="40"/>
  <c r="AC174" i="40"/>
  <c r="AB174" i="40"/>
  <c r="AA174" i="40"/>
  <c r="Z174" i="40"/>
  <c r="Y174" i="40"/>
  <c r="X174" i="40"/>
  <c r="X168" i="40" s="1"/>
  <c r="W174" i="40"/>
  <c r="V174" i="40"/>
  <c r="U174" i="40"/>
  <c r="T174" i="40"/>
  <c r="S174" i="40"/>
  <c r="R174" i="40"/>
  <c r="Q174" i="40"/>
  <c r="P174" i="40"/>
  <c r="O174" i="40"/>
  <c r="N174" i="40"/>
  <c r="M174" i="40"/>
  <c r="L174" i="40"/>
  <c r="K174" i="40"/>
  <c r="J174" i="40"/>
  <c r="I174" i="40"/>
  <c r="AO173" i="40"/>
  <c r="AN173" i="40"/>
  <c r="AM173" i="40"/>
  <c r="AL173" i="40"/>
  <c r="AK173" i="40"/>
  <c r="AJ173" i="40"/>
  <c r="AI173" i="40"/>
  <c r="AH173" i="40"/>
  <c r="AE173" i="40"/>
  <c r="AD173" i="40"/>
  <c r="Y173" i="40"/>
  <c r="X173" i="40"/>
  <c r="W173" i="40"/>
  <c r="U173" i="40"/>
  <c r="T173" i="40"/>
  <c r="S173" i="40"/>
  <c r="R173" i="40"/>
  <c r="P173" i="40"/>
  <c r="O173" i="40"/>
  <c r="M173" i="40"/>
  <c r="J173" i="40"/>
  <c r="AO172" i="40"/>
  <c r="AN172" i="40"/>
  <c r="AM172" i="40"/>
  <c r="AL172" i="40"/>
  <c r="AK172" i="40"/>
  <c r="AJ172" i="40"/>
  <c r="AI172" i="40"/>
  <c r="AH172" i="40"/>
  <c r="AE172" i="40"/>
  <c r="AD172" i="40"/>
  <c r="Y172" i="40"/>
  <c r="X172" i="40"/>
  <c r="W172" i="40"/>
  <c r="U172" i="40"/>
  <c r="T172" i="40"/>
  <c r="S172" i="40"/>
  <c r="R172" i="40"/>
  <c r="P172" i="40"/>
  <c r="O172" i="40"/>
  <c r="M172" i="40"/>
  <c r="J172" i="40"/>
  <c r="AO171" i="40"/>
  <c r="AN171" i="40"/>
  <c r="AM171" i="40"/>
  <c r="AL171" i="40"/>
  <c r="AK171" i="40"/>
  <c r="AJ171" i="40"/>
  <c r="AI171" i="40"/>
  <c r="AH171" i="40"/>
  <c r="AE171" i="40"/>
  <c r="AD171" i="40"/>
  <c r="Y171" i="40"/>
  <c r="X171" i="40"/>
  <c r="W171" i="40"/>
  <c r="U171" i="40"/>
  <c r="T171" i="40"/>
  <c r="S171" i="40"/>
  <c r="R171" i="40"/>
  <c r="P171" i="40"/>
  <c r="O171" i="40"/>
  <c r="M171" i="40"/>
  <c r="J171" i="40"/>
  <c r="AO170" i="40"/>
  <c r="AN170" i="40"/>
  <c r="AM170" i="40"/>
  <c r="AL170" i="40"/>
  <c r="AK170" i="40"/>
  <c r="AI170" i="40"/>
  <c r="AH170" i="40"/>
  <c r="AE170" i="40"/>
  <c r="AD170" i="40"/>
  <c r="Y170" i="40"/>
  <c r="X170" i="40"/>
  <c r="W170" i="40"/>
  <c r="U170" i="40"/>
  <c r="T170" i="40"/>
  <c r="S170" i="40"/>
  <c r="P170" i="40"/>
  <c r="O170" i="40"/>
  <c r="M170" i="40"/>
  <c r="J170" i="40"/>
  <c r="AO169" i="40"/>
  <c r="AN169" i="40"/>
  <c r="AN168" i="40" s="1"/>
  <c r="AM169" i="40"/>
  <c r="AM168" i="40" s="1"/>
  <c r="AL169" i="40"/>
  <c r="AK169" i="40"/>
  <c r="AI169" i="40"/>
  <c r="AH169" i="40"/>
  <c r="AE169" i="40"/>
  <c r="AE168" i="40" s="1"/>
  <c r="AD169" i="40"/>
  <c r="Y169" i="40"/>
  <c r="Y168" i="40" s="1"/>
  <c r="X169" i="40"/>
  <c r="W169" i="40"/>
  <c r="U169" i="40"/>
  <c r="T169" i="40"/>
  <c r="S169" i="40"/>
  <c r="S168" i="40" s="1"/>
  <c r="P169" i="40"/>
  <c r="O169" i="40"/>
  <c r="M169" i="40"/>
  <c r="J169" i="40"/>
  <c r="AO168" i="40"/>
  <c r="AL168" i="40"/>
  <c r="AQ167" i="40" s="1"/>
  <c r="AK168" i="40"/>
  <c r="AI168" i="40"/>
  <c r="AH168" i="40"/>
  <c r="AD168" i="40"/>
  <c r="AF167" i="40" s="1"/>
  <c r="W168" i="40"/>
  <c r="U168" i="40"/>
  <c r="T168" i="40"/>
  <c r="O168" i="40"/>
  <c r="AX164" i="40"/>
  <c r="AO164" i="40"/>
  <c r="AN164" i="40"/>
  <c r="AM164" i="40"/>
  <c r="AL164" i="40"/>
  <c r="AK164" i="40"/>
  <c r="AJ164" i="40"/>
  <c r="AI164" i="40"/>
  <c r="AH164" i="40"/>
  <c r="AF164" i="40"/>
  <c r="AE164" i="40"/>
  <c r="AD164" i="40"/>
  <c r="Y164" i="40"/>
  <c r="X164" i="40"/>
  <c r="W164" i="40"/>
  <c r="U164" i="40"/>
  <c r="T164" i="40"/>
  <c r="S164" i="40"/>
  <c r="R164" i="40"/>
  <c r="Q164" i="40"/>
  <c r="P164" i="40"/>
  <c r="O164" i="40"/>
  <c r="M164" i="40"/>
  <c r="K164" i="40"/>
  <c r="J164" i="40"/>
  <c r="BA163" i="40"/>
  <c r="AX163" i="40"/>
  <c r="AU163" i="40"/>
  <c r="AR163" i="40"/>
  <c r="AQ163" i="40"/>
  <c r="AP163" i="40"/>
  <c r="AZ163" i="40" s="1"/>
  <c r="AF163" i="40"/>
  <c r="AC163" i="40"/>
  <c r="AB163" i="40"/>
  <c r="AV163" i="40" s="1"/>
  <c r="Z163" i="40"/>
  <c r="V163" i="40"/>
  <c r="Q163" i="40"/>
  <c r="N163" i="40"/>
  <c r="AY163" i="40" s="1"/>
  <c r="L163" i="40"/>
  <c r="K163" i="40"/>
  <c r="BA162" i="40"/>
  <c r="AX162" i="40"/>
  <c r="AU162" i="40"/>
  <c r="AQ162" i="40"/>
  <c r="AP162" i="40"/>
  <c r="AZ162" i="40" s="1"/>
  <c r="AF162" i="40"/>
  <c r="Z162" i="40"/>
  <c r="V162" i="40"/>
  <c r="Q162" i="40"/>
  <c r="N162" i="40"/>
  <c r="N164" i="40" s="1"/>
  <c r="L162" i="40"/>
  <c r="K162" i="40"/>
  <c r="I162" i="40"/>
  <c r="BA161" i="40"/>
  <c r="BA164" i="40" s="1"/>
  <c r="AX161" i="40"/>
  <c r="AQ161" i="40"/>
  <c r="AQ164" i="40" s="1"/>
  <c r="AP161" i="40"/>
  <c r="AZ161" i="40" s="1"/>
  <c r="AZ164" i="40" s="1"/>
  <c r="AF161" i="40"/>
  <c r="Z161" i="40"/>
  <c r="V161" i="40"/>
  <c r="AC161" i="40" s="1"/>
  <c r="Q161" i="40"/>
  <c r="N161" i="40"/>
  <c r="L161" i="40"/>
  <c r="K161" i="40"/>
  <c r="I161" i="40"/>
  <c r="AO160" i="40"/>
  <c r="AN160" i="40"/>
  <c r="AM160" i="40"/>
  <c r="AL160" i="40"/>
  <c r="AK160" i="40"/>
  <c r="AJ160" i="40"/>
  <c r="AI160" i="40"/>
  <c r="AH160" i="40"/>
  <c r="AF160" i="40"/>
  <c r="AE160" i="40"/>
  <c r="AD160" i="40"/>
  <c r="Y160" i="40"/>
  <c r="X160" i="40"/>
  <c r="W160" i="40"/>
  <c r="U160" i="40"/>
  <c r="T160" i="40"/>
  <c r="S160" i="40"/>
  <c r="R160" i="40"/>
  <c r="Q160" i="40"/>
  <c r="P160" i="40"/>
  <c r="O160" i="40"/>
  <c r="M160" i="40"/>
  <c r="L160" i="40"/>
  <c r="K160" i="40"/>
  <c r="J160" i="40"/>
  <c r="BA159" i="40"/>
  <c r="AX159" i="40"/>
  <c r="AQ159" i="40"/>
  <c r="AP159" i="40"/>
  <c r="AF159" i="40"/>
  <c r="Z159" i="40"/>
  <c r="AU159" i="40" s="1"/>
  <c r="V159" i="40"/>
  <c r="Q159" i="40"/>
  <c r="N159" i="40"/>
  <c r="L159" i="40"/>
  <c r="K159" i="40"/>
  <c r="I159" i="40"/>
  <c r="BA158" i="40"/>
  <c r="AX158" i="40"/>
  <c r="AR158" i="40"/>
  <c r="AY158" i="40" s="1"/>
  <c r="AQ158" i="40"/>
  <c r="AP158" i="40"/>
  <c r="AZ158" i="40" s="1"/>
  <c r="AF158" i="40"/>
  <c r="AC158" i="40"/>
  <c r="AB158" i="40"/>
  <c r="AV158" i="40" s="1"/>
  <c r="Z158" i="40"/>
  <c r="AU158" i="40" s="1"/>
  <c r="V158" i="40"/>
  <c r="Q158" i="40"/>
  <c r="N158" i="40"/>
  <c r="L158" i="40"/>
  <c r="AW158" i="40" s="1"/>
  <c r="K158" i="40"/>
  <c r="I158" i="40"/>
  <c r="BA157" i="40"/>
  <c r="AX157" i="40"/>
  <c r="AU157" i="40"/>
  <c r="AQ157" i="40"/>
  <c r="AP157" i="40"/>
  <c r="AZ157" i="40" s="1"/>
  <c r="AF157" i="40"/>
  <c r="AC157" i="40"/>
  <c r="Z157" i="40"/>
  <c r="V157" i="40"/>
  <c r="Q157" i="40"/>
  <c r="N157" i="40"/>
  <c r="L157" i="40"/>
  <c r="AW157" i="40" s="1"/>
  <c r="K157" i="40"/>
  <c r="BA156" i="40"/>
  <c r="AX156" i="40"/>
  <c r="AQ156" i="40"/>
  <c r="AP156" i="40"/>
  <c r="AF156" i="40"/>
  <c r="Z156" i="40"/>
  <c r="AU156" i="40" s="1"/>
  <c r="V156" i="40"/>
  <c r="Q156" i="40"/>
  <c r="N156" i="40"/>
  <c r="L156" i="40"/>
  <c r="K156" i="40"/>
  <c r="I156" i="40"/>
  <c r="BA155" i="40"/>
  <c r="BA160" i="40" s="1"/>
  <c r="AX155" i="40"/>
  <c r="AR155" i="40"/>
  <c r="AQ155" i="40"/>
  <c r="AQ160" i="40" s="1"/>
  <c r="AP155" i="40"/>
  <c r="AZ155" i="40" s="1"/>
  <c r="AF155" i="40"/>
  <c r="AC155" i="40"/>
  <c r="AB155" i="40"/>
  <c r="Z155" i="40"/>
  <c r="AU155" i="40" s="1"/>
  <c r="V155" i="40"/>
  <c r="Q155" i="40"/>
  <c r="N155" i="40"/>
  <c r="N160" i="40" s="1"/>
  <c r="L155" i="40"/>
  <c r="AW155" i="40" s="1"/>
  <c r="K155" i="40"/>
  <c r="I155" i="40"/>
  <c r="AP154" i="40"/>
  <c r="AO154" i="40"/>
  <c r="AN154" i="40"/>
  <c r="AM154" i="40"/>
  <c r="AL154" i="40"/>
  <c r="AK154" i="40"/>
  <c r="AJ154" i="40"/>
  <c r="AI154" i="40"/>
  <c r="AH154" i="40"/>
  <c r="AE154" i="40"/>
  <c r="AD154" i="40"/>
  <c r="Y154" i="40"/>
  <c r="X154" i="40"/>
  <c r="W154" i="40"/>
  <c r="U154" i="40"/>
  <c r="T154" i="40"/>
  <c r="S154" i="40"/>
  <c r="R154" i="40"/>
  <c r="Q154" i="40"/>
  <c r="P154" i="40"/>
  <c r="O154" i="40"/>
  <c r="M154" i="40"/>
  <c r="K154" i="40"/>
  <c r="J154" i="40"/>
  <c r="AZ153" i="40"/>
  <c r="AX153" i="40"/>
  <c r="AR153" i="40"/>
  <c r="AQ153" i="40"/>
  <c r="BA153" i="40" s="1"/>
  <c r="AP153" i="40"/>
  <c r="AF153" i="40"/>
  <c r="AB153" i="40"/>
  <c r="Z153" i="40"/>
  <c r="AU153" i="40" s="1"/>
  <c r="Q153" i="40"/>
  <c r="V153" i="40" s="1"/>
  <c r="N153" i="40"/>
  <c r="L153" i="40"/>
  <c r="K153" i="40"/>
  <c r="AZ152" i="40"/>
  <c r="AZ154" i="40" s="1"/>
  <c r="AX152" i="40"/>
  <c r="AX154" i="40" s="1"/>
  <c r="AR152" i="40"/>
  <c r="AR154" i="40" s="1"/>
  <c r="AQ152" i="40"/>
  <c r="BA152" i="40" s="1"/>
  <c r="BA154" i="40" s="1"/>
  <c r="AP152" i="40"/>
  <c r="AF152" i="40"/>
  <c r="AF154" i="40" s="1"/>
  <c r="AB152" i="40"/>
  <c r="AB154" i="40" s="1"/>
  <c r="Z152" i="40"/>
  <c r="Z154" i="40" s="1"/>
  <c r="Q152" i="40"/>
  <c r="V152" i="40" s="1"/>
  <c r="N152" i="40"/>
  <c r="N154" i="40" s="1"/>
  <c r="L152" i="40"/>
  <c r="K152" i="40"/>
  <c r="AO151" i="40"/>
  <c r="AN151" i="40"/>
  <c r="AM151" i="40"/>
  <c r="AL151" i="40"/>
  <c r="AK151" i="40"/>
  <c r="AJ151" i="40"/>
  <c r="AI151" i="40"/>
  <c r="AH151" i="40"/>
  <c r="AE151" i="40"/>
  <c r="AD151" i="40"/>
  <c r="Y151" i="40"/>
  <c r="X151" i="40"/>
  <c r="W151" i="40"/>
  <c r="U151" i="40"/>
  <c r="T151" i="40"/>
  <c r="S151" i="40"/>
  <c r="R151" i="40"/>
  <c r="P151" i="40"/>
  <c r="O151" i="40"/>
  <c r="N151" i="40"/>
  <c r="M151" i="40"/>
  <c r="J151" i="40"/>
  <c r="BA150" i="40"/>
  <c r="AZ150" i="40"/>
  <c r="AU150" i="40"/>
  <c r="AQ150" i="40"/>
  <c r="AP150" i="40"/>
  <c r="AR150" i="40" s="1"/>
  <c r="AF150" i="40"/>
  <c r="AX150" i="40" s="1"/>
  <c r="Z150" i="40"/>
  <c r="V150" i="40"/>
  <c r="Q150" i="40"/>
  <c r="N150" i="40"/>
  <c r="L150" i="40"/>
  <c r="K150" i="40"/>
  <c r="I150" i="40"/>
  <c r="BA149" i="40"/>
  <c r="AZ149" i="40"/>
  <c r="AU149" i="40"/>
  <c r="AQ149" i="40"/>
  <c r="AP149" i="40"/>
  <c r="AR149" i="40" s="1"/>
  <c r="AF149" i="40"/>
  <c r="AX149" i="40" s="1"/>
  <c r="Z149" i="40"/>
  <c r="Q149" i="40"/>
  <c r="V149" i="40" s="1"/>
  <c r="N149" i="40"/>
  <c r="AY149" i="40" s="1"/>
  <c r="L149" i="40"/>
  <c r="K149" i="40"/>
  <c r="I149" i="40"/>
  <c r="BA148" i="40"/>
  <c r="AZ148" i="40"/>
  <c r="AU148" i="40"/>
  <c r="AQ148" i="40"/>
  <c r="AP148" i="40"/>
  <c r="AR148" i="40" s="1"/>
  <c r="AF148" i="40"/>
  <c r="AX148" i="40" s="1"/>
  <c r="Z148" i="40"/>
  <c r="Q148" i="40"/>
  <c r="V148" i="40" s="1"/>
  <c r="N148" i="40"/>
  <c r="AY148" i="40" s="1"/>
  <c r="L148" i="40"/>
  <c r="K148" i="40"/>
  <c r="I148" i="40"/>
  <c r="BA147" i="40"/>
  <c r="AZ147" i="40"/>
  <c r="AU147" i="40"/>
  <c r="AQ147" i="40"/>
  <c r="AP147" i="40"/>
  <c r="AR147" i="40" s="1"/>
  <c r="AF147" i="40"/>
  <c r="AX147" i="40" s="1"/>
  <c r="Z147" i="40"/>
  <c r="V147" i="40"/>
  <c r="AT147" i="40" s="1"/>
  <c r="Q147" i="40"/>
  <c r="N147" i="40"/>
  <c r="AY147" i="40" s="1"/>
  <c r="L147" i="40"/>
  <c r="K147" i="40"/>
  <c r="I147" i="40"/>
  <c r="BA146" i="40"/>
  <c r="AZ146" i="40"/>
  <c r="AU146" i="40"/>
  <c r="AQ146" i="40"/>
  <c r="AP146" i="40"/>
  <c r="AR146" i="40" s="1"/>
  <c r="AF146" i="40"/>
  <c r="AX146" i="40" s="1"/>
  <c r="Z146" i="40"/>
  <c r="Q146" i="40"/>
  <c r="V146" i="40" s="1"/>
  <c r="N146" i="40"/>
  <c r="AY146" i="40" s="1"/>
  <c r="L146" i="40"/>
  <c r="K146" i="40"/>
  <c r="I146" i="40"/>
  <c r="BA145" i="40"/>
  <c r="AZ145" i="40"/>
  <c r="AZ151" i="40" s="1"/>
  <c r="AQ145" i="40"/>
  <c r="AQ151" i="40" s="1"/>
  <c r="AP145" i="40"/>
  <c r="AF145" i="40"/>
  <c r="Z145" i="40"/>
  <c r="Z151" i="40" s="1"/>
  <c r="V145" i="40"/>
  <c r="Q145" i="40"/>
  <c r="N145" i="40"/>
  <c r="L145" i="40"/>
  <c r="L151" i="40" s="1"/>
  <c r="K145" i="40"/>
  <c r="K151" i="40" s="1"/>
  <c r="I145" i="40"/>
  <c r="AO144" i="40"/>
  <c r="AN144" i="40"/>
  <c r="AM144" i="40"/>
  <c r="AL144" i="40"/>
  <c r="AK144" i="40"/>
  <c r="AJ144" i="40"/>
  <c r="AI144" i="40"/>
  <c r="AH144" i="40"/>
  <c r="AE144" i="40"/>
  <c r="AD144" i="40"/>
  <c r="Y144" i="40"/>
  <c r="X144" i="40"/>
  <c r="W144" i="40"/>
  <c r="U144" i="40"/>
  <c r="T144" i="40"/>
  <c r="S144" i="40"/>
  <c r="R144" i="40"/>
  <c r="P144" i="40"/>
  <c r="O144" i="40"/>
  <c r="M144" i="40"/>
  <c r="L144" i="40"/>
  <c r="J144" i="40"/>
  <c r="AZ143" i="40"/>
  <c r="AX143" i="40"/>
  <c r="AQ143" i="40"/>
  <c r="BA143" i="40" s="1"/>
  <c r="AP143" i="40"/>
  <c r="AF143" i="40"/>
  <c r="Z143" i="40"/>
  <c r="AU143" i="40" s="1"/>
  <c r="Q143" i="40"/>
  <c r="V143" i="40" s="1"/>
  <c r="N143" i="40"/>
  <c r="L143" i="40"/>
  <c r="K143" i="40"/>
  <c r="AZ142" i="40"/>
  <c r="AX142" i="40"/>
  <c r="AR142" i="40"/>
  <c r="AQ142" i="40"/>
  <c r="BA142" i="40" s="1"/>
  <c r="AP142" i="40"/>
  <c r="AF142" i="40"/>
  <c r="AA142" i="40"/>
  <c r="Z142" i="40"/>
  <c r="AU142" i="40" s="1"/>
  <c r="Q142" i="40"/>
  <c r="V142" i="40" s="1"/>
  <c r="N142" i="40"/>
  <c r="AY142" i="40" s="1"/>
  <c r="L142" i="40"/>
  <c r="K142" i="40"/>
  <c r="AZ141" i="40"/>
  <c r="AY141" i="40"/>
  <c r="AR141" i="40"/>
  <c r="AQ141" i="40"/>
  <c r="BA141" i="40" s="1"/>
  <c r="AP141" i="40"/>
  <c r="AF141" i="40"/>
  <c r="AX141" i="40" s="1"/>
  <c r="AA141" i="40"/>
  <c r="Z141" i="40"/>
  <c r="AU141" i="40" s="1"/>
  <c r="Q141" i="40"/>
  <c r="V141" i="40" s="1"/>
  <c r="N141" i="40"/>
  <c r="L141" i="40"/>
  <c r="K141" i="40"/>
  <c r="AZ140" i="40"/>
  <c r="AX140" i="40"/>
  <c r="AQ140" i="40"/>
  <c r="BA140" i="40" s="1"/>
  <c r="AP140" i="40"/>
  <c r="AF140" i="40"/>
  <c r="Z140" i="40"/>
  <c r="AU140" i="40" s="1"/>
  <c r="Q140" i="40"/>
  <c r="V140" i="40" s="1"/>
  <c r="N140" i="40"/>
  <c r="L140" i="40"/>
  <c r="K140" i="40"/>
  <c r="AZ139" i="40"/>
  <c r="AX139" i="40"/>
  <c r="AR139" i="40"/>
  <c r="AQ139" i="40"/>
  <c r="BA139" i="40" s="1"/>
  <c r="AP139" i="40"/>
  <c r="AF139" i="40"/>
  <c r="Z139" i="40"/>
  <c r="AU139" i="40" s="1"/>
  <c r="Q139" i="40"/>
  <c r="V139" i="40" s="1"/>
  <c r="N139" i="40"/>
  <c r="AY139" i="40" s="1"/>
  <c r="L139" i="40"/>
  <c r="K139" i="40"/>
  <c r="AX138" i="40"/>
  <c r="AQ138" i="40"/>
  <c r="AP138" i="40"/>
  <c r="AR138" i="40" s="1"/>
  <c r="AF138" i="40"/>
  <c r="AF144" i="40" s="1"/>
  <c r="Z138" i="40"/>
  <c r="Q138" i="40"/>
  <c r="N138" i="40"/>
  <c r="L138" i="40"/>
  <c r="K138" i="40"/>
  <c r="K144" i="40" s="1"/>
  <c r="I138" i="40"/>
  <c r="AO137" i="40"/>
  <c r="AN137" i="40"/>
  <c r="AM137" i="40"/>
  <c r="AL137" i="40"/>
  <c r="AK137" i="40"/>
  <c r="AJ137" i="40"/>
  <c r="AI137" i="40"/>
  <c r="AH137" i="40"/>
  <c r="AF137" i="40"/>
  <c r="AE137" i="40"/>
  <c r="AD137" i="40"/>
  <c r="Y137" i="40"/>
  <c r="X137" i="40"/>
  <c r="W137" i="40"/>
  <c r="U137" i="40"/>
  <c r="T137" i="40"/>
  <c r="S137" i="40"/>
  <c r="R137" i="40"/>
  <c r="Q137" i="40"/>
  <c r="P137" i="40"/>
  <c r="O137" i="40"/>
  <c r="N137" i="40"/>
  <c r="M137" i="40"/>
  <c r="J137" i="40"/>
  <c r="AX136" i="40"/>
  <c r="AQ136" i="40"/>
  <c r="BA136" i="40" s="1"/>
  <c r="AP136" i="40"/>
  <c r="AF136" i="40"/>
  <c r="Z136" i="40"/>
  <c r="AU136" i="40" s="1"/>
  <c r="V136" i="40"/>
  <c r="Q136" i="40"/>
  <c r="N136" i="40"/>
  <c r="L136" i="40"/>
  <c r="K136" i="40"/>
  <c r="I136" i="40"/>
  <c r="BA135" i="40"/>
  <c r="AX135" i="40"/>
  <c r="AQ135" i="40"/>
  <c r="AR135" i="40" s="1"/>
  <c r="AP135" i="40"/>
  <c r="AZ135" i="40" s="1"/>
  <c r="AF135" i="40"/>
  <c r="Z135" i="40"/>
  <c r="AU135" i="40" s="1"/>
  <c r="V135" i="40"/>
  <c r="Q135" i="40"/>
  <c r="N135" i="40"/>
  <c r="L135" i="40"/>
  <c r="K135" i="40"/>
  <c r="I135" i="40" s="1"/>
  <c r="AX134" i="40"/>
  <c r="AQ134" i="40"/>
  <c r="AR134" i="40" s="1"/>
  <c r="AP134" i="40"/>
  <c r="AZ134" i="40" s="1"/>
  <c r="AF134" i="40"/>
  <c r="AB134" i="40"/>
  <c r="Z134" i="40"/>
  <c r="AU134" i="40" s="1"/>
  <c r="V134" i="40"/>
  <c r="Q134" i="40"/>
  <c r="N134" i="40"/>
  <c r="L134" i="40"/>
  <c r="K134" i="40"/>
  <c r="I134" i="40"/>
  <c r="AX133" i="40"/>
  <c r="AU133" i="40"/>
  <c r="AQ133" i="40"/>
  <c r="BA133" i="40" s="1"/>
  <c r="AP133" i="40"/>
  <c r="AZ133" i="40" s="1"/>
  <c r="AF133" i="40"/>
  <c r="AB133" i="40"/>
  <c r="AV133" i="40" s="1"/>
  <c r="Z133" i="40"/>
  <c r="V133" i="40"/>
  <c r="AA133" i="40" s="1"/>
  <c r="Q133" i="40"/>
  <c r="N133" i="40"/>
  <c r="L133" i="40"/>
  <c r="K133" i="40"/>
  <c r="BA132" i="40"/>
  <c r="AX132" i="40"/>
  <c r="AQ132" i="40"/>
  <c r="AR132" i="40" s="1"/>
  <c r="AP132" i="40"/>
  <c r="AZ132" i="40" s="1"/>
  <c r="AF132" i="40"/>
  <c r="AB132" i="40"/>
  <c r="AV132" i="40" s="1"/>
  <c r="Z132" i="40"/>
  <c r="AA132" i="40" s="1"/>
  <c r="V132" i="40"/>
  <c r="Q132" i="40"/>
  <c r="N132" i="40"/>
  <c r="L132" i="40"/>
  <c r="K132" i="40"/>
  <c r="I132" i="40"/>
  <c r="AX131" i="40"/>
  <c r="AU131" i="40"/>
  <c r="AR131" i="40"/>
  <c r="AQ131" i="40"/>
  <c r="AP131" i="40"/>
  <c r="AF131" i="40"/>
  <c r="Z131" i="40"/>
  <c r="V131" i="40"/>
  <c r="Q131" i="40"/>
  <c r="N131" i="40"/>
  <c r="L131" i="40"/>
  <c r="K131" i="40"/>
  <c r="BA130" i="40"/>
  <c r="AQ130" i="40"/>
  <c r="AP130" i="40"/>
  <c r="AO130" i="40"/>
  <c r="AN130" i="40"/>
  <c r="AM130" i="40"/>
  <c r="AL130" i="40"/>
  <c r="AK130" i="40"/>
  <c r="AJ130" i="40"/>
  <c r="AI130" i="40"/>
  <c r="AH130" i="40"/>
  <c r="AE130" i="40"/>
  <c r="AD130" i="40"/>
  <c r="Z130" i="40"/>
  <c r="Y130" i="40"/>
  <c r="X130" i="40"/>
  <c r="W130" i="40"/>
  <c r="U130" i="40"/>
  <c r="T130" i="40"/>
  <c r="S130" i="40"/>
  <c r="R130" i="40"/>
  <c r="P130" i="40"/>
  <c r="O130" i="40"/>
  <c r="M130" i="40"/>
  <c r="K130" i="40"/>
  <c r="J130" i="40"/>
  <c r="BA129" i="40"/>
  <c r="AZ129" i="40"/>
  <c r="AY129" i="40"/>
  <c r="AX129" i="40"/>
  <c r="AU129" i="40"/>
  <c r="AR129" i="40"/>
  <c r="AQ129" i="40"/>
  <c r="AP129" i="40"/>
  <c r="AF129" i="40"/>
  <c r="Z129" i="40"/>
  <c r="Q129" i="40"/>
  <c r="V129" i="40" s="1"/>
  <c r="AC129" i="40" s="1"/>
  <c r="AC130" i="40" s="1"/>
  <c r="N129" i="40"/>
  <c r="L129" i="40"/>
  <c r="K129" i="40"/>
  <c r="BA128" i="40"/>
  <c r="AZ128" i="40"/>
  <c r="AU128" i="40"/>
  <c r="AU130" i="40" s="1"/>
  <c r="AT128" i="40"/>
  <c r="AR128" i="40"/>
  <c r="AR130" i="40" s="1"/>
  <c r="AQ128" i="40"/>
  <c r="AP128" i="40"/>
  <c r="AF128" i="40"/>
  <c r="AX128" i="40" s="1"/>
  <c r="AX130" i="40" s="1"/>
  <c r="AC128" i="40"/>
  <c r="Z128" i="40"/>
  <c r="Q128" i="40"/>
  <c r="V128" i="40" s="1"/>
  <c r="N128" i="40"/>
  <c r="N130" i="40" s="1"/>
  <c r="L128" i="40"/>
  <c r="K128" i="40"/>
  <c r="AO127" i="40"/>
  <c r="AN127" i="40"/>
  <c r="AM127" i="40"/>
  <c r="AL127" i="40"/>
  <c r="AK127" i="40"/>
  <c r="AJ127" i="40"/>
  <c r="AI127" i="40"/>
  <c r="AH127" i="40"/>
  <c r="AF127" i="40"/>
  <c r="AE127" i="40"/>
  <c r="AD127" i="40"/>
  <c r="Y127" i="40"/>
  <c r="X127" i="40"/>
  <c r="W127" i="40"/>
  <c r="U127" i="40"/>
  <c r="T127" i="40"/>
  <c r="S127" i="40"/>
  <c r="R127" i="40"/>
  <c r="Q127" i="40"/>
  <c r="P127" i="40"/>
  <c r="O127" i="40"/>
  <c r="N127" i="40"/>
  <c r="M127" i="40"/>
  <c r="J127" i="40"/>
  <c r="BA126" i="40"/>
  <c r="AX126" i="40"/>
  <c r="AQ126" i="40"/>
  <c r="AR126" i="40" s="1"/>
  <c r="AP126" i="40"/>
  <c r="AZ126" i="40" s="1"/>
  <c r="AF126" i="40"/>
  <c r="AB126" i="40"/>
  <c r="Z126" i="40"/>
  <c r="AU126" i="40" s="1"/>
  <c r="AU127" i="40" s="1"/>
  <c r="V126" i="40"/>
  <c r="Q126" i="40"/>
  <c r="N126" i="40"/>
  <c r="L126" i="40"/>
  <c r="K126" i="40"/>
  <c r="AV126" i="40" s="1"/>
  <c r="AX125" i="40"/>
  <c r="AX127" i="40" s="1"/>
  <c r="AU125" i="40"/>
  <c r="AQ125" i="40"/>
  <c r="AP125" i="40"/>
  <c r="AF125" i="40"/>
  <c r="Z125" i="40"/>
  <c r="V125" i="40"/>
  <c r="V127" i="40" s="1"/>
  <c r="Q125" i="40"/>
  <c r="N125" i="40"/>
  <c r="L125" i="40"/>
  <c r="K125" i="40"/>
  <c r="AO124" i="40"/>
  <c r="AN124" i="40"/>
  <c r="AM124" i="40"/>
  <c r="AL124" i="40"/>
  <c r="AK124" i="40"/>
  <c r="AI124" i="40"/>
  <c r="AH124" i="40"/>
  <c r="AE124" i="40"/>
  <c r="AD124" i="40"/>
  <c r="Z124" i="40"/>
  <c r="Y124" i="40"/>
  <c r="X124" i="40"/>
  <c r="W124" i="40"/>
  <c r="U124" i="40"/>
  <c r="T124" i="40"/>
  <c r="S124" i="40"/>
  <c r="P124" i="40"/>
  <c r="O124" i="40"/>
  <c r="M124" i="40"/>
  <c r="K124" i="40"/>
  <c r="J124" i="40"/>
  <c r="BA123" i="40"/>
  <c r="AZ123" i="40"/>
  <c r="AY123" i="40"/>
  <c r="AX123" i="40"/>
  <c r="AU123" i="40"/>
  <c r="AR123" i="40"/>
  <c r="AQ123" i="40"/>
  <c r="AP123" i="40"/>
  <c r="AF123" i="40"/>
  <c r="Z123" i="40"/>
  <c r="Q123" i="40"/>
  <c r="V123" i="40" s="1"/>
  <c r="N123" i="40"/>
  <c r="L123" i="40"/>
  <c r="K123" i="40"/>
  <c r="BA122" i="40"/>
  <c r="AZ122" i="40"/>
  <c r="AY122" i="40"/>
  <c r="AX122" i="40"/>
  <c r="AU122" i="40"/>
  <c r="AR122" i="40"/>
  <c r="AQ122" i="40"/>
  <c r="AP122" i="40"/>
  <c r="AF122" i="40"/>
  <c r="Z122" i="40"/>
  <c r="Q122" i="40"/>
  <c r="V122" i="40" s="1"/>
  <c r="N122" i="40"/>
  <c r="L122" i="40"/>
  <c r="K122" i="40"/>
  <c r="BA121" i="40"/>
  <c r="AZ121" i="40"/>
  <c r="AU121" i="40"/>
  <c r="AR121" i="40"/>
  <c r="AQ121" i="40"/>
  <c r="AP121" i="40"/>
  <c r="AF121" i="40"/>
  <c r="AX121" i="40" s="1"/>
  <c r="Z121" i="40"/>
  <c r="Q121" i="40"/>
  <c r="V121" i="40" s="1"/>
  <c r="AT121" i="40" s="1"/>
  <c r="N121" i="40"/>
  <c r="N124" i="40" s="1"/>
  <c r="L121" i="40"/>
  <c r="K121" i="40"/>
  <c r="BA120" i="40"/>
  <c r="AX120" i="40"/>
  <c r="AU120" i="40"/>
  <c r="AU124" i="40" s="1"/>
  <c r="AQ120" i="40"/>
  <c r="AJ120" i="40"/>
  <c r="AF120" i="40"/>
  <c r="Z120" i="40"/>
  <c r="R120" i="40"/>
  <c r="R124" i="40" s="1"/>
  <c r="Q120" i="40"/>
  <c r="N120" i="40"/>
  <c r="L120" i="40"/>
  <c r="K120" i="40"/>
  <c r="I120" i="40"/>
  <c r="AQ119" i="40"/>
  <c r="BA119" i="40" s="1"/>
  <c r="BA124" i="40" s="1"/>
  <c r="AP119" i="40"/>
  <c r="AF119" i="40"/>
  <c r="AX119" i="40" s="1"/>
  <c r="Z119" i="40"/>
  <c r="AU119" i="40" s="1"/>
  <c r="Q119" i="40"/>
  <c r="Q124" i="40" s="1"/>
  <c r="N119" i="40"/>
  <c r="L119" i="40"/>
  <c r="K119" i="40"/>
  <c r="I119" i="40"/>
  <c r="AP118" i="40"/>
  <c r="AO118" i="40"/>
  <c r="AN118" i="40"/>
  <c r="AM118" i="40"/>
  <c r="AL118" i="40"/>
  <c r="AK118" i="40"/>
  <c r="AJ118" i="40"/>
  <c r="AI118" i="40"/>
  <c r="AH118" i="40"/>
  <c r="AE118" i="40"/>
  <c r="AD118" i="40"/>
  <c r="Y118" i="40"/>
  <c r="X118" i="40"/>
  <c r="W118" i="40"/>
  <c r="U118" i="40"/>
  <c r="T118" i="40"/>
  <c r="S118" i="40"/>
  <c r="R118" i="40"/>
  <c r="P118" i="40"/>
  <c r="O118" i="40"/>
  <c r="M118" i="40"/>
  <c r="AZ117" i="40"/>
  <c r="AX117" i="40"/>
  <c r="AR117" i="40"/>
  <c r="AQ117" i="40"/>
  <c r="AP117" i="40"/>
  <c r="AF117" i="40"/>
  <c r="AC117" i="40"/>
  <c r="AA117" i="40"/>
  <c r="Z117" i="40"/>
  <c r="AU117" i="40" s="1"/>
  <c r="Q117" i="40"/>
  <c r="V117" i="40" s="1"/>
  <c r="AB117" i="40" s="1"/>
  <c r="P117" i="40"/>
  <c r="N117" i="40"/>
  <c r="AY117" i="40" s="1"/>
  <c r="M117" i="40"/>
  <c r="J117" i="40"/>
  <c r="AT116" i="40"/>
  <c r="AQ116" i="40"/>
  <c r="BA116" i="40" s="1"/>
  <c r="AP116" i="40"/>
  <c r="AF116" i="40"/>
  <c r="AX116" i="40" s="1"/>
  <c r="Z116" i="40"/>
  <c r="AU116" i="40" s="1"/>
  <c r="V116" i="40"/>
  <c r="Q116" i="40"/>
  <c r="N116" i="40"/>
  <c r="L116" i="40"/>
  <c r="K116" i="40"/>
  <c r="I116" i="40"/>
  <c r="AQ115" i="40"/>
  <c r="AQ118" i="40" s="1"/>
  <c r="AP115" i="40"/>
  <c r="AF115" i="40"/>
  <c r="Z115" i="40"/>
  <c r="V115" i="40"/>
  <c r="V118" i="40" s="1"/>
  <c r="Q115" i="40"/>
  <c r="Q118" i="40" s="1"/>
  <c r="N115" i="40"/>
  <c r="L115" i="40"/>
  <c r="K115" i="40"/>
  <c r="I115" i="40"/>
  <c r="AQ114" i="40"/>
  <c r="AO114" i="40"/>
  <c r="AN114" i="40"/>
  <c r="AM114" i="40"/>
  <c r="AL114" i="40"/>
  <c r="AK114" i="40"/>
  <c r="AJ114" i="40"/>
  <c r="AI114" i="40"/>
  <c r="AH114" i="40"/>
  <c r="AE114" i="40"/>
  <c r="AD114" i="40"/>
  <c r="Y114" i="40"/>
  <c r="X114" i="40"/>
  <c r="W114" i="40"/>
  <c r="U114" i="40"/>
  <c r="T114" i="40"/>
  <c r="S114" i="40"/>
  <c r="R114" i="40"/>
  <c r="P114" i="40"/>
  <c r="O114" i="40"/>
  <c r="N114" i="40"/>
  <c r="M114" i="40"/>
  <c r="K114" i="40"/>
  <c r="J114" i="40"/>
  <c r="BA113" i="40"/>
  <c r="AX113" i="40"/>
  <c r="AQ113" i="40"/>
  <c r="AP113" i="40"/>
  <c r="AR113" i="40" s="1"/>
  <c r="AF113" i="40"/>
  <c r="Z113" i="40"/>
  <c r="AU113" i="40" s="1"/>
  <c r="Q113" i="40"/>
  <c r="V113" i="40" s="1"/>
  <c r="N113" i="40"/>
  <c r="L113" i="40"/>
  <c r="K113" i="40"/>
  <c r="I113" i="40"/>
  <c r="BA112" i="40"/>
  <c r="AZ112" i="40"/>
  <c r="AX112" i="40"/>
  <c r="AR112" i="40"/>
  <c r="AQ112" i="40"/>
  <c r="AP112" i="40"/>
  <c r="AF112" i="40"/>
  <c r="Z112" i="40"/>
  <c r="AU112" i="40" s="1"/>
  <c r="V112" i="40"/>
  <c r="Q112" i="40"/>
  <c r="N112" i="40"/>
  <c r="L112" i="40"/>
  <c r="K112" i="40"/>
  <c r="I112" i="40"/>
  <c r="BA111" i="40"/>
  <c r="BA114" i="40" s="1"/>
  <c r="AR111" i="40"/>
  <c r="AQ111" i="40"/>
  <c r="AP111" i="40"/>
  <c r="AZ111" i="40" s="1"/>
  <c r="AF111" i="40"/>
  <c r="AX111" i="40" s="1"/>
  <c r="AX114" i="40" s="1"/>
  <c r="Z111" i="40"/>
  <c r="AU111" i="40" s="1"/>
  <c r="AU114" i="40" s="1"/>
  <c r="Q111" i="40"/>
  <c r="Q114" i="40" s="1"/>
  <c r="N111" i="40"/>
  <c r="L111" i="40"/>
  <c r="K111" i="40"/>
  <c r="I111" i="40"/>
  <c r="AU110" i="40"/>
  <c r="AP110" i="40"/>
  <c r="AO110" i="40"/>
  <c r="AN110" i="40"/>
  <c r="AM110" i="40"/>
  <c r="AL110" i="40"/>
  <c r="AK110" i="40"/>
  <c r="AJ110" i="40"/>
  <c r="AI110" i="40"/>
  <c r="AH110" i="40"/>
  <c r="AF110" i="40"/>
  <c r="AE110" i="40"/>
  <c r="AD110" i="40"/>
  <c r="Z110" i="40"/>
  <c r="Y110" i="40"/>
  <c r="X110" i="40"/>
  <c r="W110" i="40"/>
  <c r="U110" i="40"/>
  <c r="T110" i="40"/>
  <c r="S110" i="40"/>
  <c r="R110" i="40"/>
  <c r="Q110" i="40"/>
  <c r="P110" i="40"/>
  <c r="O110" i="40"/>
  <c r="N110" i="40"/>
  <c r="M110" i="40"/>
  <c r="L110" i="40"/>
  <c r="J110" i="40"/>
  <c r="AX109" i="40"/>
  <c r="AX110" i="40" s="1"/>
  <c r="AU109" i="40"/>
  <c r="AQ109" i="40"/>
  <c r="AQ110" i="40" s="1"/>
  <c r="AP109" i="40"/>
  <c r="AZ109" i="40" s="1"/>
  <c r="AZ110" i="40" s="1"/>
  <c r="AF109" i="40"/>
  <c r="Z109" i="40"/>
  <c r="V109" i="40"/>
  <c r="AT109" i="40" s="1"/>
  <c r="AT110" i="40" s="1"/>
  <c r="Q109" i="40"/>
  <c r="N109" i="40"/>
  <c r="L109" i="40"/>
  <c r="K109" i="40"/>
  <c r="K110" i="40" s="1"/>
  <c r="AQ108" i="40"/>
  <c r="AO108" i="40"/>
  <c r="AN108" i="40"/>
  <c r="AM108" i="40"/>
  <c r="AL108" i="40"/>
  <c r="AK108" i="40"/>
  <c r="AI108" i="40"/>
  <c r="AH108" i="40"/>
  <c r="AE108" i="40"/>
  <c r="AD108" i="40"/>
  <c r="Y108" i="40"/>
  <c r="X108" i="40"/>
  <c r="W108" i="40"/>
  <c r="U108" i="40"/>
  <c r="T108" i="40"/>
  <c r="S108" i="40"/>
  <c r="P108" i="40"/>
  <c r="O108" i="40"/>
  <c r="M108" i="40"/>
  <c r="K108" i="40"/>
  <c r="J108" i="40"/>
  <c r="BA107" i="40"/>
  <c r="AZ107" i="40"/>
  <c r="AR107" i="40"/>
  <c r="AQ107" i="40"/>
  <c r="AP107" i="40"/>
  <c r="AF107" i="40"/>
  <c r="AX107" i="40" s="1"/>
  <c r="Z107" i="40"/>
  <c r="AU107" i="40" s="1"/>
  <c r="V107" i="40"/>
  <c r="Q107" i="40"/>
  <c r="N107" i="40"/>
  <c r="L107" i="40"/>
  <c r="K107" i="40"/>
  <c r="I107" i="40"/>
  <c r="BA106" i="40"/>
  <c r="AR106" i="40"/>
  <c r="AQ106" i="40"/>
  <c r="AP106" i="40"/>
  <c r="AZ106" i="40" s="1"/>
  <c r="AF106" i="40"/>
  <c r="AX106" i="40" s="1"/>
  <c r="Z106" i="40"/>
  <c r="AU106" i="40" s="1"/>
  <c r="Q106" i="40"/>
  <c r="V106" i="40" s="1"/>
  <c r="N106" i="40"/>
  <c r="L106" i="40"/>
  <c r="K106" i="40"/>
  <c r="I106" i="40"/>
  <c r="BA105" i="40"/>
  <c r="AU105" i="40"/>
  <c r="AT105" i="40"/>
  <c r="AQ105" i="40"/>
  <c r="AP105" i="40"/>
  <c r="AZ105" i="40" s="1"/>
  <c r="AF105" i="40"/>
  <c r="AX105" i="40" s="1"/>
  <c r="Z105" i="40"/>
  <c r="V105" i="40"/>
  <c r="AA105" i="40" s="1"/>
  <c r="Q105" i="40"/>
  <c r="N105" i="40"/>
  <c r="L105" i="40"/>
  <c r="K105" i="40"/>
  <c r="I105" i="40"/>
  <c r="BA104" i="40"/>
  <c r="AZ104" i="40"/>
  <c r="AR104" i="40"/>
  <c r="AY104" i="40" s="1"/>
  <c r="AQ104" i="40"/>
  <c r="AP104" i="40"/>
  <c r="AJ104" i="40"/>
  <c r="AJ108" i="40" s="1"/>
  <c r="AF104" i="40"/>
  <c r="AX104" i="40" s="1"/>
  <c r="Z104" i="40"/>
  <c r="AU104" i="40" s="1"/>
  <c r="R104" i="40"/>
  <c r="R108" i="40" s="1"/>
  <c r="Q104" i="40"/>
  <c r="V104" i="40" s="1"/>
  <c r="N104" i="40"/>
  <c r="L104" i="40"/>
  <c r="K104" i="40"/>
  <c r="I104" i="40"/>
  <c r="BA103" i="40"/>
  <c r="BA108" i="40" s="1"/>
  <c r="AZ103" i="40"/>
  <c r="AQ103" i="40"/>
  <c r="AP103" i="40"/>
  <c r="AP108" i="40" s="1"/>
  <c r="AF103" i="40"/>
  <c r="AX103" i="40" s="1"/>
  <c r="Z103" i="40"/>
  <c r="Z108" i="40" s="1"/>
  <c r="Q103" i="40"/>
  <c r="Q108" i="40" s="1"/>
  <c r="N103" i="40"/>
  <c r="L103" i="40"/>
  <c r="K103" i="40"/>
  <c r="I103" i="40"/>
  <c r="I108" i="40" s="1"/>
  <c r="AO102" i="40"/>
  <c r="AN102" i="40"/>
  <c r="AM102" i="40"/>
  <c r="AL102" i="40"/>
  <c r="AK102" i="40"/>
  <c r="AJ102" i="40"/>
  <c r="AI102" i="40"/>
  <c r="AH102" i="40"/>
  <c r="AE102" i="40"/>
  <c r="AD102" i="40"/>
  <c r="Y102" i="40"/>
  <c r="X102" i="40"/>
  <c r="W102" i="40"/>
  <c r="U102" i="40"/>
  <c r="T102" i="40"/>
  <c r="S102" i="40"/>
  <c r="P102" i="40"/>
  <c r="O102" i="40"/>
  <c r="M102" i="40"/>
  <c r="L102" i="40"/>
  <c r="J102" i="40"/>
  <c r="AX101" i="40"/>
  <c r="AW101" i="40"/>
  <c r="AU101" i="40"/>
  <c r="AQ101" i="40"/>
  <c r="BA101" i="40" s="1"/>
  <c r="AP101" i="40"/>
  <c r="AZ101" i="40" s="1"/>
  <c r="AF101" i="40"/>
  <c r="AC101" i="40"/>
  <c r="AB101" i="40"/>
  <c r="AA101" i="40"/>
  <c r="AG101" i="40" s="1"/>
  <c r="Z101" i="40"/>
  <c r="V101" i="40"/>
  <c r="AT101" i="40" s="1"/>
  <c r="Q101" i="40"/>
  <c r="N101" i="40"/>
  <c r="L101" i="40"/>
  <c r="K101" i="40"/>
  <c r="AV101" i="40" s="1"/>
  <c r="AQ100" i="40"/>
  <c r="BA100" i="40" s="1"/>
  <c r="AJ100" i="40"/>
  <c r="AJ169" i="40" s="1"/>
  <c r="AF100" i="40"/>
  <c r="AX100" i="40" s="1"/>
  <c r="Z100" i="40"/>
  <c r="Z102" i="40" s="1"/>
  <c r="R100" i="40"/>
  <c r="R169" i="40" s="1"/>
  <c r="Q100" i="40"/>
  <c r="V100" i="40" s="1"/>
  <c r="N100" i="40"/>
  <c r="L100" i="40"/>
  <c r="K100" i="40"/>
  <c r="I100" i="40" s="1"/>
  <c r="BA99" i="40"/>
  <c r="AZ99" i="40"/>
  <c r="AU99" i="40"/>
  <c r="AQ99" i="40"/>
  <c r="AQ102" i="40" s="1"/>
  <c r="AP99" i="40"/>
  <c r="AF99" i="40"/>
  <c r="AF102" i="40" s="1"/>
  <c r="Z99" i="40"/>
  <c r="V99" i="40"/>
  <c r="AA99" i="40" s="1"/>
  <c r="Q99" i="40"/>
  <c r="Q102" i="40" s="1"/>
  <c r="N99" i="40"/>
  <c r="N102" i="40" s="1"/>
  <c r="L99" i="40"/>
  <c r="K99" i="40"/>
  <c r="AO98" i="40"/>
  <c r="AN98" i="40"/>
  <c r="AM98" i="40"/>
  <c r="AL98" i="40"/>
  <c r="AK98" i="40"/>
  <c r="AJ98" i="40"/>
  <c r="AI98" i="40"/>
  <c r="AH98" i="40"/>
  <c r="AE98" i="40"/>
  <c r="AD98" i="40"/>
  <c r="Y98" i="40"/>
  <c r="X98" i="40"/>
  <c r="W98" i="40"/>
  <c r="U98" i="40"/>
  <c r="T98" i="40"/>
  <c r="S98" i="40"/>
  <c r="R98" i="40"/>
  <c r="Q98" i="40"/>
  <c r="P98" i="40"/>
  <c r="O98" i="40"/>
  <c r="M98" i="40"/>
  <c r="K98" i="40"/>
  <c r="J98" i="40"/>
  <c r="AX97" i="40"/>
  <c r="AR97" i="40"/>
  <c r="AQ97" i="40"/>
  <c r="BA97" i="40" s="1"/>
  <c r="AP97" i="40"/>
  <c r="AZ97" i="40" s="1"/>
  <c r="AF97" i="40"/>
  <c r="Z97" i="40"/>
  <c r="AU97" i="40" s="1"/>
  <c r="Q97" i="40"/>
  <c r="V97" i="40" s="1"/>
  <c r="N97" i="40"/>
  <c r="AY97" i="40" s="1"/>
  <c r="L97" i="40"/>
  <c r="K97" i="40"/>
  <c r="AX96" i="40"/>
  <c r="AR96" i="40"/>
  <c r="AQ96" i="40"/>
  <c r="BA96" i="40" s="1"/>
  <c r="AP96" i="40"/>
  <c r="AZ96" i="40" s="1"/>
  <c r="AF96" i="40"/>
  <c r="Z96" i="40"/>
  <c r="AU96" i="40" s="1"/>
  <c r="Q96" i="40"/>
  <c r="V96" i="40" s="1"/>
  <c r="N96" i="40"/>
  <c r="AY96" i="40" s="1"/>
  <c r="L96" i="40"/>
  <c r="K96" i="40"/>
  <c r="AX95" i="40"/>
  <c r="AR95" i="40"/>
  <c r="AQ95" i="40"/>
  <c r="BA95" i="40" s="1"/>
  <c r="AP95" i="40"/>
  <c r="AZ95" i="40" s="1"/>
  <c r="AF95" i="40"/>
  <c r="Z95" i="40"/>
  <c r="AU95" i="40" s="1"/>
  <c r="Q95" i="40"/>
  <c r="V95" i="40" s="1"/>
  <c r="N95" i="40"/>
  <c r="AY95" i="40" s="1"/>
  <c r="L95" i="40"/>
  <c r="K95" i="40"/>
  <c r="AX94" i="40"/>
  <c r="AR94" i="40"/>
  <c r="AQ94" i="40"/>
  <c r="BA94" i="40" s="1"/>
  <c r="AP94" i="40"/>
  <c r="AZ94" i="40" s="1"/>
  <c r="AF94" i="40"/>
  <c r="Z94" i="40"/>
  <c r="AU94" i="40" s="1"/>
  <c r="Q94" i="40"/>
  <c r="V94" i="40" s="1"/>
  <c r="N94" i="40"/>
  <c r="AY94" i="40" s="1"/>
  <c r="L94" i="40"/>
  <c r="K94" i="40"/>
  <c r="AX93" i="40"/>
  <c r="AX98" i="40" s="1"/>
  <c r="AR93" i="40"/>
  <c r="AR98" i="40" s="1"/>
  <c r="AQ93" i="40"/>
  <c r="AQ98" i="40" s="1"/>
  <c r="AP93" i="40"/>
  <c r="AZ93" i="40" s="1"/>
  <c r="AF93" i="40"/>
  <c r="AF98" i="40" s="1"/>
  <c r="Z93" i="40"/>
  <c r="Z98" i="40" s="1"/>
  <c r="Q93" i="40"/>
  <c r="V93" i="40" s="1"/>
  <c r="N93" i="40"/>
  <c r="AY93" i="40" s="1"/>
  <c r="AY98" i="40" s="1"/>
  <c r="L93" i="40"/>
  <c r="K93" i="40"/>
  <c r="AP92" i="40"/>
  <c r="AO92" i="40"/>
  <c r="AN92" i="40"/>
  <c r="AM92" i="40"/>
  <c r="AL92" i="40"/>
  <c r="AK92" i="40"/>
  <c r="AJ92" i="40"/>
  <c r="AI92" i="40"/>
  <c r="AH92" i="40"/>
  <c r="AF92" i="40"/>
  <c r="AE92" i="40"/>
  <c r="AD92" i="40"/>
  <c r="Z92" i="40"/>
  <c r="Y92" i="40"/>
  <c r="X92" i="40"/>
  <c r="W92" i="40"/>
  <c r="U92" i="40"/>
  <c r="T92" i="40"/>
  <c r="S92" i="40"/>
  <c r="R92" i="40"/>
  <c r="P92" i="40"/>
  <c r="O92" i="40"/>
  <c r="N92" i="40"/>
  <c r="M92" i="40"/>
  <c r="L92" i="40"/>
  <c r="J92" i="40"/>
  <c r="BA91" i="40"/>
  <c r="AZ91" i="40"/>
  <c r="AU91" i="40"/>
  <c r="AQ91" i="40"/>
  <c r="AR91" i="40" s="1"/>
  <c r="AP91" i="40"/>
  <c r="AF91" i="40"/>
  <c r="AX91" i="40" s="1"/>
  <c r="Z91" i="40"/>
  <c r="V91" i="40"/>
  <c r="Q91" i="40"/>
  <c r="N91" i="40"/>
  <c r="L91" i="40"/>
  <c r="K91" i="40"/>
  <c r="BA90" i="40"/>
  <c r="AZ90" i="40"/>
  <c r="AU90" i="40"/>
  <c r="AQ90" i="40"/>
  <c r="AP90" i="40"/>
  <c r="AR90" i="40" s="1"/>
  <c r="AR92" i="40" s="1"/>
  <c r="AF90" i="40"/>
  <c r="AX90" i="40" s="1"/>
  <c r="Z90" i="40"/>
  <c r="V90" i="40"/>
  <c r="Q90" i="40"/>
  <c r="N90" i="40"/>
  <c r="AY90" i="40" s="1"/>
  <c r="L90" i="40"/>
  <c r="K90" i="40"/>
  <c r="BA89" i="40"/>
  <c r="AZ89" i="40"/>
  <c r="AZ92" i="40" s="1"/>
  <c r="AU89" i="40"/>
  <c r="AQ89" i="40"/>
  <c r="AQ92" i="40" s="1"/>
  <c r="AP89" i="40"/>
  <c r="AR89" i="40" s="1"/>
  <c r="AF89" i="40"/>
  <c r="AX89" i="40" s="1"/>
  <c r="AX92" i="40" s="1"/>
  <c r="Z89" i="40"/>
  <c r="V89" i="40"/>
  <c r="Q89" i="40"/>
  <c r="Q92" i="40" s="1"/>
  <c r="N89" i="40"/>
  <c r="AY89" i="40" s="1"/>
  <c r="L89" i="40"/>
  <c r="K89" i="40"/>
  <c r="AO88" i="40"/>
  <c r="AN88" i="40"/>
  <c r="AM88" i="40"/>
  <c r="AL88" i="40"/>
  <c r="AK88" i="40"/>
  <c r="AJ88" i="40"/>
  <c r="AI88" i="40"/>
  <c r="AH88" i="40"/>
  <c r="AE88" i="40"/>
  <c r="AD88" i="40"/>
  <c r="Y88" i="40"/>
  <c r="X88" i="40"/>
  <c r="W88" i="40"/>
  <c r="U88" i="40"/>
  <c r="T88" i="40"/>
  <c r="S88" i="40"/>
  <c r="R88" i="40"/>
  <c r="P88" i="40"/>
  <c r="O88" i="40"/>
  <c r="M88" i="40"/>
  <c r="J88" i="40"/>
  <c r="AX87" i="40"/>
  <c r="AR87" i="40"/>
  <c r="AQ87" i="40"/>
  <c r="BA87" i="40" s="1"/>
  <c r="AP87" i="40"/>
  <c r="AZ87" i="40" s="1"/>
  <c r="AF87" i="40"/>
  <c r="AB87" i="40"/>
  <c r="AV87" i="40" s="1"/>
  <c r="Z87" i="40"/>
  <c r="AU87" i="40" s="1"/>
  <c r="Q87" i="40"/>
  <c r="V87" i="40" s="1"/>
  <c r="N87" i="40"/>
  <c r="AY87" i="40" s="1"/>
  <c r="L87" i="40"/>
  <c r="K87" i="40"/>
  <c r="I87" i="40"/>
  <c r="AX86" i="40"/>
  <c r="AQ86" i="40"/>
  <c r="BA86" i="40" s="1"/>
  <c r="AP86" i="40"/>
  <c r="AZ86" i="40" s="1"/>
  <c r="AF86" i="40"/>
  <c r="AB86" i="40"/>
  <c r="AV86" i="40" s="1"/>
  <c r="Z86" i="40"/>
  <c r="AU86" i="40" s="1"/>
  <c r="Q86" i="40"/>
  <c r="V86" i="40" s="1"/>
  <c r="N86" i="40"/>
  <c r="L86" i="40"/>
  <c r="K86" i="40"/>
  <c r="I86" i="40"/>
  <c r="AX85" i="40"/>
  <c r="AQ85" i="40"/>
  <c r="BA85" i="40" s="1"/>
  <c r="AP85" i="40"/>
  <c r="AZ85" i="40" s="1"/>
  <c r="AF85" i="40"/>
  <c r="Z85" i="40"/>
  <c r="AU85" i="40" s="1"/>
  <c r="Q85" i="40"/>
  <c r="V85" i="40" s="1"/>
  <c r="N85" i="40"/>
  <c r="L85" i="40"/>
  <c r="K85" i="40"/>
  <c r="AZ84" i="40"/>
  <c r="AQ84" i="40"/>
  <c r="BA84" i="40" s="1"/>
  <c r="AP84" i="40"/>
  <c r="AR84" i="40" s="1"/>
  <c r="AF84" i="40"/>
  <c r="AX84" i="40" s="1"/>
  <c r="Z84" i="40"/>
  <c r="AU84" i="40" s="1"/>
  <c r="Q84" i="40"/>
  <c r="V84" i="40" s="1"/>
  <c r="AC84" i="40" s="1"/>
  <c r="N84" i="40"/>
  <c r="L84" i="40"/>
  <c r="I84" i="40" s="1"/>
  <c r="K84" i="40"/>
  <c r="AX83" i="40"/>
  <c r="AQ83" i="40"/>
  <c r="BA83" i="40" s="1"/>
  <c r="AP83" i="40"/>
  <c r="AR83" i="40" s="1"/>
  <c r="AF83" i="40"/>
  <c r="AB83" i="40"/>
  <c r="Z83" i="40"/>
  <c r="AU83" i="40" s="1"/>
  <c r="Q83" i="40"/>
  <c r="V83" i="40" s="1"/>
  <c r="AC83" i="40" s="1"/>
  <c r="N83" i="40"/>
  <c r="L83" i="40"/>
  <c r="AW83" i="40" s="1"/>
  <c r="K83" i="40"/>
  <c r="AV83" i="40" s="1"/>
  <c r="AZ82" i="40"/>
  <c r="AT82" i="40"/>
  <c r="AQ82" i="40"/>
  <c r="AP82" i="40"/>
  <c r="AR82" i="40" s="1"/>
  <c r="AF82" i="40"/>
  <c r="AF88" i="40" s="1"/>
  <c r="AB82" i="40"/>
  <c r="AA82" i="40"/>
  <c r="Z82" i="40"/>
  <c r="Q82" i="40"/>
  <c r="V82" i="40" s="1"/>
  <c r="N82" i="40"/>
  <c r="L82" i="40"/>
  <c r="L88" i="40" s="1"/>
  <c r="K82" i="40"/>
  <c r="K88" i="40" s="1"/>
  <c r="I82" i="40"/>
  <c r="AO81" i="40"/>
  <c r="AN81" i="40"/>
  <c r="AM81" i="40"/>
  <c r="AL81" i="40"/>
  <c r="AK81" i="40"/>
  <c r="AJ81" i="40"/>
  <c r="AI81" i="40"/>
  <c r="AH81" i="40"/>
  <c r="AE81" i="40"/>
  <c r="AD81" i="40"/>
  <c r="Y81" i="40"/>
  <c r="X81" i="40"/>
  <c r="W81" i="40"/>
  <c r="U81" i="40"/>
  <c r="T81" i="40"/>
  <c r="S81" i="40"/>
  <c r="R81" i="40"/>
  <c r="P81" i="40"/>
  <c r="O81" i="40"/>
  <c r="M81" i="40"/>
  <c r="L81" i="40"/>
  <c r="J81" i="40"/>
  <c r="BA80" i="40"/>
  <c r="AZ80" i="40"/>
  <c r="AU80" i="40"/>
  <c r="AT80" i="40"/>
  <c r="AQ80" i="40"/>
  <c r="AP80" i="40"/>
  <c r="AR80" i="40" s="1"/>
  <c r="AF80" i="40"/>
  <c r="AX80" i="40" s="1"/>
  <c r="AC80" i="40"/>
  <c r="AW80" i="40" s="1"/>
  <c r="AA80" i="40"/>
  <c r="AG80" i="40" s="1"/>
  <c r="Z80" i="40"/>
  <c r="V80" i="40"/>
  <c r="AB80" i="40" s="1"/>
  <c r="Q80" i="40"/>
  <c r="N80" i="40"/>
  <c r="AY80" i="40" s="1"/>
  <c r="L80" i="40"/>
  <c r="K80" i="40"/>
  <c r="AZ79" i="40"/>
  <c r="AU79" i="40"/>
  <c r="AQ79" i="40"/>
  <c r="BA79" i="40" s="1"/>
  <c r="AP79" i="40"/>
  <c r="AF79" i="40"/>
  <c r="AX79" i="40" s="1"/>
  <c r="Z79" i="40"/>
  <c r="Q79" i="40"/>
  <c r="V79" i="40" s="1"/>
  <c r="N79" i="40"/>
  <c r="N81" i="40" s="1"/>
  <c r="L79" i="40"/>
  <c r="K79" i="40"/>
  <c r="BA78" i="40"/>
  <c r="AZ78" i="40"/>
  <c r="AY78" i="40"/>
  <c r="AU78" i="40"/>
  <c r="AQ78" i="40"/>
  <c r="AR78" i="40" s="1"/>
  <c r="AP78" i="40"/>
  <c r="AF78" i="40"/>
  <c r="AX78" i="40" s="1"/>
  <c r="Z78" i="40"/>
  <c r="Q78" i="40"/>
  <c r="V78" i="40" s="1"/>
  <c r="N78" i="40"/>
  <c r="L78" i="40"/>
  <c r="K78" i="40"/>
  <c r="I78" i="40"/>
  <c r="BA77" i="40"/>
  <c r="AZ77" i="40"/>
  <c r="AQ77" i="40"/>
  <c r="AP77" i="40"/>
  <c r="AR77" i="40" s="1"/>
  <c r="AF77" i="40"/>
  <c r="AX77" i="40" s="1"/>
  <c r="Z77" i="40"/>
  <c r="AU77" i="40" s="1"/>
  <c r="Q77" i="40"/>
  <c r="V77" i="40" s="1"/>
  <c r="N77" i="40"/>
  <c r="AY77" i="40" s="1"/>
  <c r="L77" i="40"/>
  <c r="K77" i="40"/>
  <c r="I77" i="40"/>
  <c r="BA76" i="40"/>
  <c r="AZ76" i="40"/>
  <c r="AQ76" i="40"/>
  <c r="AP76" i="40"/>
  <c r="AR76" i="40" s="1"/>
  <c r="AF76" i="40"/>
  <c r="AX76" i="40" s="1"/>
  <c r="Z76" i="40"/>
  <c r="AU76" i="40" s="1"/>
  <c r="Q76" i="40"/>
  <c r="V76" i="40" s="1"/>
  <c r="N76" i="40"/>
  <c r="AY76" i="40" s="1"/>
  <c r="L76" i="40"/>
  <c r="K76" i="40"/>
  <c r="I76" i="40"/>
  <c r="BA75" i="40"/>
  <c r="AZ75" i="40"/>
  <c r="AZ81" i="40" s="1"/>
  <c r="AQ75" i="40"/>
  <c r="AQ81" i="40" s="1"/>
  <c r="AP75" i="40"/>
  <c r="AP81" i="40" s="1"/>
  <c r="AF75" i="40"/>
  <c r="AX75" i="40" s="1"/>
  <c r="Z75" i="40"/>
  <c r="Z81" i="40" s="1"/>
  <c r="Q75" i="40"/>
  <c r="Q81" i="40" s="1"/>
  <c r="N75" i="40"/>
  <c r="L75" i="40"/>
  <c r="K75" i="40"/>
  <c r="I75" i="40"/>
  <c r="AO74" i="40"/>
  <c r="AN74" i="40"/>
  <c r="AM74" i="40"/>
  <c r="AL74" i="40"/>
  <c r="AK74" i="40"/>
  <c r="AJ74" i="40"/>
  <c r="AI74" i="40"/>
  <c r="AH74" i="40"/>
  <c r="AE74" i="40"/>
  <c r="AD74" i="40"/>
  <c r="Y74" i="40"/>
  <c r="X74" i="40"/>
  <c r="W74" i="40"/>
  <c r="U74" i="40"/>
  <c r="T74" i="40"/>
  <c r="S74" i="40"/>
  <c r="R74" i="40"/>
  <c r="O74" i="40"/>
  <c r="J74" i="40"/>
  <c r="AX73" i="40"/>
  <c r="AW73" i="40"/>
  <c r="AU73" i="40"/>
  <c r="AQ73" i="40"/>
  <c r="BA73" i="40" s="1"/>
  <c r="AP73" i="40"/>
  <c r="AZ73" i="40" s="1"/>
  <c r="AF73" i="40"/>
  <c r="AC73" i="40"/>
  <c r="AB73" i="40"/>
  <c r="AA73" i="40"/>
  <c r="AG73" i="40" s="1"/>
  <c r="Z73" i="40"/>
  <c r="V73" i="40"/>
  <c r="AT73" i="40" s="1"/>
  <c r="Q73" i="40"/>
  <c r="N73" i="40"/>
  <c r="L73" i="40"/>
  <c r="K73" i="40"/>
  <c r="AV73" i="40" s="1"/>
  <c r="AX72" i="40"/>
  <c r="AW72" i="40"/>
  <c r="AU72" i="40"/>
  <c r="AQ72" i="40"/>
  <c r="BA72" i="40" s="1"/>
  <c r="AP72" i="40"/>
  <c r="AZ72" i="40" s="1"/>
  <c r="AF72" i="40"/>
  <c r="AC72" i="40"/>
  <c r="AB72" i="40"/>
  <c r="AA72" i="40"/>
  <c r="AG72" i="40" s="1"/>
  <c r="Z72" i="40"/>
  <c r="V72" i="40"/>
  <c r="AT72" i="40" s="1"/>
  <c r="Q72" i="40"/>
  <c r="N72" i="40"/>
  <c r="L72" i="40"/>
  <c r="L74" i="40" s="1"/>
  <c r="K72" i="40"/>
  <c r="K74" i="40" s="1"/>
  <c r="AW71" i="40"/>
  <c r="AU71" i="40"/>
  <c r="AQ71" i="40"/>
  <c r="AR71" i="40" s="1"/>
  <c r="AP71" i="40"/>
  <c r="AZ71" i="40" s="1"/>
  <c r="AF71" i="40"/>
  <c r="AC71" i="40"/>
  <c r="AB71" i="40"/>
  <c r="AA71" i="40"/>
  <c r="AG71" i="40" s="1"/>
  <c r="Z71" i="40"/>
  <c r="V71" i="40"/>
  <c r="Q71" i="40"/>
  <c r="P71" i="40"/>
  <c r="BA71" i="40" s="1"/>
  <c r="N71" i="40"/>
  <c r="N74" i="40" s="1"/>
  <c r="M71" i="40"/>
  <c r="M74" i="40" s="1"/>
  <c r="L71" i="40"/>
  <c r="K71" i="40"/>
  <c r="AV71" i="40" s="1"/>
  <c r="J71" i="40"/>
  <c r="AT71" i="40" s="1"/>
  <c r="BA70" i="40"/>
  <c r="AZ70" i="40"/>
  <c r="AQ70" i="40"/>
  <c r="AP70" i="40"/>
  <c r="AR70" i="40" s="1"/>
  <c r="AF70" i="40"/>
  <c r="AX70" i="40" s="1"/>
  <c r="Z70" i="40"/>
  <c r="AU70" i="40" s="1"/>
  <c r="Q70" i="40"/>
  <c r="V70" i="40" s="1"/>
  <c r="N70" i="40"/>
  <c r="L70" i="40"/>
  <c r="K70" i="40"/>
  <c r="I70" i="40"/>
  <c r="BA69" i="40"/>
  <c r="AZ69" i="40"/>
  <c r="AQ69" i="40"/>
  <c r="AP69" i="40"/>
  <c r="AR69" i="40" s="1"/>
  <c r="AF69" i="40"/>
  <c r="AX69" i="40" s="1"/>
  <c r="Z69" i="40"/>
  <c r="AU69" i="40" s="1"/>
  <c r="Q69" i="40"/>
  <c r="V69" i="40" s="1"/>
  <c r="N69" i="40"/>
  <c r="L69" i="40"/>
  <c r="K69" i="40"/>
  <c r="I69" i="40"/>
  <c r="BA68" i="40"/>
  <c r="BA74" i="40" s="1"/>
  <c r="AZ68" i="40"/>
  <c r="AQ68" i="40"/>
  <c r="AQ74" i="40" s="1"/>
  <c r="AP68" i="40"/>
  <c r="AR68" i="40" s="1"/>
  <c r="AF68" i="40"/>
  <c r="AF74" i="40" s="1"/>
  <c r="Z68" i="40"/>
  <c r="Z74" i="40" s="1"/>
  <c r="Q68" i="40"/>
  <c r="Q74" i="40" s="1"/>
  <c r="N68" i="40"/>
  <c r="AY68" i="40" s="1"/>
  <c r="L68" i="40"/>
  <c r="K68" i="40"/>
  <c r="I68" i="40"/>
  <c r="AU67" i="40"/>
  <c r="AP67" i="40"/>
  <c r="AO67" i="40"/>
  <c r="AN67" i="40"/>
  <c r="AM67" i="40"/>
  <c r="AL67" i="40"/>
  <c r="AK67" i="40"/>
  <c r="AJ67" i="40"/>
  <c r="AI67" i="40"/>
  <c r="AH67" i="40"/>
  <c r="AF67" i="40"/>
  <c r="AE67" i="40"/>
  <c r="AD67" i="40"/>
  <c r="Z67" i="40"/>
  <c r="Y67" i="40"/>
  <c r="X67" i="40"/>
  <c r="W67" i="40"/>
  <c r="V67" i="40"/>
  <c r="U67" i="40"/>
  <c r="T67" i="40"/>
  <c r="S67" i="40"/>
  <c r="R67" i="40"/>
  <c r="Q67" i="40"/>
  <c r="P67" i="40"/>
  <c r="O67" i="40"/>
  <c r="M67" i="40"/>
  <c r="J67" i="40"/>
  <c r="AX66" i="40"/>
  <c r="AW66" i="40"/>
  <c r="AU66" i="40"/>
  <c r="AQ66" i="40"/>
  <c r="BA66" i="40" s="1"/>
  <c r="AP66" i="40"/>
  <c r="AZ66" i="40" s="1"/>
  <c r="AF66" i="40"/>
  <c r="AC66" i="40"/>
  <c r="AB66" i="40"/>
  <c r="AA66" i="40"/>
  <c r="AG66" i="40" s="1"/>
  <c r="Z66" i="40"/>
  <c r="V66" i="40"/>
  <c r="AT66" i="40" s="1"/>
  <c r="Q66" i="40"/>
  <c r="N66" i="40"/>
  <c r="L66" i="40"/>
  <c r="K66" i="40"/>
  <c r="AV66" i="40" s="1"/>
  <c r="AX65" i="40"/>
  <c r="AW65" i="40"/>
  <c r="AU65" i="40"/>
  <c r="AQ65" i="40"/>
  <c r="BA65" i="40" s="1"/>
  <c r="AP65" i="40"/>
  <c r="AZ65" i="40" s="1"/>
  <c r="AF65" i="40"/>
  <c r="AC65" i="40"/>
  <c r="AB65" i="40"/>
  <c r="AA65" i="40"/>
  <c r="AG65" i="40" s="1"/>
  <c r="Z65" i="40"/>
  <c r="V65" i="40"/>
  <c r="AT65" i="40" s="1"/>
  <c r="Q65" i="40"/>
  <c r="N65" i="40"/>
  <c r="L65" i="40"/>
  <c r="K65" i="40"/>
  <c r="AV65" i="40" s="1"/>
  <c r="AX64" i="40"/>
  <c r="AW64" i="40"/>
  <c r="AU64" i="40"/>
  <c r="AQ64" i="40"/>
  <c r="BA64" i="40" s="1"/>
  <c r="AP64" i="40"/>
  <c r="AZ64" i="40" s="1"/>
  <c r="AF64" i="40"/>
  <c r="AC64" i="40"/>
  <c r="AB64" i="40"/>
  <c r="AA64" i="40"/>
  <c r="AG64" i="40" s="1"/>
  <c r="Z64" i="40"/>
  <c r="V64" i="40"/>
  <c r="AT64" i="40" s="1"/>
  <c r="Q64" i="40"/>
  <c r="N64" i="40"/>
  <c r="L64" i="40"/>
  <c r="K64" i="40"/>
  <c r="AV64" i="40" s="1"/>
  <c r="AX63" i="40"/>
  <c r="AW63" i="40"/>
  <c r="AU63" i="40"/>
  <c r="AQ63" i="40"/>
  <c r="BA63" i="40" s="1"/>
  <c r="AP63" i="40"/>
  <c r="AZ63" i="40" s="1"/>
  <c r="AF63" i="40"/>
  <c r="AC63" i="40"/>
  <c r="AB63" i="40"/>
  <c r="AA63" i="40"/>
  <c r="AG63" i="40" s="1"/>
  <c r="Z63" i="40"/>
  <c r="V63" i="40"/>
  <c r="AT63" i="40" s="1"/>
  <c r="Q63" i="40"/>
  <c r="N63" i="40"/>
  <c r="L63" i="40"/>
  <c r="K63" i="40"/>
  <c r="AV63" i="40" s="1"/>
  <c r="AX62" i="40"/>
  <c r="AW62" i="40"/>
  <c r="AU62" i="40"/>
  <c r="AQ62" i="40"/>
  <c r="BA62" i="40" s="1"/>
  <c r="AP62" i="40"/>
  <c r="AZ62" i="40" s="1"/>
  <c r="AF62" i="40"/>
  <c r="AC62" i="40"/>
  <c r="AB62" i="40"/>
  <c r="AA62" i="40"/>
  <c r="AG62" i="40" s="1"/>
  <c r="Z62" i="40"/>
  <c r="V62" i="40"/>
  <c r="AT62" i="40" s="1"/>
  <c r="Q62" i="40"/>
  <c r="N62" i="40"/>
  <c r="L62" i="40"/>
  <c r="K62" i="40"/>
  <c r="AV62" i="40" s="1"/>
  <c r="AX61" i="40"/>
  <c r="AX67" i="40" s="1"/>
  <c r="AU61" i="40"/>
  <c r="AQ61" i="40"/>
  <c r="BA61" i="40" s="1"/>
  <c r="AP61" i="40"/>
  <c r="AZ61" i="40" s="1"/>
  <c r="AF61" i="40"/>
  <c r="AC61" i="40"/>
  <c r="AC67" i="40" s="1"/>
  <c r="AB61" i="40"/>
  <c r="AB67" i="40" s="1"/>
  <c r="AA61" i="40"/>
  <c r="AG61" i="40" s="1"/>
  <c r="AG67" i="40" s="1"/>
  <c r="Z61" i="40"/>
  <c r="V61" i="40"/>
  <c r="AT61" i="40" s="1"/>
  <c r="Q61" i="40"/>
  <c r="N61" i="40"/>
  <c r="N67" i="40" s="1"/>
  <c r="L61" i="40"/>
  <c r="L67" i="40" s="1"/>
  <c r="K61" i="40"/>
  <c r="K67" i="40" s="1"/>
  <c r="AQ60" i="40"/>
  <c r="AO60" i="40"/>
  <c r="AN60" i="40"/>
  <c r="AM60" i="40"/>
  <c r="AL60" i="40"/>
  <c r="AK60" i="40"/>
  <c r="AJ60" i="40"/>
  <c r="AI60" i="40"/>
  <c r="AH60" i="40"/>
  <c r="AE60" i="40"/>
  <c r="AD60" i="40"/>
  <c r="Y60" i="40"/>
  <c r="X60" i="40"/>
  <c r="W60" i="40"/>
  <c r="U60" i="40"/>
  <c r="T60" i="40"/>
  <c r="S60" i="40"/>
  <c r="R60" i="40"/>
  <c r="P60" i="40"/>
  <c r="O60" i="40"/>
  <c r="N60" i="40"/>
  <c r="M60" i="40"/>
  <c r="J60" i="40"/>
  <c r="BA59" i="40"/>
  <c r="AZ59" i="40"/>
  <c r="AU59" i="40"/>
  <c r="AQ59" i="40"/>
  <c r="AP59" i="40"/>
  <c r="AR59" i="40" s="1"/>
  <c r="AF59" i="40"/>
  <c r="AX59" i="40" s="1"/>
  <c r="Z59" i="40"/>
  <c r="Q59" i="40"/>
  <c r="V59" i="40" s="1"/>
  <c r="N59" i="40"/>
  <c r="L59" i="40"/>
  <c r="K59" i="40"/>
  <c r="I59" i="40"/>
  <c r="BA58" i="40"/>
  <c r="AZ58" i="40"/>
  <c r="AU58" i="40"/>
  <c r="AQ58" i="40"/>
  <c r="AP58" i="40"/>
  <c r="AR58" i="40" s="1"/>
  <c r="AF58" i="40"/>
  <c r="AX58" i="40" s="1"/>
  <c r="Z58" i="40"/>
  <c r="Q58" i="40"/>
  <c r="V58" i="40" s="1"/>
  <c r="N58" i="40"/>
  <c r="L58" i="40"/>
  <c r="K58" i="40"/>
  <c r="I58" i="40"/>
  <c r="BA57" i="40"/>
  <c r="AZ57" i="40"/>
  <c r="AU57" i="40"/>
  <c r="AQ57" i="40"/>
  <c r="AP57" i="40"/>
  <c r="AR57" i="40" s="1"/>
  <c r="AF57" i="40"/>
  <c r="AX57" i="40" s="1"/>
  <c r="Z57" i="40"/>
  <c r="Q57" i="40"/>
  <c r="V57" i="40" s="1"/>
  <c r="N57" i="40"/>
  <c r="L57" i="40"/>
  <c r="K57" i="40"/>
  <c r="I57" i="40"/>
  <c r="BA56" i="40"/>
  <c r="AZ56" i="40"/>
  <c r="AU56" i="40"/>
  <c r="AQ56" i="40"/>
  <c r="AP56" i="40"/>
  <c r="AR56" i="40" s="1"/>
  <c r="AF56" i="40"/>
  <c r="AX56" i="40" s="1"/>
  <c r="Z56" i="40"/>
  <c r="Q56" i="40"/>
  <c r="V56" i="40" s="1"/>
  <c r="N56" i="40"/>
  <c r="L56" i="40"/>
  <c r="K56" i="40"/>
  <c r="I56" i="40"/>
  <c r="BA55" i="40"/>
  <c r="AZ55" i="40"/>
  <c r="AQ55" i="40"/>
  <c r="AP55" i="40"/>
  <c r="AP172" i="40" s="1"/>
  <c r="AF55" i="40"/>
  <c r="AF172" i="40" s="1"/>
  <c r="Z55" i="40"/>
  <c r="Z172" i="40" s="1"/>
  <c r="Q55" i="40"/>
  <c r="Q172" i="40" s="1"/>
  <c r="N55" i="40"/>
  <c r="L55" i="40"/>
  <c r="L172" i="40" s="1"/>
  <c r="K55" i="40"/>
  <c r="I55" i="40"/>
  <c r="BA54" i="40"/>
  <c r="BA60" i="40" s="1"/>
  <c r="AZ54" i="40"/>
  <c r="AZ60" i="40" s="1"/>
  <c r="AQ54" i="40"/>
  <c r="AP54" i="40"/>
  <c r="AR54" i="40" s="1"/>
  <c r="AF54" i="40"/>
  <c r="AX54" i="40" s="1"/>
  <c r="Z54" i="40"/>
  <c r="Z60" i="40" s="1"/>
  <c r="Q54" i="40"/>
  <c r="Q60" i="40" s="1"/>
  <c r="N54" i="40"/>
  <c r="AY54" i="40" s="1"/>
  <c r="L54" i="40"/>
  <c r="K54" i="40"/>
  <c r="K60" i="40" s="1"/>
  <c r="I54" i="40"/>
  <c r="I60" i="40" s="1"/>
  <c r="AU53" i="40"/>
  <c r="AP53" i="40"/>
  <c r="AO53" i="40"/>
  <c r="AN53" i="40"/>
  <c r="AM53" i="40"/>
  <c r="AL53" i="40"/>
  <c r="AK53" i="40"/>
  <c r="AJ53" i="40"/>
  <c r="AI53" i="40"/>
  <c r="AH53" i="40"/>
  <c r="AF53" i="40"/>
  <c r="AE53" i="40"/>
  <c r="AD53" i="40"/>
  <c r="AB53" i="40"/>
  <c r="Z53" i="40"/>
  <c r="Y53" i="40"/>
  <c r="X53" i="40"/>
  <c r="W53" i="40"/>
  <c r="V53" i="40"/>
  <c r="U53" i="40"/>
  <c r="T53" i="40"/>
  <c r="S53" i="40"/>
  <c r="R53" i="40"/>
  <c r="Q53" i="40"/>
  <c r="P53" i="40"/>
  <c r="O53" i="40"/>
  <c r="M53" i="40"/>
  <c r="J53" i="40"/>
  <c r="AX52" i="40"/>
  <c r="AX177" i="40" s="1"/>
  <c r="AW52" i="40"/>
  <c r="AU52" i="40"/>
  <c r="AU177" i="40" s="1"/>
  <c r="AQ52" i="40"/>
  <c r="AQ177" i="40" s="1"/>
  <c r="AP52" i="40"/>
  <c r="AP177" i="40" s="1"/>
  <c r="AF52" i="40"/>
  <c r="AF177" i="40" s="1"/>
  <c r="AC52" i="40"/>
  <c r="AC177" i="40" s="1"/>
  <c r="AB52" i="40"/>
  <c r="AA52" i="40"/>
  <c r="AA53" i="40" s="1"/>
  <c r="Z52" i="40"/>
  <c r="Z177" i="40" s="1"/>
  <c r="V52" i="40"/>
  <c r="V177" i="40" s="1"/>
  <c r="Q52" i="40"/>
  <c r="Q177" i="40" s="1"/>
  <c r="N52" i="40"/>
  <c r="N177" i="40" s="1"/>
  <c r="L52" i="40"/>
  <c r="L177" i="40" s="1"/>
  <c r="K52" i="40"/>
  <c r="K177" i="40" s="1"/>
  <c r="AQ51" i="40"/>
  <c r="AO51" i="40"/>
  <c r="AN51" i="40"/>
  <c r="AM51" i="40"/>
  <c r="AL51" i="40"/>
  <c r="AK51" i="40"/>
  <c r="AJ51" i="40"/>
  <c r="AI51" i="40"/>
  <c r="AH51" i="40"/>
  <c r="AE51" i="40"/>
  <c r="AD51" i="40"/>
  <c r="Y51" i="40"/>
  <c r="X51" i="40"/>
  <c r="W51" i="40"/>
  <c r="U51" i="40"/>
  <c r="T51" i="40"/>
  <c r="S51" i="40"/>
  <c r="R51" i="40"/>
  <c r="P51" i="40"/>
  <c r="O51" i="40"/>
  <c r="N51" i="40"/>
  <c r="M51" i="40"/>
  <c r="J51" i="40"/>
  <c r="BA50" i="40"/>
  <c r="AZ50" i="40"/>
  <c r="AQ50" i="40"/>
  <c r="AP50" i="40"/>
  <c r="AR50" i="40" s="1"/>
  <c r="AF50" i="40"/>
  <c r="AX50" i="40" s="1"/>
  <c r="Z50" i="40"/>
  <c r="AU50" i="40" s="1"/>
  <c r="Q50" i="40"/>
  <c r="V50" i="40" s="1"/>
  <c r="N50" i="40"/>
  <c r="AY50" i="40" s="1"/>
  <c r="L50" i="40"/>
  <c r="K50" i="40"/>
  <c r="I50" i="40"/>
  <c r="BA49" i="40"/>
  <c r="AZ49" i="40"/>
  <c r="AQ49" i="40"/>
  <c r="AP49" i="40"/>
  <c r="AR49" i="40" s="1"/>
  <c r="AF49" i="40"/>
  <c r="AX49" i="40" s="1"/>
  <c r="Z49" i="40"/>
  <c r="AU49" i="40" s="1"/>
  <c r="Q49" i="40"/>
  <c r="V49" i="40" s="1"/>
  <c r="N49" i="40"/>
  <c r="L49" i="40"/>
  <c r="K49" i="40"/>
  <c r="I49" i="40"/>
  <c r="BA48" i="40"/>
  <c r="AZ48" i="40"/>
  <c r="AQ48" i="40"/>
  <c r="AP48" i="40"/>
  <c r="AR48" i="40" s="1"/>
  <c r="AF48" i="40"/>
  <c r="AX48" i="40" s="1"/>
  <c r="Z48" i="40"/>
  <c r="AU48" i="40" s="1"/>
  <c r="Q48" i="40"/>
  <c r="V48" i="40" s="1"/>
  <c r="N48" i="40"/>
  <c r="L48" i="40"/>
  <c r="K48" i="40"/>
  <c r="I48" i="40"/>
  <c r="BA47" i="40"/>
  <c r="AZ47" i="40"/>
  <c r="AQ47" i="40"/>
  <c r="AP47" i="40"/>
  <c r="AR47" i="40" s="1"/>
  <c r="AF47" i="40"/>
  <c r="AX47" i="40" s="1"/>
  <c r="Z47" i="40"/>
  <c r="AU47" i="40" s="1"/>
  <c r="Q47" i="40"/>
  <c r="V47" i="40" s="1"/>
  <c r="N47" i="40"/>
  <c r="L47" i="40"/>
  <c r="K47" i="40"/>
  <c r="I47" i="40"/>
  <c r="BA46" i="40"/>
  <c r="AZ46" i="40"/>
  <c r="AQ46" i="40"/>
  <c r="AP46" i="40"/>
  <c r="AR46" i="40" s="1"/>
  <c r="AF46" i="40"/>
  <c r="AX46" i="40" s="1"/>
  <c r="Z46" i="40"/>
  <c r="AU46" i="40" s="1"/>
  <c r="Q46" i="40"/>
  <c r="V46" i="40" s="1"/>
  <c r="N46" i="40"/>
  <c r="AY46" i="40" s="1"/>
  <c r="L46" i="40"/>
  <c r="K46" i="40"/>
  <c r="I46" i="40"/>
  <c r="BA45" i="40"/>
  <c r="BA51" i="40" s="1"/>
  <c r="AZ45" i="40"/>
  <c r="AZ51" i="40" s="1"/>
  <c r="AQ45" i="40"/>
  <c r="AP45" i="40"/>
  <c r="AR45" i="40" s="1"/>
  <c r="AF45" i="40"/>
  <c r="AX45" i="40" s="1"/>
  <c r="Z45" i="40"/>
  <c r="Z51" i="40" s="1"/>
  <c r="Q45" i="40"/>
  <c r="Q51" i="40" s="1"/>
  <c r="N45" i="40"/>
  <c r="AY45" i="40" s="1"/>
  <c r="L45" i="40"/>
  <c r="K45" i="40"/>
  <c r="K51" i="40" s="1"/>
  <c r="I45" i="40"/>
  <c r="I51" i="40" s="1"/>
  <c r="AP44" i="40"/>
  <c r="AO44" i="40"/>
  <c r="AN44" i="40"/>
  <c r="AM44" i="40"/>
  <c r="AL44" i="40"/>
  <c r="AK44" i="40"/>
  <c r="AJ44" i="40"/>
  <c r="AI44" i="40"/>
  <c r="AH44" i="40"/>
  <c r="AE44" i="40"/>
  <c r="AD44" i="40"/>
  <c r="Y44" i="40"/>
  <c r="X44" i="40"/>
  <c r="W44" i="40"/>
  <c r="U44" i="40"/>
  <c r="T44" i="40"/>
  <c r="S44" i="40"/>
  <c r="P44" i="40"/>
  <c r="O44" i="40"/>
  <c r="M44" i="40"/>
  <c r="L44" i="40"/>
  <c r="J44" i="40"/>
  <c r="AX43" i="40"/>
  <c r="AQ43" i="40"/>
  <c r="BA43" i="40" s="1"/>
  <c r="AP43" i="40"/>
  <c r="AZ43" i="40" s="1"/>
  <c r="AF43" i="40"/>
  <c r="Z43" i="40"/>
  <c r="AU43" i="40" s="1"/>
  <c r="Q43" i="40"/>
  <c r="V43" i="40" s="1"/>
  <c r="N43" i="40"/>
  <c r="L43" i="40"/>
  <c r="K43" i="40"/>
  <c r="AX42" i="40"/>
  <c r="AW42" i="40"/>
  <c r="AQ42" i="40"/>
  <c r="BA42" i="40" s="1"/>
  <c r="AP42" i="40"/>
  <c r="AZ42" i="40" s="1"/>
  <c r="AF42" i="40"/>
  <c r="AC42" i="40"/>
  <c r="AB42" i="40"/>
  <c r="AA42" i="40"/>
  <c r="AG42" i="40" s="1"/>
  <c r="Z42" i="40"/>
  <c r="AU42" i="40" s="1"/>
  <c r="V42" i="40"/>
  <c r="AT42" i="40" s="1"/>
  <c r="Q42" i="40"/>
  <c r="N42" i="40"/>
  <c r="L42" i="40"/>
  <c r="K42" i="40"/>
  <c r="AV42" i="40" s="1"/>
  <c r="AX41" i="40"/>
  <c r="AQ41" i="40"/>
  <c r="BA41" i="40" s="1"/>
  <c r="AP41" i="40"/>
  <c r="AZ41" i="40" s="1"/>
  <c r="AF41" i="40"/>
  <c r="Z41" i="40"/>
  <c r="AU41" i="40" s="1"/>
  <c r="Q41" i="40"/>
  <c r="V41" i="40" s="1"/>
  <c r="N41" i="40"/>
  <c r="L41" i="40"/>
  <c r="K41" i="40"/>
  <c r="AQ40" i="40"/>
  <c r="BA40" i="40" s="1"/>
  <c r="AP40" i="40"/>
  <c r="AZ40" i="40" s="1"/>
  <c r="AZ44" i="40" s="1"/>
  <c r="AJ40" i="40"/>
  <c r="AF40" i="40"/>
  <c r="AX40" i="40" s="1"/>
  <c r="Z40" i="40"/>
  <c r="AU40" i="40" s="1"/>
  <c r="R40" i="40"/>
  <c r="R44" i="40" s="1"/>
  <c r="Q40" i="40"/>
  <c r="V40" i="40" s="1"/>
  <c r="N40" i="40"/>
  <c r="L40" i="40"/>
  <c r="K40" i="40"/>
  <c r="I40" i="40" s="1"/>
  <c r="BA39" i="40"/>
  <c r="AZ39" i="40"/>
  <c r="AU39" i="40"/>
  <c r="AR39" i="40"/>
  <c r="AQ39" i="40"/>
  <c r="AQ44" i="40" s="1"/>
  <c r="AP39" i="40"/>
  <c r="AF39" i="40"/>
  <c r="AF44" i="40" s="1"/>
  <c r="AC39" i="40"/>
  <c r="Z39" i="40"/>
  <c r="Z44" i="40" s="1"/>
  <c r="V39" i="40"/>
  <c r="AA39" i="40" s="1"/>
  <c r="Q39" i="40"/>
  <c r="Q44" i="40" s="1"/>
  <c r="N39" i="40"/>
  <c r="N44" i="40" s="1"/>
  <c r="L39" i="40"/>
  <c r="AW39" i="40" s="1"/>
  <c r="K39" i="40"/>
  <c r="AO38" i="40"/>
  <c r="AN38" i="40"/>
  <c r="AM38" i="40"/>
  <c r="AL38" i="40"/>
  <c r="AK38" i="40"/>
  <c r="AJ38" i="40"/>
  <c r="AI38" i="40"/>
  <c r="AH38" i="40"/>
  <c r="AE38" i="40"/>
  <c r="AD38" i="40"/>
  <c r="Y38" i="40"/>
  <c r="X38" i="40"/>
  <c r="W38" i="40"/>
  <c r="U38" i="40"/>
  <c r="T38" i="40"/>
  <c r="S38" i="40"/>
  <c r="R38" i="40"/>
  <c r="P38" i="40"/>
  <c r="O38" i="40"/>
  <c r="M38" i="40"/>
  <c r="J38" i="40"/>
  <c r="AX37" i="40"/>
  <c r="AQ37" i="40"/>
  <c r="BA37" i="40" s="1"/>
  <c r="AP37" i="40"/>
  <c r="AZ37" i="40" s="1"/>
  <c r="AF37" i="40"/>
  <c r="Z37" i="40"/>
  <c r="AU37" i="40" s="1"/>
  <c r="Q37" i="40"/>
  <c r="V37" i="40" s="1"/>
  <c r="N37" i="40"/>
  <c r="L37" i="40"/>
  <c r="K37" i="40"/>
  <c r="I37" i="40"/>
  <c r="AX36" i="40"/>
  <c r="AV36" i="40"/>
  <c r="AQ36" i="40"/>
  <c r="BA36" i="40" s="1"/>
  <c r="AP36" i="40"/>
  <c r="AZ36" i="40" s="1"/>
  <c r="AF36" i="40"/>
  <c r="AB36" i="40"/>
  <c r="Z36" i="40"/>
  <c r="AU36" i="40" s="1"/>
  <c r="V36" i="40"/>
  <c r="AT36" i="40" s="1"/>
  <c r="Q36" i="40"/>
  <c r="N36" i="40"/>
  <c r="L36" i="40"/>
  <c r="K36" i="40"/>
  <c r="I36" i="40"/>
  <c r="AX35" i="40"/>
  <c r="AQ35" i="40"/>
  <c r="BA35" i="40" s="1"/>
  <c r="AP35" i="40"/>
  <c r="AZ35" i="40" s="1"/>
  <c r="AF35" i="40"/>
  <c r="Z35" i="40"/>
  <c r="AU35" i="40" s="1"/>
  <c r="Q35" i="40"/>
  <c r="V35" i="40" s="1"/>
  <c r="N35" i="40"/>
  <c r="L35" i="40"/>
  <c r="K35" i="40"/>
  <c r="I35" i="40"/>
  <c r="AX34" i="40"/>
  <c r="AQ34" i="40"/>
  <c r="BA34" i="40" s="1"/>
  <c r="AP34" i="40"/>
  <c r="AF34" i="40"/>
  <c r="Z34" i="40"/>
  <c r="AU34" i="40" s="1"/>
  <c r="Q34" i="40"/>
  <c r="V34" i="40" s="1"/>
  <c r="N34" i="40"/>
  <c r="L34" i="40"/>
  <c r="K34" i="40"/>
  <c r="I34" i="40"/>
  <c r="AX33" i="40"/>
  <c r="AX171" i="40" s="1"/>
  <c r="AQ33" i="40"/>
  <c r="AQ171" i="40" s="1"/>
  <c r="AP33" i="40"/>
  <c r="AF33" i="40"/>
  <c r="AF171" i="40" s="1"/>
  <c r="Z33" i="40"/>
  <c r="Q33" i="40"/>
  <c r="Q171" i="40" s="1"/>
  <c r="N33" i="40"/>
  <c r="N171" i="40" s="1"/>
  <c r="L33" i="40"/>
  <c r="L171" i="40" s="1"/>
  <c r="K33" i="40"/>
  <c r="K171" i="40" s="1"/>
  <c r="I33" i="40"/>
  <c r="AO32" i="40"/>
  <c r="AN32" i="40"/>
  <c r="AM32" i="40"/>
  <c r="AL32" i="40"/>
  <c r="AK32" i="40"/>
  <c r="AI32" i="40"/>
  <c r="AH32" i="40"/>
  <c r="AE32" i="40"/>
  <c r="AD32" i="40"/>
  <c r="Y32" i="40"/>
  <c r="X32" i="40"/>
  <c r="W32" i="40"/>
  <c r="U32" i="40"/>
  <c r="T32" i="40"/>
  <c r="S32" i="40"/>
  <c r="R32" i="40"/>
  <c r="P32" i="40"/>
  <c r="O32" i="40"/>
  <c r="M32" i="40"/>
  <c r="J32" i="40"/>
  <c r="BA31" i="40"/>
  <c r="AZ31" i="40"/>
  <c r="AY31" i="40"/>
  <c r="AU31" i="40"/>
  <c r="AQ31" i="40"/>
  <c r="AP31" i="40"/>
  <c r="AR31" i="40" s="1"/>
  <c r="AF31" i="40"/>
  <c r="AX31" i="40" s="1"/>
  <c r="Z31" i="40"/>
  <c r="Q31" i="40"/>
  <c r="V31" i="40" s="1"/>
  <c r="N31" i="40"/>
  <c r="L31" i="40"/>
  <c r="K31" i="40"/>
  <c r="BA30" i="40"/>
  <c r="BA176" i="40" s="1"/>
  <c r="AZ30" i="40"/>
  <c r="AU30" i="40"/>
  <c r="AU176" i="40" s="1"/>
  <c r="AT30" i="40"/>
  <c r="AQ30" i="40"/>
  <c r="AQ176" i="40" s="1"/>
  <c r="AP30" i="40"/>
  <c r="AR30" i="40" s="1"/>
  <c r="AF30" i="40"/>
  <c r="AC30" i="40"/>
  <c r="AA30" i="40"/>
  <c r="Z30" i="40"/>
  <c r="V30" i="40"/>
  <c r="Q30" i="40"/>
  <c r="N30" i="40"/>
  <c r="N176" i="40" s="1"/>
  <c r="L30" i="40"/>
  <c r="L176" i="40" s="1"/>
  <c r="K30" i="40"/>
  <c r="BA29" i="40"/>
  <c r="AQ29" i="40"/>
  <c r="AP29" i="40"/>
  <c r="AZ29" i="40" s="1"/>
  <c r="AF29" i="40"/>
  <c r="AX29" i="40" s="1"/>
  <c r="Z29" i="40"/>
  <c r="AU29" i="40" s="1"/>
  <c r="Q29" i="40"/>
  <c r="V29" i="40" s="1"/>
  <c r="N29" i="40"/>
  <c r="L29" i="40"/>
  <c r="K29" i="40"/>
  <c r="I29" i="40"/>
  <c r="BA28" i="40"/>
  <c r="BA173" i="40" s="1"/>
  <c r="AQ28" i="40"/>
  <c r="AQ173" i="40" s="1"/>
  <c r="AP28" i="40"/>
  <c r="AP173" i="40" s="1"/>
  <c r="AF28" i="40"/>
  <c r="AF173" i="40" s="1"/>
  <c r="Z28" i="40"/>
  <c r="Z173" i="40" s="1"/>
  <c r="Q28" i="40"/>
  <c r="Q173" i="40" s="1"/>
  <c r="N28" i="40"/>
  <c r="N173" i="40" s="1"/>
  <c r="L28" i="40"/>
  <c r="L173" i="40" s="1"/>
  <c r="K28" i="40"/>
  <c r="K173" i="40" s="1"/>
  <c r="I28" i="40"/>
  <c r="I173" i="40" s="1"/>
  <c r="BA27" i="40"/>
  <c r="AX27" i="40"/>
  <c r="AQ27" i="40"/>
  <c r="AP27" i="40"/>
  <c r="AR27" i="40" s="1"/>
  <c r="AY27" i="40" s="1"/>
  <c r="AJ27" i="40"/>
  <c r="AJ170" i="40" s="1"/>
  <c r="AF27" i="40"/>
  <c r="AA27" i="40"/>
  <c r="Z27" i="40"/>
  <c r="AU27" i="40" s="1"/>
  <c r="V27" i="40"/>
  <c r="AC27" i="40" s="1"/>
  <c r="R27" i="40"/>
  <c r="R170" i="40" s="1"/>
  <c r="Q27" i="40"/>
  <c r="N27" i="40"/>
  <c r="L27" i="40"/>
  <c r="AW27" i="40" s="1"/>
  <c r="K27" i="40"/>
  <c r="AX26" i="40"/>
  <c r="AR26" i="40"/>
  <c r="AQ26" i="40"/>
  <c r="BA26" i="40" s="1"/>
  <c r="AP26" i="40"/>
  <c r="AF26" i="40"/>
  <c r="AF170" i="40" s="1"/>
  <c r="Z26" i="40"/>
  <c r="Z170" i="40" s="1"/>
  <c r="Q26" i="40"/>
  <c r="V26" i="40" s="1"/>
  <c r="N26" i="40"/>
  <c r="N170" i="40" s="1"/>
  <c r="L26" i="40"/>
  <c r="L170" i="40" s="1"/>
  <c r="K26" i="40"/>
  <c r="AQ25" i="40"/>
  <c r="AP25" i="40"/>
  <c r="AO25" i="40"/>
  <c r="AN25" i="40"/>
  <c r="AM25" i="40"/>
  <c r="AL25" i="40"/>
  <c r="AK25" i="40"/>
  <c r="AJ25" i="40"/>
  <c r="AI25" i="40"/>
  <c r="AH25" i="40"/>
  <c r="AF25" i="40"/>
  <c r="AE25" i="40"/>
  <c r="AD25" i="40"/>
  <c r="Z25" i="40"/>
  <c r="Y25" i="40"/>
  <c r="X25" i="40"/>
  <c r="W25" i="40"/>
  <c r="U25" i="40"/>
  <c r="T25" i="40"/>
  <c r="S25" i="40"/>
  <c r="R25" i="40"/>
  <c r="P25" i="40"/>
  <c r="O25" i="40"/>
  <c r="N25" i="40"/>
  <c r="M25" i="40"/>
  <c r="L25" i="40"/>
  <c r="J25" i="40"/>
  <c r="BA24" i="40"/>
  <c r="BA25" i="40" s="1"/>
  <c r="AZ24" i="40"/>
  <c r="AZ178" i="40" s="1"/>
  <c r="AU24" i="40"/>
  <c r="AU178" i="40" s="1"/>
  <c r="AQ24" i="40"/>
  <c r="AQ178" i="40" s="1"/>
  <c r="AP24" i="40"/>
  <c r="AP178" i="40" s="1"/>
  <c r="AF24" i="40"/>
  <c r="AF178" i="40" s="1"/>
  <c r="Z24" i="40"/>
  <c r="Z178" i="40" s="1"/>
  <c r="V24" i="40"/>
  <c r="V178" i="40" s="1"/>
  <c r="Q24" i="40"/>
  <c r="Q178" i="40" s="1"/>
  <c r="N24" i="40"/>
  <c r="N178" i="40" s="1"/>
  <c r="L24" i="40"/>
  <c r="L178" i="40" s="1"/>
  <c r="K24" i="40"/>
  <c r="K178" i="40" s="1"/>
  <c r="AO23" i="40"/>
  <c r="AN23" i="40"/>
  <c r="AM23" i="40"/>
  <c r="AL23" i="40"/>
  <c r="AK23" i="40"/>
  <c r="AJ23" i="40"/>
  <c r="AI23" i="40"/>
  <c r="AH23" i="40"/>
  <c r="AE23" i="40"/>
  <c r="AD23" i="40"/>
  <c r="Y23" i="40"/>
  <c r="X23" i="40"/>
  <c r="W23" i="40"/>
  <c r="U23" i="40"/>
  <c r="T23" i="40"/>
  <c r="S23" i="40"/>
  <c r="R23" i="40"/>
  <c r="Q23" i="40"/>
  <c r="P23" i="40"/>
  <c r="O23" i="40"/>
  <c r="M23" i="40"/>
  <c r="K23" i="40"/>
  <c r="AX22" i="40"/>
  <c r="AR22" i="40"/>
  <c r="AQ22" i="40"/>
  <c r="BA22" i="40" s="1"/>
  <c r="AP22" i="40"/>
  <c r="AZ22" i="40" s="1"/>
  <c r="AF22" i="40"/>
  <c r="Z22" i="40"/>
  <c r="AU22" i="40" s="1"/>
  <c r="AU23" i="40" s="1"/>
  <c r="Q22" i="40"/>
  <c r="V22" i="40" s="1"/>
  <c r="N22" i="40"/>
  <c r="AY22" i="40" s="1"/>
  <c r="L22" i="40"/>
  <c r="K22" i="40"/>
  <c r="J22" i="40"/>
  <c r="AT22" i="40" s="1"/>
  <c r="AZ21" i="40"/>
  <c r="AX21" i="40"/>
  <c r="AU21" i="40"/>
  <c r="AR21" i="40"/>
  <c r="AQ21" i="40"/>
  <c r="BA21" i="40" s="1"/>
  <c r="AP21" i="40"/>
  <c r="AF21" i="40"/>
  <c r="AC21" i="40"/>
  <c r="AB21" i="40"/>
  <c r="AA21" i="40"/>
  <c r="AG21" i="40" s="1"/>
  <c r="Z21" i="40"/>
  <c r="V21" i="40"/>
  <c r="AT21" i="40" s="1"/>
  <c r="Q21" i="40"/>
  <c r="N21" i="40"/>
  <c r="AY21" i="40" s="1"/>
  <c r="L21" i="40"/>
  <c r="AW21" i="40" s="1"/>
  <c r="K21" i="40"/>
  <c r="AV21" i="40" s="1"/>
  <c r="AX20" i="40"/>
  <c r="AX23" i="40" s="1"/>
  <c r="AU20" i="40"/>
  <c r="AR20" i="40"/>
  <c r="AR23" i="40" s="1"/>
  <c r="AQ20" i="40"/>
  <c r="AQ23" i="40" s="1"/>
  <c r="AP20" i="40"/>
  <c r="AP23" i="40" s="1"/>
  <c r="AF20" i="40"/>
  <c r="AF23" i="40" s="1"/>
  <c r="AC20" i="40"/>
  <c r="AB20" i="40"/>
  <c r="AA20" i="40"/>
  <c r="AG20" i="40" s="1"/>
  <c r="Z20" i="40"/>
  <c r="Z23" i="40" s="1"/>
  <c r="V20" i="40"/>
  <c r="AT20" i="40" s="1"/>
  <c r="Q20" i="40"/>
  <c r="N20" i="40"/>
  <c r="AY20" i="40" s="1"/>
  <c r="AY23" i="40" s="1"/>
  <c r="L20" i="40"/>
  <c r="L23" i="40" s="1"/>
  <c r="K20" i="40"/>
  <c r="AV20" i="40" s="1"/>
  <c r="AO19" i="40"/>
  <c r="AN19" i="40"/>
  <c r="AM19" i="40"/>
  <c r="AL19" i="40"/>
  <c r="AK19" i="40"/>
  <c r="AJ19" i="40"/>
  <c r="AI19" i="40"/>
  <c r="AH19" i="40"/>
  <c r="AF19" i="40"/>
  <c r="AE19" i="40"/>
  <c r="AD19" i="40"/>
  <c r="Y19" i="40"/>
  <c r="X19" i="40"/>
  <c r="W19" i="40"/>
  <c r="U19" i="40"/>
  <c r="T19" i="40"/>
  <c r="S19" i="40"/>
  <c r="R19" i="40"/>
  <c r="O19" i="40"/>
  <c r="M19" i="40"/>
  <c r="BA18" i="40"/>
  <c r="AQ18" i="40"/>
  <c r="AP18" i="40"/>
  <c r="AR18" i="40" s="1"/>
  <c r="AF18" i="40"/>
  <c r="AX18" i="40" s="1"/>
  <c r="Z18" i="40"/>
  <c r="Z19" i="40" s="1"/>
  <c r="V18" i="40"/>
  <c r="AB18" i="40" s="1"/>
  <c r="AV18" i="40" s="1"/>
  <c r="Q18" i="40"/>
  <c r="Q19" i="40" s="1"/>
  <c r="P18" i="40"/>
  <c r="P175" i="40" s="1"/>
  <c r="N18" i="40"/>
  <c r="AY18" i="40" s="1"/>
  <c r="M18" i="40"/>
  <c r="M175" i="40" s="1"/>
  <c r="M168" i="40" s="1"/>
  <c r="L18" i="40"/>
  <c r="K18" i="40"/>
  <c r="J18" i="40"/>
  <c r="J19" i="40" s="1"/>
  <c r="AX17" i="40"/>
  <c r="AU17" i="40"/>
  <c r="AR17" i="40"/>
  <c r="AQ17" i="40"/>
  <c r="BA17" i="40" s="1"/>
  <c r="AP17" i="40"/>
  <c r="AZ17" i="40" s="1"/>
  <c r="AF17" i="40"/>
  <c r="AC17" i="40"/>
  <c r="AB17" i="40"/>
  <c r="AA17" i="40"/>
  <c r="AG17" i="40" s="1"/>
  <c r="Z17" i="40"/>
  <c r="V17" i="40"/>
  <c r="AT17" i="40" s="1"/>
  <c r="Q17" i="40"/>
  <c r="N17" i="40"/>
  <c r="AY17" i="40" s="1"/>
  <c r="L17" i="40"/>
  <c r="AW17" i="40" s="1"/>
  <c r="K17" i="40"/>
  <c r="AV17" i="40" s="1"/>
  <c r="AX16" i="40"/>
  <c r="AX19" i="40" s="1"/>
  <c r="AU16" i="40"/>
  <c r="AR16" i="40"/>
  <c r="AQ16" i="40"/>
  <c r="BA16" i="40" s="1"/>
  <c r="BA19" i="40" s="1"/>
  <c r="AP16" i="40"/>
  <c r="AZ16" i="40" s="1"/>
  <c r="AF16" i="40"/>
  <c r="AC16" i="40"/>
  <c r="AB16" i="40"/>
  <c r="AB19" i="40" s="1"/>
  <c r="AA16" i="40"/>
  <c r="AG16" i="40" s="1"/>
  <c r="Z16" i="40"/>
  <c r="V16" i="40"/>
  <c r="V19" i="40" s="1"/>
  <c r="Q16" i="40"/>
  <c r="N16" i="40"/>
  <c r="AY16" i="40" s="1"/>
  <c r="L16" i="40"/>
  <c r="AW16" i="40" s="1"/>
  <c r="K16" i="40"/>
  <c r="K19" i="40" s="1"/>
  <c r="AO15" i="40"/>
  <c r="AN15" i="40"/>
  <c r="AM15" i="40"/>
  <c r="AL15" i="40"/>
  <c r="AK15" i="40"/>
  <c r="AJ15" i="40"/>
  <c r="AI15" i="40"/>
  <c r="AH15" i="40"/>
  <c r="AF15" i="40"/>
  <c r="AE15" i="40"/>
  <c r="AD15" i="40"/>
  <c r="Y15" i="40"/>
  <c r="X15" i="40"/>
  <c r="W15" i="40"/>
  <c r="U15" i="40"/>
  <c r="T15" i="40"/>
  <c r="S15" i="40"/>
  <c r="R15" i="40"/>
  <c r="P15" i="40"/>
  <c r="O15" i="40"/>
  <c r="N15" i="40"/>
  <c r="M15" i="40"/>
  <c r="BA14" i="40"/>
  <c r="AQ14" i="40"/>
  <c r="AP14" i="40"/>
  <c r="AP175" i="40" s="1"/>
  <c r="AF14" i="40"/>
  <c r="AF175" i="40" s="1"/>
  <c r="Z14" i="40"/>
  <c r="Z175" i="40" s="1"/>
  <c r="Q14" i="40"/>
  <c r="Q175" i="40" s="1"/>
  <c r="N14" i="40"/>
  <c r="J14" i="40"/>
  <c r="J175" i="40" s="1"/>
  <c r="AU13" i="40"/>
  <c r="AQ13" i="40"/>
  <c r="BA13" i="40" s="1"/>
  <c r="AP13" i="40"/>
  <c r="AR13" i="40" s="1"/>
  <c r="AF13" i="40"/>
  <c r="AX13" i="40" s="1"/>
  <c r="AA13" i="40"/>
  <c r="Z13" i="40"/>
  <c r="V13" i="40"/>
  <c r="AC13" i="40" s="1"/>
  <c r="AW13" i="40" s="1"/>
  <c r="Q13" i="40"/>
  <c r="N13" i="40"/>
  <c r="AY13" i="40" s="1"/>
  <c r="L13" i="40"/>
  <c r="K13" i="40"/>
  <c r="AU12" i="40"/>
  <c r="AQ12" i="40"/>
  <c r="AQ169" i="40" s="1"/>
  <c r="AP12" i="40"/>
  <c r="AP15" i="40" s="1"/>
  <c r="AF12" i="40"/>
  <c r="AF169" i="40" s="1"/>
  <c r="AA12" i="40"/>
  <c r="Z12" i="40"/>
  <c r="Z169" i="40" s="1"/>
  <c r="V12" i="40"/>
  <c r="AT12" i="40" s="1"/>
  <c r="Q12" i="40"/>
  <c r="Q169" i="40" s="1"/>
  <c r="N12" i="40"/>
  <c r="L12" i="40"/>
  <c r="K12" i="40"/>
  <c r="K169" i="40" s="1"/>
  <c r="AO137" i="39"/>
  <c r="AN137" i="39"/>
  <c r="AM137" i="39"/>
  <c r="AL137" i="39"/>
  <c r="AK137" i="39"/>
  <c r="AJ137" i="39"/>
  <c r="AI137" i="39"/>
  <c r="AH137" i="39"/>
  <c r="AE137" i="39"/>
  <c r="AD137" i="39"/>
  <c r="Y137" i="39"/>
  <c r="X137" i="39"/>
  <c r="W137" i="39"/>
  <c r="U137" i="39"/>
  <c r="T137" i="39"/>
  <c r="S137" i="39"/>
  <c r="R137" i="39"/>
  <c r="P137" i="39"/>
  <c r="O137" i="39"/>
  <c r="M137" i="39"/>
  <c r="J137" i="39"/>
  <c r="AO136" i="39"/>
  <c r="AN136" i="39"/>
  <c r="AM136" i="39"/>
  <c r="AL136" i="39"/>
  <c r="AK136" i="39"/>
  <c r="AJ136" i="39"/>
  <c r="AI136" i="39"/>
  <c r="AH136" i="39"/>
  <c r="AE136" i="39"/>
  <c r="AD136" i="39"/>
  <c r="Y136" i="39"/>
  <c r="X136" i="39"/>
  <c r="W136" i="39"/>
  <c r="U136" i="39"/>
  <c r="T136" i="39"/>
  <c r="S136" i="39"/>
  <c r="R136" i="39"/>
  <c r="P136" i="39"/>
  <c r="O136" i="39"/>
  <c r="M136" i="39"/>
  <c r="J136" i="39"/>
  <c r="AO135" i="39"/>
  <c r="AN135" i="39"/>
  <c r="AM135" i="39"/>
  <c r="AL135" i="39"/>
  <c r="AK135" i="39"/>
  <c r="AJ135" i="39"/>
  <c r="AI135" i="39"/>
  <c r="AH135" i="39"/>
  <c r="AE135" i="39"/>
  <c r="AD135" i="39"/>
  <c r="Y135" i="39"/>
  <c r="X135" i="39"/>
  <c r="W135" i="39"/>
  <c r="U135" i="39"/>
  <c r="T135" i="39"/>
  <c r="S135" i="39"/>
  <c r="R135" i="39"/>
  <c r="P135" i="39"/>
  <c r="O135" i="39"/>
  <c r="M135" i="39"/>
  <c r="J135" i="39"/>
  <c r="AO134" i="39"/>
  <c r="AN134" i="39"/>
  <c r="AM134" i="39"/>
  <c r="AL134" i="39"/>
  <c r="AK134" i="39"/>
  <c r="AJ134" i="39"/>
  <c r="AI134" i="39"/>
  <c r="AH134" i="39"/>
  <c r="AE134" i="39"/>
  <c r="AD134" i="39"/>
  <c r="Y134" i="39"/>
  <c r="X134" i="39"/>
  <c r="W134" i="39"/>
  <c r="U134" i="39"/>
  <c r="T134" i="39"/>
  <c r="S134" i="39"/>
  <c r="R134" i="39"/>
  <c r="O134" i="39"/>
  <c r="BA133" i="39"/>
  <c r="AZ133" i="39"/>
  <c r="AY133" i="39"/>
  <c r="AX133" i="39"/>
  <c r="AW133" i="39"/>
  <c r="AV133" i="39"/>
  <c r="AU133" i="39"/>
  <c r="AT133" i="39"/>
  <c r="AS133" i="39"/>
  <c r="AR133" i="39"/>
  <c r="AQ133" i="39"/>
  <c r="AP133" i="39"/>
  <c r="AO133" i="39"/>
  <c r="AN133" i="39"/>
  <c r="AM133" i="39"/>
  <c r="AL133" i="39"/>
  <c r="AK133" i="39"/>
  <c r="AJ133" i="39"/>
  <c r="AI133" i="39"/>
  <c r="AH133" i="39"/>
  <c r="AG133" i="39"/>
  <c r="AF133" i="39"/>
  <c r="AE133" i="39"/>
  <c r="AD133" i="39"/>
  <c r="AC133" i="39"/>
  <c r="AB133" i="39"/>
  <c r="AA133" i="39"/>
  <c r="Z133" i="39"/>
  <c r="Y133" i="39"/>
  <c r="X133" i="39"/>
  <c r="W133" i="39"/>
  <c r="V133" i="39"/>
  <c r="U133" i="39"/>
  <c r="T133" i="39"/>
  <c r="S133" i="39"/>
  <c r="R133" i="39"/>
  <c r="Q133" i="39"/>
  <c r="P133" i="39"/>
  <c r="O133" i="39"/>
  <c r="N133" i="39"/>
  <c r="M133" i="39"/>
  <c r="L133" i="39"/>
  <c r="K133" i="39"/>
  <c r="J133" i="39"/>
  <c r="I133" i="39"/>
  <c r="BA132" i="39"/>
  <c r="AZ132" i="39"/>
  <c r="AY132" i="39"/>
  <c r="AX132" i="39"/>
  <c r="AW132" i="39"/>
  <c r="AV132" i="39"/>
  <c r="AU132" i="39"/>
  <c r="AT132" i="39"/>
  <c r="AS132" i="39"/>
  <c r="AR132" i="39"/>
  <c r="AQ132" i="39"/>
  <c r="AP132" i="39"/>
  <c r="AO132" i="39"/>
  <c r="AN132" i="39"/>
  <c r="AM132" i="39"/>
  <c r="AL132" i="39"/>
  <c r="AK132" i="39"/>
  <c r="AJ132" i="39"/>
  <c r="AI132" i="39"/>
  <c r="AH132" i="39"/>
  <c r="AG132" i="39"/>
  <c r="AF132" i="39"/>
  <c r="AE132" i="39"/>
  <c r="AD132" i="39"/>
  <c r="AC132" i="39"/>
  <c r="AB132" i="39"/>
  <c r="AA132" i="39"/>
  <c r="Z132" i="39"/>
  <c r="Y132" i="39"/>
  <c r="X132" i="39"/>
  <c r="W132" i="39"/>
  <c r="V132" i="39"/>
  <c r="U132" i="39"/>
  <c r="T132" i="39"/>
  <c r="S132" i="39"/>
  <c r="R132" i="39"/>
  <c r="Q132" i="39"/>
  <c r="P132" i="39"/>
  <c r="O132" i="39"/>
  <c r="N132" i="39"/>
  <c r="M132" i="39"/>
  <c r="L132" i="39"/>
  <c r="K132" i="39"/>
  <c r="J132" i="39"/>
  <c r="I132" i="39"/>
  <c r="AO131" i="39"/>
  <c r="AN131" i="39"/>
  <c r="AM131" i="39"/>
  <c r="AL131" i="39"/>
  <c r="AK131" i="39"/>
  <c r="AI131" i="39"/>
  <c r="AH131" i="39"/>
  <c r="AE131" i="39"/>
  <c r="AD131" i="39"/>
  <c r="Y131" i="39"/>
  <c r="X131" i="39"/>
  <c r="W131" i="39"/>
  <c r="U131" i="39"/>
  <c r="T131" i="39"/>
  <c r="S131" i="39"/>
  <c r="R131" i="39"/>
  <c r="P131" i="39"/>
  <c r="O131" i="39"/>
  <c r="M131" i="39"/>
  <c r="J131" i="39"/>
  <c r="AO130" i="39"/>
  <c r="AN130" i="39"/>
  <c r="AM130" i="39"/>
  <c r="AL130" i="39"/>
  <c r="AK130" i="39"/>
  <c r="AJ130" i="39"/>
  <c r="AI130" i="39"/>
  <c r="AH130" i="39"/>
  <c r="AE130" i="39"/>
  <c r="AD130" i="39"/>
  <c r="Y130" i="39"/>
  <c r="X130" i="39"/>
  <c r="W130" i="39"/>
  <c r="U130" i="39"/>
  <c r="T130" i="39"/>
  <c r="S130" i="39"/>
  <c r="R130" i="39"/>
  <c r="P130" i="39"/>
  <c r="O130" i="39"/>
  <c r="M130" i="39"/>
  <c r="J130" i="39"/>
  <c r="AO129" i="39"/>
  <c r="AN129" i="39"/>
  <c r="AM129" i="39"/>
  <c r="AL129" i="39"/>
  <c r="AK129" i="39"/>
  <c r="AI129" i="39"/>
  <c r="AH129" i="39"/>
  <c r="AE129" i="39"/>
  <c r="AD129" i="39"/>
  <c r="Y129" i="39"/>
  <c r="X129" i="39"/>
  <c r="W129" i="39"/>
  <c r="U129" i="39"/>
  <c r="T129" i="39"/>
  <c r="S129" i="39"/>
  <c r="P129" i="39"/>
  <c r="O129" i="39"/>
  <c r="M129" i="39"/>
  <c r="J129" i="39"/>
  <c r="AO128" i="39"/>
  <c r="AN128" i="39"/>
  <c r="AM128" i="39"/>
  <c r="AL128" i="39"/>
  <c r="AL127" i="39" s="1"/>
  <c r="AK128" i="39"/>
  <c r="AJ128" i="39"/>
  <c r="AI128" i="39"/>
  <c r="AH128" i="39"/>
  <c r="AE128" i="39"/>
  <c r="AD128" i="39"/>
  <c r="Y128" i="39"/>
  <c r="X128" i="39"/>
  <c r="W128" i="39"/>
  <c r="U128" i="39"/>
  <c r="T128" i="39"/>
  <c r="S128" i="39"/>
  <c r="R128" i="39"/>
  <c r="P128" i="39"/>
  <c r="O128" i="39"/>
  <c r="M128" i="39"/>
  <c r="J128" i="39"/>
  <c r="AO127" i="39"/>
  <c r="AO123" i="39"/>
  <c r="AN123" i="39"/>
  <c r="AM123" i="39"/>
  <c r="AL123" i="39"/>
  <c r="AK123" i="39"/>
  <c r="AJ123" i="39"/>
  <c r="AI123" i="39"/>
  <c r="AH123" i="39"/>
  <c r="AE123" i="39"/>
  <c r="AD123" i="39"/>
  <c r="Y123" i="39"/>
  <c r="X123" i="39"/>
  <c r="W123" i="39"/>
  <c r="U123" i="39"/>
  <c r="T123" i="39"/>
  <c r="S123" i="39"/>
  <c r="R123" i="39"/>
  <c r="P123" i="39"/>
  <c r="O123" i="39"/>
  <c r="M123" i="39"/>
  <c r="J123" i="39"/>
  <c r="BA122" i="39"/>
  <c r="AQ122" i="39"/>
  <c r="AP122" i="39"/>
  <c r="AZ122" i="39" s="1"/>
  <c r="AF122" i="39"/>
  <c r="AX122" i="39" s="1"/>
  <c r="Z122" i="39"/>
  <c r="AU122" i="39" s="1"/>
  <c r="V122" i="39"/>
  <c r="AC122" i="39" s="1"/>
  <c r="Q122" i="39"/>
  <c r="N122" i="39"/>
  <c r="L122" i="39"/>
  <c r="K122" i="39"/>
  <c r="AX121" i="39"/>
  <c r="AQ121" i="39"/>
  <c r="BA121" i="39" s="1"/>
  <c r="AP121" i="39"/>
  <c r="AZ121" i="39" s="1"/>
  <c r="AF121" i="39"/>
  <c r="Z121" i="39"/>
  <c r="AU121" i="39" s="1"/>
  <c r="Q121" i="39"/>
  <c r="V121" i="39" s="1"/>
  <c r="AC121" i="39" s="1"/>
  <c r="N121" i="39"/>
  <c r="L121" i="39"/>
  <c r="K121" i="39"/>
  <c r="AQ120" i="39"/>
  <c r="BA120" i="39" s="1"/>
  <c r="AP120" i="39"/>
  <c r="AZ120" i="39" s="1"/>
  <c r="AF120" i="39"/>
  <c r="AX120" i="39" s="1"/>
  <c r="Z120" i="39"/>
  <c r="AU120" i="39" s="1"/>
  <c r="V120" i="39"/>
  <c r="Q120" i="39"/>
  <c r="N120" i="39"/>
  <c r="L120" i="39"/>
  <c r="K120" i="39"/>
  <c r="I120" i="39" s="1"/>
  <c r="AQ119" i="39"/>
  <c r="AP119" i="39"/>
  <c r="AZ119" i="39" s="1"/>
  <c r="AF119" i="39"/>
  <c r="AX119" i="39" s="1"/>
  <c r="Z119" i="39"/>
  <c r="Q119" i="39"/>
  <c r="V119" i="39" s="1"/>
  <c r="AC119" i="39" s="1"/>
  <c r="N119" i="39"/>
  <c r="L119" i="39"/>
  <c r="K119" i="39"/>
  <c r="AO118" i="39"/>
  <c r="AN118" i="39"/>
  <c r="AM118" i="39"/>
  <c r="AL118" i="39"/>
  <c r="AK118" i="39"/>
  <c r="AJ118" i="39"/>
  <c r="AI118" i="39"/>
  <c r="AH118" i="39"/>
  <c r="AE118" i="39"/>
  <c r="AD118" i="39"/>
  <c r="Y118" i="39"/>
  <c r="X118" i="39"/>
  <c r="W118" i="39"/>
  <c r="U118" i="39"/>
  <c r="T118" i="39"/>
  <c r="S118" i="39"/>
  <c r="R118" i="39"/>
  <c r="P118" i="39"/>
  <c r="O118" i="39"/>
  <c r="M118" i="39"/>
  <c r="J118" i="39"/>
  <c r="AX117" i="39"/>
  <c r="AQ117" i="39"/>
  <c r="BA117" i="39" s="1"/>
  <c r="AP117" i="39"/>
  <c r="AF117" i="39"/>
  <c r="Z117" i="39"/>
  <c r="AU117" i="39" s="1"/>
  <c r="Q117" i="39"/>
  <c r="V117" i="39" s="1"/>
  <c r="AC117" i="39" s="1"/>
  <c r="N117" i="39"/>
  <c r="L117" i="39"/>
  <c r="K117" i="39"/>
  <c r="I117" i="39"/>
  <c r="AR116" i="39"/>
  <c r="AQ116" i="39"/>
  <c r="BA116" i="39" s="1"/>
  <c r="AP116" i="39"/>
  <c r="AZ116" i="39" s="1"/>
  <c r="AF116" i="39"/>
  <c r="AX116" i="39" s="1"/>
  <c r="Z116" i="39"/>
  <c r="AU116" i="39" s="1"/>
  <c r="Q116" i="39"/>
  <c r="V116" i="39" s="1"/>
  <c r="N116" i="39"/>
  <c r="AY116" i="39" s="1"/>
  <c r="L116" i="39"/>
  <c r="K116" i="39"/>
  <c r="I116" i="39" s="1"/>
  <c r="AQ115" i="39"/>
  <c r="AP115" i="39"/>
  <c r="AF115" i="39"/>
  <c r="AX115" i="39" s="1"/>
  <c r="Z115" i="39"/>
  <c r="Q115" i="39"/>
  <c r="N115" i="39"/>
  <c r="L115" i="39"/>
  <c r="L118" i="39" s="1"/>
  <c r="K115" i="39"/>
  <c r="AO114" i="39"/>
  <c r="AN114" i="39"/>
  <c r="AM114" i="39"/>
  <c r="AL114" i="39"/>
  <c r="AK114" i="39"/>
  <c r="AI114" i="39"/>
  <c r="AH114" i="39"/>
  <c r="AE114" i="39"/>
  <c r="AD114" i="39"/>
  <c r="Y114" i="39"/>
  <c r="X114" i="39"/>
  <c r="W114" i="39"/>
  <c r="U114" i="39"/>
  <c r="T114" i="39"/>
  <c r="S114" i="39"/>
  <c r="R114" i="39"/>
  <c r="P114" i="39"/>
  <c r="O114" i="39"/>
  <c r="M114" i="39"/>
  <c r="J114" i="39"/>
  <c r="AQ113" i="39"/>
  <c r="BA113" i="39" s="1"/>
  <c r="AP113" i="39"/>
  <c r="AZ113" i="39" s="1"/>
  <c r="AF113" i="39"/>
  <c r="AX113" i="39" s="1"/>
  <c r="Z113" i="39"/>
  <c r="AU113" i="39" s="1"/>
  <c r="V113" i="39"/>
  <c r="AB113" i="39" s="1"/>
  <c r="Q113" i="39"/>
  <c r="N113" i="39"/>
  <c r="L113" i="39"/>
  <c r="K113" i="39"/>
  <c r="AQ112" i="39"/>
  <c r="BA112" i="39" s="1"/>
  <c r="AP112" i="39"/>
  <c r="AF112" i="39"/>
  <c r="AX112" i="39" s="1"/>
  <c r="Z112" i="39"/>
  <c r="AU112" i="39" s="1"/>
  <c r="Q112" i="39"/>
  <c r="V112" i="39" s="1"/>
  <c r="N112" i="39"/>
  <c r="L112" i="39"/>
  <c r="K112" i="39"/>
  <c r="AQ111" i="39"/>
  <c r="BA111" i="39" s="1"/>
  <c r="AP111" i="39"/>
  <c r="AF111" i="39"/>
  <c r="AX111" i="39" s="1"/>
  <c r="Z111" i="39"/>
  <c r="AU111" i="39" s="1"/>
  <c r="Q111" i="39"/>
  <c r="V111" i="39" s="1"/>
  <c r="AB111" i="39" s="1"/>
  <c r="N111" i="39"/>
  <c r="L111" i="39"/>
  <c r="K111" i="39"/>
  <c r="AQ110" i="39"/>
  <c r="BA110" i="39" s="1"/>
  <c r="AP110" i="39"/>
  <c r="AJ110" i="39"/>
  <c r="AJ131" i="39" s="1"/>
  <c r="AF110" i="39"/>
  <c r="AX110" i="39" s="1"/>
  <c r="Z110" i="39"/>
  <c r="AU110" i="39" s="1"/>
  <c r="R110" i="39"/>
  <c r="Q110" i="39"/>
  <c r="V110" i="39" s="1"/>
  <c r="N110" i="39"/>
  <c r="L110" i="39"/>
  <c r="K110" i="39"/>
  <c r="AQ109" i="39"/>
  <c r="BA109" i="39" s="1"/>
  <c r="AP109" i="39"/>
  <c r="AF109" i="39"/>
  <c r="AX109" i="39" s="1"/>
  <c r="Z109" i="39"/>
  <c r="AU109" i="39" s="1"/>
  <c r="Q109" i="39"/>
  <c r="V109" i="39" s="1"/>
  <c r="N109" i="39"/>
  <c r="L109" i="39"/>
  <c r="K109" i="39"/>
  <c r="AQ108" i="39"/>
  <c r="AP108" i="39"/>
  <c r="AF108" i="39"/>
  <c r="Z108" i="39"/>
  <c r="Q108" i="39"/>
  <c r="V108" i="39" s="1"/>
  <c r="N108" i="39"/>
  <c r="L108" i="39"/>
  <c r="K108" i="39"/>
  <c r="I108" i="39" s="1"/>
  <c r="AO107" i="39"/>
  <c r="AN107" i="39"/>
  <c r="AM107" i="39"/>
  <c r="AL107" i="39"/>
  <c r="AK107" i="39"/>
  <c r="AJ107" i="39"/>
  <c r="AI107" i="39"/>
  <c r="AH107" i="39"/>
  <c r="AE107" i="39"/>
  <c r="AD107" i="39"/>
  <c r="Y107" i="39"/>
  <c r="X107" i="39"/>
  <c r="W107" i="39"/>
  <c r="U107" i="39"/>
  <c r="T107" i="39"/>
  <c r="S107" i="39"/>
  <c r="R107" i="39"/>
  <c r="O107" i="39"/>
  <c r="M107" i="39"/>
  <c r="J107" i="39"/>
  <c r="AQ106" i="39"/>
  <c r="BA106" i="39" s="1"/>
  <c r="AP106" i="39"/>
  <c r="AZ106" i="39" s="1"/>
  <c r="AF106" i="39"/>
  <c r="AX106" i="39" s="1"/>
  <c r="Z106" i="39"/>
  <c r="AU106" i="39" s="1"/>
  <c r="Q106" i="39"/>
  <c r="V106" i="39" s="1"/>
  <c r="N106" i="39"/>
  <c r="L106" i="39"/>
  <c r="K106" i="39"/>
  <c r="BA105" i="39"/>
  <c r="AU105" i="39"/>
  <c r="AQ105" i="39"/>
  <c r="AP105" i="39"/>
  <c r="AZ105" i="39" s="1"/>
  <c r="AF105" i="39"/>
  <c r="AX105" i="39" s="1"/>
  <c r="Z105" i="39"/>
  <c r="Q105" i="39"/>
  <c r="V105" i="39" s="1"/>
  <c r="N105" i="39"/>
  <c r="L105" i="39"/>
  <c r="K105" i="39"/>
  <c r="I105" i="39" s="1"/>
  <c r="AZ104" i="39"/>
  <c r="AQ104" i="39"/>
  <c r="AP104" i="39"/>
  <c r="AF104" i="39"/>
  <c r="Z104" i="39"/>
  <c r="AU104" i="39" s="1"/>
  <c r="Q104" i="39"/>
  <c r="V104" i="39" s="1"/>
  <c r="AA104" i="39" s="1"/>
  <c r="P104" i="39"/>
  <c r="N104" i="39" s="1"/>
  <c r="M104" i="39"/>
  <c r="L104" i="39"/>
  <c r="K104" i="39"/>
  <c r="J104" i="39"/>
  <c r="AT103" i="39"/>
  <c r="AQ103" i="39"/>
  <c r="BA103" i="39" s="1"/>
  <c r="AP103" i="39"/>
  <c r="AZ103" i="39" s="1"/>
  <c r="AF103" i="39"/>
  <c r="AX103" i="39" s="1"/>
  <c r="Z103" i="39"/>
  <c r="AU103" i="39" s="1"/>
  <c r="Q103" i="39"/>
  <c r="V103" i="39" s="1"/>
  <c r="N103" i="39"/>
  <c r="L103" i="39"/>
  <c r="K103" i="39"/>
  <c r="AQ102" i="39"/>
  <c r="BA102" i="39" s="1"/>
  <c r="AP102" i="39"/>
  <c r="AF102" i="39"/>
  <c r="AX102" i="39" s="1"/>
  <c r="Z102" i="39"/>
  <c r="AU102" i="39" s="1"/>
  <c r="Q102" i="39"/>
  <c r="V102" i="39" s="1"/>
  <c r="AB102" i="39" s="1"/>
  <c r="N102" i="39"/>
  <c r="L102" i="39"/>
  <c r="K102" i="39"/>
  <c r="AQ101" i="39"/>
  <c r="BA101" i="39" s="1"/>
  <c r="AP101" i="39"/>
  <c r="AZ101" i="39" s="1"/>
  <c r="AF101" i="39"/>
  <c r="Z101" i="39"/>
  <c r="AU101" i="39" s="1"/>
  <c r="Q101" i="39"/>
  <c r="N101" i="39"/>
  <c r="L101" i="39"/>
  <c r="K101" i="39"/>
  <c r="I101" i="39" s="1"/>
  <c r="AO100" i="39"/>
  <c r="AN100" i="39"/>
  <c r="AM100" i="39"/>
  <c r="AL100" i="39"/>
  <c r="AK100" i="39"/>
  <c r="AJ100" i="39"/>
  <c r="AI100" i="39"/>
  <c r="AH100" i="39"/>
  <c r="AE100" i="39"/>
  <c r="AD100" i="39"/>
  <c r="Y100" i="39"/>
  <c r="X100" i="39"/>
  <c r="W100" i="39"/>
  <c r="U100" i="39"/>
  <c r="T100" i="39"/>
  <c r="S100" i="39"/>
  <c r="R100" i="39"/>
  <c r="P100" i="39"/>
  <c r="O100" i="39"/>
  <c r="M100" i="39"/>
  <c r="J100" i="39"/>
  <c r="AQ99" i="39"/>
  <c r="BA99" i="39" s="1"/>
  <c r="AP99" i="39"/>
  <c r="AZ99" i="39" s="1"/>
  <c r="AF99" i="39"/>
  <c r="AX99" i="39" s="1"/>
  <c r="Z99" i="39"/>
  <c r="AU99" i="39" s="1"/>
  <c r="Q99" i="39"/>
  <c r="V99" i="39" s="1"/>
  <c r="N99" i="39"/>
  <c r="L99" i="39"/>
  <c r="K99" i="39"/>
  <c r="I99" i="39" s="1"/>
  <c r="AQ98" i="39"/>
  <c r="BA98" i="39" s="1"/>
  <c r="AP98" i="39"/>
  <c r="AF98" i="39"/>
  <c r="AX98" i="39" s="1"/>
  <c r="Z98" i="39"/>
  <c r="AU98" i="39" s="1"/>
  <c r="Q98" i="39"/>
  <c r="V98" i="39" s="1"/>
  <c r="AC98" i="39" s="1"/>
  <c r="N98" i="39"/>
  <c r="L98" i="39"/>
  <c r="K98" i="39"/>
  <c r="I98" i="39" s="1"/>
  <c r="AQ97" i="39"/>
  <c r="BA97" i="39" s="1"/>
  <c r="AP97" i="39"/>
  <c r="AF97" i="39"/>
  <c r="AX97" i="39" s="1"/>
  <c r="Z97" i="39"/>
  <c r="AU97" i="39" s="1"/>
  <c r="Q97" i="39"/>
  <c r="V97" i="39" s="1"/>
  <c r="AC97" i="39" s="1"/>
  <c r="N97" i="39"/>
  <c r="L97" i="39"/>
  <c r="K97" i="39"/>
  <c r="AQ96" i="39"/>
  <c r="BA96" i="39" s="1"/>
  <c r="AP96" i="39"/>
  <c r="AF96" i="39"/>
  <c r="AX96" i="39" s="1"/>
  <c r="Z96" i="39"/>
  <c r="AU96" i="39" s="1"/>
  <c r="Q96" i="39"/>
  <c r="V96" i="39" s="1"/>
  <c r="N96" i="39"/>
  <c r="L96" i="39"/>
  <c r="K96" i="39"/>
  <c r="AQ95" i="39"/>
  <c r="BA95" i="39" s="1"/>
  <c r="AP95" i="39"/>
  <c r="AZ95" i="39" s="1"/>
  <c r="AF95" i="39"/>
  <c r="AX95" i="39" s="1"/>
  <c r="Z95" i="39"/>
  <c r="AU95" i="39" s="1"/>
  <c r="Q95" i="39"/>
  <c r="V95" i="39" s="1"/>
  <c r="AT95" i="39" s="1"/>
  <c r="N95" i="39"/>
  <c r="L95" i="39"/>
  <c r="K95" i="39"/>
  <c r="AU94" i="39"/>
  <c r="AQ94" i="39"/>
  <c r="AP94" i="39"/>
  <c r="AF94" i="39"/>
  <c r="Z94" i="39"/>
  <c r="Q94" i="39"/>
  <c r="N94" i="39"/>
  <c r="L94" i="39"/>
  <c r="K94" i="39"/>
  <c r="I94" i="39"/>
  <c r="AO93" i="39"/>
  <c r="AN93" i="39"/>
  <c r="AM93" i="39"/>
  <c r="AL93" i="39"/>
  <c r="AK93" i="39"/>
  <c r="AJ93" i="39"/>
  <c r="AI93" i="39"/>
  <c r="AH93" i="39"/>
  <c r="AE93" i="39"/>
  <c r="AD93" i="39"/>
  <c r="Y93" i="39"/>
  <c r="X93" i="39"/>
  <c r="W93" i="39"/>
  <c r="U93" i="39"/>
  <c r="T93" i="39"/>
  <c r="S93" i="39"/>
  <c r="R93" i="39"/>
  <c r="P93" i="39"/>
  <c r="O93" i="39"/>
  <c r="M93" i="39"/>
  <c r="J93" i="39"/>
  <c r="AQ92" i="39"/>
  <c r="BA92" i="39" s="1"/>
  <c r="AP92" i="39"/>
  <c r="AF92" i="39"/>
  <c r="AX92" i="39" s="1"/>
  <c r="Z92" i="39"/>
  <c r="AU92" i="39" s="1"/>
  <c r="Q92" i="39"/>
  <c r="V92" i="39" s="1"/>
  <c r="N92" i="39"/>
  <c r="L92" i="39"/>
  <c r="K92" i="39"/>
  <c r="I92" i="39"/>
  <c r="AQ91" i="39"/>
  <c r="BA91" i="39" s="1"/>
  <c r="AP91" i="39"/>
  <c r="AZ91" i="39" s="1"/>
  <c r="AF91" i="39"/>
  <c r="AX91" i="39" s="1"/>
  <c r="Z91" i="39"/>
  <c r="Q91" i="39"/>
  <c r="V91" i="39" s="1"/>
  <c r="N91" i="39"/>
  <c r="L91" i="39"/>
  <c r="K91" i="39"/>
  <c r="AX90" i="39"/>
  <c r="AQ90" i="39"/>
  <c r="BA90" i="39" s="1"/>
  <c r="AP90" i="39"/>
  <c r="AF90" i="39"/>
  <c r="Z90" i="39"/>
  <c r="AU90" i="39" s="1"/>
  <c r="V90" i="39"/>
  <c r="AT90" i="39" s="1"/>
  <c r="Q90" i="39"/>
  <c r="N90" i="39"/>
  <c r="L90" i="39"/>
  <c r="K90" i="39"/>
  <c r="BA89" i="39"/>
  <c r="AQ89" i="39"/>
  <c r="AP89" i="39"/>
  <c r="AF89" i="39"/>
  <c r="AX89" i="39" s="1"/>
  <c r="Z89" i="39"/>
  <c r="AU89" i="39" s="1"/>
  <c r="Q89" i="39"/>
  <c r="V89" i="39" s="1"/>
  <c r="N89" i="39"/>
  <c r="L89" i="39"/>
  <c r="K89" i="39"/>
  <c r="I89" i="39" s="1"/>
  <c r="AX88" i="39"/>
  <c r="AQ88" i="39"/>
  <c r="AP88" i="39"/>
  <c r="AZ88" i="39" s="1"/>
  <c r="AF88" i="39"/>
  <c r="Z88" i="39"/>
  <c r="V88" i="39"/>
  <c r="Q88" i="39"/>
  <c r="N88" i="39"/>
  <c r="L88" i="39"/>
  <c r="K88" i="39"/>
  <c r="AQ87" i="39"/>
  <c r="BA87" i="39" s="1"/>
  <c r="AP87" i="39"/>
  <c r="AF87" i="39"/>
  <c r="AX87" i="39" s="1"/>
  <c r="Z87" i="39"/>
  <c r="AU87" i="39" s="1"/>
  <c r="Q87" i="39"/>
  <c r="Q93" i="39" s="1"/>
  <c r="N87" i="39"/>
  <c r="L87" i="39"/>
  <c r="K87" i="39"/>
  <c r="AO86" i="39"/>
  <c r="AN86" i="39"/>
  <c r="AM86" i="39"/>
  <c r="AL86" i="39"/>
  <c r="AK86" i="39"/>
  <c r="AJ86" i="39"/>
  <c r="AI86" i="39"/>
  <c r="AH86" i="39"/>
  <c r="AE86" i="39"/>
  <c r="AD86" i="39"/>
  <c r="Y86" i="39"/>
  <c r="X86" i="39"/>
  <c r="W86" i="39"/>
  <c r="U86" i="39"/>
  <c r="T86" i="39"/>
  <c r="S86" i="39"/>
  <c r="R86" i="39"/>
  <c r="P86" i="39"/>
  <c r="O86" i="39"/>
  <c r="M86" i="39"/>
  <c r="L86" i="39"/>
  <c r="J86" i="39"/>
  <c r="AQ85" i="39"/>
  <c r="BA85" i="39" s="1"/>
  <c r="AP85" i="39"/>
  <c r="AF85" i="39"/>
  <c r="AX85" i="39" s="1"/>
  <c r="Z85" i="39"/>
  <c r="AU85" i="39" s="1"/>
  <c r="Q85" i="39"/>
  <c r="V85" i="39" s="1"/>
  <c r="N85" i="39"/>
  <c r="L85" i="39"/>
  <c r="I85" i="39" s="1"/>
  <c r="K85" i="39"/>
  <c r="BA84" i="39"/>
  <c r="AQ84" i="39"/>
  <c r="AP84" i="39"/>
  <c r="AF84" i="39"/>
  <c r="AX84" i="39" s="1"/>
  <c r="Z84" i="39"/>
  <c r="AU84" i="39" s="1"/>
  <c r="Q84" i="39"/>
  <c r="V84" i="39" s="1"/>
  <c r="N84" i="39"/>
  <c r="L84" i="39"/>
  <c r="K84" i="39"/>
  <c r="I84" i="39"/>
  <c r="AQ83" i="39"/>
  <c r="BA83" i="39" s="1"/>
  <c r="AP83" i="39"/>
  <c r="AF83" i="39"/>
  <c r="AX83" i="39" s="1"/>
  <c r="Z83" i="39"/>
  <c r="AU83" i="39" s="1"/>
  <c r="Q83" i="39"/>
  <c r="V83" i="39" s="1"/>
  <c r="N83" i="39"/>
  <c r="L83" i="39"/>
  <c r="K83" i="39"/>
  <c r="I83" i="39"/>
  <c r="AQ82" i="39"/>
  <c r="BA82" i="39" s="1"/>
  <c r="AP82" i="39"/>
  <c r="AF82" i="39"/>
  <c r="AX82" i="39" s="1"/>
  <c r="Z82" i="39"/>
  <c r="AU82" i="39" s="1"/>
  <c r="Q82" i="39"/>
  <c r="V82" i="39" s="1"/>
  <c r="N82" i="39"/>
  <c r="L82" i="39"/>
  <c r="I82" i="39" s="1"/>
  <c r="K82" i="39"/>
  <c r="BA81" i="39"/>
  <c r="AQ81" i="39"/>
  <c r="AR81" i="39" s="1"/>
  <c r="AP81" i="39"/>
  <c r="AZ81" i="39" s="1"/>
  <c r="AF81" i="39"/>
  <c r="AX81" i="39" s="1"/>
  <c r="Z81" i="39"/>
  <c r="Q81" i="39"/>
  <c r="V81" i="39" s="1"/>
  <c r="AB81" i="39" s="1"/>
  <c r="AV81" i="39" s="1"/>
  <c r="N81" i="39"/>
  <c r="L81" i="39"/>
  <c r="K81" i="39"/>
  <c r="I81" i="39" s="1"/>
  <c r="AQ80" i="39"/>
  <c r="BA80" i="39" s="1"/>
  <c r="AP80" i="39"/>
  <c r="AZ80" i="39" s="1"/>
  <c r="AF80" i="39"/>
  <c r="AX80" i="39" s="1"/>
  <c r="AX86" i="39" s="1"/>
  <c r="Z80" i="39"/>
  <c r="AU80" i="39" s="1"/>
  <c r="Q80" i="39"/>
  <c r="N80" i="39"/>
  <c r="L80" i="39"/>
  <c r="K80" i="39"/>
  <c r="AO79" i="39"/>
  <c r="AN79" i="39"/>
  <c r="AM79" i="39"/>
  <c r="AL79" i="39"/>
  <c r="AK79" i="39"/>
  <c r="AJ79" i="39"/>
  <c r="AI79" i="39"/>
  <c r="AH79" i="39"/>
  <c r="AE79" i="39"/>
  <c r="AD79" i="39"/>
  <c r="Y79" i="39"/>
  <c r="X79" i="39"/>
  <c r="W79" i="39"/>
  <c r="U79" i="39"/>
  <c r="T79" i="39"/>
  <c r="S79" i="39"/>
  <c r="R79" i="39"/>
  <c r="P79" i="39"/>
  <c r="O79" i="39"/>
  <c r="M79" i="39"/>
  <c r="AQ78" i="39"/>
  <c r="BA78" i="39" s="1"/>
  <c r="AP78" i="39"/>
  <c r="AF78" i="39"/>
  <c r="AX78" i="39" s="1"/>
  <c r="Z78" i="39"/>
  <c r="AU78" i="39" s="1"/>
  <c r="Q78" i="39"/>
  <c r="V78" i="39" s="1"/>
  <c r="N78" i="39"/>
  <c r="L78" i="39"/>
  <c r="K78" i="39"/>
  <c r="AU77" i="39"/>
  <c r="AQ77" i="39"/>
  <c r="BA77" i="39" s="1"/>
  <c r="AP77" i="39"/>
  <c r="AF77" i="39"/>
  <c r="AX77" i="39" s="1"/>
  <c r="Z77" i="39"/>
  <c r="Q77" i="39"/>
  <c r="V77" i="39" s="1"/>
  <c r="N77" i="39"/>
  <c r="L77" i="39"/>
  <c r="K77" i="39"/>
  <c r="AQ76" i="39"/>
  <c r="BA76" i="39" s="1"/>
  <c r="AP76" i="39"/>
  <c r="AF76" i="39"/>
  <c r="AX76" i="39" s="1"/>
  <c r="Z76" i="39"/>
  <c r="AU76" i="39" s="1"/>
  <c r="Q76" i="39"/>
  <c r="V76" i="39" s="1"/>
  <c r="AB76" i="39" s="1"/>
  <c r="N76" i="39"/>
  <c r="L76" i="39"/>
  <c r="J76" i="39"/>
  <c r="AQ75" i="39"/>
  <c r="BA75" i="39" s="1"/>
  <c r="AP75" i="39"/>
  <c r="AF75" i="39"/>
  <c r="AX75" i="39" s="1"/>
  <c r="Z75" i="39"/>
  <c r="AU75" i="39" s="1"/>
  <c r="Q75" i="39"/>
  <c r="V75" i="39" s="1"/>
  <c r="N75" i="39"/>
  <c r="L75" i="39"/>
  <c r="K75" i="39"/>
  <c r="AQ74" i="39"/>
  <c r="BA74" i="39" s="1"/>
  <c r="AP74" i="39"/>
  <c r="AR74" i="39" s="1"/>
  <c r="AF74" i="39"/>
  <c r="AX74" i="39" s="1"/>
  <c r="AA74" i="39"/>
  <c r="Z74" i="39"/>
  <c r="AU74" i="39" s="1"/>
  <c r="Q74" i="39"/>
  <c r="V74" i="39" s="1"/>
  <c r="N74" i="39"/>
  <c r="L74" i="39"/>
  <c r="K74" i="39"/>
  <c r="AX73" i="39"/>
  <c r="AQ73" i="39"/>
  <c r="AP73" i="39"/>
  <c r="AF73" i="39"/>
  <c r="Z73" i="39"/>
  <c r="Q73" i="39"/>
  <c r="V73" i="39" s="1"/>
  <c r="N73" i="39"/>
  <c r="L73" i="39"/>
  <c r="K73" i="39"/>
  <c r="AO72" i="39"/>
  <c r="AN72" i="39"/>
  <c r="AM72" i="39"/>
  <c r="AL72" i="39"/>
  <c r="AK72" i="39"/>
  <c r="AJ72" i="39"/>
  <c r="AI72" i="39"/>
  <c r="AH72" i="39"/>
  <c r="AE72" i="39"/>
  <c r="AD72" i="39"/>
  <c r="Y72" i="39"/>
  <c r="X72" i="39"/>
  <c r="W72" i="39"/>
  <c r="U72" i="39"/>
  <c r="T72" i="39"/>
  <c r="S72" i="39"/>
  <c r="R72" i="39"/>
  <c r="P72" i="39"/>
  <c r="O72" i="39"/>
  <c r="M72" i="39"/>
  <c r="AT71" i="39"/>
  <c r="AQ71" i="39"/>
  <c r="BA71" i="39" s="1"/>
  <c r="AP71" i="39"/>
  <c r="AF71" i="39"/>
  <c r="AX71" i="39" s="1"/>
  <c r="Z71" i="39"/>
  <c r="AU71" i="39" s="1"/>
  <c r="Q71" i="39"/>
  <c r="V71" i="39" s="1"/>
  <c r="AB71" i="39" s="1"/>
  <c r="AV71" i="39" s="1"/>
  <c r="N71" i="39"/>
  <c r="L71" i="39"/>
  <c r="K71" i="39"/>
  <c r="I71" i="39" s="1"/>
  <c r="AQ70" i="39"/>
  <c r="BA70" i="39" s="1"/>
  <c r="AP70" i="39"/>
  <c r="AF70" i="39"/>
  <c r="AX70" i="39" s="1"/>
  <c r="Z70" i="39"/>
  <c r="AU70" i="39" s="1"/>
  <c r="Q70" i="39"/>
  <c r="V70" i="39" s="1"/>
  <c r="N70" i="39"/>
  <c r="L70" i="39"/>
  <c r="K70" i="39"/>
  <c r="AQ69" i="39"/>
  <c r="BA69" i="39" s="1"/>
  <c r="AP69" i="39"/>
  <c r="AZ69" i="39" s="1"/>
  <c r="AF69" i="39"/>
  <c r="AX69" i="39" s="1"/>
  <c r="Z69" i="39"/>
  <c r="AU69" i="39" s="1"/>
  <c r="Q69" i="39"/>
  <c r="V69" i="39" s="1"/>
  <c r="AT69" i="39" s="1"/>
  <c r="N69" i="39"/>
  <c r="L69" i="39"/>
  <c r="AT68" i="39"/>
  <c r="AQ68" i="39"/>
  <c r="BA68" i="39" s="1"/>
  <c r="AP68" i="39"/>
  <c r="AZ68" i="39" s="1"/>
  <c r="AF68" i="39"/>
  <c r="AX68" i="39" s="1"/>
  <c r="Z68" i="39"/>
  <c r="AU68" i="39" s="1"/>
  <c r="Q68" i="39"/>
  <c r="V68" i="39" s="1"/>
  <c r="N68" i="39"/>
  <c r="L68" i="39"/>
  <c r="K68" i="39"/>
  <c r="AQ67" i="39"/>
  <c r="BA67" i="39" s="1"/>
  <c r="AP67" i="39"/>
  <c r="AZ67" i="39" s="1"/>
  <c r="AF67" i="39"/>
  <c r="AX67" i="39" s="1"/>
  <c r="Z67" i="39"/>
  <c r="AU67" i="39" s="1"/>
  <c r="Q67" i="39"/>
  <c r="V67" i="39" s="1"/>
  <c r="N67" i="39"/>
  <c r="L67" i="39"/>
  <c r="K67" i="39"/>
  <c r="AQ66" i="39"/>
  <c r="AP66" i="39"/>
  <c r="AZ66" i="39" s="1"/>
  <c r="AF66" i="39"/>
  <c r="Z66" i="39"/>
  <c r="AU66" i="39" s="1"/>
  <c r="Q66" i="39"/>
  <c r="V66" i="39" s="1"/>
  <c r="N66" i="39"/>
  <c r="L66" i="39"/>
  <c r="K66" i="39"/>
  <c r="AO65" i="39"/>
  <c r="AN65" i="39"/>
  <c r="AM65" i="39"/>
  <c r="AL65" i="39"/>
  <c r="AK65" i="39"/>
  <c r="AI65" i="39"/>
  <c r="AH65" i="39"/>
  <c r="AE65" i="39"/>
  <c r="AD65" i="39"/>
  <c r="Y65" i="39"/>
  <c r="X65" i="39"/>
  <c r="W65" i="39"/>
  <c r="U65" i="39"/>
  <c r="T65" i="39"/>
  <c r="S65" i="39"/>
  <c r="O65" i="39"/>
  <c r="M65" i="39"/>
  <c r="AT64" i="39"/>
  <c r="AQ64" i="39"/>
  <c r="BA64" i="39" s="1"/>
  <c r="AP64" i="39"/>
  <c r="AZ64" i="39" s="1"/>
  <c r="AF64" i="39"/>
  <c r="AX64" i="39" s="1"/>
  <c r="Z64" i="39"/>
  <c r="AU64" i="39" s="1"/>
  <c r="Q64" i="39"/>
  <c r="V64" i="39" s="1"/>
  <c r="AC64" i="39" s="1"/>
  <c r="N64" i="39"/>
  <c r="L64" i="39"/>
  <c r="K64" i="39"/>
  <c r="AQ63" i="39"/>
  <c r="BA63" i="39" s="1"/>
  <c r="AP63" i="39"/>
  <c r="AF63" i="39"/>
  <c r="AX63" i="39" s="1"/>
  <c r="Z63" i="39"/>
  <c r="AU63" i="39" s="1"/>
  <c r="Q63" i="39"/>
  <c r="V63" i="39" s="1"/>
  <c r="AC63" i="39" s="1"/>
  <c r="N63" i="39"/>
  <c r="L63" i="39"/>
  <c r="K63" i="39"/>
  <c r="AQ62" i="39"/>
  <c r="AR62" i="39" s="1"/>
  <c r="AP62" i="39"/>
  <c r="AZ62" i="39" s="1"/>
  <c r="AF62" i="39"/>
  <c r="Z62" i="39"/>
  <c r="AU62" i="39" s="1"/>
  <c r="Q62" i="39"/>
  <c r="V62" i="39" s="1"/>
  <c r="P62" i="39"/>
  <c r="M62" i="39"/>
  <c r="AX62" i="39" s="1"/>
  <c r="K62" i="39"/>
  <c r="AQ61" i="39"/>
  <c r="BA61" i="39" s="1"/>
  <c r="AJ61" i="39"/>
  <c r="AF61" i="39"/>
  <c r="AX61" i="39" s="1"/>
  <c r="Z61" i="39"/>
  <c r="AU61" i="39" s="1"/>
  <c r="V61" i="39"/>
  <c r="R61" i="39"/>
  <c r="Q61" i="39"/>
  <c r="N61" i="39"/>
  <c r="L61" i="39"/>
  <c r="I61" i="39" s="1"/>
  <c r="K61" i="39"/>
  <c r="AQ60" i="39"/>
  <c r="BA60" i="39" s="1"/>
  <c r="AP60" i="39"/>
  <c r="AZ60" i="39" s="1"/>
  <c r="AF60" i="39"/>
  <c r="AX60" i="39" s="1"/>
  <c r="Z60" i="39"/>
  <c r="AU60" i="39" s="1"/>
  <c r="Q60" i="39"/>
  <c r="V60" i="39" s="1"/>
  <c r="N60" i="39"/>
  <c r="L60" i="39"/>
  <c r="K60" i="39"/>
  <c r="BA59" i="39"/>
  <c r="AQ59" i="39"/>
  <c r="AQ65" i="39" s="1"/>
  <c r="AP59" i="39"/>
  <c r="AF59" i="39"/>
  <c r="AX59" i="39" s="1"/>
  <c r="Z59" i="39"/>
  <c r="V59" i="39"/>
  <c r="AT59" i="39" s="1"/>
  <c r="Q59" i="39"/>
  <c r="N59" i="39"/>
  <c r="L59" i="39"/>
  <c r="K59" i="39"/>
  <c r="AO58" i="39"/>
  <c r="AN58" i="39"/>
  <c r="AM58" i="39"/>
  <c r="AL58" i="39"/>
  <c r="AK58" i="39"/>
  <c r="AJ58" i="39"/>
  <c r="AI58" i="39"/>
  <c r="AH58" i="39"/>
  <c r="AE58" i="39"/>
  <c r="AD58" i="39"/>
  <c r="Y58" i="39"/>
  <c r="X58" i="39"/>
  <c r="W58" i="39"/>
  <c r="U58" i="39"/>
  <c r="T58" i="39"/>
  <c r="S58" i="39"/>
  <c r="R58" i="39"/>
  <c r="P58" i="39"/>
  <c r="O58" i="39"/>
  <c r="M58" i="39"/>
  <c r="J58" i="39"/>
  <c r="AQ57" i="39"/>
  <c r="BA57" i="39" s="1"/>
  <c r="BA58" i="39" s="1"/>
  <c r="AP57" i="39"/>
  <c r="AR57" i="39" s="1"/>
  <c r="AR58" i="39" s="1"/>
  <c r="AF57" i="39"/>
  <c r="Z57" i="39"/>
  <c r="Q57" i="39"/>
  <c r="Q58" i="39" s="1"/>
  <c r="N57" i="39"/>
  <c r="L57" i="39"/>
  <c r="K57" i="39"/>
  <c r="K58" i="39" s="1"/>
  <c r="AO56" i="39"/>
  <c r="AN56" i="39"/>
  <c r="AM56" i="39"/>
  <c r="AL56" i="39"/>
  <c r="AK56" i="39"/>
  <c r="AJ56" i="39"/>
  <c r="AI56" i="39"/>
  <c r="AH56" i="39"/>
  <c r="AE56" i="39"/>
  <c r="AD56" i="39"/>
  <c r="Y56" i="39"/>
  <c r="X56" i="39"/>
  <c r="W56" i="39"/>
  <c r="U56" i="39"/>
  <c r="T56" i="39"/>
  <c r="S56" i="39"/>
  <c r="R56" i="39"/>
  <c r="P56" i="39"/>
  <c r="O56" i="39"/>
  <c r="M56" i="39"/>
  <c r="J56" i="39"/>
  <c r="AX55" i="39"/>
  <c r="AQ55" i="39"/>
  <c r="BA55" i="39" s="1"/>
  <c r="AP55" i="39"/>
  <c r="AF55" i="39"/>
  <c r="Z55" i="39"/>
  <c r="AU55" i="39" s="1"/>
  <c r="Q55" i="39"/>
  <c r="V55" i="39" s="1"/>
  <c r="N55" i="39"/>
  <c r="L55" i="39"/>
  <c r="K55" i="39"/>
  <c r="AQ54" i="39"/>
  <c r="BA54" i="39" s="1"/>
  <c r="AP54" i="39"/>
  <c r="AF54" i="39"/>
  <c r="AX54" i="39" s="1"/>
  <c r="Z54" i="39"/>
  <c r="AU54" i="39" s="1"/>
  <c r="Q54" i="39"/>
  <c r="V54" i="39" s="1"/>
  <c r="AT54" i="39" s="1"/>
  <c r="N54" i="39"/>
  <c r="L54" i="39"/>
  <c r="K54" i="39"/>
  <c r="I54" i="39"/>
  <c r="AQ53" i="39"/>
  <c r="BA53" i="39" s="1"/>
  <c r="AP53" i="39"/>
  <c r="AZ53" i="39" s="1"/>
  <c r="AF53" i="39"/>
  <c r="AX53" i="39" s="1"/>
  <c r="Z53" i="39"/>
  <c r="Q53" i="39"/>
  <c r="V53" i="39" s="1"/>
  <c r="N53" i="39"/>
  <c r="L53" i="39"/>
  <c r="K53" i="39"/>
  <c r="AQ52" i="39"/>
  <c r="BA52" i="39" s="1"/>
  <c r="AP52" i="39"/>
  <c r="AF52" i="39"/>
  <c r="AX52" i="39" s="1"/>
  <c r="Z52" i="39"/>
  <c r="AU52" i="39" s="1"/>
  <c r="Q52" i="39"/>
  <c r="V52" i="39" s="1"/>
  <c r="N52" i="39"/>
  <c r="L52" i="39"/>
  <c r="K52" i="39"/>
  <c r="AQ51" i="39"/>
  <c r="BA51" i="39" s="1"/>
  <c r="AP51" i="39"/>
  <c r="AF51" i="39"/>
  <c r="AF56" i="39" s="1"/>
  <c r="Z51" i="39"/>
  <c r="Q51" i="39"/>
  <c r="V51" i="39" s="1"/>
  <c r="AT51" i="39" s="1"/>
  <c r="N51" i="39"/>
  <c r="L51" i="39"/>
  <c r="K51" i="39"/>
  <c r="I51" i="39" s="1"/>
  <c r="AO50" i="39"/>
  <c r="AN50" i="39"/>
  <c r="AM50" i="39"/>
  <c r="AL50" i="39"/>
  <c r="AK50" i="39"/>
  <c r="AJ50" i="39"/>
  <c r="AI50" i="39"/>
  <c r="AH50" i="39"/>
  <c r="AE50" i="39"/>
  <c r="AD50" i="39"/>
  <c r="Y50" i="39"/>
  <c r="X50" i="39"/>
  <c r="W50" i="39"/>
  <c r="U50" i="39"/>
  <c r="T50" i="39"/>
  <c r="S50" i="39"/>
  <c r="R50" i="39"/>
  <c r="O50" i="39"/>
  <c r="M50" i="39"/>
  <c r="AQ49" i="39"/>
  <c r="AP49" i="39"/>
  <c r="AZ49" i="39" s="1"/>
  <c r="AF49" i="39"/>
  <c r="Z49" i="39"/>
  <c r="AU49" i="39" s="1"/>
  <c r="Q49" i="39"/>
  <c r="V49" i="39" s="1"/>
  <c r="P49" i="39"/>
  <c r="P50" i="39" s="1"/>
  <c r="M49" i="39"/>
  <c r="L49" i="39"/>
  <c r="K49" i="39"/>
  <c r="J50" i="39"/>
  <c r="AQ48" i="39"/>
  <c r="AP48" i="39"/>
  <c r="AZ48" i="39" s="1"/>
  <c r="AF48" i="39"/>
  <c r="AX48" i="39" s="1"/>
  <c r="Z48" i="39"/>
  <c r="AU48" i="39" s="1"/>
  <c r="V48" i="39"/>
  <c r="Q48" i="39"/>
  <c r="N48" i="39"/>
  <c r="L48" i="39"/>
  <c r="K48" i="39"/>
  <c r="AX47" i="39"/>
  <c r="AQ47" i="39"/>
  <c r="BA47" i="39" s="1"/>
  <c r="AP47" i="39"/>
  <c r="AF47" i="39"/>
  <c r="Z47" i="39"/>
  <c r="Q47" i="39"/>
  <c r="V47" i="39" s="1"/>
  <c r="AC47" i="39" s="1"/>
  <c r="AW47" i="39" s="1"/>
  <c r="N47" i="39"/>
  <c r="L47" i="39"/>
  <c r="K47" i="39"/>
  <c r="AO46" i="39"/>
  <c r="AN46" i="39"/>
  <c r="AM46" i="39"/>
  <c r="AL46" i="39"/>
  <c r="AK46" i="39"/>
  <c r="AJ46" i="39"/>
  <c r="AI46" i="39"/>
  <c r="AH46" i="39"/>
  <c r="AE46" i="39"/>
  <c r="AD46" i="39"/>
  <c r="Y46" i="39"/>
  <c r="X46" i="39"/>
  <c r="W46" i="39"/>
  <c r="U46" i="39"/>
  <c r="T46" i="39"/>
  <c r="S46" i="39"/>
  <c r="R46" i="39"/>
  <c r="P46" i="39"/>
  <c r="O46" i="39"/>
  <c r="M46" i="39"/>
  <c r="J46" i="39"/>
  <c r="AQ45" i="39"/>
  <c r="BA45" i="39" s="1"/>
  <c r="BA46" i="39" s="1"/>
  <c r="AP45" i="39"/>
  <c r="AF45" i="39"/>
  <c r="Z45" i="39"/>
  <c r="AU45" i="39" s="1"/>
  <c r="AU46" i="39" s="1"/>
  <c r="Q45" i="39"/>
  <c r="N45" i="39"/>
  <c r="L45" i="39"/>
  <c r="K45" i="39"/>
  <c r="K46" i="39" s="1"/>
  <c r="AO44" i="39"/>
  <c r="AN44" i="39"/>
  <c r="AM44" i="39"/>
  <c r="AL44" i="39"/>
  <c r="AK44" i="39"/>
  <c r="AJ44" i="39"/>
  <c r="AI44" i="39"/>
  <c r="AH44" i="39"/>
  <c r="AE44" i="39"/>
  <c r="AD44" i="39"/>
  <c r="Y44" i="39"/>
  <c r="X44" i="39"/>
  <c r="W44" i="39"/>
  <c r="U44" i="39"/>
  <c r="T44" i="39"/>
  <c r="S44" i="39"/>
  <c r="R44" i="39"/>
  <c r="P44" i="39"/>
  <c r="O44" i="39"/>
  <c r="M44" i="39"/>
  <c r="K44" i="39"/>
  <c r="J44" i="39"/>
  <c r="AQ43" i="39"/>
  <c r="AQ136" i="39" s="1"/>
  <c r="AP43" i="39"/>
  <c r="AF43" i="39"/>
  <c r="Z43" i="39"/>
  <c r="AU43" i="39" s="1"/>
  <c r="Q43" i="39"/>
  <c r="N43" i="39"/>
  <c r="N44" i="39" s="1"/>
  <c r="L43" i="39"/>
  <c r="L136" i="39" s="1"/>
  <c r="K43" i="39"/>
  <c r="AO42" i="39"/>
  <c r="AN42" i="39"/>
  <c r="AM42" i="39"/>
  <c r="AL42" i="39"/>
  <c r="AK42" i="39"/>
  <c r="AJ42" i="39"/>
  <c r="AI42" i="39"/>
  <c r="AH42" i="39"/>
  <c r="AE42" i="39"/>
  <c r="AD42" i="39"/>
  <c r="Y42" i="39"/>
  <c r="X42" i="39"/>
  <c r="W42" i="39"/>
  <c r="U42" i="39"/>
  <c r="T42" i="39"/>
  <c r="S42" i="39"/>
  <c r="R42" i="39"/>
  <c r="P42" i="39"/>
  <c r="O42" i="39"/>
  <c r="M42" i="39"/>
  <c r="J42" i="39"/>
  <c r="AQ41" i="39"/>
  <c r="BA41" i="39" s="1"/>
  <c r="AP41" i="39"/>
  <c r="AZ41" i="39" s="1"/>
  <c r="AF41" i="39"/>
  <c r="AX41" i="39" s="1"/>
  <c r="Z41" i="39"/>
  <c r="AU41" i="39" s="1"/>
  <c r="Q41" i="39"/>
  <c r="V41" i="39" s="1"/>
  <c r="N41" i="39"/>
  <c r="L41" i="39"/>
  <c r="K41" i="39"/>
  <c r="AX40" i="39"/>
  <c r="AQ40" i="39"/>
  <c r="BA40" i="39" s="1"/>
  <c r="AP40" i="39"/>
  <c r="AF40" i="39"/>
  <c r="Z40" i="39"/>
  <c r="AU40" i="39" s="1"/>
  <c r="Q40" i="39"/>
  <c r="V40" i="39" s="1"/>
  <c r="N40" i="39"/>
  <c r="L40" i="39"/>
  <c r="K40" i="39"/>
  <c r="AQ39" i="39"/>
  <c r="BA39" i="39" s="1"/>
  <c r="AP39" i="39"/>
  <c r="AZ39" i="39" s="1"/>
  <c r="AF39" i="39"/>
  <c r="AX39" i="39" s="1"/>
  <c r="Z39" i="39"/>
  <c r="AU39" i="39" s="1"/>
  <c r="Q39" i="39"/>
  <c r="V39" i="39" s="1"/>
  <c r="N39" i="39"/>
  <c r="L39" i="39"/>
  <c r="K39" i="39"/>
  <c r="AQ38" i="39"/>
  <c r="BA38" i="39" s="1"/>
  <c r="AP38" i="39"/>
  <c r="AF38" i="39"/>
  <c r="AX38" i="39" s="1"/>
  <c r="Z38" i="39"/>
  <c r="AU38" i="39" s="1"/>
  <c r="Q38" i="39"/>
  <c r="V38" i="39" s="1"/>
  <c r="N38" i="39"/>
  <c r="L38" i="39"/>
  <c r="K38" i="39"/>
  <c r="AQ37" i="39"/>
  <c r="AP37" i="39"/>
  <c r="AF37" i="39"/>
  <c r="Z37" i="39"/>
  <c r="Z130" i="39" s="1"/>
  <c r="Q37" i="39"/>
  <c r="Q42" i="39" s="1"/>
  <c r="N37" i="39"/>
  <c r="L37" i="39"/>
  <c r="K37" i="39"/>
  <c r="AO36" i="39"/>
  <c r="AN36" i="39"/>
  <c r="AM36" i="39"/>
  <c r="AL36" i="39"/>
  <c r="AK36" i="39"/>
  <c r="AJ36" i="39"/>
  <c r="AI36" i="39"/>
  <c r="AH36" i="39"/>
  <c r="AE36" i="39"/>
  <c r="AD36" i="39"/>
  <c r="Y36" i="39"/>
  <c r="X36" i="39"/>
  <c r="W36" i="39"/>
  <c r="U36" i="39"/>
  <c r="T36" i="39"/>
  <c r="S36" i="39"/>
  <c r="R36" i="39"/>
  <c r="P36" i="39"/>
  <c r="O36" i="39"/>
  <c r="M36" i="39"/>
  <c r="J36" i="39"/>
  <c r="AQ35" i="39"/>
  <c r="BA35" i="39" s="1"/>
  <c r="AP35" i="39"/>
  <c r="AZ35" i="39" s="1"/>
  <c r="AF35" i="39"/>
  <c r="AX35" i="39" s="1"/>
  <c r="Z35" i="39"/>
  <c r="AU35" i="39" s="1"/>
  <c r="Q35" i="39"/>
  <c r="V35" i="39" s="1"/>
  <c r="N35" i="39"/>
  <c r="L35" i="39"/>
  <c r="K35" i="39"/>
  <c r="AQ34" i="39"/>
  <c r="BA34" i="39" s="1"/>
  <c r="AP34" i="39"/>
  <c r="AZ34" i="39" s="1"/>
  <c r="AF34" i="39"/>
  <c r="AX34" i="39" s="1"/>
  <c r="Z34" i="39"/>
  <c r="AU34" i="39" s="1"/>
  <c r="Q34" i="39"/>
  <c r="V34" i="39" s="1"/>
  <c r="N34" i="39"/>
  <c r="L34" i="39"/>
  <c r="K34" i="39"/>
  <c r="I34" i="39"/>
  <c r="AQ33" i="39"/>
  <c r="BA33" i="39" s="1"/>
  <c r="AP33" i="39"/>
  <c r="AZ33" i="39" s="1"/>
  <c r="AF33" i="39"/>
  <c r="Z33" i="39"/>
  <c r="AU33" i="39" s="1"/>
  <c r="Q33" i="39"/>
  <c r="V33" i="39" s="1"/>
  <c r="N33" i="39"/>
  <c r="L33" i="39"/>
  <c r="K33" i="39"/>
  <c r="AX32" i="39"/>
  <c r="AQ32" i="39"/>
  <c r="BA32" i="39" s="1"/>
  <c r="AP32" i="39"/>
  <c r="AZ32" i="39" s="1"/>
  <c r="AF32" i="39"/>
  <c r="Z32" i="39"/>
  <c r="AU32" i="39" s="1"/>
  <c r="Q32" i="39"/>
  <c r="V32" i="39" s="1"/>
  <c r="N32" i="39"/>
  <c r="L32" i="39"/>
  <c r="K32" i="39"/>
  <c r="AQ31" i="39"/>
  <c r="BA31" i="39" s="1"/>
  <c r="AP31" i="39"/>
  <c r="AF31" i="39"/>
  <c r="AX31" i="39" s="1"/>
  <c r="Z31" i="39"/>
  <c r="AU31" i="39" s="1"/>
  <c r="Q31" i="39"/>
  <c r="V31" i="39" s="1"/>
  <c r="N31" i="39"/>
  <c r="L31" i="39"/>
  <c r="K31" i="39"/>
  <c r="I31" i="39"/>
  <c r="AO30" i="39"/>
  <c r="AN30" i="39"/>
  <c r="AM30" i="39"/>
  <c r="AL30" i="39"/>
  <c r="AK30" i="39"/>
  <c r="AJ30" i="39"/>
  <c r="AI30" i="39"/>
  <c r="AH30" i="39"/>
  <c r="AE30" i="39"/>
  <c r="AD30" i="39"/>
  <c r="Y30" i="39"/>
  <c r="X30" i="39"/>
  <c r="W30" i="39"/>
  <c r="U30" i="39"/>
  <c r="T30" i="39"/>
  <c r="S30" i="39"/>
  <c r="R30" i="39"/>
  <c r="P30" i="39"/>
  <c r="O30" i="39"/>
  <c r="M30" i="39"/>
  <c r="J30" i="39"/>
  <c r="AQ29" i="39"/>
  <c r="BA29" i="39" s="1"/>
  <c r="AP29" i="39"/>
  <c r="AZ29" i="39" s="1"/>
  <c r="AF29" i="39"/>
  <c r="AX29" i="39" s="1"/>
  <c r="Z29" i="39"/>
  <c r="AU29" i="39" s="1"/>
  <c r="Q29" i="39"/>
  <c r="V29" i="39" s="1"/>
  <c r="N29" i="39"/>
  <c r="L29" i="39"/>
  <c r="K29" i="39"/>
  <c r="I29" i="39" s="1"/>
  <c r="AQ28" i="39"/>
  <c r="BA28" i="39" s="1"/>
  <c r="AP28" i="39"/>
  <c r="AZ28" i="39" s="1"/>
  <c r="AF28" i="39"/>
  <c r="AX28" i="39" s="1"/>
  <c r="Z28" i="39"/>
  <c r="AU28" i="39" s="1"/>
  <c r="Q28" i="39"/>
  <c r="V28" i="39" s="1"/>
  <c r="N28" i="39"/>
  <c r="L28" i="39"/>
  <c r="K28" i="39"/>
  <c r="I28" i="39" s="1"/>
  <c r="BA27" i="39"/>
  <c r="AQ27" i="39"/>
  <c r="AP27" i="39"/>
  <c r="AZ27" i="39" s="1"/>
  <c r="AF27" i="39"/>
  <c r="AX27" i="39" s="1"/>
  <c r="Z27" i="39"/>
  <c r="AU27" i="39" s="1"/>
  <c r="Q27" i="39"/>
  <c r="V27" i="39" s="1"/>
  <c r="N27" i="39"/>
  <c r="L27" i="39"/>
  <c r="K27" i="39"/>
  <c r="I27" i="39"/>
  <c r="AQ26" i="39"/>
  <c r="BA26" i="39" s="1"/>
  <c r="AP26" i="39"/>
  <c r="AZ26" i="39" s="1"/>
  <c r="AF26" i="39"/>
  <c r="AX26" i="39" s="1"/>
  <c r="Z26" i="39"/>
  <c r="AU26" i="39" s="1"/>
  <c r="Q26" i="39"/>
  <c r="V26" i="39" s="1"/>
  <c r="N26" i="39"/>
  <c r="L26" i="39"/>
  <c r="K26" i="39"/>
  <c r="AQ25" i="39"/>
  <c r="BA25" i="39" s="1"/>
  <c r="AP25" i="39"/>
  <c r="AF25" i="39"/>
  <c r="Z25" i="39"/>
  <c r="Z131" i="39" s="1"/>
  <c r="Q25" i="39"/>
  <c r="N25" i="39"/>
  <c r="L25" i="39"/>
  <c r="I25" i="39" s="1"/>
  <c r="K25" i="39"/>
  <c r="AP24" i="39"/>
  <c r="AO24" i="39"/>
  <c r="AN24" i="39"/>
  <c r="AM24" i="39"/>
  <c r="AL24" i="39"/>
  <c r="AK24" i="39"/>
  <c r="AJ24" i="39"/>
  <c r="AI24" i="39"/>
  <c r="AH24" i="39"/>
  <c r="AE24" i="39"/>
  <c r="AD24" i="39"/>
  <c r="Y24" i="39"/>
  <c r="X24" i="39"/>
  <c r="W24" i="39"/>
  <c r="U24" i="39"/>
  <c r="T24" i="39"/>
  <c r="S24" i="39"/>
  <c r="R24" i="39"/>
  <c r="P24" i="39"/>
  <c r="O24" i="39"/>
  <c r="M24" i="39"/>
  <c r="J24" i="39"/>
  <c r="AQ23" i="39"/>
  <c r="AP23" i="39"/>
  <c r="AZ23" i="39" s="1"/>
  <c r="AF23" i="39"/>
  <c r="AX23" i="39" s="1"/>
  <c r="Z23" i="39"/>
  <c r="AU23" i="39" s="1"/>
  <c r="Q23" i="39"/>
  <c r="V23" i="39" s="1"/>
  <c r="N23" i="39"/>
  <c r="L23" i="39"/>
  <c r="K23" i="39"/>
  <c r="AX22" i="39"/>
  <c r="AQ22" i="39"/>
  <c r="AP22" i="39"/>
  <c r="AZ22" i="39" s="1"/>
  <c r="AF22" i="39"/>
  <c r="Z22" i="39"/>
  <c r="AU22" i="39" s="1"/>
  <c r="V22" i="39"/>
  <c r="AT22" i="39" s="1"/>
  <c r="Q22" i="39"/>
  <c r="N22" i="39"/>
  <c r="L22" i="39"/>
  <c r="K22" i="39"/>
  <c r="AX21" i="39"/>
  <c r="AQ21" i="39"/>
  <c r="AP21" i="39"/>
  <c r="AZ21" i="39" s="1"/>
  <c r="AF21" i="39"/>
  <c r="Z21" i="39"/>
  <c r="AU21" i="39" s="1"/>
  <c r="Q21" i="39"/>
  <c r="V21" i="39" s="1"/>
  <c r="N21" i="39"/>
  <c r="L21" i="39"/>
  <c r="K21" i="39"/>
  <c r="AQ20" i="39"/>
  <c r="AP20" i="39"/>
  <c r="AZ20" i="39" s="1"/>
  <c r="AF20" i="39"/>
  <c r="Z20" i="39"/>
  <c r="AU20" i="39" s="1"/>
  <c r="Q20" i="39"/>
  <c r="V20" i="39" s="1"/>
  <c r="N20" i="39"/>
  <c r="L20" i="39"/>
  <c r="K20" i="39"/>
  <c r="AX19" i="39"/>
  <c r="AQ19" i="39"/>
  <c r="AQ129" i="39" s="1"/>
  <c r="AP19" i="39"/>
  <c r="AZ19" i="39" s="1"/>
  <c r="AF19" i="39"/>
  <c r="Z19" i="39"/>
  <c r="V19" i="39"/>
  <c r="AT19" i="39" s="1"/>
  <c r="Q19" i="39"/>
  <c r="Q24" i="39" s="1"/>
  <c r="N19" i="39"/>
  <c r="L19" i="39"/>
  <c r="K19" i="39"/>
  <c r="AO18" i="39"/>
  <c r="AN18" i="39"/>
  <c r="AM18" i="39"/>
  <c r="AL18" i="39"/>
  <c r="AK18" i="39"/>
  <c r="AJ18" i="39"/>
  <c r="AI18" i="39"/>
  <c r="AH18" i="39"/>
  <c r="AE18" i="39"/>
  <c r="AD18" i="39"/>
  <c r="Y18" i="39"/>
  <c r="X18" i="39"/>
  <c r="W18" i="39"/>
  <c r="U18" i="39"/>
  <c r="T18" i="39"/>
  <c r="S18" i="39"/>
  <c r="R18" i="39"/>
  <c r="O18" i="39"/>
  <c r="M18" i="39"/>
  <c r="BA17" i="39"/>
  <c r="AQ17" i="39"/>
  <c r="AP17" i="39"/>
  <c r="AF17" i="39"/>
  <c r="Z17" i="39"/>
  <c r="Q17" i="39"/>
  <c r="P17" i="39"/>
  <c r="P18" i="39" s="1"/>
  <c r="N17" i="39"/>
  <c r="M17" i="39"/>
  <c r="M134" i="39" s="1"/>
  <c r="L17" i="39"/>
  <c r="J134" i="39"/>
  <c r="AQ16" i="39"/>
  <c r="AP16" i="39"/>
  <c r="AZ16" i="39" s="1"/>
  <c r="AF16" i="39"/>
  <c r="AX16" i="39" s="1"/>
  <c r="Z16" i="39"/>
  <c r="AU16" i="39" s="1"/>
  <c r="Q16" i="39"/>
  <c r="V16" i="39" s="1"/>
  <c r="N16" i="39"/>
  <c r="L16" i="39"/>
  <c r="K16" i="39"/>
  <c r="AQ15" i="39"/>
  <c r="AP15" i="39"/>
  <c r="AZ15" i="39" s="1"/>
  <c r="AF15" i="39"/>
  <c r="AX15" i="39" s="1"/>
  <c r="Z15" i="39"/>
  <c r="AU15" i="39" s="1"/>
  <c r="Q15" i="39"/>
  <c r="V15" i="39" s="1"/>
  <c r="N15" i="39"/>
  <c r="L15" i="39"/>
  <c r="K15" i="39"/>
  <c r="AX14" i="39"/>
  <c r="AQ14" i="39"/>
  <c r="AP14" i="39"/>
  <c r="AZ14" i="39" s="1"/>
  <c r="AF14" i="39"/>
  <c r="Z14" i="39"/>
  <c r="Q14" i="39"/>
  <c r="V14" i="39" s="1"/>
  <c r="AC14" i="39" s="1"/>
  <c r="N14" i="39"/>
  <c r="L14" i="39"/>
  <c r="K14" i="39"/>
  <c r="AQ13" i="39"/>
  <c r="AO13" i="39"/>
  <c r="AN13" i="39"/>
  <c r="AM13" i="39"/>
  <c r="AL13" i="39"/>
  <c r="AK13" i="39"/>
  <c r="AJ13" i="39"/>
  <c r="AI13" i="39"/>
  <c r="AH13" i="39"/>
  <c r="AE13" i="39"/>
  <c r="AD13" i="39"/>
  <c r="Y13" i="39"/>
  <c r="X13" i="39"/>
  <c r="W13" i="39"/>
  <c r="U13" i="39"/>
  <c r="T13" i="39"/>
  <c r="S13" i="39"/>
  <c r="R13" i="39"/>
  <c r="P13" i="39"/>
  <c r="O13" i="39"/>
  <c r="M13" i="39"/>
  <c r="K13" i="39"/>
  <c r="J13" i="39"/>
  <c r="BA12" i="39"/>
  <c r="BA13" i="39" s="1"/>
  <c r="AQ12" i="39"/>
  <c r="AQ137" i="39" s="1"/>
  <c r="AP12" i="39"/>
  <c r="AP137" i="39" s="1"/>
  <c r="AF12" i="39"/>
  <c r="AF137" i="39" s="1"/>
  <c r="Z12" i="39"/>
  <c r="Z137" i="39" s="1"/>
  <c r="Q12" i="39"/>
  <c r="N12" i="39"/>
  <c r="N13" i="39" s="1"/>
  <c r="L12" i="39"/>
  <c r="L137" i="39" s="1"/>
  <c r="K12" i="39"/>
  <c r="I12" i="39" s="1"/>
  <c r="I13" i="39" s="1"/>
  <c r="AA39" i="39" l="1"/>
  <c r="AB39" i="39"/>
  <c r="AT91" i="39"/>
  <c r="AC91" i="39"/>
  <c r="AB91" i="39"/>
  <c r="AB40" i="39"/>
  <c r="AV40" i="39" s="1"/>
  <c r="AC40" i="39"/>
  <c r="AT84" i="39"/>
  <c r="AB84" i="39"/>
  <c r="L13" i="39"/>
  <c r="Z24" i="39"/>
  <c r="AF24" i="39"/>
  <c r="AB22" i="39"/>
  <c r="AF131" i="39"/>
  <c r="AX51" i="39"/>
  <c r="AX56" i="39" s="1"/>
  <c r="AQ58" i="39"/>
  <c r="AQ72" i="39"/>
  <c r="I78" i="39"/>
  <c r="V87" i="39"/>
  <c r="I95" i="39"/>
  <c r="I100" i="39" s="1"/>
  <c r="AR101" i="39"/>
  <c r="AX123" i="39"/>
  <c r="AE127" i="39"/>
  <c r="AB19" i="39"/>
  <c r="AC22" i="39"/>
  <c r="AQ46" i="39"/>
  <c r="AQ50" i="39"/>
  <c r="AR49" i="39"/>
  <c r="V57" i="39"/>
  <c r="Z79" i="39"/>
  <c r="BA86" i="39"/>
  <c r="AR91" i="39"/>
  <c r="K123" i="39"/>
  <c r="AC19" i="39"/>
  <c r="K36" i="39"/>
  <c r="I47" i="39"/>
  <c r="AR60" i="39"/>
  <c r="AY60" i="39" s="1"/>
  <c r="AT63" i="39"/>
  <c r="AB69" i="39"/>
  <c r="K93" i="39"/>
  <c r="AV91" i="39"/>
  <c r="AP114" i="39"/>
  <c r="I112" i="39"/>
  <c r="AQ123" i="39"/>
  <c r="Z128" i="39"/>
  <c r="I26" i="39"/>
  <c r="Q130" i="39"/>
  <c r="BA43" i="39"/>
  <c r="BA44" i="39" s="1"/>
  <c r="AB90" i="39"/>
  <c r="AW91" i="39"/>
  <c r="I96" i="39"/>
  <c r="AV113" i="39"/>
  <c r="S127" i="39"/>
  <c r="X127" i="39"/>
  <c r="AK127" i="39"/>
  <c r="AH127" i="39"/>
  <c r="L24" i="39"/>
  <c r="AQ135" i="39"/>
  <c r="AA63" i="39"/>
  <c r="AW64" i="39"/>
  <c r="I97" i="39"/>
  <c r="I103" i="39"/>
  <c r="AR108" i="39"/>
  <c r="I115" i="39"/>
  <c r="AT20" i="39"/>
  <c r="AC20" i="39"/>
  <c r="AW20" i="39" s="1"/>
  <c r="AB20" i="39"/>
  <c r="V24" i="39"/>
  <c r="AA20" i="39"/>
  <c r="AT16" i="39"/>
  <c r="AA16" i="39"/>
  <c r="AC16" i="39"/>
  <c r="AW16" i="39" s="1"/>
  <c r="AB16" i="39"/>
  <c r="AV16" i="39" s="1"/>
  <c r="BA36" i="39"/>
  <c r="AT23" i="39"/>
  <c r="AC23" i="39"/>
  <c r="AW23" i="39" s="1"/>
  <c r="AB23" i="39"/>
  <c r="AV23" i="39" s="1"/>
  <c r="AA23" i="39"/>
  <c r="AT15" i="39"/>
  <c r="AC15" i="39"/>
  <c r="AW15" i="39" s="1"/>
  <c r="AB15" i="39"/>
  <c r="AA15" i="39"/>
  <c r="AT38" i="39"/>
  <c r="AA38" i="39"/>
  <c r="AB38" i="39"/>
  <c r="AC38" i="39"/>
  <c r="AW38" i="39" s="1"/>
  <c r="AT21" i="39"/>
  <c r="AA21" i="39"/>
  <c r="AC21" i="39"/>
  <c r="AW21" i="39" s="1"/>
  <c r="AB21" i="39"/>
  <c r="AV21" i="39" s="1"/>
  <c r="Q18" i="39"/>
  <c r="AC61" i="39"/>
  <c r="AW61" i="39" s="1"/>
  <c r="AA61" i="39"/>
  <c r="AT61" i="39"/>
  <c r="AZ70" i="39"/>
  <c r="AR70" i="39"/>
  <c r="V79" i="39"/>
  <c r="AA73" i="39"/>
  <c r="AZ77" i="39"/>
  <c r="AR77" i="39"/>
  <c r="AY77" i="39" s="1"/>
  <c r="AA83" i="39"/>
  <c r="AB83" i="39"/>
  <c r="AV83" i="39" s="1"/>
  <c r="AZ87" i="39"/>
  <c r="AR87" i="39"/>
  <c r="AY87" i="39" s="1"/>
  <c r="AR41" i="39"/>
  <c r="AY41" i="39" s="1"/>
  <c r="AX43" i="39"/>
  <c r="AX44" i="39" s="1"/>
  <c r="AF44" i="39"/>
  <c r="AA53" i="39"/>
  <c r="AY57" i="39"/>
  <c r="AY58" i="39" s="1"/>
  <c r="N58" i="39"/>
  <c r="AT41" i="39"/>
  <c r="AC41" i="39"/>
  <c r="AW41" i="39" s="1"/>
  <c r="Q46" i="39"/>
  <c r="V45" i="39"/>
  <c r="AT48" i="39"/>
  <c r="AA48" i="39"/>
  <c r="AT49" i="39"/>
  <c r="AB49" i="39"/>
  <c r="AV49" i="39" s="1"/>
  <c r="AZ52" i="39"/>
  <c r="AR52" i="39"/>
  <c r="AY52" i="39" s="1"/>
  <c r="AT53" i="39"/>
  <c r="AC53" i="39"/>
  <c r="AW53" i="39" s="1"/>
  <c r="AB53" i="39"/>
  <c r="AT55" i="39"/>
  <c r="AB55" i="39"/>
  <c r="AV55" i="39" s="1"/>
  <c r="AT60" i="39"/>
  <c r="AB60" i="39"/>
  <c r="AV60" i="39" s="1"/>
  <c r="AA60" i="39"/>
  <c r="AT78" i="39"/>
  <c r="AC78" i="39"/>
  <c r="BA88" i="39"/>
  <c r="AR88" i="39"/>
  <c r="AY88" i="39" s="1"/>
  <c r="AT89" i="39"/>
  <c r="AB89" i="39"/>
  <c r="AV89" i="39" s="1"/>
  <c r="Q137" i="39"/>
  <c r="AQ128" i="39"/>
  <c r="AQ127" i="39" s="1"/>
  <c r="Z134" i="39"/>
  <c r="K129" i="39"/>
  <c r="AA19" i="39"/>
  <c r="AU19" i="39"/>
  <c r="AU24" i="39" s="1"/>
  <c r="K135" i="39"/>
  <c r="AA22" i="39"/>
  <c r="AG22" i="39" s="1"/>
  <c r="I33" i="39"/>
  <c r="AR35" i="39"/>
  <c r="AY35" i="39" s="1"/>
  <c r="AF130" i="39"/>
  <c r="AX37" i="39"/>
  <c r="AX130" i="39" s="1"/>
  <c r="Q86" i="39"/>
  <c r="V80" i="39"/>
  <c r="AA80" i="39" s="1"/>
  <c r="AT88" i="39"/>
  <c r="AB88" i="39"/>
  <c r="AV88" i="39" s="1"/>
  <c r="AC116" i="39"/>
  <c r="AW116" i="39" s="1"/>
  <c r="AB116" i="39"/>
  <c r="AV116" i="39" s="1"/>
  <c r="K128" i="39"/>
  <c r="AA14" i="39"/>
  <c r="AG14" i="39" s="1"/>
  <c r="AR15" i="39"/>
  <c r="AF134" i="39"/>
  <c r="AB24" i="39"/>
  <c r="AR20" i="39"/>
  <c r="AR23" i="39"/>
  <c r="K131" i="39"/>
  <c r="AP131" i="39"/>
  <c r="AP36" i="39"/>
  <c r="AR32" i="39"/>
  <c r="AY32" i="39" s="1"/>
  <c r="AR33" i="39"/>
  <c r="AY33" i="39" s="1"/>
  <c r="AP130" i="39"/>
  <c r="AP42" i="39"/>
  <c r="AZ38" i="39"/>
  <c r="AR38" i="39"/>
  <c r="AY38" i="39" s="1"/>
  <c r="AA41" i="39"/>
  <c r="AG41" i="39" s="1"/>
  <c r="K136" i="39"/>
  <c r="I43" i="39"/>
  <c r="I44" i="39" s="1"/>
  <c r="AB48" i="39"/>
  <c r="AV48" i="39" s="1"/>
  <c r="AF50" i="39"/>
  <c r="AX49" i="39"/>
  <c r="AT52" i="39"/>
  <c r="AB52" i="39"/>
  <c r="AV52" i="39" s="1"/>
  <c r="AA55" i="39"/>
  <c r="AG55" i="39" s="1"/>
  <c r="AB61" i="39"/>
  <c r="AV61" i="39" s="1"/>
  <c r="AB68" i="39"/>
  <c r="AC68" i="39"/>
  <c r="AW68" i="39" s="1"/>
  <c r="AA68" i="39"/>
  <c r="AC73" i="39"/>
  <c r="AT77" i="39"/>
  <c r="AC77" i="39"/>
  <c r="AW77" i="39" s="1"/>
  <c r="AB78" i="39"/>
  <c r="AV78" i="39" s="1"/>
  <c r="AC89" i="39"/>
  <c r="AC110" i="39"/>
  <c r="AA110" i="39"/>
  <c r="AQ118" i="39"/>
  <c r="BA115" i="39"/>
  <c r="BA118" i="39" s="1"/>
  <c r="K118" i="39"/>
  <c r="AV15" i="39"/>
  <c r="AP134" i="39"/>
  <c r="L131" i="39"/>
  <c r="AB75" i="39"/>
  <c r="AA75" i="39"/>
  <c r="AZ83" i="39"/>
  <c r="AR83" i="39"/>
  <c r="AY83" i="39" s="1"/>
  <c r="AQ86" i="39"/>
  <c r="AT108" i="39"/>
  <c r="AA108" i="39"/>
  <c r="W127" i="39"/>
  <c r="AN127" i="39"/>
  <c r="L128" i="39"/>
  <c r="AB14" i="39"/>
  <c r="N129" i="39"/>
  <c r="AV20" i="39"/>
  <c r="AQ36" i="39"/>
  <c r="AB41" i="39"/>
  <c r="AV41" i="39" s="1"/>
  <c r="L79" i="39"/>
  <c r="AZ84" i="39"/>
  <c r="AR84" i="39"/>
  <c r="AY84" i="39" s="1"/>
  <c r="AC88" i="39"/>
  <c r="AW88" i="39" s="1"/>
  <c r="Q118" i="39"/>
  <c r="V115" i="39"/>
  <c r="AC115" i="39" s="1"/>
  <c r="AF118" i="39"/>
  <c r="BA119" i="39"/>
  <c r="BA123" i="39" s="1"/>
  <c r="T127" i="39"/>
  <c r="K137" i="39"/>
  <c r="N128" i="39"/>
  <c r="AR16" i="39"/>
  <c r="AY16" i="39" s="1"/>
  <c r="AX20" i="39"/>
  <c r="AX24" i="39" s="1"/>
  <c r="AR21" i="39"/>
  <c r="AY21" i="39" s="1"/>
  <c r="N131" i="39"/>
  <c r="N36" i="39"/>
  <c r="AR37" i="39"/>
  <c r="AT39" i="39"/>
  <c r="AC39" i="39"/>
  <c r="AW39" i="39" s="1"/>
  <c r="AZ40" i="39"/>
  <c r="AR40" i="39"/>
  <c r="AY40" i="39" s="1"/>
  <c r="AP46" i="39"/>
  <c r="AZ45" i="39"/>
  <c r="AZ46" i="39" s="1"/>
  <c r="AR45" i="39"/>
  <c r="AR46" i="39" s="1"/>
  <c r="N56" i="39"/>
  <c r="AA52" i="39"/>
  <c r="AZ55" i="39"/>
  <c r="AR55" i="39"/>
  <c r="AY55" i="39" s="1"/>
  <c r="AU57" i="39"/>
  <c r="AU58" i="39" s="1"/>
  <c r="Z58" i="39"/>
  <c r="I59" i="39"/>
  <c r="AB74" i="39"/>
  <c r="AC74" i="39"/>
  <c r="AW74" i="39" s="1"/>
  <c r="AB77" i="39"/>
  <c r="AV77" i="39" s="1"/>
  <c r="AW78" i="39"/>
  <c r="K86" i="39"/>
  <c r="I80" i="39"/>
  <c r="I86" i="39" s="1"/>
  <c r="AT92" i="39"/>
  <c r="AC92" i="39"/>
  <c r="AW92" i="39" s="1"/>
  <c r="AB92" i="39"/>
  <c r="AV92" i="39" s="1"/>
  <c r="AQ100" i="39"/>
  <c r="AZ117" i="39"/>
  <c r="AR117" i="39"/>
  <c r="AY117" i="39" s="1"/>
  <c r="N135" i="39"/>
  <c r="V37" i="39"/>
  <c r="AX50" i="39"/>
  <c r="AZ57" i="39"/>
  <c r="AZ58" i="39" s="1"/>
  <c r="AB62" i="39"/>
  <c r="AV62" i="39" s="1"/>
  <c r="AT62" i="39"/>
  <c r="AZ71" i="39"/>
  <c r="AR71" i="39"/>
  <c r="AY74" i="39"/>
  <c r="AW89" i="39"/>
  <c r="AZ90" i="39"/>
  <c r="AR90" i="39"/>
  <c r="AY90" i="39" s="1"/>
  <c r="AT110" i="39"/>
  <c r="AI127" i="39"/>
  <c r="AQ126" i="39" s="1"/>
  <c r="Q128" i="39"/>
  <c r="AF128" i="39"/>
  <c r="Q131" i="39"/>
  <c r="N30" i="39"/>
  <c r="AF36" i="39"/>
  <c r="I37" i="39"/>
  <c r="AR39" i="39"/>
  <c r="AY39" i="39" s="1"/>
  <c r="AT40" i="39"/>
  <c r="AA40" i="39"/>
  <c r="AF42" i="39"/>
  <c r="Q136" i="39"/>
  <c r="V43" i="39"/>
  <c r="AC43" i="39" s="1"/>
  <c r="AW43" i="39" s="1"/>
  <c r="K56" i="39"/>
  <c r="AU53" i="39"/>
  <c r="Q56" i="39"/>
  <c r="AC62" i="39"/>
  <c r="AZ63" i="39"/>
  <c r="AR63" i="39"/>
  <c r="Q79" i="39"/>
  <c r="AC75" i="39"/>
  <c r="AW75" i="39" s="1"/>
  <c r="AA81" i="39"/>
  <c r="AT81" i="39"/>
  <c r="AA91" i="39"/>
  <c r="AG91" i="39" s="1"/>
  <c r="AU91" i="39"/>
  <c r="AY91" i="39"/>
  <c r="AF93" i="39"/>
  <c r="AC95" i="39"/>
  <c r="AW95" i="39" s="1"/>
  <c r="AB103" i="39"/>
  <c r="AV103" i="39" s="1"/>
  <c r="AC103" i="39"/>
  <c r="AT112" i="39"/>
  <c r="AC112" i="39"/>
  <c r="AW112" i="39" s="1"/>
  <c r="AC113" i="39"/>
  <c r="AW113" i="39" s="1"/>
  <c r="Z123" i="39"/>
  <c r="AU119" i="39"/>
  <c r="AU123" i="39" s="1"/>
  <c r="Z46" i="39"/>
  <c r="AR48" i="39"/>
  <c r="AY48" i="39" s="1"/>
  <c r="AV53" i="39"/>
  <c r="K65" i="39"/>
  <c r="I63" i="39"/>
  <c r="AB63" i="39"/>
  <c r="AG63" i="39" s="1"/>
  <c r="AS63" i="39" s="1"/>
  <c r="AA64" i="39"/>
  <c r="AR80" i="39"/>
  <c r="AY80" i="39" s="1"/>
  <c r="BA94" i="39"/>
  <c r="BA100" i="39" s="1"/>
  <c r="AR109" i="39"/>
  <c r="I111" i="39"/>
  <c r="AF123" i="39"/>
  <c r="AD127" i="39"/>
  <c r="AF126" i="39" s="1"/>
  <c r="AV38" i="39"/>
  <c r="AQ44" i="39"/>
  <c r="K50" i="39"/>
  <c r="Q50" i="39"/>
  <c r="AW63" i="39"/>
  <c r="AB64" i="39"/>
  <c r="AV64" i="39" s="1"/>
  <c r="BA66" i="39"/>
  <c r="AY81" i="39"/>
  <c r="AP86" i="39"/>
  <c r="AA84" i="39"/>
  <c r="AZ123" i="39"/>
  <c r="Q123" i="39"/>
  <c r="U127" i="39"/>
  <c r="AP72" i="39"/>
  <c r="I70" i="39"/>
  <c r="AU73" i="39"/>
  <c r="AU79" i="39" s="1"/>
  <c r="AV84" i="39"/>
  <c r="AA88" i="39"/>
  <c r="N93" i="39"/>
  <c r="AV90" i="39"/>
  <c r="K100" i="39"/>
  <c r="L114" i="39"/>
  <c r="AR113" i="39"/>
  <c r="AY113" i="39" s="1"/>
  <c r="AB117" i="39"/>
  <c r="AV117" i="39" s="1"/>
  <c r="O127" i="39"/>
  <c r="AR69" i="39"/>
  <c r="AY69" i="39" s="1"/>
  <c r="AA77" i="39"/>
  <c r="Z86" i="39"/>
  <c r="AU88" i="39"/>
  <c r="AU93" i="39" s="1"/>
  <c r="AP93" i="39"/>
  <c r="L100" i="39"/>
  <c r="AR95" i="39"/>
  <c r="AY95" i="39" s="1"/>
  <c r="AW98" i="39"/>
  <c r="AR99" i="39"/>
  <c r="AY99" i="39" s="1"/>
  <c r="AT104" i="39"/>
  <c r="N114" i="39"/>
  <c r="I113" i="39"/>
  <c r="Y127" i="39"/>
  <c r="Z126" i="39" s="1"/>
  <c r="AM127" i="39"/>
  <c r="AM202" i="42"/>
  <c r="T202" i="42"/>
  <c r="T144" i="41"/>
  <c r="AT17" i="42"/>
  <c r="AC17" i="42"/>
  <c r="AW17" i="42" s="1"/>
  <c r="AB17" i="42"/>
  <c r="AA17" i="42"/>
  <c r="AU209" i="42"/>
  <c r="AW19" i="42"/>
  <c r="AW22" i="42" s="1"/>
  <c r="L22" i="42"/>
  <c r="AX22" i="42"/>
  <c r="AG20" i="42"/>
  <c r="AT23" i="42"/>
  <c r="AC23" i="42"/>
  <c r="AB23" i="42"/>
  <c r="V26" i="42"/>
  <c r="AA23" i="42"/>
  <c r="AU26" i="42"/>
  <c r="AW27" i="42"/>
  <c r="AW30" i="42" s="1"/>
  <c r="L30" i="42"/>
  <c r="AX30" i="42"/>
  <c r="AG28" i="42"/>
  <c r="AT31" i="42"/>
  <c r="AC31" i="42"/>
  <c r="AB31" i="42"/>
  <c r="V34" i="42"/>
  <c r="AA31" i="42"/>
  <c r="AU34" i="42"/>
  <c r="AW35" i="42"/>
  <c r="I35" i="42"/>
  <c r="L38" i="42"/>
  <c r="AX38" i="42"/>
  <c r="AG36" i="42"/>
  <c r="AT39" i="42"/>
  <c r="AC39" i="42"/>
  <c r="AB39" i="42"/>
  <c r="V41" i="42"/>
  <c r="AA39" i="42"/>
  <c r="AU41" i="42"/>
  <c r="AZ45" i="42"/>
  <c r="AZ71" i="42"/>
  <c r="AZ77" i="42" s="1"/>
  <c r="AR71" i="42"/>
  <c r="AR77" i="42" s="1"/>
  <c r="AP77" i="42"/>
  <c r="AT12" i="42"/>
  <c r="AC12" i="42"/>
  <c r="AB12" i="42"/>
  <c r="V18" i="42"/>
  <c r="AA12" i="42"/>
  <c r="AU18" i="42"/>
  <c r="AW25" i="42"/>
  <c r="AW43" i="42"/>
  <c r="I43" i="42"/>
  <c r="K212" i="42"/>
  <c r="K47" i="42"/>
  <c r="I46" i="42"/>
  <c r="AZ54" i="42"/>
  <c r="AR54" i="42"/>
  <c r="AY54" i="42" s="1"/>
  <c r="AP59" i="42"/>
  <c r="AT62" i="42"/>
  <c r="AC62" i="42"/>
  <c r="AB62" i="42"/>
  <c r="AV62" i="42" s="1"/>
  <c r="AA62" i="42"/>
  <c r="K86" i="42"/>
  <c r="I81" i="42"/>
  <c r="BA18" i="42"/>
  <c r="AT13" i="42"/>
  <c r="AC13" i="42"/>
  <c r="AW13" i="42" s="1"/>
  <c r="AB13" i="42"/>
  <c r="AV13" i="42" s="1"/>
  <c r="AA13" i="42"/>
  <c r="AZ22" i="42"/>
  <c r="AT24" i="42"/>
  <c r="AC24" i="42"/>
  <c r="AW24" i="42" s="1"/>
  <c r="AB24" i="42"/>
  <c r="AV24" i="42" s="1"/>
  <c r="AA24" i="42"/>
  <c r="AZ30" i="42"/>
  <c r="AT32" i="42"/>
  <c r="AC32" i="42"/>
  <c r="AB32" i="42"/>
  <c r="AV32" i="42" s="1"/>
  <c r="AA32" i="42"/>
  <c r="AZ38" i="42"/>
  <c r="AT40" i="42"/>
  <c r="AC40" i="42"/>
  <c r="AB40" i="42"/>
  <c r="AV40" i="42" s="1"/>
  <c r="AA40" i="42"/>
  <c r="AR45" i="42"/>
  <c r="AY43" i="42"/>
  <c r="AY45" i="42" s="1"/>
  <c r="AA56" i="42"/>
  <c r="AC56" i="42"/>
  <c r="AB56" i="42"/>
  <c r="AA58" i="42"/>
  <c r="AT58" i="42"/>
  <c r="AC58" i="42"/>
  <c r="AB58" i="42"/>
  <c r="V205" i="42"/>
  <c r="AT14" i="42"/>
  <c r="AC14" i="42"/>
  <c r="AB14" i="42"/>
  <c r="AA14" i="42"/>
  <c r="AW20" i="42"/>
  <c r="I20" i="42"/>
  <c r="AS20" i="42" s="1"/>
  <c r="AG21" i="42"/>
  <c r="AG29" i="42"/>
  <c r="AW36" i="42"/>
  <c r="I36" i="42"/>
  <c r="AS36" i="42" s="1"/>
  <c r="AG37" i="42"/>
  <c r="BA212" i="42"/>
  <c r="BA47" i="42"/>
  <c r="BA53" i="42"/>
  <c r="BA83" i="42"/>
  <c r="AR83" i="42"/>
  <c r="BA205" i="42"/>
  <c r="AT15" i="42"/>
  <c r="AC15" i="42"/>
  <c r="AW15" i="42" s="1"/>
  <c r="AB15" i="42"/>
  <c r="AV15" i="42" s="1"/>
  <c r="AA15" i="42"/>
  <c r="AR22" i="42"/>
  <c r="AY20" i="42"/>
  <c r="AZ26" i="42"/>
  <c r="AT25" i="42"/>
  <c r="AC25" i="42"/>
  <c r="AB25" i="42"/>
  <c r="AV25" i="42" s="1"/>
  <c r="AA25" i="42"/>
  <c r="AG25" i="42" s="1"/>
  <c r="AR30" i="42"/>
  <c r="AY28" i="42"/>
  <c r="AY31" i="42"/>
  <c r="AZ34" i="42"/>
  <c r="AT33" i="42"/>
  <c r="AC33" i="42"/>
  <c r="AW33" i="42" s="1"/>
  <c r="AB33" i="42"/>
  <c r="AV33" i="42" s="1"/>
  <c r="AA33" i="42"/>
  <c r="AR38" i="42"/>
  <c r="AY36" i="42"/>
  <c r="AZ41" i="42"/>
  <c r="AW42" i="42"/>
  <c r="I42" i="42"/>
  <c r="L45" i="42"/>
  <c r="AX45" i="42"/>
  <c r="AG43" i="42"/>
  <c r="AW44" i="42"/>
  <c r="I44" i="42"/>
  <c r="AS44" i="42" s="1"/>
  <c r="AZ63" i="42"/>
  <c r="AR63" i="42"/>
  <c r="AY70" i="42"/>
  <c r="AB75" i="42"/>
  <c r="AA75" i="42"/>
  <c r="AT75" i="42"/>
  <c r="AC75" i="42"/>
  <c r="AY80" i="42"/>
  <c r="AT16" i="42"/>
  <c r="AC16" i="42"/>
  <c r="AW16" i="42" s="1"/>
  <c r="AB16" i="42"/>
  <c r="AV16" i="42" s="1"/>
  <c r="AA16" i="42"/>
  <c r="AS25" i="42"/>
  <c r="AW32" i="42"/>
  <c r="AW40" i="42"/>
  <c r="Q204" i="42"/>
  <c r="V48" i="42"/>
  <c r="Q53" i="42"/>
  <c r="AZ53" i="42"/>
  <c r="AZ60" i="42"/>
  <c r="AP65" i="42"/>
  <c r="AR60" i="42"/>
  <c r="AY63" i="42"/>
  <c r="Q122" i="42"/>
  <c r="V118" i="42"/>
  <c r="AT104" i="42"/>
  <c r="AC104" i="42"/>
  <c r="AB104" i="42"/>
  <c r="AV104" i="42" s="1"/>
  <c r="AA104" i="42"/>
  <c r="I26" i="42"/>
  <c r="I41" i="42"/>
  <c r="AW57" i="42"/>
  <c r="I65" i="42"/>
  <c r="AC84" i="42"/>
  <c r="AT84" i="42"/>
  <c r="AB84" i="42"/>
  <c r="AV84" i="42" s="1"/>
  <c r="AA84" i="42"/>
  <c r="AQ209" i="42"/>
  <c r="AT19" i="42"/>
  <c r="AT22" i="42" s="1"/>
  <c r="AT20" i="42"/>
  <c r="AT21" i="42"/>
  <c r="AW23" i="42"/>
  <c r="AT27" i="42"/>
  <c r="AT28" i="42"/>
  <c r="AT29" i="42"/>
  <c r="AW31" i="42"/>
  <c r="AT35" i="42"/>
  <c r="AT36" i="42"/>
  <c r="AT37" i="42"/>
  <c r="AW39" i="42"/>
  <c r="AW41" i="42" s="1"/>
  <c r="AT42" i="42"/>
  <c r="AT45" i="42" s="1"/>
  <c r="AT43" i="42"/>
  <c r="AT44" i="42"/>
  <c r="AW49" i="42"/>
  <c r="AG50" i="42"/>
  <c r="V59" i="42"/>
  <c r="AT54" i="42"/>
  <c r="AC54" i="42"/>
  <c r="AB54" i="42"/>
  <c r="AA54" i="42"/>
  <c r="AU54" i="42"/>
  <c r="AU59" i="42" s="1"/>
  <c r="AY55" i="42"/>
  <c r="AZ55" i="42"/>
  <c r="AZ204" i="42" s="1"/>
  <c r="AR55" i="42"/>
  <c r="V206" i="42"/>
  <c r="AT60" i="42"/>
  <c r="AC60" i="42"/>
  <c r="AB60" i="42"/>
  <c r="V65" i="42"/>
  <c r="AA60" i="42"/>
  <c r="AU60" i="42"/>
  <c r="AY61" i="42"/>
  <c r="AZ61" i="42"/>
  <c r="AR61" i="42"/>
  <c r="AT63" i="42"/>
  <c r="AC63" i="42"/>
  <c r="AB63" i="42"/>
  <c r="AV63" i="42" s="1"/>
  <c r="AA63" i="42"/>
  <c r="AG63" i="42" s="1"/>
  <c r="AS63" i="42" s="1"/>
  <c r="AZ64" i="42"/>
  <c r="AR64" i="42"/>
  <c r="Z65" i="42"/>
  <c r="AV66" i="42"/>
  <c r="AR70" i="42"/>
  <c r="AW67" i="42"/>
  <c r="AW70" i="42" s="1"/>
  <c r="AT71" i="42"/>
  <c r="AT77" i="42" s="1"/>
  <c r="V77" i="42"/>
  <c r="AC71" i="42"/>
  <c r="AB71" i="42"/>
  <c r="AA71" i="42"/>
  <c r="AU71" i="42"/>
  <c r="AU77" i="42" s="1"/>
  <c r="AB73" i="42"/>
  <c r="AA73" i="42"/>
  <c r="AW74" i="42"/>
  <c r="AB76" i="42"/>
  <c r="AA76" i="42"/>
  <c r="AG76" i="42" s="1"/>
  <c r="AX79" i="42"/>
  <c r="I88" i="42"/>
  <c r="AF90" i="42"/>
  <c r="AA99" i="42"/>
  <c r="AB99" i="42"/>
  <c r="AV99" i="42" s="1"/>
  <c r="AT99" i="42"/>
  <c r="AC99" i="42"/>
  <c r="I18" i="42"/>
  <c r="AY19" i="42"/>
  <c r="AY27" i="42"/>
  <c r="AY35" i="42"/>
  <c r="AY38" i="42" s="1"/>
  <c r="AV49" i="42"/>
  <c r="AW52" i="42"/>
  <c r="Q77" i="42"/>
  <c r="AQ211" i="42"/>
  <c r="BA78" i="42"/>
  <c r="AR78" i="42"/>
  <c r="Q86" i="42"/>
  <c r="V80" i="42"/>
  <c r="BA90" i="42"/>
  <c r="L203" i="42"/>
  <c r="AR12" i="42"/>
  <c r="AX12" i="42"/>
  <c r="AR13" i="42"/>
  <c r="AY13" i="42" s="1"/>
  <c r="AR14" i="42"/>
  <c r="AX14" i="42"/>
  <c r="AX205" i="42" s="1"/>
  <c r="AR15" i="42"/>
  <c r="AY15" i="42" s="1"/>
  <c r="AR16" i="42"/>
  <c r="AY16" i="42" s="1"/>
  <c r="AR17" i="42"/>
  <c r="K18" i="42"/>
  <c r="AR23" i="42"/>
  <c r="AR26" i="42" s="1"/>
  <c r="AR24" i="42"/>
  <c r="AY24" i="42" s="1"/>
  <c r="AR25" i="42"/>
  <c r="AY25" i="42" s="1"/>
  <c r="AR31" i="42"/>
  <c r="AR32" i="42"/>
  <c r="AY32" i="42" s="1"/>
  <c r="AR33" i="42"/>
  <c r="AY33" i="42" s="1"/>
  <c r="AR39" i="42"/>
  <c r="AR41" i="42" s="1"/>
  <c r="AR40" i="42"/>
  <c r="AY40" i="42" s="1"/>
  <c r="N45" i="42"/>
  <c r="Q212" i="42"/>
  <c r="Q47" i="42"/>
  <c r="AP212" i="42"/>
  <c r="AZ46" i="42"/>
  <c r="AP47" i="42"/>
  <c r="AR46" i="42"/>
  <c r="AX210" i="42"/>
  <c r="AA52" i="42"/>
  <c r="AT52" i="42"/>
  <c r="AA57" i="42"/>
  <c r="AT57" i="42"/>
  <c r="AV58" i="42"/>
  <c r="AW62" i="42"/>
  <c r="AB70" i="42"/>
  <c r="AV75" i="42"/>
  <c r="I211" i="42"/>
  <c r="I79" i="42"/>
  <c r="Z211" i="42"/>
  <c r="AU78" i="42"/>
  <c r="Z79" i="42"/>
  <c r="AX86" i="42"/>
  <c r="AQ86" i="42"/>
  <c r="BA81" i="42"/>
  <c r="AC87" i="42"/>
  <c r="AB87" i="42"/>
  <c r="AA87" i="42"/>
  <c r="AU106" i="42"/>
  <c r="AC109" i="42"/>
  <c r="AB109" i="42"/>
  <c r="AV109" i="42" s="1"/>
  <c r="AA109" i="42"/>
  <c r="AT109" i="42"/>
  <c r="N153" i="42"/>
  <c r="AG85" i="42"/>
  <c r="AU210" i="42"/>
  <c r="N203" i="42"/>
  <c r="AY12" i="42"/>
  <c r="AY14" i="42"/>
  <c r="AY17" i="42"/>
  <c r="L18" i="42"/>
  <c r="AP18" i="42"/>
  <c r="I19" i="42"/>
  <c r="I21" i="42"/>
  <c r="AS21" i="42" s="1"/>
  <c r="AP26" i="42"/>
  <c r="I27" i="42"/>
  <c r="I28" i="42"/>
  <c r="AS28" i="42" s="1"/>
  <c r="I29" i="42"/>
  <c r="AS29" i="42" s="1"/>
  <c r="AP34" i="42"/>
  <c r="I37" i="42"/>
  <c r="AS37" i="42" s="1"/>
  <c r="AP41" i="42"/>
  <c r="V46" i="42"/>
  <c r="AQ212" i="42"/>
  <c r="AQ47" i="42"/>
  <c r="L204" i="42"/>
  <c r="I48" i="42"/>
  <c r="AF204" i="42"/>
  <c r="AF53" i="42"/>
  <c r="AX48" i="42"/>
  <c r="AG49" i="42"/>
  <c r="L210" i="42"/>
  <c r="I51" i="42"/>
  <c r="AY51" i="42"/>
  <c r="AT55" i="42"/>
  <c r="AC55" i="42"/>
  <c r="AW55" i="42" s="1"/>
  <c r="AB55" i="42"/>
  <c r="AV55" i="42" s="1"/>
  <c r="AA55" i="42"/>
  <c r="AW58" i="42"/>
  <c r="BA65" i="42"/>
  <c r="AT61" i="42"/>
  <c r="AC61" i="42"/>
  <c r="AW61" i="42" s="1"/>
  <c r="AB61" i="42"/>
  <c r="AV61" i="42" s="1"/>
  <c r="AA61" i="42"/>
  <c r="AZ62" i="42"/>
  <c r="AR62" i="42"/>
  <c r="AY62" i="42" s="1"/>
  <c r="AT64" i="42"/>
  <c r="AC64" i="42"/>
  <c r="AW64" i="42" s="1"/>
  <c r="AB64" i="42"/>
  <c r="AV64" i="42" s="1"/>
  <c r="AA64" i="42"/>
  <c r="N70" i="42"/>
  <c r="AX77" i="42"/>
  <c r="BA77" i="42"/>
  <c r="AB74" i="42"/>
  <c r="AV74" i="42" s="1"/>
  <c r="AA74" i="42"/>
  <c r="AW75" i="42"/>
  <c r="K211" i="42"/>
  <c r="AA78" i="42"/>
  <c r="AR81" i="42"/>
  <c r="AR86" i="42" s="1"/>
  <c r="AC82" i="42"/>
  <c r="AW82" i="42" s="1"/>
  <c r="AT82" i="42"/>
  <c r="AB82" i="42"/>
  <c r="AV82" i="42" s="1"/>
  <c r="AA82" i="42"/>
  <c r="AR85" i="42"/>
  <c r="AF86" i="42"/>
  <c r="AT87" i="42"/>
  <c r="AT101" i="42"/>
  <c r="AT106" i="42" s="1"/>
  <c r="V106" i="42"/>
  <c r="AC101" i="42"/>
  <c r="AC106" i="42" s="1"/>
  <c r="AB101" i="42"/>
  <c r="AA101" i="42"/>
  <c r="N116" i="42"/>
  <c r="AY114" i="42"/>
  <c r="AY116" i="42" s="1"/>
  <c r="AX139" i="42"/>
  <c r="AX145" i="42" s="1"/>
  <c r="AF145" i="42"/>
  <c r="AR53" i="42"/>
  <c r="Q203" i="42"/>
  <c r="AZ12" i="42"/>
  <c r="AZ14" i="42"/>
  <c r="AZ205" i="42" s="1"/>
  <c r="AF209" i="42"/>
  <c r="AZ17" i="42"/>
  <c r="AZ209" i="42" s="1"/>
  <c r="AQ18" i="42"/>
  <c r="AA19" i="42"/>
  <c r="AA27" i="42"/>
  <c r="AA35" i="42"/>
  <c r="AA42" i="42"/>
  <c r="AU46" i="42"/>
  <c r="N204" i="42"/>
  <c r="N53" i="42"/>
  <c r="AY48" i="42"/>
  <c r="AV50" i="42"/>
  <c r="N210" i="42"/>
  <c r="AB52" i="42"/>
  <c r="AV52" i="42" s="1"/>
  <c r="L53" i="42"/>
  <c r="P209" i="42"/>
  <c r="P59" i="42"/>
  <c r="BA56" i="42"/>
  <c r="AB57" i="42"/>
  <c r="AV57" i="42" s="1"/>
  <c r="AW63" i="42"/>
  <c r="AX70" i="42"/>
  <c r="AV69" i="42"/>
  <c r="AG69" i="42"/>
  <c r="L70" i="42"/>
  <c r="AW71" i="42"/>
  <c r="AC72" i="42"/>
  <c r="AW72" i="42" s="1"/>
  <c r="AB72" i="42"/>
  <c r="AV72" i="42" s="1"/>
  <c r="AA72" i="42"/>
  <c r="AV76" i="42"/>
  <c r="I85" i="42"/>
  <c r="AU90" i="42"/>
  <c r="AZ88" i="42"/>
  <c r="AP90" i="42"/>
  <c r="AR88" i="42"/>
  <c r="AY88" i="42" s="1"/>
  <c r="AQ96" i="42"/>
  <c r="BA91" i="42"/>
  <c r="AB116" i="42"/>
  <c r="AV114" i="42"/>
  <c r="K126" i="42"/>
  <c r="I123" i="42"/>
  <c r="N135" i="42"/>
  <c r="Q210" i="42"/>
  <c r="AF210" i="42"/>
  <c r="AT56" i="42"/>
  <c r="K206" i="42"/>
  <c r="AQ206" i="42"/>
  <c r="AW60" i="42"/>
  <c r="AT66" i="42"/>
  <c r="AT70" i="42" s="1"/>
  <c r="AQ70" i="42"/>
  <c r="N77" i="42"/>
  <c r="AF77" i="42"/>
  <c r="AB78" i="42"/>
  <c r="AY78" i="42"/>
  <c r="AF79" i="42"/>
  <c r="AP86" i="42"/>
  <c r="AB81" i="42"/>
  <c r="AT81" i="42"/>
  <c r="AB83" i="42"/>
  <c r="AV83" i="42" s="1"/>
  <c r="AT83" i="42"/>
  <c r="AW84" i="42"/>
  <c r="AB85" i="42"/>
  <c r="AV85" i="42" s="1"/>
  <c r="AT85" i="42"/>
  <c r="Z90" i="42"/>
  <c r="AW87" i="42"/>
  <c r="I91" i="42"/>
  <c r="AV91" i="42"/>
  <c r="K96" i="42"/>
  <c r="AG91" i="42"/>
  <c r="I94" i="42"/>
  <c r="AS94" i="42" s="1"/>
  <c r="AV94" i="42"/>
  <c r="AG94" i="42"/>
  <c r="Q100" i="42"/>
  <c r="V97" i="42"/>
  <c r="AR100" i="42"/>
  <c r="AW98" i="42"/>
  <c r="L100" i="42"/>
  <c r="AZ113" i="42"/>
  <c r="AA108" i="42"/>
  <c r="AG108" i="42" s="1"/>
  <c r="AS108" i="42" s="1"/>
  <c r="AT108" i="42"/>
  <c r="AC108" i="42"/>
  <c r="AB108" i="42"/>
  <c r="AV108" i="42" s="1"/>
  <c r="AW109" i="42"/>
  <c r="AB111" i="42"/>
  <c r="AG111" i="42" s="1"/>
  <c r="AT111" i="42"/>
  <c r="AC111" i="42"/>
  <c r="AW111" i="42" s="1"/>
  <c r="I117" i="42"/>
  <c r="K122" i="42"/>
  <c r="AX122" i="42"/>
  <c r="AV125" i="42"/>
  <c r="I125" i="42"/>
  <c r="V129" i="42"/>
  <c r="V209" i="42" s="1"/>
  <c r="Q132" i="42"/>
  <c r="AY140" i="42"/>
  <c r="AX46" i="42"/>
  <c r="AU48" i="42"/>
  <c r="V51" i="42"/>
  <c r="AX54" i="42"/>
  <c r="AX59" i="42" s="1"/>
  <c r="K56" i="42"/>
  <c r="N59" i="42"/>
  <c r="K65" i="42"/>
  <c r="AG66" i="42"/>
  <c r="I73" i="42"/>
  <c r="AV73" i="42"/>
  <c r="I74" i="42"/>
  <c r="I75" i="42"/>
  <c r="I76" i="42"/>
  <c r="AS76" i="42" s="1"/>
  <c r="AC78" i="42"/>
  <c r="N79" i="42"/>
  <c r="I80" i="42"/>
  <c r="AY81" i="42"/>
  <c r="AY83" i="42"/>
  <c r="AY85" i="42"/>
  <c r="AV87" i="42"/>
  <c r="I87" i="42"/>
  <c r="K90" i="42"/>
  <c r="R90" i="42"/>
  <c r="L96" i="42"/>
  <c r="AT93" i="42"/>
  <c r="AC93" i="42"/>
  <c r="AW93" i="42" s="1"/>
  <c r="AY103" i="42"/>
  <c r="AW104" i="42"/>
  <c r="I105" i="42"/>
  <c r="AS105" i="42" s="1"/>
  <c r="AV105" i="42"/>
  <c r="AB110" i="42"/>
  <c r="AV110" i="42" s="1"/>
  <c r="AC110" i="42"/>
  <c r="AW110" i="42" s="1"/>
  <c r="AA110" i="42"/>
  <c r="AB112" i="42"/>
  <c r="AV112" i="42" s="1"/>
  <c r="AT112" i="42"/>
  <c r="AC112" i="42"/>
  <c r="AW112" i="42" s="1"/>
  <c r="AA112" i="42"/>
  <c r="AG112" i="42" s="1"/>
  <c r="I115" i="42"/>
  <c r="K116" i="42"/>
  <c r="AV115" i="42"/>
  <c r="L122" i="42"/>
  <c r="AA120" i="42"/>
  <c r="AG120" i="42" s="1"/>
  <c r="AT120" i="42"/>
  <c r="AC120" i="42"/>
  <c r="AW120" i="42" s="1"/>
  <c r="AW127" i="42"/>
  <c r="L132" i="42"/>
  <c r="N179" i="42"/>
  <c r="AX176" i="42"/>
  <c r="AF179" i="42"/>
  <c r="AA178" i="42"/>
  <c r="AG178" i="42" s="1"/>
  <c r="AT178" i="42"/>
  <c r="AC178" i="42"/>
  <c r="AB178" i="42"/>
  <c r="AV178" i="42" s="1"/>
  <c r="AY46" i="42"/>
  <c r="Z204" i="42"/>
  <c r="Z202" i="42" s="1"/>
  <c r="AP204" i="42"/>
  <c r="I49" i="42"/>
  <c r="I50" i="42"/>
  <c r="AS50" i="42" s="1"/>
  <c r="Z210" i="42"/>
  <c r="AP210" i="42"/>
  <c r="I52" i="42"/>
  <c r="L56" i="42"/>
  <c r="L209" i="42" s="1"/>
  <c r="I57" i="42"/>
  <c r="I58" i="42"/>
  <c r="N206" i="42"/>
  <c r="AY60" i="42"/>
  <c r="L65" i="42"/>
  <c r="I66" i="42"/>
  <c r="I67" i="42"/>
  <c r="AS67" i="42" s="1"/>
  <c r="I68" i="42"/>
  <c r="AS68" i="42" s="1"/>
  <c r="I69" i="42"/>
  <c r="AT78" i="42"/>
  <c r="AY87" i="42"/>
  <c r="AY90" i="42" s="1"/>
  <c r="V88" i="42"/>
  <c r="V90" i="42" s="1"/>
  <c r="AW91" i="42"/>
  <c r="AC96" i="42"/>
  <c r="AX96" i="42"/>
  <c r="AZ92" i="42"/>
  <c r="AZ96" i="42" s="1"/>
  <c r="AR92" i="42"/>
  <c r="AY92" i="42" s="1"/>
  <c r="BA93" i="42"/>
  <c r="AR93" i="42"/>
  <c r="AY93" i="42" s="1"/>
  <c r="AY94" i="42"/>
  <c r="I100" i="42"/>
  <c r="AX100" i="42"/>
  <c r="AW101" i="42"/>
  <c r="I102" i="42"/>
  <c r="AS102" i="42" s="1"/>
  <c r="AV102" i="42"/>
  <c r="I107" i="42"/>
  <c r="L113" i="42"/>
  <c r="AT110" i="42"/>
  <c r="AF116" i="42"/>
  <c r="AX114" i="42"/>
  <c r="AX116" i="42" s="1"/>
  <c r="BA122" i="42"/>
  <c r="AY121" i="42"/>
  <c r="AU153" i="42"/>
  <c r="AG168" i="42"/>
  <c r="AQ204" i="42"/>
  <c r="AQ202" i="42" s="1"/>
  <c r="K210" i="42"/>
  <c r="AQ210" i="42"/>
  <c r="J59" i="42"/>
  <c r="Q206" i="42"/>
  <c r="AF206" i="42"/>
  <c r="AF202" i="42" s="1"/>
  <c r="AQ65" i="42"/>
  <c r="V79" i="42"/>
  <c r="AZ90" i="42"/>
  <c r="R202" i="42"/>
  <c r="AT92" i="42"/>
  <c r="AT96" i="42" s="1"/>
  <c r="AB92" i="42"/>
  <c r="AA92" i="42"/>
  <c r="I93" i="42"/>
  <c r="AS93" i="42" s="1"/>
  <c r="AA93" i="42"/>
  <c r="AG93" i="42" s="1"/>
  <c r="AT95" i="42"/>
  <c r="AB95" i="42"/>
  <c r="AV95" i="42" s="1"/>
  <c r="AA95" i="42"/>
  <c r="AG95" i="42" s="1"/>
  <c r="AS95" i="42" s="1"/>
  <c r="AW99" i="42"/>
  <c r="I99" i="42"/>
  <c r="I111" i="42"/>
  <c r="AS112" i="42"/>
  <c r="AZ116" i="42"/>
  <c r="AB117" i="42"/>
  <c r="AV117" i="42" s="1"/>
  <c r="V122" i="42"/>
  <c r="AT117" i="42"/>
  <c r="AC117" i="42"/>
  <c r="AB120" i="42"/>
  <c r="AV120" i="42" s="1"/>
  <c r="AC121" i="42"/>
  <c r="AW121" i="42" s="1"/>
  <c r="AB121" i="42"/>
  <c r="AA121" i="42"/>
  <c r="AG121" i="42" s="1"/>
  <c r="BA124" i="42"/>
  <c r="AR124" i="42"/>
  <c r="AR126" i="42" s="1"/>
  <c r="BA136" i="42"/>
  <c r="BA138" i="42" s="1"/>
  <c r="AQ138" i="42"/>
  <c r="AU145" i="42"/>
  <c r="Z145" i="42"/>
  <c r="AU140" i="42"/>
  <c r="AA89" i="42"/>
  <c r="AG89" i="42" s="1"/>
  <c r="AS89" i="42" s="1"/>
  <c r="AJ90" i="42"/>
  <c r="AJ199" i="42" s="1"/>
  <c r="AR91" i="42"/>
  <c r="AR94" i="42"/>
  <c r="I101" i="42"/>
  <c r="AR102" i="42"/>
  <c r="AY102" i="42"/>
  <c r="AR105" i="42"/>
  <c r="AY105" i="42" s="1"/>
  <c r="AR110" i="42"/>
  <c r="AY110" i="42" s="1"/>
  <c r="AR112" i="42"/>
  <c r="AY112" i="42" s="1"/>
  <c r="AF113" i="42"/>
  <c r="AW114" i="42"/>
  <c r="AC115" i="42"/>
  <c r="AT115" i="42"/>
  <c r="AT116" i="42" s="1"/>
  <c r="I116" i="42"/>
  <c r="V116" i="42"/>
  <c r="AP116" i="42"/>
  <c r="AV119" i="42"/>
  <c r="I119" i="42"/>
  <c r="AS119" i="42" s="1"/>
  <c r="AA119" i="42"/>
  <c r="AG119" i="42" s="1"/>
  <c r="AV124" i="42"/>
  <c r="I124" i="42"/>
  <c r="BA132" i="42"/>
  <c r="BA133" i="42"/>
  <c r="BA135" i="42" s="1"/>
  <c r="AQ135" i="42"/>
  <c r="N145" i="42"/>
  <c r="Z148" i="42"/>
  <c r="AU146" i="42"/>
  <c r="AU148" i="42" s="1"/>
  <c r="AX148" i="42"/>
  <c r="BA149" i="42"/>
  <c r="BA153" i="42" s="1"/>
  <c r="AQ153" i="42"/>
  <c r="AW159" i="42"/>
  <c r="I159" i="42"/>
  <c r="AQ106" i="42"/>
  <c r="Q113" i="42"/>
  <c r="AU113" i="42"/>
  <c r="Z116" i="42"/>
  <c r="AU114" i="42"/>
  <c r="AU116" i="42" s="1"/>
  <c r="AQ116" i="42"/>
  <c r="AJ206" i="42"/>
  <c r="AJ202" i="42" s="1"/>
  <c r="AP118" i="42"/>
  <c r="AF126" i="42"/>
  <c r="V132" i="42"/>
  <c r="Z138" i="42"/>
  <c r="AU136" i="42"/>
  <c r="AU138" i="42" s="1"/>
  <c r="AX138" i="42"/>
  <c r="BA139" i="42"/>
  <c r="BA145" i="42" s="1"/>
  <c r="AQ145" i="42"/>
  <c r="Z153" i="42"/>
  <c r="BA154" i="42"/>
  <c r="BA156" i="42" s="1"/>
  <c r="AQ156" i="42"/>
  <c r="AZ160" i="42"/>
  <c r="AR160" i="42"/>
  <c r="AY160" i="42" s="1"/>
  <c r="AY97" i="42"/>
  <c r="AY100" i="42" s="1"/>
  <c r="AP100" i="42"/>
  <c r="AR101" i="42"/>
  <c r="AR104" i="42"/>
  <c r="AY104" i="42" s="1"/>
  <c r="V107" i="42"/>
  <c r="N113" i="42"/>
  <c r="AA114" i="42"/>
  <c r="AR114" i="42"/>
  <c r="AR116" i="42" s="1"/>
  <c r="AV121" i="42"/>
  <c r="I121" i="42"/>
  <c r="AS121" i="42" s="1"/>
  <c r="AY124" i="42"/>
  <c r="Z132" i="42"/>
  <c r="AU127" i="42"/>
  <c r="AU132" i="42" s="1"/>
  <c r="I129" i="42"/>
  <c r="AV130" i="42"/>
  <c r="AS137" i="42"/>
  <c r="AG137" i="42"/>
  <c r="AP96" i="42"/>
  <c r="BA101" i="42"/>
  <c r="BA106" i="42" s="1"/>
  <c r="AA103" i="42"/>
  <c r="AG103" i="42" s="1"/>
  <c r="AS103" i="42" s="1"/>
  <c r="AW108" i="42"/>
  <c r="AR109" i="42"/>
  <c r="AY109" i="42" s="1"/>
  <c r="AX110" i="42"/>
  <c r="AX209" i="42" s="1"/>
  <c r="BA110" i="42"/>
  <c r="BA113" i="42" s="1"/>
  <c r="AR111" i="42"/>
  <c r="AY111" i="42" s="1"/>
  <c r="AR117" i="42"/>
  <c r="AF122" i="42"/>
  <c r="V123" i="42"/>
  <c r="AT125" i="42"/>
  <c r="AC125" i="42"/>
  <c r="AS128" i="42"/>
  <c r="AG128" i="42"/>
  <c r="AW130" i="42"/>
  <c r="AS144" i="42"/>
  <c r="I145" i="42"/>
  <c r="AW146" i="42"/>
  <c r="AW148" i="42" s="1"/>
  <c r="L148" i="42"/>
  <c r="Z156" i="42"/>
  <c r="AU154" i="42"/>
  <c r="AU156" i="42" s="1"/>
  <c r="AX156" i="42"/>
  <c r="L162" i="42"/>
  <c r="AT167" i="42"/>
  <c r="AA167" i="42"/>
  <c r="AB167" i="42"/>
  <c r="V172" i="42"/>
  <c r="AC167" i="42"/>
  <c r="AC172" i="42" s="1"/>
  <c r="AR95" i="42"/>
  <c r="AY95" i="42" s="1"/>
  <c r="AA98" i="42"/>
  <c r="AG98" i="42" s="1"/>
  <c r="AS98" i="42" s="1"/>
  <c r="AB103" i="42"/>
  <c r="AV103" i="42" s="1"/>
  <c r="AR103" i="42"/>
  <c r="K113" i="42"/>
  <c r="AR107" i="42"/>
  <c r="P113" i="42"/>
  <c r="I120" i="42"/>
  <c r="AS120" i="42" s="1"/>
  <c r="AQ126" i="42"/>
  <c r="AT124" i="42"/>
  <c r="AC124" i="42"/>
  <c r="AG124" i="42" s="1"/>
  <c r="AX133" i="42"/>
  <c r="AX135" i="42" s="1"/>
  <c r="AF135" i="42"/>
  <c r="AF199" i="42" s="1"/>
  <c r="AS134" i="42"/>
  <c r="I135" i="42"/>
  <c r="AW136" i="42"/>
  <c r="AW138" i="42" s="1"/>
  <c r="L138" i="42"/>
  <c r="AY146" i="42"/>
  <c r="AY148" i="42" s="1"/>
  <c r="AX149" i="42"/>
  <c r="AF153" i="42"/>
  <c r="AY158" i="42"/>
  <c r="N162" i="42"/>
  <c r="T199" i="42"/>
  <c r="M22" i="47" s="1"/>
  <c r="AY123" i="42"/>
  <c r="I127" i="42"/>
  <c r="AA127" i="42"/>
  <c r="AR127" i="42"/>
  <c r="I130" i="42"/>
  <c r="AA130" i="42"/>
  <c r="AG130" i="42" s="1"/>
  <c r="AR130" i="42"/>
  <c r="AY130" i="42" s="1"/>
  <c r="K132" i="42"/>
  <c r="Q135" i="42"/>
  <c r="AV133" i="42"/>
  <c r="AV135" i="42" s="1"/>
  <c r="AA134" i="42"/>
  <c r="AG134" i="42" s="1"/>
  <c r="I136" i="42"/>
  <c r="AA136" i="42"/>
  <c r="AR136" i="42"/>
  <c r="K138" i="42"/>
  <c r="Q145" i="42"/>
  <c r="AV139" i="42"/>
  <c r="AV145" i="42" s="1"/>
  <c r="AA140" i="42"/>
  <c r="AG140" i="42" s="1"/>
  <c r="AS140" i="42" s="1"/>
  <c r="AA142" i="42"/>
  <c r="AA144" i="42"/>
  <c r="AG144" i="42" s="1"/>
  <c r="I146" i="42"/>
  <c r="AA146" i="42"/>
  <c r="AR146" i="42"/>
  <c r="AR148" i="42" s="1"/>
  <c r="K148" i="42"/>
  <c r="Q153" i="42"/>
  <c r="AV149" i="42"/>
  <c r="AV153" i="42" s="1"/>
  <c r="AA150" i="42"/>
  <c r="AA152" i="42"/>
  <c r="I154" i="42"/>
  <c r="AA154" i="42"/>
  <c r="AR154" i="42"/>
  <c r="AR156" i="42" s="1"/>
  <c r="K156" i="42"/>
  <c r="AT163" i="42"/>
  <c r="V166" i="42"/>
  <c r="AA163" i="42"/>
  <c r="AB163" i="42"/>
  <c r="AT171" i="42"/>
  <c r="AC171" i="42"/>
  <c r="AA171" i="42"/>
  <c r="AB127" i="42"/>
  <c r="AZ127" i="42"/>
  <c r="AZ132" i="42" s="1"/>
  <c r="AR133" i="42"/>
  <c r="AC134" i="42"/>
  <c r="AW134" i="42" s="1"/>
  <c r="AW135" i="42" s="1"/>
  <c r="AT134" i="42"/>
  <c r="AT135" i="42" s="1"/>
  <c r="V135" i="42"/>
  <c r="AB136" i="42"/>
  <c r="AZ136" i="42"/>
  <c r="AZ138" i="42" s="1"/>
  <c r="AR139" i="42"/>
  <c r="AC140" i="42"/>
  <c r="AW140" i="42" s="1"/>
  <c r="AT140" i="42"/>
  <c r="AR141" i="42"/>
  <c r="AY141" i="42" s="1"/>
  <c r="AC142" i="42"/>
  <c r="AW142" i="42" s="1"/>
  <c r="AT142" i="42"/>
  <c r="AR143" i="42"/>
  <c r="AY143" i="42" s="1"/>
  <c r="AC144" i="42"/>
  <c r="AW144" i="42" s="1"/>
  <c r="AT144" i="42"/>
  <c r="V145" i="42"/>
  <c r="AB146" i="42"/>
  <c r="AZ146" i="42"/>
  <c r="AZ148" i="42" s="1"/>
  <c r="AR149" i="42"/>
  <c r="AC150" i="42"/>
  <c r="AW150" i="42" s="1"/>
  <c r="AT150" i="42"/>
  <c r="AT153" i="42" s="1"/>
  <c r="AR151" i="42"/>
  <c r="AY151" i="42" s="1"/>
  <c r="AC152" i="42"/>
  <c r="AW152" i="42" s="1"/>
  <c r="AW153" i="42" s="1"/>
  <c r="AT152" i="42"/>
  <c r="V153" i="42"/>
  <c r="AB154" i="42"/>
  <c r="AB156" i="42" s="1"/>
  <c r="L156" i="42"/>
  <c r="AA160" i="42"/>
  <c r="AT160" i="42"/>
  <c r="AC160" i="42"/>
  <c r="AB160" i="42"/>
  <c r="AV160" i="42" s="1"/>
  <c r="AW161" i="42"/>
  <c r="I161" i="42"/>
  <c r="AU166" i="42"/>
  <c r="X199" i="42"/>
  <c r="AT182" i="42"/>
  <c r="AT185" i="42" s="1"/>
  <c r="AC182" i="42"/>
  <c r="AA182" i="42"/>
  <c r="AG182" i="42" s="1"/>
  <c r="AB182" i="42"/>
  <c r="AV182" i="42" s="1"/>
  <c r="AM199" i="42"/>
  <c r="AF22" i="47" s="1"/>
  <c r="AZ192" i="42"/>
  <c r="AR192" i="42"/>
  <c r="AP198" i="42"/>
  <c r="N198" i="42"/>
  <c r="P198" i="42"/>
  <c r="P199" i="42" s="1"/>
  <c r="BA195" i="42"/>
  <c r="N195" i="42"/>
  <c r="AY195" i="42" s="1"/>
  <c r="AG155" i="42"/>
  <c r="AS155" i="42" s="1"/>
  <c r="V162" i="42"/>
  <c r="AT157" i="42"/>
  <c r="AC157" i="42"/>
  <c r="AZ157" i="42"/>
  <c r="AP162" i="42"/>
  <c r="AA159" i="42"/>
  <c r="AT159" i="42"/>
  <c r="AC166" i="42"/>
  <c r="AX166" i="42"/>
  <c r="AT165" i="42"/>
  <c r="AA165" i="42"/>
  <c r="AC165" i="42"/>
  <c r="I167" i="42"/>
  <c r="L172" i="42"/>
  <c r="I168" i="42"/>
  <c r="AV168" i="42"/>
  <c r="Z179" i="42"/>
  <c r="AU173" i="42"/>
  <c r="AU179" i="42" s="1"/>
  <c r="O199" i="42"/>
  <c r="N200" i="42" s="1"/>
  <c r="AO199" i="42"/>
  <c r="N132" i="42"/>
  <c r="AF132" i="42"/>
  <c r="AA133" i="42"/>
  <c r="AZ133" i="42"/>
  <c r="AZ135" i="42" s="1"/>
  <c r="N138" i="42"/>
  <c r="AF138" i="42"/>
  <c r="AA139" i="42"/>
  <c r="AZ139" i="42"/>
  <c r="AA141" i="42"/>
  <c r="AG141" i="42" s="1"/>
  <c r="AS141" i="42" s="1"/>
  <c r="AZ141" i="42"/>
  <c r="AA143" i="42"/>
  <c r="AG143" i="42" s="1"/>
  <c r="AS143" i="42" s="1"/>
  <c r="AZ143" i="42"/>
  <c r="N148" i="42"/>
  <c r="AF148" i="42"/>
  <c r="AA149" i="42"/>
  <c r="AZ149" i="42"/>
  <c r="AZ153" i="42" s="1"/>
  <c r="AA151" i="42"/>
  <c r="AG151" i="42" s="1"/>
  <c r="AS151" i="42" s="1"/>
  <c r="AZ151" i="42"/>
  <c r="N156" i="42"/>
  <c r="AF156" i="42"/>
  <c r="Z162" i="42"/>
  <c r="AU157" i="42"/>
  <c r="AU162" i="42" s="1"/>
  <c r="AQ162" i="42"/>
  <c r="BA157" i="42"/>
  <c r="BA162" i="42" s="1"/>
  <c r="I158" i="42"/>
  <c r="AS158" i="42" s="1"/>
  <c r="AR159" i="42"/>
  <c r="AY159" i="42" s="1"/>
  <c r="AW163" i="42"/>
  <c r="AW166" i="42" s="1"/>
  <c r="I163" i="42"/>
  <c r="AR165" i="42"/>
  <c r="AY165" i="42" s="1"/>
  <c r="L166" i="42"/>
  <c r="AZ167" i="42"/>
  <c r="AR167" i="42"/>
  <c r="AP172" i="42"/>
  <c r="AW171" i="42"/>
  <c r="BA179" i="42"/>
  <c r="AC185" i="42"/>
  <c r="AW181" i="42"/>
  <c r="AW185" i="42" s="1"/>
  <c r="AU191" i="42"/>
  <c r="AC135" i="42"/>
  <c r="AR134" i="42"/>
  <c r="AY134" i="42" s="1"/>
  <c r="AR140" i="42"/>
  <c r="AR142" i="42"/>
  <c r="AY142" i="42" s="1"/>
  <c r="AR144" i="42"/>
  <c r="AY144" i="42" s="1"/>
  <c r="AC153" i="42"/>
  <c r="AR150" i="42"/>
  <c r="AY150" i="42" s="1"/>
  <c r="AR152" i="42"/>
  <c r="AY152" i="42" s="1"/>
  <c r="AA157" i="42"/>
  <c r="AR157" i="42"/>
  <c r="AB159" i="42"/>
  <c r="AY163" i="42"/>
  <c r="AY166" i="42" s="1"/>
  <c r="AZ163" i="42"/>
  <c r="AZ166" i="42" s="1"/>
  <c r="AP166" i="42"/>
  <c r="AR163" i="42"/>
  <c r="AS164" i="42"/>
  <c r="AB165" i="42"/>
  <c r="AV165" i="42" s="1"/>
  <c r="AV169" i="42"/>
  <c r="I169" i="42"/>
  <c r="AX179" i="42"/>
  <c r="AA175" i="42"/>
  <c r="AG175" i="42" s="1"/>
  <c r="AS175" i="42" s="1"/>
  <c r="AT175" i="42"/>
  <c r="AC175" i="42"/>
  <c r="AC179" i="42" s="1"/>
  <c r="AB175" i="42"/>
  <c r="AV175" i="42" s="1"/>
  <c r="AW182" i="42"/>
  <c r="I183" i="42"/>
  <c r="AV183" i="42"/>
  <c r="K185" i="42"/>
  <c r="AG183" i="42"/>
  <c r="AY186" i="42"/>
  <c r="AS189" i="42"/>
  <c r="AA158" i="42"/>
  <c r="AG158" i="42" s="1"/>
  <c r="AT158" i="42"/>
  <c r="AA161" i="42"/>
  <c r="AG161" i="42" s="1"/>
  <c r="AT161" i="42"/>
  <c r="AW165" i="42"/>
  <c r="N172" i="42"/>
  <c r="AZ170" i="42"/>
  <c r="AR170" i="42"/>
  <c r="AY170" i="42" s="1"/>
  <c r="Q179" i="42"/>
  <c r="I180" i="42"/>
  <c r="AX185" i="42"/>
  <c r="AY184" i="42"/>
  <c r="AZ184" i="42"/>
  <c r="AR184" i="42"/>
  <c r="AS195" i="42"/>
  <c r="AS196" i="42"/>
  <c r="U199" i="42"/>
  <c r="AW160" i="42"/>
  <c r="AT164" i="42"/>
  <c r="AA164" i="42"/>
  <c r="AG164" i="42" s="1"/>
  <c r="AY169" i="42"/>
  <c r="AT170" i="42"/>
  <c r="AB170" i="42"/>
  <c r="AV170" i="42" s="1"/>
  <c r="AA170" i="42"/>
  <c r="I171" i="42"/>
  <c r="AZ179" i="42"/>
  <c r="AA174" i="42"/>
  <c r="AG174" i="42" s="1"/>
  <c r="AB174" i="42"/>
  <c r="AV174" i="42" s="1"/>
  <c r="AT174" i="42"/>
  <c r="AA177" i="42"/>
  <c r="AB177" i="42"/>
  <c r="AV177" i="42" s="1"/>
  <c r="AT177" i="42"/>
  <c r="AS178" i="42"/>
  <c r="L185" i="42"/>
  <c r="W199" i="42"/>
  <c r="Z172" i="42"/>
  <c r="AU167" i="42"/>
  <c r="AU172" i="42" s="1"/>
  <c r="AT168" i="42"/>
  <c r="AC168" i="42"/>
  <c r="AW168" i="42" s="1"/>
  <c r="Z198" i="42"/>
  <c r="AU192" i="42"/>
  <c r="AU198" i="42" s="1"/>
  <c r="K172" i="42"/>
  <c r="BA172" i="42"/>
  <c r="AV173" i="42"/>
  <c r="AV179" i="42" s="1"/>
  <c r="AW174" i="42"/>
  <c r="AW179" i="42" s="1"/>
  <c r="I174" i="42"/>
  <c r="I179" i="42" s="1"/>
  <c r="AW177" i="42"/>
  <c r="I177" i="42"/>
  <c r="AQ185" i="42"/>
  <c r="BA180" i="42"/>
  <c r="BA185" i="42" s="1"/>
  <c r="AY181" i="42"/>
  <c r="AZ181" i="42"/>
  <c r="AR181" i="42"/>
  <c r="I182" i="42"/>
  <c r="AY183" i="42"/>
  <c r="AD199" i="42"/>
  <c r="AF200" i="42" s="1"/>
  <c r="Q191" i="42"/>
  <c r="Q199" i="42" s="1"/>
  <c r="V186" i="42"/>
  <c r="I187" i="42"/>
  <c r="I191" i="42" s="1"/>
  <c r="AV187" i="42"/>
  <c r="K191" i="42"/>
  <c r="AW194" i="42"/>
  <c r="I194" i="42"/>
  <c r="I198" i="42" s="1"/>
  <c r="M202" i="42"/>
  <c r="AB169" i="42"/>
  <c r="AG169" i="42" s="1"/>
  <c r="AR169" i="42"/>
  <c r="AR173" i="42"/>
  <c r="AB180" i="42"/>
  <c r="AG180" i="42" s="1"/>
  <c r="AR180" i="42"/>
  <c r="AR185" i="42" s="1"/>
  <c r="AB183" i="42"/>
  <c r="AR183" i="42"/>
  <c r="AZ186" i="42"/>
  <c r="AP191" i="42"/>
  <c r="AL199" i="42"/>
  <c r="AT197" i="42"/>
  <c r="AA197" i="42"/>
  <c r="AC197" i="42"/>
  <c r="AW197" i="42" s="1"/>
  <c r="AB197" i="42"/>
  <c r="AV197" i="42" s="1"/>
  <c r="P202" i="42"/>
  <c r="N201" i="42" s="1"/>
  <c r="V185" i="42"/>
  <c r="AY188" i="42"/>
  <c r="AZ190" i="42"/>
  <c r="AR190" i="42"/>
  <c r="AY190" i="42" s="1"/>
  <c r="AA192" i="42"/>
  <c r="V198" i="42"/>
  <c r="AT192" i="42"/>
  <c r="AC192" i="42"/>
  <c r="AY193" i="42"/>
  <c r="AZ193" i="42"/>
  <c r="AR193" i="42"/>
  <c r="AQ172" i="42"/>
  <c r="AW175" i="42"/>
  <c r="AW178" i="42"/>
  <c r="AA181" i="42"/>
  <c r="AA185" i="42" s="1"/>
  <c r="AA184" i="42"/>
  <c r="AP185" i="42"/>
  <c r="AT187" i="42"/>
  <c r="AC187" i="42"/>
  <c r="AW187" i="42" s="1"/>
  <c r="AX191" i="42"/>
  <c r="AT190" i="42"/>
  <c r="AA190" i="42"/>
  <c r="AC190" i="42"/>
  <c r="AB190" i="42"/>
  <c r="AV190" i="42" s="1"/>
  <c r="Z191" i="42"/>
  <c r="AB192" i="42"/>
  <c r="AA193" i="42"/>
  <c r="AT193" i="42"/>
  <c r="AC193" i="42"/>
  <c r="AB193" i="42"/>
  <c r="AV193" i="42" s="1"/>
  <c r="R199" i="42"/>
  <c r="AH199" i="42"/>
  <c r="AN199" i="42"/>
  <c r="V179" i="42"/>
  <c r="AA173" i="42"/>
  <c r="AA176" i="42"/>
  <c r="AG176" i="42" s="1"/>
  <c r="AS176" i="42" s="1"/>
  <c r="AB181" i="42"/>
  <c r="AV181" i="42" s="1"/>
  <c r="AB184" i="42"/>
  <c r="AV184" i="42" s="1"/>
  <c r="N191" i="42"/>
  <c r="AT189" i="42"/>
  <c r="AA189" i="42"/>
  <c r="AG189" i="42" s="1"/>
  <c r="BA198" i="42"/>
  <c r="AZ197" i="42"/>
  <c r="AR197" i="42"/>
  <c r="AY197" i="42" s="1"/>
  <c r="AI199" i="42"/>
  <c r="AQ191" i="42"/>
  <c r="AQ199" i="42" s="1"/>
  <c r="AT188" i="42"/>
  <c r="AA188" i="42"/>
  <c r="AG188" i="42" s="1"/>
  <c r="AS188" i="42" s="1"/>
  <c r="AA195" i="42"/>
  <c r="AG195" i="42" s="1"/>
  <c r="AE199" i="42"/>
  <c r="AK199" i="42"/>
  <c r="AW190" i="42"/>
  <c r="AA194" i="42"/>
  <c r="AG194" i="42" s="1"/>
  <c r="AT194" i="42"/>
  <c r="AW195" i="42"/>
  <c r="Y199" i="42"/>
  <c r="AW193" i="42"/>
  <c r="M199" i="42"/>
  <c r="AT196" i="42"/>
  <c r="AA196" i="42"/>
  <c r="AG196" i="42" s="1"/>
  <c r="S199" i="42"/>
  <c r="J198" i="42"/>
  <c r="J199" i="42" s="1"/>
  <c r="AC53" i="41"/>
  <c r="AW53" i="41" s="1"/>
  <c r="AT53" i="41"/>
  <c r="AB53" i="41"/>
  <c r="AV53" i="41" s="1"/>
  <c r="AA53" i="41"/>
  <c r="AY35" i="41"/>
  <c r="AC51" i="41"/>
  <c r="AT51" i="41"/>
  <c r="AB51" i="41"/>
  <c r="AA51" i="41"/>
  <c r="V58" i="41"/>
  <c r="AY30" i="41"/>
  <c r="AC54" i="41"/>
  <c r="AB54" i="41"/>
  <c r="AA54" i="41"/>
  <c r="AU151" i="41"/>
  <c r="AP16" i="41"/>
  <c r="AW32" i="41"/>
  <c r="I32" i="41"/>
  <c r="AT34" i="41"/>
  <c r="AC34" i="41"/>
  <c r="AW34" i="41" s="1"/>
  <c r="AB34" i="41"/>
  <c r="AV34" i="41" s="1"/>
  <c r="AA34" i="41"/>
  <c r="AB37" i="41"/>
  <c r="AT37" i="41"/>
  <c r="AC37" i="41"/>
  <c r="AA37" i="41"/>
  <c r="AV40" i="41"/>
  <c r="I40" i="41"/>
  <c r="V43" i="41"/>
  <c r="AX47" i="41"/>
  <c r="AX50" i="41" s="1"/>
  <c r="AZ51" i="41"/>
  <c r="AZ58" i="41" s="1"/>
  <c r="AR51" i="41"/>
  <c r="I52" i="41"/>
  <c r="AS52" i="41" s="1"/>
  <c r="AV52" i="41"/>
  <c r="AZ53" i="41"/>
  <c r="AR53" i="41"/>
  <c r="AY53" i="41" s="1"/>
  <c r="L54" i="41"/>
  <c r="AT54" i="41"/>
  <c r="J58" i="41"/>
  <c r="AB61" i="41"/>
  <c r="AC60" i="41"/>
  <c r="AW60" i="41" s="1"/>
  <c r="V61" i="41"/>
  <c r="AT60" i="41"/>
  <c r="AB60" i="41"/>
  <c r="AV60" i="41" s="1"/>
  <c r="AV61" i="41" s="1"/>
  <c r="AA60" i="41"/>
  <c r="AW66" i="41"/>
  <c r="L72" i="41"/>
  <c r="AV69" i="41"/>
  <c r="AA70" i="41"/>
  <c r="AC70" i="41"/>
  <c r="AB70" i="41"/>
  <c r="AT70" i="41"/>
  <c r="AF72" i="41"/>
  <c r="AU79" i="41"/>
  <c r="AY75" i="41"/>
  <c r="AW33" i="41"/>
  <c r="AT48" i="41"/>
  <c r="AC48" i="41"/>
  <c r="AW48" i="41" s="1"/>
  <c r="AB48" i="41"/>
  <c r="AA48" i="41"/>
  <c r="AZ62" i="41"/>
  <c r="AP65" i="41"/>
  <c r="AR62" i="41"/>
  <c r="Z97" i="41"/>
  <c r="AU94" i="41"/>
  <c r="AU97" i="41" s="1"/>
  <c r="AP152" i="41"/>
  <c r="AZ19" i="41"/>
  <c r="AR19" i="41"/>
  <c r="AD146" i="41"/>
  <c r="AD144" i="41" s="1"/>
  <c r="AF143" i="41" s="1"/>
  <c r="AF23" i="41"/>
  <c r="AX23" i="41" s="1"/>
  <c r="K145" i="41"/>
  <c r="K16" i="41"/>
  <c r="AC13" i="41"/>
  <c r="AW13" i="41" s="1"/>
  <c r="AB13" i="41"/>
  <c r="AV13" i="41" s="1"/>
  <c r="AT13" i="41"/>
  <c r="R141" i="41"/>
  <c r="Y141" i="41"/>
  <c r="AK141" i="41"/>
  <c r="AQ146" i="41"/>
  <c r="BA17" i="41"/>
  <c r="AQ21" i="41"/>
  <c r="AQ152" i="41"/>
  <c r="BA19" i="41"/>
  <c r="N27" i="41"/>
  <c r="AW23" i="41"/>
  <c r="AW25" i="41"/>
  <c r="I25" i="41"/>
  <c r="I153" i="41"/>
  <c r="AG30" i="41"/>
  <c r="AV31" i="41"/>
  <c r="AZ33" i="41"/>
  <c r="AR33" i="41"/>
  <c r="AR36" i="41" s="1"/>
  <c r="Z43" i="41"/>
  <c r="AU37" i="41"/>
  <c r="AU43" i="41" s="1"/>
  <c r="AJ146" i="41"/>
  <c r="AJ144" i="41" s="1"/>
  <c r="AP39" i="41"/>
  <c r="L43" i="41"/>
  <c r="AB41" i="41"/>
  <c r="AA41" i="41"/>
  <c r="AG41" i="41" s="1"/>
  <c r="K50" i="41"/>
  <c r="AC45" i="41"/>
  <c r="AW45" i="41" s="1"/>
  <c r="AT45" i="41"/>
  <c r="AT50" i="41" s="1"/>
  <c r="AB45" i="41"/>
  <c r="AV45" i="41" s="1"/>
  <c r="AA45" i="41"/>
  <c r="AG45" i="41" s="1"/>
  <c r="AS45" i="41" s="1"/>
  <c r="N47" i="41"/>
  <c r="P50" i="41"/>
  <c r="K54" i="41"/>
  <c r="AV54" i="41" s="1"/>
  <c r="AT57" i="41"/>
  <c r="AC57" i="41"/>
  <c r="AW57" i="41" s="1"/>
  <c r="AB57" i="41"/>
  <c r="AV57" i="41" s="1"/>
  <c r="AA57" i="41"/>
  <c r="L61" i="41"/>
  <c r="I59" i="41"/>
  <c r="AW59" i="41"/>
  <c r="AX59" i="41"/>
  <c r="AX61" i="41" s="1"/>
  <c r="AF61" i="41"/>
  <c r="AR63" i="41"/>
  <c r="AT74" i="41"/>
  <c r="AC74" i="41"/>
  <c r="AW74" i="41" s="1"/>
  <c r="AB74" i="41"/>
  <c r="AV74" i="41" s="1"/>
  <c r="AA74" i="41"/>
  <c r="AZ75" i="41"/>
  <c r="AR75" i="41"/>
  <c r="Z79" i="41"/>
  <c r="AW81" i="41"/>
  <c r="I81" i="41"/>
  <c r="AR85" i="41"/>
  <c r="AR87" i="41" s="1"/>
  <c r="BA85" i="41"/>
  <c r="BA86" i="41"/>
  <c r="BA87" i="41" s="1"/>
  <c r="AR86" i="41"/>
  <c r="Z145" i="41"/>
  <c r="AU12" i="41"/>
  <c r="Z16" i="41"/>
  <c r="AW26" i="41"/>
  <c r="I26" i="41"/>
  <c r="I76" i="41"/>
  <c r="I79" i="41" s="1"/>
  <c r="AV76" i="41"/>
  <c r="AY13" i="41"/>
  <c r="AZ18" i="41"/>
  <c r="AR18" i="41"/>
  <c r="AY18" i="41" s="1"/>
  <c r="AR27" i="41"/>
  <c r="AU153" i="41"/>
  <c r="AU29" i="41"/>
  <c r="AF145" i="41"/>
  <c r="AF16" i="41"/>
  <c r="AX12" i="41"/>
  <c r="AY14" i="41"/>
  <c r="J151" i="41"/>
  <c r="J16" i="41"/>
  <c r="L15" i="41"/>
  <c r="K15" i="41"/>
  <c r="S141" i="41"/>
  <c r="AD141" i="41"/>
  <c r="AF142" i="41" s="1"/>
  <c r="AT18" i="41"/>
  <c r="AC18" i="41"/>
  <c r="AW18" i="41" s="1"/>
  <c r="AB18" i="41"/>
  <c r="AV18" i="41" s="1"/>
  <c r="AT20" i="41"/>
  <c r="AC20" i="41"/>
  <c r="AW20" i="41" s="1"/>
  <c r="AB20" i="41"/>
  <c r="AV20" i="41"/>
  <c r="V27" i="41"/>
  <c r="AB22" i="41"/>
  <c r="AA22" i="41"/>
  <c r="AG26" i="41"/>
  <c r="Q27" i="41"/>
  <c r="Z29" i="41"/>
  <c r="L148" i="41"/>
  <c r="AW31" i="41"/>
  <c r="I31" i="41"/>
  <c r="R146" i="41"/>
  <c r="R144" i="41" s="1"/>
  <c r="R43" i="41"/>
  <c r="AT41" i="41"/>
  <c r="Q43" i="41"/>
  <c r="I44" i="41"/>
  <c r="AW44" i="41"/>
  <c r="AB47" i="41"/>
  <c r="AV47" i="41" s="1"/>
  <c r="AA47" i="41"/>
  <c r="AR55" i="41"/>
  <c r="AY55" i="41" s="1"/>
  <c r="AP58" i="41"/>
  <c r="AT62" i="41"/>
  <c r="AC62" i="41"/>
  <c r="V65" i="41"/>
  <c r="AB62" i="41"/>
  <c r="AB65" i="41" s="1"/>
  <c r="AA62" i="41"/>
  <c r="BA62" i="41"/>
  <c r="BA65" i="41" s="1"/>
  <c r="AT63" i="41"/>
  <c r="AC63" i="41"/>
  <c r="AW63" i="41" s="1"/>
  <c r="AB63" i="41"/>
  <c r="AV63" i="41" s="1"/>
  <c r="AA63" i="41"/>
  <c r="Z65" i="41"/>
  <c r="AG71" i="41"/>
  <c r="AA77" i="41"/>
  <c r="AG77" i="41" s="1"/>
  <c r="AS77" i="41" s="1"/>
  <c r="AT84" i="41"/>
  <c r="AC84" i="41"/>
  <c r="V87" i="41"/>
  <c r="AB84" i="41"/>
  <c r="AA84" i="41"/>
  <c r="Q151" i="41"/>
  <c r="V15" i="41"/>
  <c r="K146" i="41"/>
  <c r="K21" i="41"/>
  <c r="AX21" i="41"/>
  <c r="AV22" i="41"/>
  <c r="L36" i="41"/>
  <c r="L58" i="41"/>
  <c r="AG78" i="41"/>
  <c r="X141" i="41"/>
  <c r="AP146" i="41"/>
  <c r="AZ17" i="41"/>
  <c r="AP21" i="41"/>
  <c r="AR17" i="41"/>
  <c r="AZ20" i="41"/>
  <c r="AR20" i="41"/>
  <c r="AY20" i="41" s="1"/>
  <c r="AV23" i="41"/>
  <c r="V153" i="41"/>
  <c r="AT28" i="41"/>
  <c r="AC28" i="41"/>
  <c r="AB28" i="41"/>
  <c r="V29" i="41"/>
  <c r="AA28" i="41"/>
  <c r="N145" i="41"/>
  <c r="AP145" i="41"/>
  <c r="AR12" i="41"/>
  <c r="AY12" i="41" s="1"/>
  <c r="AG13" i="41"/>
  <c r="AS13" i="41" s="1"/>
  <c r="AC14" i="41"/>
  <c r="AW14" i="41" s="1"/>
  <c r="AB14" i="41"/>
  <c r="AV14" i="41" s="1"/>
  <c r="AT14" i="41"/>
  <c r="M151" i="41"/>
  <c r="M144" i="41" s="1"/>
  <c r="AX15" i="41"/>
  <c r="AF151" i="41"/>
  <c r="Z146" i="41"/>
  <c r="Z21" i="41"/>
  <c r="AU17" i="41"/>
  <c r="Z152" i="41"/>
  <c r="AU19" i="41"/>
  <c r="AU152" i="41" s="1"/>
  <c r="AB23" i="41"/>
  <c r="AA23" i="41"/>
  <c r="AT23" i="41"/>
  <c r="AT27" i="41" s="1"/>
  <c r="AW24" i="41"/>
  <c r="AW27" i="41" s="1"/>
  <c r="I24" i="41"/>
  <c r="AS24" i="41" s="1"/>
  <c r="BA153" i="41"/>
  <c r="BA29" i="41"/>
  <c r="AV30" i="41"/>
  <c r="AV36" i="41" s="1"/>
  <c r="AB36" i="41"/>
  <c r="AY31" i="41"/>
  <c r="AG32" i="41"/>
  <c r="AC33" i="41"/>
  <c r="AB33" i="41"/>
  <c r="AA33" i="41"/>
  <c r="AG33" i="41" s="1"/>
  <c r="J152" i="41"/>
  <c r="K35" i="41"/>
  <c r="AV35" i="41" s="1"/>
  <c r="I35" i="41"/>
  <c r="J36" i="41"/>
  <c r="AT35" i="41"/>
  <c r="AG35" i="41"/>
  <c r="AR37" i="41"/>
  <c r="AZ37" i="41"/>
  <c r="AA39" i="41"/>
  <c r="AT39" i="41"/>
  <c r="AC39" i="41"/>
  <c r="AW39" i="41" s="1"/>
  <c r="AB39" i="41"/>
  <c r="AC41" i="41"/>
  <c r="AW41" i="41" s="1"/>
  <c r="AJ43" i="41"/>
  <c r="AJ141" i="41" s="1"/>
  <c r="AP43" i="41"/>
  <c r="I46" i="41"/>
  <c r="AS46" i="41" s="1"/>
  <c r="AW46" i="41"/>
  <c r="L50" i="41"/>
  <c r="AF50" i="41"/>
  <c r="AV55" i="41"/>
  <c r="I55" i="41"/>
  <c r="AG55" i="41"/>
  <c r="AQ58" i="41"/>
  <c r="AZ60" i="41"/>
  <c r="AZ151" i="41" s="1"/>
  <c r="AR60" i="41"/>
  <c r="I65" i="41"/>
  <c r="BA72" i="41"/>
  <c r="AA69" i="41"/>
  <c r="AG69" i="41" s="1"/>
  <c r="AT69" i="41"/>
  <c r="AC69" i="41"/>
  <c r="AC72" i="41" s="1"/>
  <c r="AC90" i="41"/>
  <c r="AW90" i="41" s="1"/>
  <c r="AB90" i="41"/>
  <c r="AV90" i="41" s="1"/>
  <c r="AA90" i="41"/>
  <c r="AT90" i="41"/>
  <c r="AX22" i="41"/>
  <c r="AF27" i="41"/>
  <c r="AW67" i="41"/>
  <c r="I67" i="41"/>
  <c r="AV78" i="41"/>
  <c r="I78" i="41"/>
  <c r="Q101" i="41"/>
  <c r="V98" i="41"/>
  <c r="Q145" i="41"/>
  <c r="Q16" i="41"/>
  <c r="V12" i="41"/>
  <c r="AQ145" i="41"/>
  <c r="BA12" i="41"/>
  <c r="AZ13" i="41"/>
  <c r="P151" i="41"/>
  <c r="N15" i="41"/>
  <c r="N16" i="41" s="1"/>
  <c r="P16" i="41"/>
  <c r="P141" i="41" s="1"/>
  <c r="BA15" i="41"/>
  <c r="I17" i="41"/>
  <c r="AG18" i="41"/>
  <c r="AS18" i="41" s="1"/>
  <c r="I19" i="41"/>
  <c r="AG20" i="41"/>
  <c r="AS20" i="41" s="1"/>
  <c r="AY22" i="41"/>
  <c r="AY27" i="41" s="1"/>
  <c r="AG25" i="41"/>
  <c r="L27" i="41"/>
  <c r="AC27" i="41"/>
  <c r="AP153" i="41"/>
  <c r="AZ28" i="41"/>
  <c r="AP29" i="41"/>
  <c r="AR28" i="41"/>
  <c r="AW30" i="41"/>
  <c r="I30" i="41"/>
  <c r="AX36" i="41"/>
  <c r="I33" i="41"/>
  <c r="AS33" i="41" s="1"/>
  <c r="AV33" i="41"/>
  <c r="AR34" i="41"/>
  <c r="AY34" i="41" s="1"/>
  <c r="AZ34" i="41"/>
  <c r="N43" i="41"/>
  <c r="BA43" i="41"/>
  <c r="AY38" i="41"/>
  <c r="AT42" i="41"/>
  <c r="AC42" i="41"/>
  <c r="AW42" i="41" s="1"/>
  <c r="AB42" i="41"/>
  <c r="AA42" i="41"/>
  <c r="K43" i="41"/>
  <c r="AQ43" i="41"/>
  <c r="AQ50" i="41"/>
  <c r="AZ45" i="41"/>
  <c r="AZ50" i="41" s="1"/>
  <c r="AR45" i="41"/>
  <c r="AV49" i="41"/>
  <c r="I49" i="41"/>
  <c r="AG49" i="41"/>
  <c r="AW55" i="41"/>
  <c r="AB56" i="41"/>
  <c r="AA56" i="41"/>
  <c r="AG56" i="41" s="1"/>
  <c r="AC61" i="41"/>
  <c r="AT61" i="41"/>
  <c r="AZ73" i="41"/>
  <c r="AP79" i="41"/>
  <c r="AR73" i="41"/>
  <c r="AT94" i="41"/>
  <c r="AC94" i="41"/>
  <c r="AB94" i="41"/>
  <c r="AA94" i="41"/>
  <c r="L145" i="41"/>
  <c r="T141" i="41"/>
  <c r="M21" i="47" s="1"/>
  <c r="AL141" i="41"/>
  <c r="L146" i="41"/>
  <c r="L152" i="41"/>
  <c r="AU22" i="41"/>
  <c r="AU27" i="41" s="1"/>
  <c r="BA22" i="41"/>
  <c r="BA27" i="41" s="1"/>
  <c r="AT24" i="41"/>
  <c r="AT25" i="41"/>
  <c r="AT26" i="41"/>
  <c r="AW28" i="41"/>
  <c r="AF36" i="41"/>
  <c r="AT30" i="41"/>
  <c r="AT36" i="41" s="1"/>
  <c r="AZ30" i="41"/>
  <c r="AZ36" i="41" s="1"/>
  <c r="AF148" i="41"/>
  <c r="AT32" i="41"/>
  <c r="AV39" i="41"/>
  <c r="AC40" i="41"/>
  <c r="AW40" i="41" s="1"/>
  <c r="AV42" i="41"/>
  <c r="I42" i="41"/>
  <c r="AV44" i="41"/>
  <c r="AV48" i="41"/>
  <c r="I48" i="41"/>
  <c r="AC49" i="41"/>
  <c r="AW49" i="41" s="1"/>
  <c r="AY52" i="41"/>
  <c r="AC55" i="41"/>
  <c r="I57" i="41"/>
  <c r="AV62" i="41"/>
  <c r="AW68" i="41"/>
  <c r="I68" i="41"/>
  <c r="AS68" i="41" s="1"/>
  <c r="AT68" i="41"/>
  <c r="AT148" i="41" s="1"/>
  <c r="AW69" i="41"/>
  <c r="I69" i="41"/>
  <c r="AW71" i="41"/>
  <c r="I71" i="41"/>
  <c r="AS71" i="41" s="1"/>
  <c r="AT71" i="41"/>
  <c r="AT73" i="41"/>
  <c r="AC73" i="41"/>
  <c r="AB73" i="41"/>
  <c r="AQ79" i="41"/>
  <c r="AT75" i="41"/>
  <c r="AC75" i="41"/>
  <c r="AW75" i="41" s="1"/>
  <c r="AA75" i="41"/>
  <c r="V79" i="41"/>
  <c r="AT85" i="41"/>
  <c r="AC85" i="41"/>
  <c r="AW85" i="41" s="1"/>
  <c r="AB85" i="41"/>
  <c r="AV85" i="41" s="1"/>
  <c r="AA85" i="41"/>
  <c r="AT96" i="41"/>
  <c r="AC96" i="41"/>
  <c r="AW96" i="41" s="1"/>
  <c r="AB96" i="41"/>
  <c r="AV96" i="41" s="1"/>
  <c r="AA96" i="41"/>
  <c r="AU101" i="41"/>
  <c r="AC105" i="41"/>
  <c r="AA105" i="41"/>
  <c r="AT105" i="41"/>
  <c r="AB105" i="41"/>
  <c r="Z151" i="41"/>
  <c r="AP151" i="41"/>
  <c r="O141" i="41"/>
  <c r="U141" i="41"/>
  <c r="AM141" i="41"/>
  <c r="AF21" i="47" s="1"/>
  <c r="N146" i="41"/>
  <c r="AY17" i="41"/>
  <c r="N152" i="41"/>
  <c r="AY19" i="41"/>
  <c r="I22" i="41"/>
  <c r="I23" i="41"/>
  <c r="AX153" i="41"/>
  <c r="V148" i="41"/>
  <c r="BA148" i="41"/>
  <c r="N33" i="41"/>
  <c r="N36" i="41" s="1"/>
  <c r="V36" i="41"/>
  <c r="AR38" i="41"/>
  <c r="AF43" i="41"/>
  <c r="N54" i="41"/>
  <c r="AP61" i="41"/>
  <c r="V72" i="41"/>
  <c r="AA66" i="41"/>
  <c r="AT66" i="41"/>
  <c r="AY72" i="41"/>
  <c r="AY71" i="41"/>
  <c r="AY76" i="41"/>
  <c r="AY77" i="41"/>
  <c r="I80" i="41"/>
  <c r="AF83" i="41"/>
  <c r="AX80" i="41"/>
  <c r="AX83" i="41" s="1"/>
  <c r="AA82" i="41"/>
  <c r="AC82" i="41"/>
  <c r="AB82" i="41"/>
  <c r="AV82" i="41" s="1"/>
  <c r="AT82" i="41"/>
  <c r="L87" i="41"/>
  <c r="AW84" i="41"/>
  <c r="AW87" i="41" s="1"/>
  <c r="AC106" i="41"/>
  <c r="AB106" i="41"/>
  <c r="AV106" i="41" s="1"/>
  <c r="AT106" i="41"/>
  <c r="AA106" i="41"/>
  <c r="AB118" i="41"/>
  <c r="AA118" i="41"/>
  <c r="AT118" i="41"/>
  <c r="AC118" i="41"/>
  <c r="I140" i="41"/>
  <c r="AU134" i="41"/>
  <c r="AU140" i="41" s="1"/>
  <c r="Z140" i="41"/>
  <c r="AQ151" i="41"/>
  <c r="AH141" i="41"/>
  <c r="AN141" i="41"/>
  <c r="Q146" i="41"/>
  <c r="AF146" i="41"/>
  <c r="Q152" i="41"/>
  <c r="AF152" i="41"/>
  <c r="Z36" i="41"/>
  <c r="Z148" i="41"/>
  <c r="AP148" i="41"/>
  <c r="P152" i="41"/>
  <c r="BA35" i="41"/>
  <c r="BA36" i="41" s="1"/>
  <c r="AV41" i="41"/>
  <c r="I41" i="41"/>
  <c r="AY45" i="41"/>
  <c r="V50" i="41"/>
  <c r="AP50" i="41"/>
  <c r="AV56" i="41"/>
  <c r="I56" i="41"/>
  <c r="AS56" i="41" s="1"/>
  <c r="AY60" i="41"/>
  <c r="AY63" i="41"/>
  <c r="AZ64" i="41"/>
  <c r="AR64" i="41"/>
  <c r="AY64" i="41" s="1"/>
  <c r="AZ72" i="41"/>
  <c r="AA67" i="41"/>
  <c r="AG67" i="41" s="1"/>
  <c r="AB67" i="41"/>
  <c r="AV73" i="41"/>
  <c r="AV79" i="41" s="1"/>
  <c r="K79" i="41"/>
  <c r="AY74" i="41"/>
  <c r="AZ74" i="41"/>
  <c r="AZ148" i="41" s="1"/>
  <c r="AR74" i="41"/>
  <c r="AR148" i="41" s="1"/>
  <c r="AT78" i="41"/>
  <c r="AC78" i="41"/>
  <c r="AW78" i="41" s="1"/>
  <c r="AY80" i="41"/>
  <c r="AY83" i="41" s="1"/>
  <c r="N83" i="41"/>
  <c r="AA81" i="41"/>
  <c r="AG81" i="41" s="1"/>
  <c r="AT81" i="41"/>
  <c r="AV86" i="41"/>
  <c r="I86" i="41"/>
  <c r="AG86" i="41"/>
  <c r="AW88" i="41"/>
  <c r="AW93" i="41" s="1"/>
  <c r="I88" i="41"/>
  <c r="AT95" i="41"/>
  <c r="AC95" i="41"/>
  <c r="AW95" i="41" s="1"/>
  <c r="AB95" i="41"/>
  <c r="AV95" i="41" s="1"/>
  <c r="AA95" i="41"/>
  <c r="AG95" i="41" s="1"/>
  <c r="AS95" i="41" s="1"/>
  <c r="AZ115" i="41"/>
  <c r="AR115" i="41"/>
  <c r="AR15" i="41"/>
  <c r="W141" i="41"/>
  <c r="AI141" i="41"/>
  <c r="AO141" i="41"/>
  <c r="V17" i="41"/>
  <c r="V19" i="41"/>
  <c r="N21" i="41"/>
  <c r="AF21" i="41"/>
  <c r="AA31" i="41"/>
  <c r="AA38" i="41"/>
  <c r="AG38" i="41" s="1"/>
  <c r="AS38" i="41" s="1"/>
  <c r="AZ38" i="41"/>
  <c r="AA44" i="41"/>
  <c r="AR44" i="41"/>
  <c r="AY44" i="41" s="1"/>
  <c r="AA46" i="41"/>
  <c r="AG46" i="41" s="1"/>
  <c r="AR46" i="41"/>
  <c r="AY46" i="41" s="1"/>
  <c r="AY51" i="41"/>
  <c r="AA59" i="41"/>
  <c r="AR59" i="41"/>
  <c r="AR61" i="41" s="1"/>
  <c r="AZ59" i="41"/>
  <c r="AX65" i="41"/>
  <c r="AT64" i="41"/>
  <c r="AC64" i="41"/>
  <c r="AW64" i="41" s="1"/>
  <c r="AA64" i="41"/>
  <c r="AV66" i="41"/>
  <c r="AB66" i="41"/>
  <c r="AR78" i="41"/>
  <c r="AY78" i="41" s="1"/>
  <c r="Q83" i="41"/>
  <c r="V80" i="41"/>
  <c r="BA83" i="41"/>
  <c r="L83" i="41"/>
  <c r="AY93" i="41"/>
  <c r="AX88" i="41"/>
  <c r="AX93" i="41" s="1"/>
  <c r="AC89" i="41"/>
  <c r="AW89" i="41" s="1"/>
  <c r="AA89" i="41"/>
  <c r="AT89" i="41"/>
  <c r="AB89" i="41"/>
  <c r="AV89" i="41" s="1"/>
  <c r="AB92" i="41"/>
  <c r="AA92" i="41"/>
  <c r="AC92" i="41"/>
  <c r="AW92" i="41" s="1"/>
  <c r="AT92" i="41"/>
  <c r="AU100" i="41"/>
  <c r="AA100" i="41"/>
  <c r="AG100" i="41" s="1"/>
  <c r="AS100" i="41" s="1"/>
  <c r="AY115" i="41"/>
  <c r="AY62" i="41"/>
  <c r="AV67" i="41"/>
  <c r="AV70" i="41"/>
  <c r="L79" i="41"/>
  <c r="AT76" i="41"/>
  <c r="AC76" i="41"/>
  <c r="AQ87" i="41"/>
  <c r="I85" i="41"/>
  <c r="Q93" i="41"/>
  <c r="AZ93" i="41"/>
  <c r="I94" i="41"/>
  <c r="BA109" i="41"/>
  <c r="AR103" i="41"/>
  <c r="AY103" i="41" s="1"/>
  <c r="AW105" i="41"/>
  <c r="AV107" i="41"/>
  <c r="AJ109" i="41"/>
  <c r="AP109" i="41"/>
  <c r="AY111" i="41"/>
  <c r="I113" i="41"/>
  <c r="AV113" i="41"/>
  <c r="AG114" i="41"/>
  <c r="AX117" i="41"/>
  <c r="AX124" i="41" s="1"/>
  <c r="AF124" i="41"/>
  <c r="AC120" i="41"/>
  <c r="AB120" i="41"/>
  <c r="AA120" i="41"/>
  <c r="AV123" i="41"/>
  <c r="AU127" i="41"/>
  <c r="AA127" i="41"/>
  <c r="AW70" i="41"/>
  <c r="I70" i="41"/>
  <c r="AY73" i="41"/>
  <c r="AY79" i="41" s="1"/>
  <c r="AT77" i="41"/>
  <c r="AC77" i="41"/>
  <c r="AW77" i="41" s="1"/>
  <c r="AW82" i="41"/>
  <c r="I82" i="41"/>
  <c r="AV84" i="41"/>
  <c r="I84" i="41"/>
  <c r="AY86" i="41"/>
  <c r="AY87" i="41" s="1"/>
  <c r="AC88" i="41"/>
  <c r="V93" i="41"/>
  <c r="AA88" i="41"/>
  <c r="AV100" i="41"/>
  <c r="AQ109" i="41"/>
  <c r="AU110" i="41"/>
  <c r="AU116" i="41" s="1"/>
  <c r="AZ111" i="41"/>
  <c r="AR111" i="41"/>
  <c r="AY85" i="41"/>
  <c r="AR93" i="41"/>
  <c r="I90" i="41"/>
  <c r="AC91" i="41"/>
  <c r="AW91" i="41" s="1"/>
  <c r="AB91" i="41"/>
  <c r="AV91" i="41" s="1"/>
  <c r="AA91" i="41"/>
  <c r="AZ94" i="41"/>
  <c r="AP97" i="41"/>
  <c r="AR94" i="41"/>
  <c r="AZ95" i="41"/>
  <c r="AR95" i="41"/>
  <c r="AY95" i="41" s="1"/>
  <c r="AZ96" i="41"/>
  <c r="AR96" i="41"/>
  <c r="AS114" i="41"/>
  <c r="I116" i="41"/>
  <c r="AB129" i="41"/>
  <c r="AB133" i="41" s="1"/>
  <c r="AA129" i="41"/>
  <c r="V133" i="41"/>
  <c r="AT129" i="41"/>
  <c r="AC129" i="41"/>
  <c r="AC133" i="41" s="1"/>
  <c r="AT86" i="41"/>
  <c r="AC86" i="41"/>
  <c r="AW86" i="41" s="1"/>
  <c r="AV88" i="41"/>
  <c r="AV93" i="41" s="1"/>
  <c r="AT93" i="41"/>
  <c r="I89" i="41"/>
  <c r="AT91" i="41"/>
  <c r="AY94" i="41"/>
  <c r="BA94" i="41"/>
  <c r="BA97" i="41" s="1"/>
  <c r="AQ97" i="41"/>
  <c r="AY96" i="41"/>
  <c r="AP101" i="41"/>
  <c r="AZ98" i="41"/>
  <c r="AZ101" i="41" s="1"/>
  <c r="AR98" i="41"/>
  <c r="I99" i="41"/>
  <c r="AV99" i="41"/>
  <c r="K101" i="41"/>
  <c r="AG99" i="41"/>
  <c r="AA104" i="41"/>
  <c r="AG104" i="41" s="1"/>
  <c r="AS104" i="41" s="1"/>
  <c r="AT104" i="41"/>
  <c r="AC104" i="41"/>
  <c r="AW104" i="41" s="1"/>
  <c r="AB104" i="41"/>
  <c r="AR106" i="41"/>
  <c r="AY106" i="41" s="1"/>
  <c r="AA107" i="41"/>
  <c r="AC107" i="41"/>
  <c r="AW107" i="41" s="1"/>
  <c r="AW108" i="41"/>
  <c r="AW154" i="41" s="1"/>
  <c r="L154" i="41"/>
  <c r="AR120" i="41"/>
  <c r="AZ120" i="41"/>
  <c r="AB134" i="41"/>
  <c r="V140" i="41"/>
  <c r="AA134" i="41"/>
  <c r="AT134" i="41"/>
  <c r="AC134" i="41"/>
  <c r="AB135" i="41"/>
  <c r="AV135" i="41" s="1"/>
  <c r="AA135" i="41"/>
  <c r="AT135" i="41"/>
  <c r="AC135" i="41"/>
  <c r="I66" i="41"/>
  <c r="AP87" i="41"/>
  <c r="I91" i="41"/>
  <c r="I92" i="41"/>
  <c r="BA92" i="41"/>
  <c r="BA93" i="41" s="1"/>
  <c r="N93" i="41"/>
  <c r="AX94" i="41"/>
  <c r="AX97" i="41" s="1"/>
  <c r="Q97" i="41"/>
  <c r="Z101" i="41"/>
  <c r="AX98" i="41"/>
  <c r="AX101" i="41" s="1"/>
  <c r="AY99" i="41"/>
  <c r="AB100" i="41"/>
  <c r="Q109" i="41"/>
  <c r="V102" i="41"/>
  <c r="AB103" i="41"/>
  <c r="AV103" i="41" s="1"/>
  <c r="AT103" i="41"/>
  <c r="AC103" i="41"/>
  <c r="AW103" i="41" s="1"/>
  <c r="N154" i="41"/>
  <c r="AY108" i="41"/>
  <c r="AY154" i="41" s="1"/>
  <c r="L116" i="41"/>
  <c r="AX116" i="41"/>
  <c r="AT111" i="41"/>
  <c r="AC111" i="41"/>
  <c r="AW111" i="41" s="1"/>
  <c r="AB111" i="41"/>
  <c r="I112" i="41"/>
  <c r="AU112" i="41"/>
  <c r="AW113" i="41"/>
  <c r="N124" i="41"/>
  <c r="AA119" i="41"/>
  <c r="AT119" i="41"/>
  <c r="AC119" i="41"/>
  <c r="AW119" i="41" s="1"/>
  <c r="AB119" i="41"/>
  <c r="AV119" i="41" s="1"/>
  <c r="BA119" i="41"/>
  <c r="BA124" i="41" s="1"/>
  <c r="AR119" i="41"/>
  <c r="AV122" i="41"/>
  <c r="AW130" i="41"/>
  <c r="I131" i="41"/>
  <c r="AS131" i="41" s="1"/>
  <c r="K133" i="41"/>
  <c r="AV131" i="41"/>
  <c r="AV92" i="41"/>
  <c r="I106" i="41"/>
  <c r="AY107" i="41"/>
  <c r="AX108" i="41"/>
  <c r="AX154" i="41" s="1"/>
  <c r="AY113" i="41"/>
  <c r="BA114" i="41"/>
  <c r="BA116" i="41" s="1"/>
  <c r="AT115" i="41"/>
  <c r="AC115" i="41"/>
  <c r="AW115" i="41" s="1"/>
  <c r="AB115" i="41"/>
  <c r="AV115" i="41" s="1"/>
  <c r="K116" i="41"/>
  <c r="Q124" i="41"/>
  <c r="AC121" i="41"/>
  <c r="AB121" i="41"/>
  <c r="AV121" i="41" s="1"/>
  <c r="AA121" i="41"/>
  <c r="AW122" i="41"/>
  <c r="AB123" i="41"/>
  <c r="AA123" i="41"/>
  <c r="I125" i="41"/>
  <c r="Z128" i="41"/>
  <c r="AU125" i="41"/>
  <c r="AR128" i="41"/>
  <c r="AY126" i="41"/>
  <c r="AZ126" i="41"/>
  <c r="AR126" i="41"/>
  <c r="AF133" i="41"/>
  <c r="AX129" i="41"/>
  <c r="AR135" i="41"/>
  <c r="AZ135" i="41"/>
  <c r="AZ140" i="41" s="1"/>
  <c r="Z143" i="41"/>
  <c r="L101" i="41"/>
  <c r="AY100" i="41"/>
  <c r="AU109" i="41"/>
  <c r="AW106" i="41"/>
  <c r="V154" i="41"/>
  <c r="AA108" i="41"/>
  <c r="AZ110" i="41"/>
  <c r="AP116" i="41"/>
  <c r="AR110" i="41"/>
  <c r="AB117" i="41"/>
  <c r="V124" i="41"/>
  <c r="AA117" i="41"/>
  <c r="AC117" i="41"/>
  <c r="AC124" i="41" s="1"/>
  <c r="AT117" i="41"/>
  <c r="AT124" i="41" s="1"/>
  <c r="AW118" i="41"/>
  <c r="AV125" i="41"/>
  <c r="AV128" i="41" s="1"/>
  <c r="AW129" i="41"/>
  <c r="AW133" i="41" s="1"/>
  <c r="AT130" i="41"/>
  <c r="AB130" i="41"/>
  <c r="AV130" i="41" s="1"/>
  <c r="AA130" i="41"/>
  <c r="K109" i="41"/>
  <c r="AX102" i="41"/>
  <c r="AX109" i="41" s="1"/>
  <c r="AF109" i="41"/>
  <c r="AT110" i="41"/>
  <c r="AC110" i="41"/>
  <c r="AA110" i="41"/>
  <c r="AQ116" i="41"/>
  <c r="AV111" i="41"/>
  <c r="AY112" i="41"/>
  <c r="AT113" i="41"/>
  <c r="AC113" i="41"/>
  <c r="AG113" i="41" s="1"/>
  <c r="AV114" i="41"/>
  <c r="AA115" i="41"/>
  <c r="I120" i="41"/>
  <c r="J124" i="41"/>
  <c r="L120" i="41"/>
  <c r="K120" i="41"/>
  <c r="AB122" i="41"/>
  <c r="AA122" i="41"/>
  <c r="AB128" i="41"/>
  <c r="AW125" i="41"/>
  <c r="AW128" i="41" s="1"/>
  <c r="AY135" i="41"/>
  <c r="N140" i="41"/>
  <c r="AR102" i="41"/>
  <c r="AV105" i="41"/>
  <c r="I105" i="41"/>
  <c r="AT112" i="41"/>
  <c r="AC112" i="41"/>
  <c r="AG112" i="41" s="1"/>
  <c r="AY114" i="41"/>
  <c r="AV117" i="41"/>
  <c r="AV118" i="41"/>
  <c r="AW121" i="41"/>
  <c r="AZ121" i="41"/>
  <c r="AZ124" i="41" s="1"/>
  <c r="AY125" i="41"/>
  <c r="AX128" i="41"/>
  <c r="AU133" i="41"/>
  <c r="I132" i="41"/>
  <c r="AS132" i="41" s="1"/>
  <c r="AG132" i="41"/>
  <c r="AM144" i="41"/>
  <c r="AP143" i="41" s="1"/>
  <c r="AZ125" i="41"/>
  <c r="AP128" i="41"/>
  <c r="AR136" i="41"/>
  <c r="AY136" i="41" s="1"/>
  <c r="AY140" i="41" s="1"/>
  <c r="AZ136" i="41"/>
  <c r="O144" i="41"/>
  <c r="AZ109" i="41"/>
  <c r="AV104" i="41"/>
  <c r="AT114" i="41"/>
  <c r="AC114" i="41"/>
  <c r="AW114" i="41" s="1"/>
  <c r="AU124" i="41"/>
  <c r="BA125" i="41"/>
  <c r="BA128" i="41" s="1"/>
  <c r="AQ128" i="41"/>
  <c r="AA126" i="41"/>
  <c r="AA128" i="41" s="1"/>
  <c r="AY127" i="41"/>
  <c r="AG131" i="41"/>
  <c r="AX140" i="41"/>
  <c r="AW138" i="41"/>
  <c r="Q140" i="41"/>
  <c r="AB136" i="41"/>
  <c r="AV136" i="41" s="1"/>
  <c r="AA136" i="41"/>
  <c r="AT136" i="41"/>
  <c r="AC136" i="41"/>
  <c r="AW136" i="41" s="1"/>
  <c r="I107" i="41"/>
  <c r="I108" i="41"/>
  <c r="AV108" i="41"/>
  <c r="AV154" i="41" s="1"/>
  <c r="I117" i="41"/>
  <c r="I118" i="41"/>
  <c r="I123" i="41"/>
  <c r="AC125" i="41"/>
  <c r="AC126" i="41"/>
  <c r="AW126" i="41" s="1"/>
  <c r="AC127" i="41"/>
  <c r="AW127" i="41" s="1"/>
  <c r="I129" i="41"/>
  <c r="Z133" i="41"/>
  <c r="L133" i="41"/>
  <c r="AF140" i="41"/>
  <c r="N120" i="41"/>
  <c r="AY120" i="41" s="1"/>
  <c r="AQ133" i="41"/>
  <c r="AW134" i="41"/>
  <c r="AB137" i="41"/>
  <c r="AV137" i="41" s="1"/>
  <c r="AA137" i="41"/>
  <c r="AG137" i="41" s="1"/>
  <c r="AS137" i="41" s="1"/>
  <c r="AB138" i="41"/>
  <c r="AV138" i="41" s="1"/>
  <c r="AA138" i="41"/>
  <c r="AB139" i="41"/>
  <c r="AV139" i="41" s="1"/>
  <c r="AA139" i="41"/>
  <c r="AR133" i="41"/>
  <c r="AW135" i="41"/>
  <c r="U144" i="41"/>
  <c r="AZ19" i="40"/>
  <c r="AV22" i="40"/>
  <c r="AV23" i="40" s="1"/>
  <c r="BA170" i="40"/>
  <c r="BA32" i="40"/>
  <c r="AR19" i="40"/>
  <c r="AB29" i="40"/>
  <c r="AA29" i="40"/>
  <c r="AT29" i="40"/>
  <c r="AC29" i="40"/>
  <c r="AW29" i="40" s="1"/>
  <c r="AB31" i="40"/>
  <c r="AT31" i="40"/>
  <c r="AC31" i="40"/>
  <c r="AW31" i="40" s="1"/>
  <c r="AA31" i="40"/>
  <c r="AT23" i="40"/>
  <c r="AT26" i="40"/>
  <c r="AC26" i="40"/>
  <c r="AB26" i="40"/>
  <c r="AA26" i="40"/>
  <c r="AY19" i="40"/>
  <c r="AC22" i="40"/>
  <c r="AC23" i="40" s="1"/>
  <c r="AB22" i="40"/>
  <c r="AB23" i="40" s="1"/>
  <c r="V23" i="40"/>
  <c r="AA22" i="40"/>
  <c r="AZ12" i="40"/>
  <c r="AT13" i="40"/>
  <c r="AT15" i="40" s="1"/>
  <c r="AZ13" i="40"/>
  <c r="N175" i="40"/>
  <c r="I16" i="40"/>
  <c r="AV16" i="40"/>
  <c r="AV19" i="40" s="1"/>
  <c r="I17" i="40"/>
  <c r="AS17" i="40" s="1"/>
  <c r="I18" i="40"/>
  <c r="AC18" i="40"/>
  <c r="AC19" i="40" s="1"/>
  <c r="L19" i="40"/>
  <c r="AP19" i="40"/>
  <c r="I20" i="40"/>
  <c r="I21" i="40"/>
  <c r="AS21" i="40" s="1"/>
  <c r="I22" i="40"/>
  <c r="N23" i="40"/>
  <c r="AB24" i="40"/>
  <c r="AR24" i="40"/>
  <c r="AX24" i="40"/>
  <c r="K25" i="40"/>
  <c r="Q25" i="40"/>
  <c r="AU25" i="40"/>
  <c r="AU26" i="40"/>
  <c r="AF32" i="40"/>
  <c r="Z171" i="40"/>
  <c r="Z168" i="40" s="1"/>
  <c r="Z38" i="40"/>
  <c r="AU33" i="40"/>
  <c r="AT43" i="40"/>
  <c r="AC43" i="40"/>
  <c r="AW43" i="40" s="1"/>
  <c r="AB43" i="40"/>
  <c r="AA43" i="40"/>
  <c r="AG43" i="40" s="1"/>
  <c r="AB47" i="40"/>
  <c r="AV47" i="40" s="1"/>
  <c r="AA47" i="40"/>
  <c r="AG47" i="40" s="1"/>
  <c r="AS47" i="40" s="1"/>
  <c r="AT47" i="40"/>
  <c r="AC47" i="40"/>
  <c r="AB56" i="40"/>
  <c r="AV56" i="40" s="1"/>
  <c r="AA56" i="40"/>
  <c r="AG56" i="40" s="1"/>
  <c r="AS56" i="40" s="1"/>
  <c r="AT56" i="40"/>
  <c r="AC56" i="40"/>
  <c r="AB57" i="40"/>
  <c r="AV57" i="40" s="1"/>
  <c r="AA57" i="40"/>
  <c r="AT57" i="40"/>
  <c r="AC57" i="40"/>
  <c r="AW57" i="40" s="1"/>
  <c r="AB58" i="40"/>
  <c r="AV58" i="40" s="1"/>
  <c r="AA58" i="40"/>
  <c r="AT58" i="40"/>
  <c r="AC58" i="40"/>
  <c r="AB59" i="40"/>
  <c r="AV59" i="40" s="1"/>
  <c r="AA59" i="40"/>
  <c r="AG59" i="40" s="1"/>
  <c r="AT59" i="40"/>
  <c r="AC59" i="40"/>
  <c r="BA67" i="40"/>
  <c r="AZ74" i="40"/>
  <c r="AB69" i="40"/>
  <c r="AV69" i="40" s="1"/>
  <c r="AA69" i="40"/>
  <c r="AT69" i="40"/>
  <c r="AC69" i="40"/>
  <c r="AX81" i="40"/>
  <c r="AW77" i="40"/>
  <c r="BA12" i="40"/>
  <c r="AZ14" i="40"/>
  <c r="AQ15" i="40"/>
  <c r="AT18" i="40"/>
  <c r="AZ18" i="40"/>
  <c r="AQ19" i="40"/>
  <c r="AW20" i="40"/>
  <c r="AA23" i="40"/>
  <c r="AC24" i="40"/>
  <c r="I26" i="40"/>
  <c r="I27" i="40"/>
  <c r="AT27" i="40"/>
  <c r="AZ27" i="40"/>
  <c r="AZ28" i="40"/>
  <c r="AZ173" i="40" s="1"/>
  <c r="K176" i="40"/>
  <c r="I30" i="40"/>
  <c r="I38" i="40"/>
  <c r="AZ34" i="40"/>
  <c r="AR34" i="40"/>
  <c r="AT37" i="40"/>
  <c r="AC37" i="40"/>
  <c r="AB37" i="40"/>
  <c r="AV37" i="40" s="1"/>
  <c r="AA37" i="40"/>
  <c r="AG37" i="40" s="1"/>
  <c r="AT41" i="40"/>
  <c r="AC41" i="40"/>
  <c r="AW41" i="40" s="1"/>
  <c r="AB41" i="40"/>
  <c r="AA41" i="40"/>
  <c r="AB46" i="40"/>
  <c r="AV46" i="40" s="1"/>
  <c r="AA46" i="40"/>
  <c r="AT46" i="40"/>
  <c r="AC46" i="40"/>
  <c r="AB78" i="40"/>
  <c r="AA78" i="40"/>
  <c r="AG78" i="40" s="1"/>
  <c r="AT78" i="40"/>
  <c r="AC78" i="40"/>
  <c r="AW78" i="40" s="1"/>
  <c r="AB79" i="40"/>
  <c r="AV79" i="40" s="1"/>
  <c r="AT79" i="40"/>
  <c r="AC79" i="40"/>
  <c r="AW79" i="40" s="1"/>
  <c r="AA79" i="40"/>
  <c r="I12" i="40"/>
  <c r="I13" i="40"/>
  <c r="V14" i="40"/>
  <c r="AT14" i="40" s="1"/>
  <c r="AT175" i="40" s="1"/>
  <c r="AU14" i="40"/>
  <c r="AU175" i="40" s="1"/>
  <c r="Z15" i="40"/>
  <c r="AU18" i="40"/>
  <c r="AU19" i="40" s="1"/>
  <c r="N19" i="40"/>
  <c r="J23" i="40"/>
  <c r="AT24" i="40"/>
  <c r="K170" i="40"/>
  <c r="K32" i="40"/>
  <c r="AQ170" i="40"/>
  <c r="AQ32" i="40"/>
  <c r="AW26" i="40"/>
  <c r="V28" i="40"/>
  <c r="AU28" i="40"/>
  <c r="AU173" i="40" s="1"/>
  <c r="AV31" i="40"/>
  <c r="I31" i="40"/>
  <c r="AP171" i="40"/>
  <c r="AZ33" i="40"/>
  <c r="AP38" i="40"/>
  <c r="AR33" i="40"/>
  <c r="AT35" i="40"/>
  <c r="AT176" i="40" s="1"/>
  <c r="AC35" i="40"/>
  <c r="AW35" i="40" s="1"/>
  <c r="AB35" i="40"/>
  <c r="AV35" i="40" s="1"/>
  <c r="AA35" i="40"/>
  <c r="AY40" i="40"/>
  <c r="AS59" i="40"/>
  <c r="AB77" i="40"/>
  <c r="AV77" i="40" s="1"/>
  <c r="AA77" i="40"/>
  <c r="AG77" i="40" s="1"/>
  <c r="AS77" i="40" s="1"/>
  <c r="AT77" i="40"/>
  <c r="AC77" i="40"/>
  <c r="AQ168" i="40"/>
  <c r="AF176" i="40"/>
  <c r="AF168" i="40" s="1"/>
  <c r="AX30" i="40"/>
  <c r="AX176" i="40" s="1"/>
  <c r="L32" i="40"/>
  <c r="Z32" i="40"/>
  <c r="AJ32" i="40"/>
  <c r="AP32" i="40"/>
  <c r="AY34" i="40"/>
  <c r="AS37" i="40"/>
  <c r="AU44" i="40"/>
  <c r="AT40" i="40"/>
  <c r="AC40" i="40"/>
  <c r="AW40" i="40" s="1"/>
  <c r="V44" i="40"/>
  <c r="AB40" i="40"/>
  <c r="AA40" i="40"/>
  <c r="AG40" i="40" s="1"/>
  <c r="AS40" i="40" s="1"/>
  <c r="AV43" i="40"/>
  <c r="AY49" i="40"/>
  <c r="AB50" i="40"/>
  <c r="AV50" i="40" s="1"/>
  <c r="AA50" i="40"/>
  <c r="AT50" i="40"/>
  <c r="AC50" i="40"/>
  <c r="AW50" i="40" s="1"/>
  <c r="AW70" i="40"/>
  <c r="AB76" i="40"/>
  <c r="AV76" i="40" s="1"/>
  <c r="AA76" i="40"/>
  <c r="AT76" i="40"/>
  <c r="AC76" i="40"/>
  <c r="AW76" i="40" s="1"/>
  <c r="AS78" i="40"/>
  <c r="L169" i="40"/>
  <c r="AB12" i="40"/>
  <c r="AV12" i="40" s="1"/>
  <c r="AR12" i="40"/>
  <c r="AX12" i="40"/>
  <c r="AB13" i="40"/>
  <c r="AV13" i="40" s="1"/>
  <c r="K14" i="40"/>
  <c r="AQ175" i="40"/>
  <c r="J15" i="40"/>
  <c r="V15" i="40"/>
  <c r="AT16" i="40"/>
  <c r="AT19" i="40" s="1"/>
  <c r="AA18" i="40"/>
  <c r="P19" i="40"/>
  <c r="AZ20" i="40"/>
  <c r="AZ23" i="40" s="1"/>
  <c r="I24" i="40"/>
  <c r="AV24" i="40"/>
  <c r="AY26" i="40"/>
  <c r="AB27" i="40"/>
  <c r="AV27" i="40" s="1"/>
  <c r="AV29" i="40"/>
  <c r="Q176" i="40"/>
  <c r="AW30" i="40"/>
  <c r="AR32" i="40"/>
  <c r="AT34" i="40"/>
  <c r="AC34" i="40"/>
  <c r="AW34" i="40" s="1"/>
  <c r="AB34" i="40"/>
  <c r="AV34" i="40" s="1"/>
  <c r="AA34" i="40"/>
  <c r="AG34" i="40" s="1"/>
  <c r="AS34" i="40" s="1"/>
  <c r="AW36" i="40"/>
  <c r="AV41" i="40"/>
  <c r="AX51" i="40"/>
  <c r="AW47" i="40"/>
  <c r="AY48" i="40"/>
  <c r="AB49" i="40"/>
  <c r="AV49" i="40" s="1"/>
  <c r="AA49" i="40"/>
  <c r="AT49" i="40"/>
  <c r="AC49" i="40"/>
  <c r="AW49" i="40" s="1"/>
  <c r="AW56" i="40"/>
  <c r="AW58" i="40"/>
  <c r="AW59" i="40"/>
  <c r="AW69" i="40"/>
  <c r="AY70" i="40"/>
  <c r="N169" i="40"/>
  <c r="AC12" i="40"/>
  <c r="AY12" i="40"/>
  <c r="L14" i="40"/>
  <c r="AR14" i="40"/>
  <c r="AX14" i="40"/>
  <c r="AX175" i="40" s="1"/>
  <c r="K15" i="40"/>
  <c r="Q15" i="40"/>
  <c r="AU15" i="40"/>
  <c r="BA20" i="40"/>
  <c r="BA23" i="40" s="1"/>
  <c r="AA24" i="40"/>
  <c r="V25" i="40"/>
  <c r="AZ25" i="40"/>
  <c r="Q170" i="40"/>
  <c r="Q168" i="40" s="1"/>
  <c r="V167" i="40" s="1"/>
  <c r="Q32" i="40"/>
  <c r="AZ26" i="40"/>
  <c r="AR28" i="40"/>
  <c r="AR173" i="40" s="1"/>
  <c r="AX28" i="40"/>
  <c r="AX173" i="40" s="1"/>
  <c r="AR29" i="40"/>
  <c r="AY29" i="40" s="1"/>
  <c r="V176" i="40"/>
  <c r="AB30" i="40"/>
  <c r="AR176" i="40"/>
  <c r="AY30" i="40"/>
  <c r="N32" i="40"/>
  <c r="AW37" i="40"/>
  <c r="AW44" i="40"/>
  <c r="BA44" i="40"/>
  <c r="AR51" i="40"/>
  <c r="AW46" i="40"/>
  <c r="AY47" i="40"/>
  <c r="AY51" i="40" s="1"/>
  <c r="AB48" i="40"/>
  <c r="AV48" i="40" s="1"/>
  <c r="AA48" i="40"/>
  <c r="AG48" i="40" s="1"/>
  <c r="AS48" i="40" s="1"/>
  <c r="AT48" i="40"/>
  <c r="AC48" i="40"/>
  <c r="AW48" i="40" s="1"/>
  <c r="AR60" i="40"/>
  <c r="AY56" i="40"/>
  <c r="AY57" i="40"/>
  <c r="AY58" i="40"/>
  <c r="AY59" i="40"/>
  <c r="AT67" i="40"/>
  <c r="AZ67" i="40"/>
  <c r="AY64" i="40"/>
  <c r="AY69" i="40"/>
  <c r="AB70" i="40"/>
  <c r="AV70" i="40" s="1"/>
  <c r="AA70" i="40"/>
  <c r="AT70" i="40"/>
  <c r="AC70" i="40"/>
  <c r="V33" i="40"/>
  <c r="BA33" i="40"/>
  <c r="N38" i="40"/>
  <c r="AF38" i="40"/>
  <c r="AX38" i="40"/>
  <c r="AB39" i="40"/>
  <c r="AB44" i="40" s="1"/>
  <c r="AX39" i="40"/>
  <c r="AX44" i="40" s="1"/>
  <c r="AV40" i="40"/>
  <c r="I41" i="40"/>
  <c r="I42" i="40"/>
  <c r="AS42" i="40" s="1"/>
  <c r="I43" i="40"/>
  <c r="AS43" i="40" s="1"/>
  <c r="L51" i="40"/>
  <c r="AP51" i="40"/>
  <c r="I52" i="40"/>
  <c r="AV52" i="40"/>
  <c r="N172" i="40"/>
  <c r="AY55" i="40"/>
  <c r="L60" i="40"/>
  <c r="AP60" i="40"/>
  <c r="I61" i="40"/>
  <c r="AV61" i="40"/>
  <c r="AV67" i="40" s="1"/>
  <c r="I62" i="40"/>
  <c r="AS62" i="40" s="1"/>
  <c r="I63" i="40"/>
  <c r="AS63" i="40" s="1"/>
  <c r="I64" i="40"/>
  <c r="AS64" i="40" s="1"/>
  <c r="I65" i="40"/>
  <c r="AS65" i="40" s="1"/>
  <c r="I66" i="40"/>
  <c r="AS66" i="40" s="1"/>
  <c r="AA67" i="40"/>
  <c r="I72" i="40"/>
  <c r="AS72" i="40" s="1"/>
  <c r="AV72" i="40"/>
  <c r="I73" i="40"/>
  <c r="AS73" i="40" s="1"/>
  <c r="I79" i="40"/>
  <c r="Z88" i="40"/>
  <c r="AU82" i="40"/>
  <c r="AU88" i="40" s="1"/>
  <c r="I83" i="40"/>
  <c r="I88" i="40" s="1"/>
  <c r="AA83" i="40"/>
  <c r="AG83" i="40" s="1"/>
  <c r="AT83" i="40"/>
  <c r="AB84" i="40"/>
  <c r="AV84" i="40" s="1"/>
  <c r="AT87" i="40"/>
  <c r="AC87" i="40"/>
  <c r="AW87" i="40" s="1"/>
  <c r="AA87" i="40"/>
  <c r="AY92" i="40"/>
  <c r="L98" i="40"/>
  <c r="I93" i="40"/>
  <c r="AZ98" i="40"/>
  <c r="BA102" i="40"/>
  <c r="AY39" i="40"/>
  <c r="AW177" i="40"/>
  <c r="AW61" i="40"/>
  <c r="AW67" i="40" s="1"/>
  <c r="P74" i="40"/>
  <c r="AV80" i="40"/>
  <c r="I80" i="40"/>
  <c r="AS80" i="40" s="1"/>
  <c r="AW84" i="40"/>
  <c r="AY85" i="40"/>
  <c r="Q88" i="40"/>
  <c r="AT94" i="40"/>
  <c r="AC94" i="40"/>
  <c r="AB94" i="40"/>
  <c r="AV94" i="40" s="1"/>
  <c r="AA94" i="40"/>
  <c r="AG94" i="40" s="1"/>
  <c r="AT97" i="40"/>
  <c r="AC97" i="40"/>
  <c r="AB97" i="40"/>
  <c r="AV97" i="40" s="1"/>
  <c r="AA97" i="40"/>
  <c r="AV99" i="40"/>
  <c r="AA104" i="40"/>
  <c r="AT104" i="40"/>
  <c r="AC104" i="40"/>
  <c r="AB104" i="40"/>
  <c r="AV104" i="40" s="1"/>
  <c r="AV125" i="40"/>
  <c r="AV127" i="40" s="1"/>
  <c r="AT149" i="40"/>
  <c r="AC149" i="40"/>
  <c r="AW149" i="40" s="1"/>
  <c r="AB149" i="40"/>
  <c r="AV149" i="40" s="1"/>
  <c r="AA149" i="40"/>
  <c r="AA36" i="40"/>
  <c r="AA176" i="40" s="1"/>
  <c r="AT39" i="40"/>
  <c r="AT44" i="40" s="1"/>
  <c r="AR40" i="40"/>
  <c r="AR41" i="40"/>
  <c r="AY41" i="40" s="1"/>
  <c r="AR42" i="40"/>
  <c r="AY42" i="40" s="1"/>
  <c r="AR43" i="40"/>
  <c r="AY43" i="40" s="1"/>
  <c r="K44" i="40"/>
  <c r="V45" i="40"/>
  <c r="V170" i="40" s="1"/>
  <c r="AU45" i="40"/>
  <c r="AU51" i="40" s="1"/>
  <c r="AF51" i="40"/>
  <c r="AR52" i="40"/>
  <c r="AY52" i="40" s="1"/>
  <c r="K53" i="40"/>
  <c r="AC53" i="40"/>
  <c r="V54" i="40"/>
  <c r="AU54" i="40"/>
  <c r="AU60" i="40" s="1"/>
  <c r="V55" i="40"/>
  <c r="AU55" i="40"/>
  <c r="AF60" i="40"/>
  <c r="AR61" i="40"/>
  <c r="AR62" i="40"/>
  <c r="AY62" i="40" s="1"/>
  <c r="AR63" i="40"/>
  <c r="AY63" i="40" s="1"/>
  <c r="AR64" i="40"/>
  <c r="AR65" i="40"/>
  <c r="AY65" i="40" s="1"/>
  <c r="AR66" i="40"/>
  <c r="AY66" i="40" s="1"/>
  <c r="V68" i="40"/>
  <c r="AU68" i="40"/>
  <c r="AU74" i="40" s="1"/>
  <c r="AX71" i="40"/>
  <c r="AR72" i="40"/>
  <c r="AR74" i="40" s="1"/>
  <c r="AR73" i="40"/>
  <c r="AY73" i="40" s="1"/>
  <c r="V75" i="40"/>
  <c r="AU75" i="40"/>
  <c r="AU81" i="40" s="1"/>
  <c r="BA81" i="40"/>
  <c r="AF81" i="40"/>
  <c r="AV82" i="40"/>
  <c r="AY84" i="40"/>
  <c r="AT85" i="40"/>
  <c r="AC85" i="40"/>
  <c r="AW85" i="40" s="1"/>
  <c r="V92" i="40"/>
  <c r="AA89" i="40"/>
  <c r="AT89" i="40"/>
  <c r="AC89" i="40"/>
  <c r="AB89" i="40"/>
  <c r="AB92" i="40" s="1"/>
  <c r="AU92" i="40"/>
  <c r="AY91" i="40"/>
  <c r="AT93" i="40"/>
  <c r="AC93" i="40"/>
  <c r="V98" i="40"/>
  <c r="AA93" i="40"/>
  <c r="AR35" i="40"/>
  <c r="AY35" i="40" s="1"/>
  <c r="AR36" i="40"/>
  <c r="AY36" i="40" s="1"/>
  <c r="AR37" i="40"/>
  <c r="AY37" i="40" s="1"/>
  <c r="K38" i="40"/>
  <c r="Q38" i="40"/>
  <c r="L53" i="40"/>
  <c r="AY61" i="40"/>
  <c r="I71" i="40"/>
  <c r="AS71" i="40" s="1"/>
  <c r="AY71" i="40"/>
  <c r="AP74" i="40"/>
  <c r="I81" i="40"/>
  <c r="AY83" i="40"/>
  <c r="AR85" i="40"/>
  <c r="AR88" i="40" s="1"/>
  <c r="AW86" i="40"/>
  <c r="AA90" i="40"/>
  <c r="AT90" i="40"/>
  <c r="AC90" i="40"/>
  <c r="AW90" i="40" s="1"/>
  <c r="AB90" i="40"/>
  <c r="AT96" i="40"/>
  <c r="AC96" i="40"/>
  <c r="AW96" i="40" s="1"/>
  <c r="AB96" i="40"/>
  <c r="AV96" i="40" s="1"/>
  <c r="AA96" i="40"/>
  <c r="AG96" i="40" s="1"/>
  <c r="Z176" i="40"/>
  <c r="AP176" i="40"/>
  <c r="AY33" i="40"/>
  <c r="AC36" i="40"/>
  <c r="L38" i="40"/>
  <c r="I39" i="40"/>
  <c r="AT52" i="40"/>
  <c r="AZ52" i="40"/>
  <c r="AQ53" i="40"/>
  <c r="AW53" i="40"/>
  <c r="K172" i="40"/>
  <c r="AQ172" i="40"/>
  <c r="AQ67" i="40"/>
  <c r="K81" i="40"/>
  <c r="AV78" i="40"/>
  <c r="AR79" i="40"/>
  <c r="AY79" i="40" s="1"/>
  <c r="AY82" i="40"/>
  <c r="AP88" i="40"/>
  <c r="AX82" i="40"/>
  <c r="AX88" i="40" s="1"/>
  <c r="AZ83" i="40"/>
  <c r="AZ172" i="40" s="1"/>
  <c r="I85" i="40"/>
  <c r="AA85" i="40"/>
  <c r="AY86" i="40"/>
  <c r="BA92" i="40"/>
  <c r="AA91" i="40"/>
  <c r="AT91" i="40"/>
  <c r="AC91" i="40"/>
  <c r="AW91" i="40" s="1"/>
  <c r="AB91" i="40"/>
  <c r="AV91" i="40" s="1"/>
  <c r="AB93" i="40"/>
  <c r="AT100" i="40"/>
  <c r="AC100" i="40"/>
  <c r="AW100" i="40" s="1"/>
  <c r="AB100" i="40"/>
  <c r="AV100" i="40" s="1"/>
  <c r="AA100" i="40"/>
  <c r="AX108" i="40"/>
  <c r="AA106" i="40"/>
  <c r="AG106" i="40" s="1"/>
  <c r="AC106" i="40"/>
  <c r="AT106" i="40"/>
  <c r="AB106" i="40"/>
  <c r="AV106" i="40" s="1"/>
  <c r="AQ38" i="40"/>
  <c r="AG52" i="40"/>
  <c r="BA52" i="40"/>
  <c r="N53" i="40"/>
  <c r="AX53" i="40"/>
  <c r="AR55" i="40"/>
  <c r="AX55" i="40"/>
  <c r="AX172" i="40" s="1"/>
  <c r="AX68" i="40"/>
  <c r="AX74" i="40" s="1"/>
  <c r="AR75" i="40"/>
  <c r="AR81" i="40" s="1"/>
  <c r="AC82" i="40"/>
  <c r="V88" i="40"/>
  <c r="AQ88" i="40"/>
  <c r="BA82" i="40"/>
  <c r="BA88" i="40" s="1"/>
  <c r="AZ88" i="40"/>
  <c r="AA84" i="40"/>
  <c r="AG84" i="40" s="1"/>
  <c r="AS84" i="40" s="1"/>
  <c r="AT84" i="40"/>
  <c r="AT88" i="40" s="1"/>
  <c r="AB85" i="40"/>
  <c r="AB88" i="40" s="1"/>
  <c r="AT86" i="40"/>
  <c r="AC86" i="40"/>
  <c r="AA86" i="40"/>
  <c r="AR86" i="40"/>
  <c r="AV90" i="40"/>
  <c r="AW94" i="40"/>
  <c r="I94" i="40"/>
  <c r="AT95" i="40"/>
  <c r="AC95" i="40"/>
  <c r="AW95" i="40" s="1"/>
  <c r="AB95" i="40"/>
  <c r="AV95" i="40" s="1"/>
  <c r="AA95" i="40"/>
  <c r="AW97" i="40"/>
  <c r="AA102" i="40"/>
  <c r="AA113" i="40"/>
  <c r="AC113" i="40"/>
  <c r="AW113" i="40" s="1"/>
  <c r="AT113" i="40"/>
  <c r="AB113" i="40"/>
  <c r="AV113" i="40" s="1"/>
  <c r="AA123" i="40"/>
  <c r="AB123" i="40"/>
  <c r="AT123" i="40"/>
  <c r="AC123" i="40"/>
  <c r="AW123" i="40" s="1"/>
  <c r="N88" i="40"/>
  <c r="K92" i="40"/>
  <c r="AU93" i="40"/>
  <c r="AU98" i="40" s="1"/>
  <c r="BA93" i="40"/>
  <c r="BA98" i="40" s="1"/>
  <c r="N98" i="40"/>
  <c r="AB99" i="40"/>
  <c r="AG99" i="40" s="1"/>
  <c r="AR99" i="40"/>
  <c r="AX99" i="40"/>
  <c r="AX102" i="40" s="1"/>
  <c r="AP100" i="40"/>
  <c r="AP169" i="40" s="1"/>
  <c r="I101" i="40"/>
  <c r="AS101" i="40" s="1"/>
  <c r="AC105" i="40"/>
  <c r="AW105" i="40" s="1"/>
  <c r="V111" i="40"/>
  <c r="AY113" i="40"/>
  <c r="AF114" i="40"/>
  <c r="N118" i="40"/>
  <c r="BA115" i="40"/>
  <c r="AB116" i="40"/>
  <c r="AV116" i="40" s="1"/>
  <c r="AC116" i="40"/>
  <c r="AW116" i="40" s="1"/>
  <c r="K117" i="40"/>
  <c r="L117" i="40"/>
  <c r="J118" i="40"/>
  <c r="AG117" i="40"/>
  <c r="AT117" i="40"/>
  <c r="AR119" i="40"/>
  <c r="AP124" i="40"/>
  <c r="V120" i="40"/>
  <c r="AW122" i="40"/>
  <c r="AQ124" i="40"/>
  <c r="L127" i="40"/>
  <c r="AW125" i="40"/>
  <c r="AW127" i="40" s="1"/>
  <c r="AB125" i="40"/>
  <c r="AB127" i="40" s="1"/>
  <c r="Q130" i="40"/>
  <c r="AF130" i="40"/>
  <c r="AP137" i="40"/>
  <c r="AZ131" i="40"/>
  <c r="AZ137" i="40" s="1"/>
  <c r="AX137" i="40"/>
  <c r="I133" i="40"/>
  <c r="I172" i="40" s="1"/>
  <c r="BA134" i="40"/>
  <c r="AC135" i="40"/>
  <c r="AW135" i="40" s="1"/>
  <c r="AT135" i="40"/>
  <c r="AB135" i="40"/>
  <c r="AV135" i="40" s="1"/>
  <c r="AZ136" i="40"/>
  <c r="AZ176" i="40" s="1"/>
  <c r="AR136" i="40"/>
  <c r="Z137" i="40"/>
  <c r="AP144" i="40"/>
  <c r="AU145" i="40"/>
  <c r="AU151" i="40" s="1"/>
  <c r="AV152" i="40"/>
  <c r="AV153" i="40"/>
  <c r="I95" i="40"/>
  <c r="I96" i="40"/>
  <c r="AS96" i="40" s="1"/>
  <c r="I97" i="40"/>
  <c r="AC99" i="40"/>
  <c r="AY99" i="40"/>
  <c r="V102" i="40"/>
  <c r="AZ108" i="40"/>
  <c r="AY105" i="40"/>
  <c r="AS106" i="40"/>
  <c r="AA107" i="40"/>
  <c r="AC107" i="40"/>
  <c r="N108" i="40"/>
  <c r="AR114" i="40"/>
  <c r="AA112" i="40"/>
  <c r="AG112" i="40" s="1"/>
  <c r="AS112" i="40" s="1"/>
  <c r="AC112" i="40"/>
  <c r="Z114" i="40"/>
  <c r="L124" i="40"/>
  <c r="AY125" i="40"/>
  <c r="AY127" i="40" s="1"/>
  <c r="AW129" i="40"/>
  <c r="AC131" i="40"/>
  <c r="AT131" i="40"/>
  <c r="V137" i="40"/>
  <c r="AB131" i="40"/>
  <c r="AB137" i="40" s="1"/>
  <c r="AU132" i="40"/>
  <c r="AU137" i="40" s="1"/>
  <c r="AW133" i="40"/>
  <c r="AR144" i="40"/>
  <c r="I151" i="40"/>
  <c r="AT99" i="40"/>
  <c r="AR101" i="40"/>
  <c r="AY101" i="40" s="1"/>
  <c r="K102" i="40"/>
  <c r="V103" i="40"/>
  <c r="AU103" i="40"/>
  <c r="AU108" i="40" s="1"/>
  <c r="AZ113" i="40"/>
  <c r="AZ114" i="40" s="1"/>
  <c r="AB115" i="40"/>
  <c r="AC115" i="40"/>
  <c r="AA116" i="40"/>
  <c r="AY121" i="40"/>
  <c r="AA122" i="40"/>
  <c r="AT122" i="40"/>
  <c r="AP127" i="40"/>
  <c r="AZ125" i="40"/>
  <c r="AZ127" i="40" s="1"/>
  <c r="I126" i="40"/>
  <c r="AW128" i="40"/>
  <c r="AW130" i="40" s="1"/>
  <c r="L130" i="40"/>
  <c r="AR137" i="40"/>
  <c r="AY133" i="40"/>
  <c r="AA135" i="40"/>
  <c r="AC136" i="40"/>
  <c r="AW136" i="40" s="1"/>
  <c r="AT136" i="40"/>
  <c r="AB136" i="40"/>
  <c r="AV136" i="40" s="1"/>
  <c r="AA136" i="40"/>
  <c r="AG136" i="40" s="1"/>
  <c r="AX145" i="40"/>
  <c r="AX151" i="40" s="1"/>
  <c r="AF151" i="40"/>
  <c r="AF165" i="40" s="1"/>
  <c r="AC146" i="40"/>
  <c r="AW146" i="40" s="1"/>
  <c r="AB146" i="40"/>
  <c r="AV146" i="40" s="1"/>
  <c r="AA146" i="40"/>
  <c r="AT146" i="40"/>
  <c r="Z164" i="40"/>
  <c r="AU161" i="40"/>
  <c r="AU164" i="40" s="1"/>
  <c r="R168" i="40"/>
  <c r="R102" i="40"/>
  <c r="AW106" i="40"/>
  <c r="AB107" i="40"/>
  <c r="AV107" i="40" s="1"/>
  <c r="AT107" i="40"/>
  <c r="I109" i="40"/>
  <c r="AA109" i="40"/>
  <c r="L114" i="40"/>
  <c r="AB112" i="40"/>
  <c r="AV112" i="40" s="1"/>
  <c r="AT112" i="40"/>
  <c r="Z118" i="40"/>
  <c r="AT115" i="40"/>
  <c r="AT118" i="40" s="1"/>
  <c r="V119" i="40"/>
  <c r="AA121" i="40"/>
  <c r="AG121" i="40" s="1"/>
  <c r="AB121" i="40"/>
  <c r="AC125" i="40"/>
  <c r="AT125" i="40"/>
  <c r="AA126" i="40"/>
  <c r="AG126" i="40" s="1"/>
  <c r="AY128" i="40"/>
  <c r="AY130" i="40" s="1"/>
  <c r="AA129" i="40"/>
  <c r="AG129" i="40" s="1"/>
  <c r="AT129" i="40"/>
  <c r="AT130" i="40" s="1"/>
  <c r="I131" i="40"/>
  <c r="K137" i="40"/>
  <c r="AA131" i="40"/>
  <c r="AS136" i="40"/>
  <c r="W165" i="40"/>
  <c r="AX144" i="40"/>
  <c r="AB139" i="40"/>
  <c r="AT139" i="40"/>
  <c r="AC139" i="40"/>
  <c r="AW139" i="40" s="1"/>
  <c r="AY140" i="40"/>
  <c r="AR140" i="40"/>
  <c r="AY150" i="40"/>
  <c r="AZ159" i="40"/>
  <c r="AZ160" i="40" s="1"/>
  <c r="AR159" i="40"/>
  <c r="AY159" i="40" s="1"/>
  <c r="I89" i="40"/>
  <c r="I90" i="40"/>
  <c r="I91" i="40"/>
  <c r="AP98" i="40"/>
  <c r="I99" i="40"/>
  <c r="AY106" i="40"/>
  <c r="AW107" i="40"/>
  <c r="AF108" i="40"/>
  <c r="AB109" i="40"/>
  <c r="AB110" i="40" s="1"/>
  <c r="AR109" i="40"/>
  <c r="BA109" i="40"/>
  <c r="BA110" i="40" s="1"/>
  <c r="AY111" i="40"/>
  <c r="AW112" i="40"/>
  <c r="I114" i="40"/>
  <c r="AV115" i="40"/>
  <c r="AA115" i="40"/>
  <c r="AU115" i="40"/>
  <c r="AU118" i="40" s="1"/>
  <c r="K118" i="40"/>
  <c r="K165" i="40" s="1"/>
  <c r="AZ119" i="40"/>
  <c r="AB122" i="40"/>
  <c r="AF124" i="40"/>
  <c r="Z127" i="40"/>
  <c r="AR125" i="40"/>
  <c r="AR127" i="40" s="1"/>
  <c r="V130" i="40"/>
  <c r="AA128" i="40"/>
  <c r="AA177" i="40" s="1"/>
  <c r="AB128" i="40"/>
  <c r="AB130" i="40" s="1"/>
  <c r="AY132" i="40"/>
  <c r="AC133" i="40"/>
  <c r="AG133" i="40" s="1"/>
  <c r="AT133" i="40"/>
  <c r="AV134" i="40"/>
  <c r="AA134" i="40"/>
  <c r="AG134" i="40" s="1"/>
  <c r="AS134" i="40" s="1"/>
  <c r="AY138" i="40"/>
  <c r="AB140" i="40"/>
  <c r="AV140" i="40" s="1"/>
  <c r="AT140" i="40"/>
  <c r="AC140" i="40"/>
  <c r="AW140" i="40" s="1"/>
  <c r="AA140" i="40"/>
  <c r="AB142" i="40"/>
  <c r="AG142" i="40" s="1"/>
  <c r="AT142" i="40"/>
  <c r="AC142" i="40"/>
  <c r="AW142" i="40" s="1"/>
  <c r="AR143" i="40"/>
  <c r="AY143" i="40" s="1"/>
  <c r="AO165" i="40"/>
  <c r="AL165" i="40"/>
  <c r="P168" i="40"/>
  <c r="N167" i="40" s="1"/>
  <c r="AJ168" i="40"/>
  <c r="AP167" i="40" s="1"/>
  <c r="AU100" i="40"/>
  <c r="AU102" i="40" s="1"/>
  <c r="L108" i="40"/>
  <c r="AR103" i="40"/>
  <c r="AR108" i="40" s="1"/>
  <c r="AW104" i="40"/>
  <c r="AB105" i="40"/>
  <c r="AV105" i="40" s="1"/>
  <c r="AR105" i="40"/>
  <c r="AY107" i="40"/>
  <c r="AC109" i="40"/>
  <c r="V110" i="40"/>
  <c r="AP114" i="40"/>
  <c r="AY112" i="40"/>
  <c r="AX124" i="40"/>
  <c r="AP120" i="40"/>
  <c r="AP170" i="40" s="1"/>
  <c r="AJ124" i="40"/>
  <c r="AC121" i="40"/>
  <c r="AW121" i="40" s="1"/>
  <c r="AV122" i="40"/>
  <c r="AC122" i="40"/>
  <c r="K127" i="40"/>
  <c r="I125" i="40"/>
  <c r="I171" i="40" s="1"/>
  <c r="AA125" i="40"/>
  <c r="AB129" i="40"/>
  <c r="AV129" i="40" s="1"/>
  <c r="AY131" i="40"/>
  <c r="AY137" i="40" s="1"/>
  <c r="AR133" i="40"/>
  <c r="AZ138" i="40"/>
  <c r="AZ144" i="40" s="1"/>
  <c r="AA139" i="40"/>
  <c r="AG139" i="40" s="1"/>
  <c r="AB143" i="40"/>
  <c r="AT143" i="40"/>
  <c r="AC143" i="40"/>
  <c r="AW143" i="40" s="1"/>
  <c r="AA143" i="40"/>
  <c r="AR115" i="40"/>
  <c r="AR118" i="40" s="1"/>
  <c r="AZ115" i="40"/>
  <c r="AR116" i="40"/>
  <c r="AY116" i="40" s="1"/>
  <c r="AZ116" i="40"/>
  <c r="BA117" i="40"/>
  <c r="BA175" i="40" s="1"/>
  <c r="AY119" i="40"/>
  <c r="AV121" i="40"/>
  <c r="AQ127" i="40"/>
  <c r="BA125" i="40"/>
  <c r="BA127" i="40" s="1"/>
  <c r="AC126" i="40"/>
  <c r="AW126" i="40" s="1"/>
  <c r="AT126" i="40"/>
  <c r="AZ130" i="40"/>
  <c r="L137" i="40"/>
  <c r="AC134" i="40"/>
  <c r="AW134" i="40" s="1"/>
  <c r="AT134" i="40"/>
  <c r="AY136" i="40"/>
  <c r="Z144" i="40"/>
  <c r="AU138" i="40"/>
  <c r="AU144" i="40" s="1"/>
  <c r="AC145" i="40"/>
  <c r="AB145" i="40"/>
  <c r="V151" i="40"/>
  <c r="AA145" i="40"/>
  <c r="AT145" i="40"/>
  <c r="AS147" i="40"/>
  <c r="AC148" i="40"/>
  <c r="AW148" i="40" s="1"/>
  <c r="AB148" i="40"/>
  <c r="AV148" i="40" s="1"/>
  <c r="AA148" i="40"/>
  <c r="AG148" i="40" s="1"/>
  <c r="AT148" i="40"/>
  <c r="AA156" i="40"/>
  <c r="AG156" i="40" s="1"/>
  <c r="AS156" i="40" s="1"/>
  <c r="AT156" i="40"/>
  <c r="AC156" i="40"/>
  <c r="AB156" i="40"/>
  <c r="AV156" i="40" s="1"/>
  <c r="AC164" i="40"/>
  <c r="AT150" i="40"/>
  <c r="AC150" i="40"/>
  <c r="AW150" i="40" s="1"/>
  <c r="AB150" i="40"/>
  <c r="AV150" i="40" s="1"/>
  <c r="AA150" i="40"/>
  <c r="AG150" i="40" s="1"/>
  <c r="AS150" i="40" s="1"/>
  <c r="AW152" i="40"/>
  <c r="L154" i="40"/>
  <c r="AW153" i="40"/>
  <c r="AZ156" i="40"/>
  <c r="AR156" i="40"/>
  <c r="AY156" i="40" s="1"/>
  <c r="T165" i="40"/>
  <c r="AF118" i="40"/>
  <c r="AX115" i="40"/>
  <c r="AX118" i="40" s="1"/>
  <c r="AV123" i="40"/>
  <c r="AY126" i="40"/>
  <c r="AQ137" i="40"/>
  <c r="BA131" i="40"/>
  <c r="BA137" i="40" s="1"/>
  <c r="AC132" i="40"/>
  <c r="AG132" i="40" s="1"/>
  <c r="AS132" i="40" s="1"/>
  <c r="AT132" i="40"/>
  <c r="AY134" i="40"/>
  <c r="N144" i="40"/>
  <c r="N165" i="40" s="1"/>
  <c r="BA138" i="40"/>
  <c r="BA144" i="40" s="1"/>
  <c r="AQ144" i="40"/>
  <c r="O165" i="40"/>
  <c r="N166" i="40" s="1"/>
  <c r="U165" i="40"/>
  <c r="AY135" i="40"/>
  <c r="V138" i="40"/>
  <c r="Q144" i="40"/>
  <c r="Q165" i="40" s="1"/>
  <c r="AB141" i="40"/>
  <c r="AG141" i="40" s="1"/>
  <c r="AT141" i="40"/>
  <c r="AC141" i="40"/>
  <c r="AW141" i="40" s="1"/>
  <c r="AC147" i="40"/>
  <c r="AW147" i="40" s="1"/>
  <c r="AB147" i="40"/>
  <c r="AV147" i="40" s="1"/>
  <c r="AA147" i="40"/>
  <c r="AG147" i="40" s="1"/>
  <c r="AW163" i="40"/>
  <c r="I163" i="40"/>
  <c r="AS163" i="40" s="1"/>
  <c r="Q151" i="40"/>
  <c r="AS148" i="40"/>
  <c r="V154" i="40"/>
  <c r="AA152" i="40"/>
  <c r="AT152" i="40"/>
  <c r="AC152" i="40"/>
  <c r="AA153" i="40"/>
  <c r="AT153" i="40"/>
  <c r="AC153" i="40"/>
  <c r="AV155" i="40"/>
  <c r="AX160" i="40"/>
  <c r="X165" i="40"/>
  <c r="AJ165" i="40"/>
  <c r="AM165" i="40"/>
  <c r="J168" i="40"/>
  <c r="Z167" i="40"/>
  <c r="I121" i="40"/>
  <c r="AS121" i="40" s="1"/>
  <c r="I122" i="40"/>
  <c r="I123" i="40"/>
  <c r="I128" i="40"/>
  <c r="I129" i="40"/>
  <c r="AV139" i="40"/>
  <c r="I139" i="40"/>
  <c r="I140" i="40"/>
  <c r="AV141" i="40"/>
  <c r="I141" i="40"/>
  <c r="AV142" i="40"/>
  <c r="I142" i="40"/>
  <c r="AV143" i="40"/>
  <c r="I143" i="40"/>
  <c r="AP151" i="40"/>
  <c r="AR145" i="40"/>
  <c r="AR151" i="40" s="1"/>
  <c r="BA151" i="40"/>
  <c r="AY153" i="40"/>
  <c r="AD165" i="40"/>
  <c r="AF166" i="40" s="1"/>
  <c r="AU160" i="40"/>
  <c r="AY155" i="40"/>
  <c r="AA159" i="40"/>
  <c r="AT159" i="40"/>
  <c r="AC159" i="40"/>
  <c r="AC160" i="40" s="1"/>
  <c r="AB159" i="40"/>
  <c r="AV159" i="40" s="1"/>
  <c r="R165" i="40"/>
  <c r="AI165" i="40"/>
  <c r="AQ166" i="40" s="1"/>
  <c r="AY152" i="40"/>
  <c r="AY154" i="40" s="1"/>
  <c r="Z160" i="40"/>
  <c r="AB161" i="40"/>
  <c r="AR161" i="40"/>
  <c r="AT162" i="40"/>
  <c r="AA162" i="40"/>
  <c r="AG162" i="40" s="1"/>
  <c r="AS162" i="40" s="1"/>
  <c r="J165" i="40"/>
  <c r="P165" i="40"/>
  <c r="AP164" i="40"/>
  <c r="AQ154" i="40"/>
  <c r="AQ165" i="40" s="1"/>
  <c r="AA157" i="40"/>
  <c r="AG157" i="40" s="1"/>
  <c r="AT157" i="40"/>
  <c r="AW161" i="40"/>
  <c r="AE165" i="40"/>
  <c r="AK165" i="40"/>
  <c r="AU152" i="40"/>
  <c r="AU154" i="40" s="1"/>
  <c r="AW156" i="40"/>
  <c r="I157" i="40"/>
  <c r="AS157" i="40" s="1"/>
  <c r="AB162" i="40"/>
  <c r="AV162" i="40" s="1"/>
  <c r="AR162" i="40"/>
  <c r="AY162" i="40" s="1"/>
  <c r="AT163" i="40"/>
  <c r="AA163" i="40"/>
  <c r="AG163" i="40" s="1"/>
  <c r="L164" i="40"/>
  <c r="Y165" i="40"/>
  <c r="I152" i="40"/>
  <c r="I153" i="40"/>
  <c r="V160" i="40"/>
  <c r="AA155" i="40"/>
  <c r="AT155" i="40"/>
  <c r="AT160" i="40" s="1"/>
  <c r="AB157" i="40"/>
  <c r="AV157" i="40" s="1"/>
  <c r="AR157" i="40"/>
  <c r="AY157" i="40" s="1"/>
  <c r="AA158" i="40"/>
  <c r="AG158" i="40" s="1"/>
  <c r="AS158" i="40" s="1"/>
  <c r="AT158" i="40"/>
  <c r="AP160" i="40"/>
  <c r="AC162" i="40"/>
  <c r="AW162" i="40" s="1"/>
  <c r="M165" i="40"/>
  <c r="S165" i="40"/>
  <c r="AT161" i="40"/>
  <c r="V164" i="40"/>
  <c r="AA161" i="40"/>
  <c r="AH165" i="40"/>
  <c r="AN165" i="40"/>
  <c r="AY15" i="39"/>
  <c r="AU36" i="39"/>
  <c r="AT27" i="39"/>
  <c r="AC27" i="39"/>
  <c r="AW27" i="39" s="1"/>
  <c r="AB27" i="39"/>
  <c r="AV27" i="39" s="1"/>
  <c r="AA27" i="39"/>
  <c r="AG27" i="39" s="1"/>
  <c r="AS27" i="39" s="1"/>
  <c r="AU44" i="39"/>
  <c r="AA35" i="39"/>
  <c r="AB35" i="39"/>
  <c r="AV35" i="39" s="1"/>
  <c r="AC35" i="39"/>
  <c r="AW35" i="39" s="1"/>
  <c r="AT35" i="39"/>
  <c r="AT26" i="39"/>
  <c r="AC26" i="39"/>
  <c r="AW26" i="39" s="1"/>
  <c r="AB26" i="39"/>
  <c r="AV26" i="39" s="1"/>
  <c r="AA26" i="39"/>
  <c r="AT29" i="39"/>
  <c r="AC29" i="39"/>
  <c r="AW29" i="39" s="1"/>
  <c r="AB29" i="39"/>
  <c r="AV29" i="39" s="1"/>
  <c r="AA29" i="39"/>
  <c r="AA32" i="39"/>
  <c r="AB32" i="39"/>
  <c r="AV32" i="39" s="1"/>
  <c r="AT32" i="39"/>
  <c r="AC32" i="39"/>
  <c r="AW32" i="39" s="1"/>
  <c r="AA33" i="39"/>
  <c r="AT33" i="39"/>
  <c r="AC33" i="39"/>
  <c r="AB33" i="39"/>
  <c r="AV33" i="39" s="1"/>
  <c r="AA34" i="39"/>
  <c r="AT34" i="39"/>
  <c r="AC34" i="39"/>
  <c r="AB34" i="39"/>
  <c r="AV34" i="39" s="1"/>
  <c r="AZ24" i="39"/>
  <c r="AY20" i="39"/>
  <c r="AY23" i="39"/>
  <c r="AT28" i="39"/>
  <c r="AC28" i="39"/>
  <c r="AW28" i="39" s="1"/>
  <c r="AB28" i="39"/>
  <c r="AV28" i="39" s="1"/>
  <c r="AA28" i="39"/>
  <c r="V36" i="39"/>
  <c r="AA31" i="39"/>
  <c r="AT31" i="39"/>
  <c r="AC31" i="39"/>
  <c r="AB31" i="39"/>
  <c r="AF46" i="39"/>
  <c r="AX45" i="39"/>
  <c r="AX46" i="39" s="1"/>
  <c r="AF58" i="39"/>
  <c r="AX57" i="39"/>
  <c r="AX58" i="39" s="1"/>
  <c r="BA62" i="39"/>
  <c r="BA65" i="39" s="1"/>
  <c r="N62" i="39"/>
  <c r="AY62" i="39" s="1"/>
  <c r="P65" i="39"/>
  <c r="P124" i="39" s="1"/>
  <c r="I19" i="47" s="1"/>
  <c r="AZ76" i="39"/>
  <c r="AR76" i="39"/>
  <c r="AY76" i="39" s="1"/>
  <c r="AT14" i="39"/>
  <c r="AQ134" i="39"/>
  <c r="J18" i="39"/>
  <c r="Q129" i="39"/>
  <c r="AF129" i="39"/>
  <c r="Q135" i="39"/>
  <c r="AF135" i="39"/>
  <c r="AQ24" i="39"/>
  <c r="AQ131" i="39"/>
  <c r="AQ30" i="39"/>
  <c r="K30" i="39"/>
  <c r="Q30" i="39"/>
  <c r="AR31" i="39"/>
  <c r="AY31" i="39" s="1"/>
  <c r="AR34" i="39"/>
  <c r="AY34" i="39" s="1"/>
  <c r="AQ130" i="39"/>
  <c r="BA37" i="39"/>
  <c r="AQ42" i="39"/>
  <c r="V44" i="39"/>
  <c r="AZ47" i="39"/>
  <c r="AZ50" i="39" s="1"/>
  <c r="AP50" i="39"/>
  <c r="AR47" i="39"/>
  <c r="L50" i="39"/>
  <c r="Q72" i="39"/>
  <c r="AU72" i="39"/>
  <c r="AR102" i="39"/>
  <c r="AY102" i="39" s="1"/>
  <c r="AP107" i="39"/>
  <c r="AZ102" i="39"/>
  <c r="Z36" i="39"/>
  <c r="AZ59" i="39"/>
  <c r="AR59" i="39"/>
  <c r="AR12" i="39"/>
  <c r="AY12" i="39" s="1"/>
  <c r="AX12" i="39"/>
  <c r="Q13" i="39"/>
  <c r="AU14" i="39"/>
  <c r="BA14" i="39"/>
  <c r="BA15" i="39"/>
  <c r="BA16" i="39"/>
  <c r="AR17" i="39"/>
  <c r="AY17" i="39" s="1"/>
  <c r="AX17" i="39"/>
  <c r="V129" i="39"/>
  <c r="BA19" i="39"/>
  <c r="BA20" i="39"/>
  <c r="BA21" i="39"/>
  <c r="V135" i="39"/>
  <c r="AU135" i="39"/>
  <c r="BA22" i="39"/>
  <c r="BA23" i="39"/>
  <c r="N24" i="39"/>
  <c r="AR25" i="39"/>
  <c r="AX25" i="39"/>
  <c r="AR26" i="39"/>
  <c r="AY26" i="39" s="1"/>
  <c r="AR27" i="39"/>
  <c r="AY27" i="39" s="1"/>
  <c r="AR28" i="39"/>
  <c r="AY28" i="39" s="1"/>
  <c r="AR29" i="39"/>
  <c r="AY29" i="39" s="1"/>
  <c r="L30" i="39"/>
  <c r="AP30" i="39"/>
  <c r="AZ31" i="39"/>
  <c r="AZ36" i="39" s="1"/>
  <c r="AX33" i="39"/>
  <c r="AX36" i="39" s="1"/>
  <c r="K130" i="39"/>
  <c r="Z136" i="39"/>
  <c r="Z44" i="39"/>
  <c r="AU51" i="39"/>
  <c r="AU56" i="39" s="1"/>
  <c r="Z56" i="39"/>
  <c r="BA56" i="39"/>
  <c r="I55" i="39"/>
  <c r="V72" i="39"/>
  <c r="AB66" i="39"/>
  <c r="AV66" i="39" s="1"/>
  <c r="AT66" i="39"/>
  <c r="AC66" i="39"/>
  <c r="AA66" i="39"/>
  <c r="AB67" i="39"/>
  <c r="AV67" i="39" s="1"/>
  <c r="AT67" i="39"/>
  <c r="AC67" i="39"/>
  <c r="AW67" i="39" s="1"/>
  <c r="AA67" i="39"/>
  <c r="N137" i="39"/>
  <c r="AP13" i="39"/>
  <c r="I14" i="39"/>
  <c r="AP128" i="39"/>
  <c r="AV14" i="39"/>
  <c r="I15" i="39"/>
  <c r="I16" i="39"/>
  <c r="P134" i="39"/>
  <c r="P127" i="39" s="1"/>
  <c r="L18" i="39"/>
  <c r="AP18" i="39"/>
  <c r="I19" i="39"/>
  <c r="Z129" i="39"/>
  <c r="AV19" i="39"/>
  <c r="I20" i="39"/>
  <c r="I21" i="39"/>
  <c r="I22" i="39"/>
  <c r="Z135" i="39"/>
  <c r="AP135" i="39"/>
  <c r="AV22" i="39"/>
  <c r="I23" i="39"/>
  <c r="AY25" i="39"/>
  <c r="L130" i="39"/>
  <c r="K42" i="39"/>
  <c r="AZ54" i="39"/>
  <c r="AR54" i="39"/>
  <c r="AY54" i="39" s="1"/>
  <c r="AW55" i="39"/>
  <c r="L72" i="39"/>
  <c r="U124" i="39"/>
  <c r="N19" i="47" s="1"/>
  <c r="AZ17" i="39"/>
  <c r="AZ18" i="39" s="1"/>
  <c r="AQ18" i="39"/>
  <c r="AW19" i="39"/>
  <c r="AW22" i="39"/>
  <c r="AZ25" i="39"/>
  <c r="Z30" i="39"/>
  <c r="AF30" i="39"/>
  <c r="I32" i="39"/>
  <c r="AW33" i="39"/>
  <c r="I35" i="39"/>
  <c r="Q36" i="39"/>
  <c r="N130" i="39"/>
  <c r="N42" i="39"/>
  <c r="L42" i="39"/>
  <c r="N46" i="39"/>
  <c r="AZ51" i="39"/>
  <c r="AP56" i="39"/>
  <c r="AR51" i="39"/>
  <c r="L56" i="39"/>
  <c r="Z65" i="39"/>
  <c r="AU59" i="39"/>
  <c r="AU65" i="39" s="1"/>
  <c r="AC70" i="39"/>
  <c r="AW70" i="39" s="1"/>
  <c r="AA70" i="39"/>
  <c r="AB70" i="39"/>
  <c r="AV70" i="39" s="1"/>
  <c r="AT70" i="39"/>
  <c r="AZ12" i="39"/>
  <c r="AW14" i="39"/>
  <c r="Q134" i="39"/>
  <c r="V12" i="39"/>
  <c r="AU12" i="39"/>
  <c r="BA137" i="39"/>
  <c r="Z13" i="39"/>
  <c r="AF13" i="39"/>
  <c r="AR14" i="39"/>
  <c r="K17" i="39"/>
  <c r="I17" i="39" s="1"/>
  <c r="V17" i="39"/>
  <c r="AT17" i="39" s="1"/>
  <c r="AU17" i="39"/>
  <c r="N18" i="39"/>
  <c r="Z18" i="39"/>
  <c r="AF18" i="39"/>
  <c r="AX18" i="39"/>
  <c r="L129" i="39"/>
  <c r="AR19" i="39"/>
  <c r="L135" i="39"/>
  <c r="AR22" i="39"/>
  <c r="AX135" i="39"/>
  <c r="K24" i="39"/>
  <c r="V25" i="39"/>
  <c r="AU25" i="39"/>
  <c r="I30" i="39"/>
  <c r="BA30" i="39"/>
  <c r="L36" i="39"/>
  <c r="AY37" i="39"/>
  <c r="AV39" i="39"/>
  <c r="AG39" i="39"/>
  <c r="AW40" i="39"/>
  <c r="AP136" i="39"/>
  <c r="AZ43" i="39"/>
  <c r="AP44" i="39"/>
  <c r="AR43" i="39"/>
  <c r="Z50" i="39"/>
  <c r="AU47" i="39"/>
  <c r="AU50" i="39" s="1"/>
  <c r="AV63" i="39"/>
  <c r="AW73" i="39"/>
  <c r="AA85" i="39"/>
  <c r="AT85" i="39"/>
  <c r="AC85" i="39"/>
  <c r="AB85" i="39"/>
  <c r="AV85" i="39" s="1"/>
  <c r="AY108" i="39"/>
  <c r="AZ37" i="39"/>
  <c r="AA47" i="39"/>
  <c r="AC48" i="39"/>
  <c r="BA48" i="39"/>
  <c r="N49" i="39"/>
  <c r="AY49" i="39" s="1"/>
  <c r="AC49" i="39"/>
  <c r="AA51" i="39"/>
  <c r="AQ56" i="39"/>
  <c r="AC52" i="39"/>
  <c r="AW52" i="39" s="1"/>
  <c r="AA54" i="39"/>
  <c r="AC55" i="39"/>
  <c r="AA59" i="39"/>
  <c r="AX65" i="39"/>
  <c r="AC60" i="39"/>
  <c r="R129" i="39"/>
  <c r="R127" i="39" s="1"/>
  <c r="R65" i="39"/>
  <c r="R124" i="39" s="1"/>
  <c r="K19" i="47" s="1"/>
  <c r="V65" i="39"/>
  <c r="Z72" i="39"/>
  <c r="AR67" i="39"/>
  <c r="AY67" i="39" s="1"/>
  <c r="N79" i="39"/>
  <c r="AX79" i="39"/>
  <c r="AV75" i="39"/>
  <c r="I75" i="39"/>
  <c r="N86" i="39"/>
  <c r="AA82" i="39"/>
  <c r="AT82" i="39"/>
  <c r="AC82" i="39"/>
  <c r="AW82" i="39" s="1"/>
  <c r="AB82" i="39"/>
  <c r="AV82" i="39" s="1"/>
  <c r="AP100" i="39"/>
  <c r="AR94" i="39"/>
  <c r="AZ94" i="39"/>
  <c r="I106" i="39"/>
  <c r="N123" i="39"/>
  <c r="M127" i="39"/>
  <c r="AU37" i="39"/>
  <c r="Z42" i="39"/>
  <c r="Q44" i="39"/>
  <c r="V46" i="39"/>
  <c r="AA45" i="39"/>
  <c r="AB47" i="39"/>
  <c r="I49" i="39"/>
  <c r="BA49" i="39"/>
  <c r="BA134" i="39" s="1"/>
  <c r="AB51" i="39"/>
  <c r="I53" i="39"/>
  <c r="AB54" i="39"/>
  <c r="AV54" i="39" s="1"/>
  <c r="V58" i="39"/>
  <c r="AA57" i="39"/>
  <c r="AP58" i="39"/>
  <c r="AB59" i="39"/>
  <c r="AJ129" i="39"/>
  <c r="AJ127" i="39" s="1"/>
  <c r="AJ65" i="39"/>
  <c r="AY63" i="39"/>
  <c r="I66" i="39"/>
  <c r="BA72" i="39"/>
  <c r="AR68" i="39"/>
  <c r="AY68" i="39" s="1"/>
  <c r="AC69" i="39"/>
  <c r="AW69" i="39" s="1"/>
  <c r="AA69" i="39"/>
  <c r="AR73" i="39"/>
  <c r="AA76" i="39"/>
  <c r="AG76" i="39" s="1"/>
  <c r="AC76" i="39"/>
  <c r="AW76" i="39" s="1"/>
  <c r="AT96" i="39"/>
  <c r="AB96" i="39"/>
  <c r="AV96" i="39" s="1"/>
  <c r="AA96" i="39"/>
  <c r="AC96" i="39"/>
  <c r="AW96" i="39" s="1"/>
  <c r="AO124" i="39"/>
  <c r="AH19" i="47" s="1"/>
  <c r="I38" i="39"/>
  <c r="I39" i="39"/>
  <c r="I40" i="39"/>
  <c r="I41" i="39"/>
  <c r="N136" i="39"/>
  <c r="L44" i="39"/>
  <c r="I45" i="39"/>
  <c r="I137" i="39" s="1"/>
  <c r="AC51" i="39"/>
  <c r="AC54" i="39"/>
  <c r="AW54" i="39" s="1"/>
  <c r="V56" i="39"/>
  <c r="I57" i="39"/>
  <c r="AC59" i="39"/>
  <c r="AP61" i="39"/>
  <c r="AP129" i="39" s="1"/>
  <c r="L62" i="39"/>
  <c r="AW62" i="39" s="1"/>
  <c r="AA62" i="39"/>
  <c r="AR64" i="39"/>
  <c r="AY64" i="39" s="1"/>
  <c r="Q65" i="39"/>
  <c r="I67" i="39"/>
  <c r="AY71" i="39"/>
  <c r="AQ79" i="39"/>
  <c r="BA73" i="39"/>
  <c r="BA79" i="39" s="1"/>
  <c r="I74" i="39"/>
  <c r="AZ85" i="39"/>
  <c r="AR85" i="39"/>
  <c r="N100" i="39"/>
  <c r="AZ98" i="39"/>
  <c r="AR98" i="39"/>
  <c r="AY98" i="39" s="1"/>
  <c r="N107" i="39"/>
  <c r="AY101" i="39"/>
  <c r="I118" i="39"/>
  <c r="V42" i="39"/>
  <c r="AF136" i="39"/>
  <c r="L46" i="39"/>
  <c r="I48" i="39"/>
  <c r="AA49" i="39"/>
  <c r="I52" i="39"/>
  <c r="AR53" i="39"/>
  <c r="AY53" i="39" s="1"/>
  <c r="AB57" i="39"/>
  <c r="L58" i="39"/>
  <c r="AF65" i="39"/>
  <c r="I60" i="39"/>
  <c r="I64" i="39"/>
  <c r="AG64" i="39"/>
  <c r="J65" i="39"/>
  <c r="N72" i="39"/>
  <c r="AF72" i="39"/>
  <c r="AX66" i="39"/>
  <c r="AX72" i="39" s="1"/>
  <c r="AV68" i="39"/>
  <c r="I68" i="39"/>
  <c r="AC71" i="39"/>
  <c r="AW71" i="39" s="1"/>
  <c r="AA71" i="39"/>
  <c r="AR75" i="39"/>
  <c r="AY75" i="39" s="1"/>
  <c r="AZ82" i="39"/>
  <c r="AR82" i="39"/>
  <c r="AY82" i="39" s="1"/>
  <c r="AY85" i="39"/>
  <c r="Q100" i="39"/>
  <c r="V94" i="39"/>
  <c r="AT109" i="39"/>
  <c r="AC109" i="39"/>
  <c r="AW109" i="39" s="1"/>
  <c r="AA109" i="39"/>
  <c r="AB109" i="39"/>
  <c r="N118" i="39"/>
  <c r="BA136" i="39"/>
  <c r="V50" i="39"/>
  <c r="AT47" i="39"/>
  <c r="J72" i="39"/>
  <c r="K69" i="39"/>
  <c r="I69" i="39" s="1"/>
  <c r="AY70" i="39"/>
  <c r="I73" i="39"/>
  <c r="AT76" i="39"/>
  <c r="J79" i="39"/>
  <c r="K76" i="39"/>
  <c r="AV76" i="39" s="1"/>
  <c r="AZ78" i="39"/>
  <c r="AR78" i="39"/>
  <c r="AY78" i="39" s="1"/>
  <c r="I87" i="39"/>
  <c r="L93" i="39"/>
  <c r="AZ89" i="39"/>
  <c r="AR89" i="39"/>
  <c r="AY89" i="39" s="1"/>
  <c r="I90" i="39"/>
  <c r="AZ92" i="39"/>
  <c r="AR92" i="39"/>
  <c r="AY92" i="39" s="1"/>
  <c r="AT99" i="39"/>
  <c r="AB99" i="39"/>
  <c r="AV99" i="39" s="1"/>
  <c r="AA99" i="39"/>
  <c r="AC99" i="39"/>
  <c r="AW99" i="39" s="1"/>
  <c r="AB105" i="39"/>
  <c r="AV105" i="39" s="1"/>
  <c r="AT105" i="39"/>
  <c r="AC105" i="39"/>
  <c r="AW105" i="39" s="1"/>
  <c r="AA105" i="39"/>
  <c r="AH124" i="39"/>
  <c r="AA19" i="47" s="1"/>
  <c r="AN124" i="39"/>
  <c r="AG19" i="47" s="1"/>
  <c r="AR66" i="39"/>
  <c r="AT73" i="39"/>
  <c r="AZ73" i="39"/>
  <c r="AT74" i="39"/>
  <c r="AZ74" i="39"/>
  <c r="AT75" i="39"/>
  <c r="AZ75" i="39"/>
  <c r="AA78" i="39"/>
  <c r="AG78" i="39" s="1"/>
  <c r="AP79" i="39"/>
  <c r="AU81" i="39"/>
  <c r="AU86" i="39" s="1"/>
  <c r="AC83" i="39"/>
  <c r="AW83" i="39" s="1"/>
  <c r="AC87" i="39"/>
  <c r="AW87" i="39" s="1"/>
  <c r="AA89" i="39"/>
  <c r="AC90" i="39"/>
  <c r="AW90" i="39" s="1"/>
  <c r="AA92" i="39"/>
  <c r="AG92" i="39" s="1"/>
  <c r="AS92" i="39" s="1"/>
  <c r="AZ97" i="39"/>
  <c r="AR97" i="39"/>
  <c r="AY97" i="39" s="1"/>
  <c r="AT98" i="39"/>
  <c r="AB98" i="39"/>
  <c r="AV98" i="39" s="1"/>
  <c r="AA98" i="39"/>
  <c r="AW103" i="39"/>
  <c r="AZ110" i="39"/>
  <c r="AR110" i="39"/>
  <c r="AY110" i="39" s="1"/>
  <c r="AV111" i="39"/>
  <c r="O124" i="39"/>
  <c r="H19" i="47" s="1"/>
  <c r="AL124" i="39"/>
  <c r="AE19" i="47" s="1"/>
  <c r="AT120" i="39"/>
  <c r="AA120" i="39"/>
  <c r="AC120" i="39"/>
  <c r="AC123" i="39" s="1"/>
  <c r="AB120" i="39"/>
  <c r="AV120" i="39" s="1"/>
  <c r="I77" i="39"/>
  <c r="AT83" i="39"/>
  <c r="AF86" i="39"/>
  <c r="I88" i="39"/>
  <c r="I91" i="39"/>
  <c r="AS91" i="39" s="1"/>
  <c r="Z100" i="39"/>
  <c r="AB95" i="39"/>
  <c r="AV95" i="39" s="1"/>
  <c r="AA95" i="39"/>
  <c r="AZ96" i="39"/>
  <c r="AR96" i="39"/>
  <c r="AY96" i="39" s="1"/>
  <c r="AT97" i="39"/>
  <c r="AB97" i="39"/>
  <c r="AV97" i="39" s="1"/>
  <c r="AA97" i="39"/>
  <c r="AA102" i="39"/>
  <c r="AT102" i="39"/>
  <c r="AC102" i="39"/>
  <c r="AW102" i="39" s="1"/>
  <c r="AZ109" i="39"/>
  <c r="AW119" i="39"/>
  <c r="L123" i="39"/>
  <c r="I119" i="39"/>
  <c r="AT122" i="39"/>
  <c r="AA122" i="39"/>
  <c r="AG122" i="39" s="1"/>
  <c r="AB122" i="39"/>
  <c r="AV122" i="39" s="1"/>
  <c r="T124" i="39"/>
  <c r="M19" i="47" s="1"/>
  <c r="AF79" i="39"/>
  <c r="AW85" i="39"/>
  <c r="AB106" i="39"/>
  <c r="AV106" i="39" s="1"/>
  <c r="AT106" i="39"/>
  <c r="AC106" i="39"/>
  <c r="AW106" i="39" s="1"/>
  <c r="AF114" i="39"/>
  <c r="AX108" i="39"/>
  <c r="AX114" i="39" s="1"/>
  <c r="K114" i="39"/>
  <c r="AV109" i="39"/>
  <c r="I109" i="39"/>
  <c r="AZ111" i="39"/>
  <c r="AR111" i="39"/>
  <c r="AY111" i="39" s="1"/>
  <c r="Z118" i="39"/>
  <c r="AU115" i="39"/>
  <c r="AU118" i="39" s="1"/>
  <c r="X124" i="39"/>
  <c r="Q19" i="47" s="1"/>
  <c r="N126" i="39"/>
  <c r="V86" i="39"/>
  <c r="Z93" i="39"/>
  <c r="AX94" i="39"/>
  <c r="AX100" i="39" s="1"/>
  <c r="AF100" i="39"/>
  <c r="AU100" i="39"/>
  <c r="AF107" i="39"/>
  <c r="AX101" i="39"/>
  <c r="AZ107" i="39"/>
  <c r="AW110" i="39"/>
  <c r="AD124" i="39"/>
  <c r="W19" i="47" s="1"/>
  <c r="AX118" i="39"/>
  <c r="Y124" i="39"/>
  <c r="R19" i="47" s="1"/>
  <c r="W124" i="39"/>
  <c r="P19" i="47" s="1"/>
  <c r="AB73" i="39"/>
  <c r="AC81" i="39"/>
  <c r="AW81" i="39" s="1"/>
  <c r="AC84" i="39"/>
  <c r="AW84" i="39" s="1"/>
  <c r="AA87" i="39"/>
  <c r="AQ93" i="39"/>
  <c r="AX93" i="39"/>
  <c r="AA90" i="39"/>
  <c r="V93" i="39"/>
  <c r="AW97" i="39"/>
  <c r="L107" i="39"/>
  <c r="I102" i="39"/>
  <c r="AV102" i="39"/>
  <c r="I104" i="39"/>
  <c r="AB104" i="39"/>
  <c r="AV104" i="39" s="1"/>
  <c r="AC104" i="39"/>
  <c r="AG104" i="39" s="1"/>
  <c r="AA106" i="39"/>
  <c r="AQ107" i="39"/>
  <c r="AY109" i="39"/>
  <c r="AC111" i="39"/>
  <c r="AW111" i="39" s="1"/>
  <c r="AA111" i="39"/>
  <c r="AT111" i="39"/>
  <c r="AZ112" i="39"/>
  <c r="AR112" i="39"/>
  <c r="AY112" i="39" s="1"/>
  <c r="AT119" i="39"/>
  <c r="V123" i="39"/>
  <c r="AA119" i="39"/>
  <c r="AB119" i="39"/>
  <c r="AW122" i="39"/>
  <c r="I122" i="39"/>
  <c r="AM124" i="39"/>
  <c r="AF19" i="47" s="1"/>
  <c r="Q107" i="39"/>
  <c r="V101" i="39"/>
  <c r="AA103" i="39"/>
  <c r="AR103" i="39"/>
  <c r="AY103" i="39" s="1"/>
  <c r="AX104" i="39"/>
  <c r="BA104" i="39"/>
  <c r="BA107" i="39" s="1"/>
  <c r="AR105" i="39"/>
  <c r="AY105" i="39" s="1"/>
  <c r="AB108" i="39"/>
  <c r="AZ108" i="39"/>
  <c r="AB110" i="39"/>
  <c r="AA112" i="39"/>
  <c r="AT113" i="39"/>
  <c r="AA113" i="39"/>
  <c r="AZ115" i="39"/>
  <c r="AP118" i="39"/>
  <c r="AR115" i="39"/>
  <c r="AY115" i="39" s="1"/>
  <c r="AY118" i="39" s="1"/>
  <c r="AW117" i="39"/>
  <c r="AR119" i="39"/>
  <c r="AR120" i="39"/>
  <c r="AY120" i="39" s="1"/>
  <c r="AB121" i="39"/>
  <c r="AV121" i="39" s="1"/>
  <c r="AR121" i="39"/>
  <c r="AY121" i="39" s="1"/>
  <c r="AR122" i="39"/>
  <c r="AY122" i="39" s="1"/>
  <c r="AI124" i="39"/>
  <c r="AU107" i="39"/>
  <c r="P107" i="39"/>
  <c r="AC108" i="39"/>
  <c r="AB112" i="39"/>
  <c r="AV112" i="39" s="1"/>
  <c r="AJ114" i="39"/>
  <c r="AA115" i="39"/>
  <c r="AE124" i="39"/>
  <c r="X19" i="47" s="1"/>
  <c r="AK124" i="39"/>
  <c r="AD19" i="47" s="1"/>
  <c r="AW121" i="39"/>
  <c r="I121" i="39"/>
  <c r="AP123" i="39"/>
  <c r="K107" i="39"/>
  <c r="AR104" i="39"/>
  <c r="AY104" i="39" s="1"/>
  <c r="AR106" i="39"/>
  <c r="AY106" i="39" s="1"/>
  <c r="V114" i="39"/>
  <c r="I110" i="39"/>
  <c r="AA117" i="39"/>
  <c r="AT117" i="39"/>
  <c r="M124" i="39"/>
  <c r="F19" i="47" s="1"/>
  <c r="S124" i="39"/>
  <c r="L19" i="47" s="1"/>
  <c r="Z107" i="39"/>
  <c r="Z114" i="39"/>
  <c r="AU108" i="39"/>
  <c r="AU114" i="39" s="1"/>
  <c r="AQ114" i="39"/>
  <c r="BA108" i="39"/>
  <c r="BA114" i="39" s="1"/>
  <c r="Q114" i="39"/>
  <c r="AW115" i="39"/>
  <c r="AT121" i="39"/>
  <c r="AA121" i="39"/>
  <c r="J127" i="39"/>
  <c r="AA116" i="39"/>
  <c r="AT116" i="39"/>
  <c r="AY45" i="39" l="1"/>
  <c r="AY46" i="39" s="1"/>
  <c r="AG103" i="39"/>
  <c r="AS103" i="39" s="1"/>
  <c r="I50" i="39"/>
  <c r="Z127" i="39"/>
  <c r="BA135" i="39"/>
  <c r="AT65" i="39"/>
  <c r="AG74" i="39"/>
  <c r="AT57" i="39"/>
  <c r="AT58" i="39" s="1"/>
  <c r="AC57" i="39"/>
  <c r="AT72" i="39"/>
  <c r="AQ124" i="39"/>
  <c r="AJ19" i="47" s="1"/>
  <c r="AC50" i="39"/>
  <c r="AZ72" i="39"/>
  <c r="AB115" i="39"/>
  <c r="AT115" i="39"/>
  <c r="AT118" i="39" s="1"/>
  <c r="AG111" i="39"/>
  <c r="AS111" i="39" s="1"/>
  <c r="AC80" i="39"/>
  <c r="AC86" i="39" s="1"/>
  <c r="AG77" i="39"/>
  <c r="AG88" i="39"/>
  <c r="AG40" i="39"/>
  <c r="AF124" i="39"/>
  <c r="Y19" i="47" s="1"/>
  <c r="AG68" i="39"/>
  <c r="AS68" i="39" s="1"/>
  <c r="AG61" i="39"/>
  <c r="AS61" i="39" s="1"/>
  <c r="AT24" i="39"/>
  <c r="V118" i="39"/>
  <c r="AS78" i="39"/>
  <c r="AP126" i="39"/>
  <c r="AR130" i="39"/>
  <c r="AT56" i="39"/>
  <c r="AJ124" i="39"/>
  <c r="AC19" i="47" s="1"/>
  <c r="AG84" i="39"/>
  <c r="AS84" i="39" s="1"/>
  <c r="AG75" i="39"/>
  <c r="BA131" i="39"/>
  <c r="AG38" i="39"/>
  <c r="AS38" i="39" s="1"/>
  <c r="AG23" i="39"/>
  <c r="AT87" i="39"/>
  <c r="AT93" i="39" s="1"/>
  <c r="AB87" i="39"/>
  <c r="AT114" i="39"/>
  <c r="AC135" i="39"/>
  <c r="AQ125" i="39"/>
  <c r="AB19" i="47"/>
  <c r="AY86" i="39"/>
  <c r="AZ100" i="39"/>
  <c r="AB43" i="39"/>
  <c r="AF127" i="39"/>
  <c r="AA24" i="39"/>
  <c r="AG117" i="39"/>
  <c r="AS117" i="39" s="1"/>
  <c r="AG110" i="39"/>
  <c r="AG99" i="39"/>
  <c r="AS99" i="39" s="1"/>
  <c r="AG54" i="39"/>
  <c r="AS54" i="39" s="1"/>
  <c r="AT43" i="39"/>
  <c r="AT136" i="39" s="1"/>
  <c r="AT80" i="39"/>
  <c r="AB80" i="39"/>
  <c r="AV80" i="39" s="1"/>
  <c r="AG116" i="39"/>
  <c r="AS116" i="39" s="1"/>
  <c r="AZ118" i="39"/>
  <c r="AS77" i="39"/>
  <c r="AZ93" i="39"/>
  <c r="AA79" i="39"/>
  <c r="AV74" i="39"/>
  <c r="AS39" i="39"/>
  <c r="BA93" i="39"/>
  <c r="AC24" i="39"/>
  <c r="AU134" i="39"/>
  <c r="AX42" i="39"/>
  <c r="AX136" i="39"/>
  <c r="AR42" i="39"/>
  <c r="V136" i="39"/>
  <c r="AB129" i="39"/>
  <c r="AC118" i="39"/>
  <c r="AC45" i="39"/>
  <c r="AB45" i="39"/>
  <c r="AT45" i="39"/>
  <c r="AT46" i="39" s="1"/>
  <c r="AG53" i="39"/>
  <c r="AS53" i="39" s="1"/>
  <c r="AG20" i="39"/>
  <c r="AS20" i="39" s="1"/>
  <c r="AW120" i="39"/>
  <c r="AW123" i="39" s="1"/>
  <c r="AW118" i="39"/>
  <c r="Z124" i="39"/>
  <c r="S19" i="47" s="1"/>
  <c r="AR118" i="39"/>
  <c r="AG95" i="39"/>
  <c r="AS95" i="39" s="1"/>
  <c r="J124" i="39"/>
  <c r="C19" i="47" s="1"/>
  <c r="Q124" i="39"/>
  <c r="J19" i="47" s="1"/>
  <c r="I114" i="39"/>
  <c r="AG81" i="39"/>
  <c r="AS81" i="39" s="1"/>
  <c r="AZ86" i="39"/>
  <c r="AS40" i="39"/>
  <c r="AX129" i="39"/>
  <c r="V130" i="39"/>
  <c r="AB37" i="39"/>
  <c r="AA37" i="39"/>
  <c r="AC37" i="39"/>
  <c r="AG113" i="39"/>
  <c r="AS113" i="39" s="1"/>
  <c r="AG108" i="39"/>
  <c r="AB79" i="39"/>
  <c r="AG89" i="39"/>
  <c r="AS89" i="39" s="1"/>
  <c r="AY93" i="39"/>
  <c r="AT50" i="39"/>
  <c r="AA114" i="39"/>
  <c r="AG62" i="39"/>
  <c r="AG60" i="39"/>
  <c r="AS60" i="39" s="1"/>
  <c r="AG19" i="39"/>
  <c r="AA43" i="39"/>
  <c r="AA136" i="39" s="1"/>
  <c r="AC129" i="39"/>
  <c r="AG35" i="39"/>
  <c r="AS35" i="39" s="1"/>
  <c r="AT135" i="39"/>
  <c r="AT129" i="39"/>
  <c r="AS88" i="39"/>
  <c r="AR86" i="39"/>
  <c r="AT86" i="39"/>
  <c r="AS23" i="39"/>
  <c r="I131" i="39"/>
  <c r="AG96" i="39"/>
  <c r="AS96" i="39" s="1"/>
  <c r="AT37" i="39"/>
  <c r="AT130" i="39" s="1"/>
  <c r="AZ135" i="39"/>
  <c r="Q127" i="39"/>
  <c r="V126" i="39" s="1"/>
  <c r="AU136" i="39"/>
  <c r="AG21" i="39"/>
  <c r="AG15" i="39"/>
  <c r="AS15" i="39" s="1"/>
  <c r="AG16" i="39"/>
  <c r="AS16" i="39" s="1"/>
  <c r="AP201" i="42"/>
  <c r="AP144" i="41"/>
  <c r="AR143" i="41" s="1"/>
  <c r="W200" i="42"/>
  <c r="V200" i="42"/>
  <c r="AC198" i="42"/>
  <c r="AQ200" i="42"/>
  <c r="AA179" i="42"/>
  <c r="AG173" i="42"/>
  <c r="AT198" i="42"/>
  <c r="AZ191" i="42"/>
  <c r="AS182" i="42"/>
  <c r="AB179" i="42"/>
  <c r="AG177" i="42"/>
  <c r="AS177" i="42" s="1"/>
  <c r="AW167" i="42"/>
  <c r="AW172" i="42" s="1"/>
  <c r="AZ162" i="42"/>
  <c r="AG160" i="42"/>
  <c r="AS160" i="42" s="1"/>
  <c r="AG163" i="42"/>
  <c r="AA166" i="42"/>
  <c r="I156" i="42"/>
  <c r="AS130" i="42"/>
  <c r="AB172" i="42"/>
  <c r="AV167" i="42"/>
  <c r="AV172" i="42" s="1"/>
  <c r="I162" i="42"/>
  <c r="BA126" i="42"/>
  <c r="BA199" i="42" s="1"/>
  <c r="BA203" i="42"/>
  <c r="AW117" i="42"/>
  <c r="AV111" i="42"/>
  <c r="I113" i="42"/>
  <c r="AT211" i="42"/>
  <c r="AT79" i="42"/>
  <c r="BA209" i="42"/>
  <c r="AG190" i="42"/>
  <c r="AS190" i="42" s="1"/>
  <c r="AC145" i="42"/>
  <c r="AY180" i="42"/>
  <c r="AY185" i="42" s="1"/>
  <c r="AA145" i="42"/>
  <c r="AG139" i="42"/>
  <c r="AC162" i="42"/>
  <c r="AW157" i="42"/>
  <c r="AW162" i="42" s="1"/>
  <c r="AS161" i="42"/>
  <c r="AT145" i="42"/>
  <c r="AG187" i="42"/>
  <c r="AS187" i="42" s="1"/>
  <c r="AG152" i="42"/>
  <c r="AS152" i="42" s="1"/>
  <c r="AG146" i="42"/>
  <c r="AG148" i="42" s="1"/>
  <c r="AA148" i="42"/>
  <c r="AR132" i="42"/>
  <c r="AY127" i="42"/>
  <c r="AY132" i="42" s="1"/>
  <c r="AW192" i="42"/>
  <c r="AW198" i="42" s="1"/>
  <c r="AG193" i="42"/>
  <c r="AS193" i="42" s="1"/>
  <c r="AG184" i="42"/>
  <c r="AS184" i="42" s="1"/>
  <c r="AG192" i="42"/>
  <c r="AA198" i="42"/>
  <c r="AT179" i="42"/>
  <c r="AS180" i="42"/>
  <c r="AS185" i="42" s="1"/>
  <c r="I185" i="42"/>
  <c r="AY191" i="42"/>
  <c r="AS169" i="42"/>
  <c r="AZ210" i="42"/>
  <c r="I172" i="42"/>
  <c r="AT162" i="42"/>
  <c r="N199" i="42"/>
  <c r="AW145" i="42"/>
  <c r="AY117" i="42"/>
  <c r="AG114" i="42"/>
  <c r="AA116" i="42"/>
  <c r="AR96" i="42"/>
  <c r="AR204" i="42"/>
  <c r="AY91" i="42"/>
  <c r="AY96" i="42" s="1"/>
  <c r="AB211" i="42"/>
  <c r="AB79" i="42"/>
  <c r="AV78" i="42"/>
  <c r="I203" i="42"/>
  <c r="AP200" i="42"/>
  <c r="AB198" i="42"/>
  <c r="AV192" i="42"/>
  <c r="AV198" i="42" s="1"/>
  <c r="AG181" i="42"/>
  <c r="AS181" i="42" s="1"/>
  <c r="AS194" i="42"/>
  <c r="AS174" i="42"/>
  <c r="AR191" i="42"/>
  <c r="AR153" i="42"/>
  <c r="AY149" i="42"/>
  <c r="AY153" i="42" s="1"/>
  <c r="AR145" i="42"/>
  <c r="AY139" i="42"/>
  <c r="AY145" i="42" s="1"/>
  <c r="AR135" i="42"/>
  <c r="AY133" i="42"/>
  <c r="AY135" i="42" s="1"/>
  <c r="AR138" i="42"/>
  <c r="AY136" i="42"/>
  <c r="AY138" i="42" s="1"/>
  <c r="AX153" i="42"/>
  <c r="AX199" i="42" s="1"/>
  <c r="AX206" i="42"/>
  <c r="AW115" i="42"/>
  <c r="AC116" i="42"/>
  <c r="AG115" i="42"/>
  <c r="AS115" i="42" s="1"/>
  <c r="AV56" i="42"/>
  <c r="I56" i="42"/>
  <c r="K59" i="42"/>
  <c r="K199" i="42" s="1"/>
  <c r="I200" i="42" s="1"/>
  <c r="K209" i="42"/>
  <c r="K202" i="42" s="1"/>
  <c r="I201" i="42" s="1"/>
  <c r="AB185" i="42"/>
  <c r="AV180" i="42"/>
  <c r="AV185" i="42" s="1"/>
  <c r="Z199" i="42"/>
  <c r="AV159" i="42"/>
  <c r="AV162" i="42" s="1"/>
  <c r="AB162" i="42"/>
  <c r="I166" i="42"/>
  <c r="AS163" i="42"/>
  <c r="AG165" i="42"/>
  <c r="AS165" i="42" s="1"/>
  <c r="AG159" i="42"/>
  <c r="AS159" i="42" s="1"/>
  <c r="AR198" i="42"/>
  <c r="AY192" i="42"/>
  <c r="AY198" i="42" s="1"/>
  <c r="AY107" i="42"/>
  <c r="AY113" i="42" s="1"/>
  <c r="AR113" i="42"/>
  <c r="AW125" i="42"/>
  <c r="AG125" i="42"/>
  <c r="AA107" i="42"/>
  <c r="AB107" i="42"/>
  <c r="V113" i="42"/>
  <c r="AT107" i="42"/>
  <c r="AT113" i="42" s="1"/>
  <c r="AC107" i="42"/>
  <c r="AB96" i="42"/>
  <c r="AV92" i="42"/>
  <c r="AV81" i="42"/>
  <c r="AG81" i="42"/>
  <c r="AR210" i="42"/>
  <c r="AG197" i="42"/>
  <c r="AS197" i="42" s="1"/>
  <c r="AR179" i="42"/>
  <c r="AY173" i="42"/>
  <c r="AY179" i="42" s="1"/>
  <c r="Q200" i="42"/>
  <c r="Z200" i="42"/>
  <c r="AR162" i="42"/>
  <c r="AY157" i="42"/>
  <c r="AY162" i="42" s="1"/>
  <c r="AY167" i="42"/>
  <c r="AY172" i="42" s="1"/>
  <c r="AR172" i="42"/>
  <c r="AA153" i="42"/>
  <c r="AG149" i="42"/>
  <c r="AA135" i="42"/>
  <c r="AG133" i="42"/>
  <c r="AB148" i="42"/>
  <c r="AV146" i="42"/>
  <c r="AV148" i="42" s="1"/>
  <c r="AB138" i="42"/>
  <c r="AV136" i="42"/>
  <c r="AV138" i="42" s="1"/>
  <c r="AV127" i="42"/>
  <c r="AB166" i="42"/>
  <c r="AV163" i="42"/>
  <c r="AV166" i="42" s="1"/>
  <c r="AA156" i="42"/>
  <c r="AG154" i="42"/>
  <c r="AG156" i="42" s="1"/>
  <c r="I138" i="42"/>
  <c r="AZ118" i="42"/>
  <c r="AZ122" i="42" s="1"/>
  <c r="AR118" i="42"/>
  <c r="AY118" i="42" s="1"/>
  <c r="AP122" i="42"/>
  <c r="AP199" i="42" s="1"/>
  <c r="AP206" i="42"/>
  <c r="AP202" i="42" s="1"/>
  <c r="AR201" i="42" s="1"/>
  <c r="V100" i="42"/>
  <c r="AA97" i="42"/>
  <c r="AT97" i="42"/>
  <c r="AT100" i="42" s="1"/>
  <c r="AC97" i="42"/>
  <c r="AB97" i="42"/>
  <c r="BA206" i="42"/>
  <c r="AT186" i="42"/>
  <c r="AT191" i="42" s="1"/>
  <c r="V191" i="42"/>
  <c r="AA186" i="42"/>
  <c r="AC186" i="42"/>
  <c r="AB186" i="42"/>
  <c r="AZ185" i="42"/>
  <c r="AG170" i="42"/>
  <c r="AS170" i="42" s="1"/>
  <c r="AS183" i="42"/>
  <c r="AR166" i="42"/>
  <c r="AA162" i="42"/>
  <c r="AG157" i="42"/>
  <c r="AZ172" i="42"/>
  <c r="AZ145" i="42"/>
  <c r="AG171" i="42"/>
  <c r="AS171" i="42" s="1"/>
  <c r="AT166" i="42"/>
  <c r="AG150" i="42"/>
  <c r="AS150" i="42" s="1"/>
  <c r="I148" i="42"/>
  <c r="AS146" i="42"/>
  <c r="AS148" i="42" s="1"/>
  <c r="AG127" i="42"/>
  <c r="AA172" i="42"/>
  <c r="AG167" i="42"/>
  <c r="AG172" i="42" s="1"/>
  <c r="AW96" i="42"/>
  <c r="AW124" i="42"/>
  <c r="I90" i="42"/>
  <c r="V210" i="42"/>
  <c r="AA51" i="42"/>
  <c r="AT51" i="42"/>
  <c r="AT210" i="42" s="1"/>
  <c r="AC51" i="42"/>
  <c r="AB51" i="42"/>
  <c r="I96" i="42"/>
  <c r="AS91" i="42"/>
  <c r="AV116" i="42"/>
  <c r="AA38" i="42"/>
  <c r="AG35" i="42"/>
  <c r="AG38" i="42" s="1"/>
  <c r="AA106" i="42"/>
  <c r="AG101" i="42"/>
  <c r="AG74" i="42"/>
  <c r="AS74" i="42" s="1"/>
  <c r="AG61" i="42"/>
  <c r="AS61" i="42" s="1"/>
  <c r="AG57" i="42"/>
  <c r="AR34" i="42"/>
  <c r="AR209" i="42"/>
  <c r="AC80" i="42"/>
  <c r="AT80" i="42"/>
  <c r="AT86" i="42" s="1"/>
  <c r="AB80" i="42"/>
  <c r="AA80" i="42"/>
  <c r="AA203" i="42" s="1"/>
  <c r="V86" i="42"/>
  <c r="AY22" i="42"/>
  <c r="AC77" i="42"/>
  <c r="AG60" i="42"/>
  <c r="AA65" i="42"/>
  <c r="AW54" i="42"/>
  <c r="AC59" i="42"/>
  <c r="AW34" i="42"/>
  <c r="AG84" i="42"/>
  <c r="AS84" i="42" s="1"/>
  <c r="AG104" i="42"/>
  <c r="AS104" i="42" s="1"/>
  <c r="AG16" i="42"/>
  <c r="AS16" i="42" s="1"/>
  <c r="AG15" i="42"/>
  <c r="AS15" i="42" s="1"/>
  <c r="AG40" i="42"/>
  <c r="AS40" i="42" s="1"/>
  <c r="AG32" i="42"/>
  <c r="AS32" i="42" s="1"/>
  <c r="AG24" i="42"/>
  <c r="AS24" i="42" s="1"/>
  <c r="AY71" i="42"/>
  <c r="AY77" i="42" s="1"/>
  <c r="AR59" i="42"/>
  <c r="AU203" i="42"/>
  <c r="V203" i="42"/>
  <c r="AT41" i="42"/>
  <c r="AT34" i="42"/>
  <c r="AV17" i="42"/>
  <c r="AV209" i="42" s="1"/>
  <c r="I132" i="42"/>
  <c r="AS127" i="42"/>
  <c r="AT172" i="42"/>
  <c r="V126" i="42"/>
  <c r="V199" i="42" s="1"/>
  <c r="AC123" i="42"/>
  <c r="AT123" i="42"/>
  <c r="AT126" i="42" s="1"/>
  <c r="AB123" i="42"/>
  <c r="AA123" i="42"/>
  <c r="AY101" i="42"/>
  <c r="AY106" i="42" s="1"/>
  <c r="AR106" i="42"/>
  <c r="AS124" i="42"/>
  <c r="AS101" i="42"/>
  <c r="I106" i="42"/>
  <c r="AW106" i="42"/>
  <c r="AS57" i="42"/>
  <c r="AS49" i="42"/>
  <c r="AC211" i="42"/>
  <c r="AC79" i="42"/>
  <c r="AW78" i="42"/>
  <c r="AG70" i="42"/>
  <c r="AU204" i="42"/>
  <c r="AU53" i="42"/>
  <c r="AS125" i="42"/>
  <c r="I122" i="42"/>
  <c r="AS117" i="42"/>
  <c r="AY53" i="42"/>
  <c r="AA30" i="42"/>
  <c r="AG27" i="42"/>
  <c r="AG30" i="42" s="1"/>
  <c r="AZ203" i="42"/>
  <c r="AZ18" i="42"/>
  <c r="AB106" i="42"/>
  <c r="AV101" i="42"/>
  <c r="AV106" i="42" s="1"/>
  <c r="BA86" i="42"/>
  <c r="I210" i="42"/>
  <c r="V212" i="42"/>
  <c r="AT46" i="42"/>
  <c r="AC46" i="42"/>
  <c r="AB46" i="42"/>
  <c r="V47" i="42"/>
  <c r="AA46" i="42"/>
  <c r="AY18" i="42"/>
  <c r="AR212" i="42"/>
  <c r="AR47" i="42"/>
  <c r="AX203" i="42"/>
  <c r="AX18" i="42"/>
  <c r="AG73" i="42"/>
  <c r="AS73" i="42" s="1"/>
  <c r="AT59" i="42"/>
  <c r="AY34" i="42"/>
  <c r="AG13" i="42"/>
  <c r="AS13" i="42" s="1"/>
  <c r="AG62" i="42"/>
  <c r="AS62" i="42" s="1"/>
  <c r="AZ59" i="42"/>
  <c r="AA18" i="42"/>
  <c r="AG12" i="42"/>
  <c r="AA26" i="42"/>
  <c r="AG23" i="42"/>
  <c r="AS168" i="42"/>
  <c r="AZ198" i="42"/>
  <c r="AG142" i="42"/>
  <c r="AS142" i="42" s="1"/>
  <c r="AG136" i="42"/>
  <c r="AG138" i="42" s="1"/>
  <c r="AA138" i="42"/>
  <c r="AY126" i="42"/>
  <c r="AY154" i="42"/>
  <c r="AY156" i="42" s="1"/>
  <c r="AG92" i="42"/>
  <c r="AS92" i="42" s="1"/>
  <c r="AT88" i="42"/>
  <c r="AC88" i="42"/>
  <c r="AW88" i="42" s="1"/>
  <c r="AW90" i="42" s="1"/>
  <c r="AB88" i="42"/>
  <c r="AV88" i="42" s="1"/>
  <c r="AV90" i="42" s="1"/>
  <c r="AA88" i="42"/>
  <c r="AG88" i="42" s="1"/>
  <c r="AS88" i="42" s="1"/>
  <c r="I70" i="42"/>
  <c r="AS66" i="42"/>
  <c r="AW56" i="42"/>
  <c r="L59" i="42"/>
  <c r="L199" i="42" s="1"/>
  <c r="AV154" i="42"/>
  <c r="AV156" i="42" s="1"/>
  <c r="AG110" i="42"/>
  <c r="AS110" i="42" s="1"/>
  <c r="AX212" i="42"/>
  <c r="AX47" i="42"/>
  <c r="AA96" i="42"/>
  <c r="AY211" i="42"/>
  <c r="AY79" i="42"/>
  <c r="AW65" i="42"/>
  <c r="I126" i="42"/>
  <c r="BA96" i="42"/>
  <c r="AS85" i="42"/>
  <c r="AW77" i="42"/>
  <c r="AA22" i="42"/>
  <c r="AG19" i="42"/>
  <c r="AG22" i="42" s="1"/>
  <c r="AG82" i="42"/>
  <c r="AS82" i="42" s="1"/>
  <c r="AA211" i="42"/>
  <c r="AA79" i="42"/>
  <c r="AG78" i="42"/>
  <c r="AG55" i="42"/>
  <c r="AS55" i="42" s="1"/>
  <c r="I204" i="42"/>
  <c r="I53" i="42"/>
  <c r="I30" i="42"/>
  <c r="AY209" i="42"/>
  <c r="AG83" i="42"/>
  <c r="AS83" i="42" s="1"/>
  <c r="AU211" i="42"/>
  <c r="AU79" i="42"/>
  <c r="AU199" i="42" s="1"/>
  <c r="I77" i="42"/>
  <c r="AR203" i="42"/>
  <c r="AR18" i="42"/>
  <c r="AR211" i="42"/>
  <c r="AR79" i="42"/>
  <c r="AB206" i="42"/>
  <c r="AB65" i="42"/>
  <c r="AV60" i="42"/>
  <c r="AG75" i="42"/>
  <c r="AS75" i="42" s="1"/>
  <c r="I45" i="42"/>
  <c r="AG33" i="42"/>
  <c r="AS33" i="42" s="1"/>
  <c r="BA59" i="42"/>
  <c r="AA205" i="42"/>
  <c r="AG14" i="42"/>
  <c r="AG56" i="42"/>
  <c r="I212" i="42"/>
  <c r="I47" i="42"/>
  <c r="AA41" i="42"/>
  <c r="AG39" i="42"/>
  <c r="AA34" i="42"/>
  <c r="AG31" i="42"/>
  <c r="Q202" i="42"/>
  <c r="V201" i="42" s="1"/>
  <c r="AG109" i="42"/>
  <c r="AS109" i="42" s="1"/>
  <c r="AR90" i="42"/>
  <c r="I206" i="42"/>
  <c r="AZ212" i="42"/>
  <c r="AZ47" i="42"/>
  <c r="L202" i="42"/>
  <c r="BA211" i="42"/>
  <c r="BA79" i="42"/>
  <c r="AG99" i="42"/>
  <c r="AS99" i="42" s="1"/>
  <c r="AY64" i="42"/>
  <c r="AY65" i="42" s="1"/>
  <c r="AC206" i="42"/>
  <c r="AC65" i="42"/>
  <c r="AT30" i="42"/>
  <c r="AR206" i="42"/>
  <c r="AR65" i="42"/>
  <c r="AW45" i="42"/>
  <c r="AY23" i="42"/>
  <c r="AY26" i="42" s="1"/>
  <c r="AB205" i="42"/>
  <c r="AV14" i="42"/>
  <c r="AV205" i="42" s="1"/>
  <c r="AY59" i="42"/>
  <c r="AS81" i="42"/>
  <c r="AB203" i="42"/>
  <c r="AB18" i="42"/>
  <c r="AV12" i="42"/>
  <c r="AB26" i="42"/>
  <c r="AV23" i="42"/>
  <c r="AV26" i="42" s="1"/>
  <c r="AU212" i="42"/>
  <c r="AU47" i="42"/>
  <c r="N209" i="42"/>
  <c r="N202" i="42" s="1"/>
  <c r="AG87" i="42"/>
  <c r="AG52" i="42"/>
  <c r="AS52" i="42" s="1"/>
  <c r="AX113" i="42"/>
  <c r="AA77" i="42"/>
  <c r="AG71" i="42"/>
  <c r="AT65" i="42"/>
  <c r="AA59" i="42"/>
  <c r="AG54" i="42"/>
  <c r="AW26" i="42"/>
  <c r="I209" i="42"/>
  <c r="V204" i="42"/>
  <c r="V53" i="42"/>
  <c r="AA48" i="42"/>
  <c r="AT48" i="42"/>
  <c r="AC48" i="42"/>
  <c r="AB48" i="42"/>
  <c r="AC205" i="42"/>
  <c r="AW14" i="42"/>
  <c r="AW205" i="42" s="1"/>
  <c r="AC18" i="42"/>
  <c r="AW12" i="42"/>
  <c r="AV39" i="42"/>
  <c r="AV41" i="42" s="1"/>
  <c r="AB41" i="42"/>
  <c r="I38" i="42"/>
  <c r="AS35" i="42"/>
  <c r="AS38" i="42" s="1"/>
  <c r="AV31" i="42"/>
  <c r="AV34" i="42" s="1"/>
  <c r="AB34" i="42"/>
  <c r="AC26" i="42"/>
  <c r="AW116" i="42"/>
  <c r="AS111" i="42"/>
  <c r="AS69" i="42"/>
  <c r="AY212" i="42"/>
  <c r="AY47" i="42"/>
  <c r="I86" i="42"/>
  <c r="AA129" i="42"/>
  <c r="AA132" i="42" s="1"/>
  <c r="AT129" i="42"/>
  <c r="AT132" i="42" s="1"/>
  <c r="AC129" i="42"/>
  <c r="AB129" i="42"/>
  <c r="AV129" i="42" s="1"/>
  <c r="AV96" i="42"/>
  <c r="AG72" i="42"/>
  <c r="AS72" i="42" s="1"/>
  <c r="AA45" i="42"/>
  <c r="AG42" i="42"/>
  <c r="AG45" i="42" s="1"/>
  <c r="AT90" i="42"/>
  <c r="AG64" i="42"/>
  <c r="AS64" i="42" s="1"/>
  <c r="AX204" i="42"/>
  <c r="AX53" i="42"/>
  <c r="AS19" i="42"/>
  <c r="AS22" i="42" s="1"/>
  <c r="I22" i="42"/>
  <c r="AY205" i="42"/>
  <c r="AG117" i="42"/>
  <c r="AB90" i="42"/>
  <c r="AR205" i="42"/>
  <c r="AY30" i="42"/>
  <c r="AB77" i="42"/>
  <c r="AV71" i="42"/>
  <c r="AV77" i="42" s="1"/>
  <c r="AV70" i="42"/>
  <c r="AU206" i="42"/>
  <c r="AU65" i="42"/>
  <c r="AB59" i="42"/>
  <c r="AV54" i="42"/>
  <c r="AV59" i="42" s="1"/>
  <c r="AT38" i="42"/>
  <c r="AA118" i="42"/>
  <c r="AC118" i="42"/>
  <c r="AW118" i="42" s="1"/>
  <c r="AW206" i="42" s="1"/>
  <c r="AB118" i="42"/>
  <c r="AV118" i="42" s="1"/>
  <c r="AV122" i="42" s="1"/>
  <c r="AT118" i="42"/>
  <c r="AT122" i="42" s="1"/>
  <c r="I205" i="42"/>
  <c r="AZ206" i="42"/>
  <c r="AZ65" i="42"/>
  <c r="AY86" i="42"/>
  <c r="AY39" i="42"/>
  <c r="AY41" i="42" s="1"/>
  <c r="BA204" i="42"/>
  <c r="AT205" i="42"/>
  <c r="AG58" i="42"/>
  <c r="AS58" i="42" s="1"/>
  <c r="AS43" i="42"/>
  <c r="AT203" i="42"/>
  <c r="AT18" i="42"/>
  <c r="AC41" i="42"/>
  <c r="AW38" i="42"/>
  <c r="AC34" i="42"/>
  <c r="AT26" i="42"/>
  <c r="AA209" i="42"/>
  <c r="AG17" i="42"/>
  <c r="I87" i="41"/>
  <c r="AS84" i="41"/>
  <c r="AV116" i="41"/>
  <c r="AS99" i="41"/>
  <c r="I101" i="41"/>
  <c r="AW117" i="41"/>
  <c r="AS113" i="41"/>
  <c r="AR109" i="41"/>
  <c r="AY102" i="41"/>
  <c r="AY109" i="41" s="1"/>
  <c r="AR116" i="41"/>
  <c r="AY110" i="41"/>
  <c r="AY116" i="41" s="1"/>
  <c r="AG103" i="41"/>
  <c r="AS103" i="41" s="1"/>
  <c r="AR101" i="41"/>
  <c r="AY98" i="41"/>
  <c r="AY101" i="41" s="1"/>
  <c r="AW76" i="41"/>
  <c r="AG76" i="41"/>
  <c r="AB148" i="41"/>
  <c r="I145" i="41"/>
  <c r="AZ145" i="41"/>
  <c r="AQ141" i="41"/>
  <c r="AX133" i="41"/>
  <c r="AX148" i="41"/>
  <c r="AC128" i="41"/>
  <c r="AG125" i="41"/>
  <c r="AS107" i="41"/>
  <c r="AG135" i="41"/>
  <c r="AS135" i="41" s="1"/>
  <c r="AB140" i="41"/>
  <c r="AV134" i="41"/>
  <c r="AV140" i="41" s="1"/>
  <c r="AG92" i="41"/>
  <c r="AS92" i="41" s="1"/>
  <c r="AA148" i="41"/>
  <c r="AG31" i="41"/>
  <c r="AA36" i="41"/>
  <c r="AW153" i="41"/>
  <c r="AW29" i="41"/>
  <c r="AG94" i="41"/>
  <c r="AA97" i="41"/>
  <c r="I146" i="41"/>
  <c r="I21" i="41"/>
  <c r="AW62" i="41"/>
  <c r="AW65" i="41" s="1"/>
  <c r="AC65" i="41"/>
  <c r="AG122" i="41"/>
  <c r="AS122" i="41" s="1"/>
  <c r="AG115" i="41"/>
  <c r="AS115" i="41" s="1"/>
  <c r="AA124" i="41"/>
  <c r="AG117" i="41"/>
  <c r="AV129" i="41"/>
  <c r="AV133" i="41" s="1"/>
  <c r="AU128" i="41"/>
  <c r="AG121" i="41"/>
  <c r="AS121" i="41" s="1"/>
  <c r="V109" i="41"/>
  <c r="AB102" i="41"/>
  <c r="AA102" i="41"/>
  <c r="AC102" i="41"/>
  <c r="AT102" i="41"/>
  <c r="AT109" i="41" s="1"/>
  <c r="AG107" i="41"/>
  <c r="AY97" i="41"/>
  <c r="AB93" i="41"/>
  <c r="AT133" i="41"/>
  <c r="AR97" i="41"/>
  <c r="AW112" i="41"/>
  <c r="AV87" i="41"/>
  <c r="AG120" i="41"/>
  <c r="AS120" i="41" s="1"/>
  <c r="AB72" i="41"/>
  <c r="AZ61" i="41"/>
  <c r="Q142" i="41"/>
  <c r="Z142" i="41"/>
  <c r="AS86" i="41"/>
  <c r="AG118" i="41"/>
  <c r="AS118" i="41" s="1"/>
  <c r="AB79" i="41"/>
  <c r="AG73" i="41"/>
  <c r="AS69" i="41"/>
  <c r="AS57" i="41"/>
  <c r="AB97" i="41"/>
  <c r="AV94" i="41"/>
  <c r="AV97" i="41" s="1"/>
  <c r="AG42" i="41"/>
  <c r="BA151" i="41"/>
  <c r="AQ144" i="41"/>
  <c r="AS78" i="41"/>
  <c r="AX27" i="41"/>
  <c r="AS55" i="41"/>
  <c r="K36" i="41"/>
  <c r="AG23" i="41"/>
  <c r="AS23" i="41" s="1"/>
  <c r="AC153" i="41"/>
  <c r="AC29" i="41"/>
  <c r="AR21" i="41"/>
  <c r="AX146" i="41"/>
  <c r="AA87" i="41"/>
  <c r="AG84" i="41"/>
  <c r="AT65" i="41"/>
  <c r="AB27" i="41"/>
  <c r="Z141" i="41"/>
  <c r="AW61" i="41"/>
  <c r="AS25" i="41"/>
  <c r="AZ65" i="41"/>
  <c r="K152" i="41"/>
  <c r="AG60" i="41"/>
  <c r="AS60" i="41" s="1"/>
  <c r="AC43" i="41"/>
  <c r="AW37" i="41"/>
  <c r="AW43" i="41" s="1"/>
  <c r="AA72" i="41"/>
  <c r="AG66" i="41"/>
  <c r="AG72" i="41" s="1"/>
  <c r="AB153" i="41"/>
  <c r="AB29" i="41"/>
  <c r="AV28" i="41"/>
  <c r="AW72" i="41"/>
  <c r="AA43" i="41"/>
  <c r="AG37" i="41"/>
  <c r="AY36" i="41"/>
  <c r="AG139" i="41"/>
  <c r="AS139" i="41" s="1"/>
  <c r="AW140" i="41"/>
  <c r="I133" i="41"/>
  <c r="I124" i="41"/>
  <c r="AS117" i="41"/>
  <c r="AG136" i="41"/>
  <c r="AS136" i="41" s="1"/>
  <c r="AZ128" i="41"/>
  <c r="AY128" i="41"/>
  <c r="AA116" i="41"/>
  <c r="AG110" i="41"/>
  <c r="AG130" i="41"/>
  <c r="AS130" i="41" s="1"/>
  <c r="AZ116" i="41"/>
  <c r="AS112" i="41"/>
  <c r="I72" i="41"/>
  <c r="AC140" i="41"/>
  <c r="AA93" i="41"/>
  <c r="AG88" i="41"/>
  <c r="AV72" i="41"/>
  <c r="AR50" i="41"/>
  <c r="AR151" i="41"/>
  <c r="AG82" i="41"/>
  <c r="AS82" i="41" s="1"/>
  <c r="I27" i="41"/>
  <c r="AG105" i="41"/>
  <c r="AS105" i="41" s="1"/>
  <c r="AW73" i="41"/>
  <c r="AC79" i="41"/>
  <c r="AV50" i="41"/>
  <c r="AC97" i="41"/>
  <c r="AW94" i="41"/>
  <c r="AW97" i="41" s="1"/>
  <c r="AZ153" i="41"/>
  <c r="AZ29" i="41"/>
  <c r="V145" i="41"/>
  <c r="V16" i="41"/>
  <c r="AB12" i="41"/>
  <c r="AA12" i="41"/>
  <c r="AT12" i="41"/>
  <c r="AC12" i="41"/>
  <c r="AG14" i="41"/>
  <c r="AS14" i="41" s="1"/>
  <c r="AG39" i="41"/>
  <c r="AS39" i="41" s="1"/>
  <c r="AT153" i="41"/>
  <c r="AT29" i="41"/>
  <c r="AB87" i="41"/>
  <c r="AY59" i="41"/>
  <c r="AY61" i="41" s="1"/>
  <c r="K151" i="41"/>
  <c r="K144" i="41" s="1"/>
  <c r="I15" i="41"/>
  <c r="AX145" i="41"/>
  <c r="AX144" i="41" s="1"/>
  <c r="AX16" i="41"/>
  <c r="AX141" i="41" s="1"/>
  <c r="AU145" i="41"/>
  <c r="AU16" i="41"/>
  <c r="AU141" i="41" s="1"/>
  <c r="I61" i="41"/>
  <c r="AG48" i="41"/>
  <c r="AS48" i="41" s="1"/>
  <c r="AG40" i="41"/>
  <c r="AT43" i="41"/>
  <c r="AS32" i="41"/>
  <c r="AG54" i="41"/>
  <c r="AQ142" i="41"/>
  <c r="AV65" i="41"/>
  <c r="AZ79" i="41"/>
  <c r="AR153" i="41"/>
  <c r="AR29" i="41"/>
  <c r="BA145" i="41"/>
  <c r="BA16" i="41"/>
  <c r="AU146" i="41"/>
  <c r="AU21" i="41"/>
  <c r="AW148" i="41"/>
  <c r="AA27" i="41"/>
  <c r="AG22" i="41"/>
  <c r="AG27" i="41" s="1"/>
  <c r="AW51" i="41"/>
  <c r="AC58" i="41"/>
  <c r="AG126" i="41"/>
  <c r="AS126" i="41" s="1"/>
  <c r="K124" i="41"/>
  <c r="AV120" i="41"/>
  <c r="AV124" i="41" s="1"/>
  <c r="AW110" i="41"/>
  <c r="AW116" i="41" s="1"/>
  <c r="AC116" i="41"/>
  <c r="AB124" i="41"/>
  <c r="AA154" i="41"/>
  <c r="AG108" i="41"/>
  <c r="AG154" i="41" s="1"/>
  <c r="AS125" i="41"/>
  <c r="AS128" i="41" s="1"/>
  <c r="I128" i="41"/>
  <c r="AG119" i="41"/>
  <c r="AS119" i="41" s="1"/>
  <c r="AG111" i="41"/>
  <c r="AS111" i="41" s="1"/>
  <c r="AB116" i="41"/>
  <c r="AT140" i="41"/>
  <c r="AA133" i="41"/>
  <c r="AG129" i="41"/>
  <c r="AG133" i="41" s="1"/>
  <c r="AZ97" i="41"/>
  <c r="AG127" i="41"/>
  <c r="AS127" i="41" s="1"/>
  <c r="AG64" i="41"/>
  <c r="AS64" i="41" s="1"/>
  <c r="AA61" i="41"/>
  <c r="AG59" i="41"/>
  <c r="AG61" i="41" s="1"/>
  <c r="AA50" i="41"/>
  <c r="AG44" i="41"/>
  <c r="V152" i="41"/>
  <c r="AT19" i="41"/>
  <c r="AT152" i="41" s="1"/>
  <c r="AC19" i="41"/>
  <c r="AB19" i="41"/>
  <c r="AA19" i="41"/>
  <c r="AS41" i="41"/>
  <c r="AY33" i="41"/>
  <c r="AY152" i="41"/>
  <c r="N142" i="41"/>
  <c r="N143" i="41"/>
  <c r="AG85" i="41"/>
  <c r="AS85" i="41" s="1"/>
  <c r="AG75" i="41"/>
  <c r="AS75" i="41" s="1"/>
  <c r="AT79" i="41"/>
  <c r="AS42" i="41"/>
  <c r="AT97" i="41"/>
  <c r="AC36" i="41"/>
  <c r="N151" i="41"/>
  <c r="AY15" i="41"/>
  <c r="Q141" i="41"/>
  <c r="AS67" i="41"/>
  <c r="AS35" i="41"/>
  <c r="N144" i="41"/>
  <c r="AZ21" i="41"/>
  <c r="AG62" i="41"/>
  <c r="AA65" i="41"/>
  <c r="AW50" i="41"/>
  <c r="L151" i="41"/>
  <c r="L144" i="41" s="1"/>
  <c r="L16" i="41"/>
  <c r="L141" i="41" s="1"/>
  <c r="AF141" i="41"/>
  <c r="AS76" i="41"/>
  <c r="Z144" i="41"/>
  <c r="AS81" i="41"/>
  <c r="AG74" i="41"/>
  <c r="AS74" i="41" s="1"/>
  <c r="AA79" i="41"/>
  <c r="AG70" i="41"/>
  <c r="AS70" i="41" s="1"/>
  <c r="I54" i="41"/>
  <c r="AS40" i="41"/>
  <c r="AB43" i="41"/>
  <c r="AV37" i="41"/>
  <c r="AV43" i="41" s="1"/>
  <c r="AA58" i="41"/>
  <c r="AG51" i="41"/>
  <c r="AG53" i="41"/>
  <c r="AS53" i="41" s="1"/>
  <c r="BA152" i="41"/>
  <c r="AG138" i="41"/>
  <c r="AS138" i="41" s="1"/>
  <c r="I154" i="41"/>
  <c r="AW120" i="41"/>
  <c r="L124" i="41"/>
  <c r="AT116" i="41"/>
  <c r="I109" i="41"/>
  <c r="AR140" i="41"/>
  <c r="AG123" i="41"/>
  <c r="AS123" i="41" s="1"/>
  <c r="AY119" i="41"/>
  <c r="AY124" i="41" s="1"/>
  <c r="AR124" i="41"/>
  <c r="AA140" i="41"/>
  <c r="AG134" i="41"/>
  <c r="AG91" i="41"/>
  <c r="AS91" i="41" s="1"/>
  <c r="AC93" i="41"/>
  <c r="AS94" i="41"/>
  <c r="AS97" i="41" s="1"/>
  <c r="I97" i="41"/>
  <c r="AY65" i="41"/>
  <c r="AG89" i="41"/>
  <c r="AS89" i="41" s="1"/>
  <c r="V83" i="41"/>
  <c r="AA80" i="41"/>
  <c r="AT80" i="41"/>
  <c r="AT83" i="41" s="1"/>
  <c r="AC80" i="41"/>
  <c r="AB80" i="41"/>
  <c r="V146" i="41"/>
  <c r="AT17" i="41"/>
  <c r="AC17" i="41"/>
  <c r="AB17" i="41"/>
  <c r="AA17" i="41"/>
  <c r="V21" i="41"/>
  <c r="AS88" i="41"/>
  <c r="I93" i="41"/>
  <c r="AY28" i="41"/>
  <c r="AP142" i="41"/>
  <c r="AG106" i="41"/>
  <c r="AS106" i="41" s="1"/>
  <c r="N58" i="41"/>
  <c r="AY54" i="41"/>
  <c r="AY58" i="41" s="1"/>
  <c r="AR79" i="41"/>
  <c r="I36" i="41"/>
  <c r="AS30" i="41"/>
  <c r="I152" i="41"/>
  <c r="P144" i="41"/>
  <c r="Q144" i="41"/>
  <c r="V143" i="41" s="1"/>
  <c r="AG90" i="41"/>
  <c r="AS90" i="41" s="1"/>
  <c r="AY148" i="41"/>
  <c r="AA153" i="41"/>
  <c r="AA29" i="41"/>
  <c r="AG28" i="41"/>
  <c r="V151" i="41"/>
  <c r="AB15" i="41"/>
  <c r="AB151" i="41" s="1"/>
  <c r="AC15" i="41"/>
  <c r="AC151" i="41" s="1"/>
  <c r="AT15" i="41"/>
  <c r="AT151" i="41" s="1"/>
  <c r="AA15" i="41"/>
  <c r="AC87" i="41"/>
  <c r="AG63" i="41"/>
  <c r="AS63" i="41" s="1"/>
  <c r="I50" i="41"/>
  <c r="AS44" i="41"/>
  <c r="AC148" i="41"/>
  <c r="J141" i="41"/>
  <c r="AF144" i="41"/>
  <c r="K58" i="41"/>
  <c r="K141" i="41" s="1"/>
  <c r="AB50" i="41"/>
  <c r="AZ39" i="41"/>
  <c r="AZ43" i="41" s="1"/>
  <c r="AR39" i="41"/>
  <c r="AY39" i="41" s="1"/>
  <c r="AY146" i="41" s="1"/>
  <c r="I43" i="41"/>
  <c r="BA146" i="41"/>
  <c r="BA21" i="41"/>
  <c r="AR152" i="41"/>
  <c r="AR58" i="41"/>
  <c r="AG34" i="41"/>
  <c r="AS34" i="41" s="1"/>
  <c r="AB58" i="41"/>
  <c r="AV51" i="41"/>
  <c r="AV58" i="41" s="1"/>
  <c r="AZ16" i="41"/>
  <c r="I83" i="41"/>
  <c r="AT72" i="41"/>
  <c r="AY21" i="41"/>
  <c r="AG96" i="41"/>
  <c r="AS96" i="41" s="1"/>
  <c r="AS49" i="41"/>
  <c r="AW36" i="41"/>
  <c r="AC98" i="41"/>
  <c r="V101" i="41"/>
  <c r="AT98" i="41"/>
  <c r="AT101" i="41" s="1"/>
  <c r="AB98" i="41"/>
  <c r="AA98" i="41"/>
  <c r="AR43" i="41"/>
  <c r="AY37" i="41"/>
  <c r="AX151" i="41"/>
  <c r="AR145" i="41"/>
  <c r="AR16" i="41"/>
  <c r="AV27" i="41"/>
  <c r="AT87" i="41"/>
  <c r="AG47" i="41"/>
  <c r="AS47" i="41" s="1"/>
  <c r="I148" i="41"/>
  <c r="AS31" i="41"/>
  <c r="J144" i="41"/>
  <c r="AS26" i="41"/>
  <c r="AG57" i="41"/>
  <c r="AY47" i="41"/>
  <c r="AY50" i="41" s="1"/>
  <c r="N50" i="41"/>
  <c r="N141" i="41" s="1"/>
  <c r="AZ152" i="41"/>
  <c r="AR65" i="41"/>
  <c r="AW54" i="41"/>
  <c r="AP141" i="41"/>
  <c r="AC50" i="41"/>
  <c r="AT58" i="41"/>
  <c r="W166" i="40"/>
  <c r="V166" i="40"/>
  <c r="AP168" i="40"/>
  <c r="AR167" i="40" s="1"/>
  <c r="AY177" i="40"/>
  <c r="AY53" i="40"/>
  <c r="AW160" i="40"/>
  <c r="AB160" i="40"/>
  <c r="AY145" i="40"/>
  <c r="AY151" i="40" s="1"/>
  <c r="AP166" i="40"/>
  <c r="I154" i="40"/>
  <c r="AV118" i="40"/>
  <c r="AA164" i="40"/>
  <c r="AG161" i="40"/>
  <c r="AW159" i="40"/>
  <c r="AR160" i="40"/>
  <c r="AS142" i="40"/>
  <c r="AS139" i="40"/>
  <c r="AV160" i="40"/>
  <c r="AT154" i="40"/>
  <c r="AY115" i="40"/>
  <c r="AY118" i="40" s="1"/>
  <c r="AC151" i="40"/>
  <c r="AW145" i="40"/>
  <c r="AW151" i="40" s="1"/>
  <c r="AZ118" i="40"/>
  <c r="I124" i="40"/>
  <c r="Q166" i="40"/>
  <c r="Z166" i="40"/>
  <c r="AA110" i="40"/>
  <c r="AG109" i="40"/>
  <c r="AG110" i="40" s="1"/>
  <c r="AG107" i="40"/>
  <c r="AS107" i="40" s="1"/>
  <c r="AW99" i="40"/>
  <c r="AW102" i="40" s="1"/>
  <c r="AC102" i="40"/>
  <c r="AV154" i="40"/>
  <c r="AA120" i="40"/>
  <c r="AB120" i="40"/>
  <c r="AV120" i="40" s="1"/>
  <c r="AT120" i="40"/>
  <c r="AC120" i="40"/>
  <c r="AW120" i="40" s="1"/>
  <c r="L118" i="40"/>
  <c r="L165" i="40" s="1"/>
  <c r="I166" i="40" s="1"/>
  <c r="AW117" i="40"/>
  <c r="AS94" i="40"/>
  <c r="AR172" i="40"/>
  <c r="AG100" i="40"/>
  <c r="AS100" i="40" s="1"/>
  <c r="AZ177" i="40"/>
  <c r="AZ53" i="40"/>
  <c r="AG90" i="40"/>
  <c r="AS90" i="40" s="1"/>
  <c r="AW132" i="40"/>
  <c r="V172" i="40"/>
  <c r="AB55" i="40"/>
  <c r="AA55" i="40"/>
  <c r="AT55" i="40"/>
  <c r="AT172" i="40" s="1"/>
  <c r="AC55" i="40"/>
  <c r="AB177" i="40"/>
  <c r="AG149" i="40"/>
  <c r="AS149" i="40" s="1"/>
  <c r="AS61" i="40"/>
  <c r="AS67" i="40" s="1"/>
  <c r="I67" i="40"/>
  <c r="AV53" i="40"/>
  <c r="AY176" i="40"/>
  <c r="AA178" i="40"/>
  <c r="AA25" i="40"/>
  <c r="AG24" i="40"/>
  <c r="AR175" i="40"/>
  <c r="AV39" i="40"/>
  <c r="AV44" i="40" s="1"/>
  <c r="K175" i="40"/>
  <c r="K168" i="40" s="1"/>
  <c r="I167" i="40" s="1"/>
  <c r="AY75" i="40"/>
  <c r="AY81" i="40" s="1"/>
  <c r="AG50" i="40"/>
  <c r="AS50" i="40" s="1"/>
  <c r="AG35" i="40"/>
  <c r="AS35" i="40" s="1"/>
  <c r="AC176" i="40"/>
  <c r="AC178" i="40"/>
  <c r="AW24" i="40"/>
  <c r="AC25" i="40"/>
  <c r="AG69" i="40"/>
  <c r="AS69" i="40" s="1"/>
  <c r="AY28" i="40"/>
  <c r="AY173" i="40" s="1"/>
  <c r="AX178" i="40"/>
  <c r="AX25" i="40"/>
  <c r="AS20" i="40"/>
  <c r="I23" i="40"/>
  <c r="AZ15" i="40"/>
  <c r="AX32" i="40"/>
  <c r="AG31" i="40"/>
  <c r="AG29" i="40"/>
  <c r="AS29" i="40" s="1"/>
  <c r="V108" i="40"/>
  <c r="AB103" i="40"/>
  <c r="AA103" i="40"/>
  <c r="AT103" i="40"/>
  <c r="AT108" i="40" s="1"/>
  <c r="AC103" i="40"/>
  <c r="AV117" i="40"/>
  <c r="I117" i="40"/>
  <c r="AY88" i="40"/>
  <c r="AA98" i="40"/>
  <c r="AG93" i="40"/>
  <c r="AV102" i="40"/>
  <c r="I177" i="40"/>
  <c r="AS52" i="40"/>
  <c r="I53" i="40"/>
  <c r="AZ32" i="40"/>
  <c r="L175" i="40"/>
  <c r="AA19" i="40"/>
  <c r="AG18" i="40"/>
  <c r="AG19" i="40" s="1"/>
  <c r="AZ171" i="40"/>
  <c r="AZ38" i="40"/>
  <c r="AY72" i="40"/>
  <c r="AY74" i="40" s="1"/>
  <c r="AZ175" i="40"/>
  <c r="AU171" i="40"/>
  <c r="AU38" i="40"/>
  <c r="AR178" i="40"/>
  <c r="AR25" i="40"/>
  <c r="I19" i="40"/>
  <c r="AS16" i="40"/>
  <c r="AG26" i="40"/>
  <c r="AC118" i="40"/>
  <c r="AW115" i="40"/>
  <c r="AW118" i="40" s="1"/>
  <c r="AT177" i="40"/>
  <c r="AT53" i="40"/>
  <c r="AT164" i="40"/>
  <c r="AG155" i="40"/>
  <c r="AA160" i="40"/>
  <c r="I160" i="40"/>
  <c r="AS141" i="40"/>
  <c r="AT151" i="40"/>
  <c r="AV128" i="40"/>
  <c r="AV130" i="40" s="1"/>
  <c r="AG143" i="40"/>
  <c r="AY144" i="40"/>
  <c r="AV131" i="40"/>
  <c r="AV137" i="40" s="1"/>
  <c r="AY114" i="40"/>
  <c r="AB119" i="40"/>
  <c r="V124" i="40"/>
  <c r="AC119" i="40"/>
  <c r="AA119" i="40"/>
  <c r="AT119" i="40"/>
  <c r="AT124" i="40" s="1"/>
  <c r="AV109" i="40"/>
  <c r="AV110" i="40" s="1"/>
  <c r="AG146" i="40"/>
  <c r="AS146" i="40" s="1"/>
  <c r="AB118" i="40"/>
  <c r="V114" i="40"/>
  <c r="AA111" i="40"/>
  <c r="AC111" i="40"/>
  <c r="AT111" i="40"/>
  <c r="AT114" i="40" s="1"/>
  <c r="AB111" i="40"/>
  <c r="AZ100" i="40"/>
  <c r="AZ102" i="40" s="1"/>
  <c r="AP102" i="40"/>
  <c r="AR100" i="40"/>
  <c r="AY100" i="40" s="1"/>
  <c r="AY102" i="40" s="1"/>
  <c r="AG113" i="40"/>
  <c r="AS113" i="40" s="1"/>
  <c r="AG95" i="40"/>
  <c r="AC88" i="40"/>
  <c r="AG85" i="40"/>
  <c r="I44" i="40"/>
  <c r="AW89" i="40"/>
  <c r="AW92" i="40" s="1"/>
  <c r="AC92" i="40"/>
  <c r="AB68" i="40"/>
  <c r="AA68" i="40"/>
  <c r="V74" i="40"/>
  <c r="AT68" i="40"/>
  <c r="AT74" i="40" s="1"/>
  <c r="AC68" i="40"/>
  <c r="AR67" i="40"/>
  <c r="AB54" i="40"/>
  <c r="V60" i="40"/>
  <c r="AA54" i="40"/>
  <c r="AT54" i="40"/>
  <c r="AT60" i="40" s="1"/>
  <c r="AC54" i="40"/>
  <c r="AG97" i="40"/>
  <c r="AG87" i="40"/>
  <c r="AS87" i="40" s="1"/>
  <c r="AS83" i="40"/>
  <c r="BA171" i="40"/>
  <c r="BA38" i="40"/>
  <c r="AG70" i="40"/>
  <c r="AS70" i="40" s="1"/>
  <c r="AB176" i="40"/>
  <c r="AX60" i="40"/>
  <c r="AX165" i="40" s="1"/>
  <c r="AW176" i="40"/>
  <c r="AY32" i="40"/>
  <c r="AX169" i="40"/>
  <c r="AX15" i="40"/>
  <c r="I74" i="40"/>
  <c r="AR44" i="40"/>
  <c r="V173" i="40"/>
  <c r="AB28" i="40"/>
  <c r="AA28" i="40"/>
  <c r="AT28" i="40"/>
  <c r="AT173" i="40" s="1"/>
  <c r="AC28" i="40"/>
  <c r="AT178" i="40"/>
  <c r="AT25" i="40"/>
  <c r="AG46" i="40"/>
  <c r="AS46" i="40" s="1"/>
  <c r="I176" i="40"/>
  <c r="AW23" i="40"/>
  <c r="AU170" i="40"/>
  <c r="AU32" i="40"/>
  <c r="AU165" i="40" s="1"/>
  <c r="AB178" i="40"/>
  <c r="AB25" i="40"/>
  <c r="AY14" i="40"/>
  <c r="AY175" i="40" s="1"/>
  <c r="AW18" i="40"/>
  <c r="AW19" i="40" s="1"/>
  <c r="AB32" i="40"/>
  <c r="AV26" i="40"/>
  <c r="AW22" i="40"/>
  <c r="AG27" i="40"/>
  <c r="AS27" i="40" s="1"/>
  <c r="AW164" i="40"/>
  <c r="AS97" i="40"/>
  <c r="AS129" i="40"/>
  <c r="AW154" i="40"/>
  <c r="AA151" i="40"/>
  <c r="AG145" i="40"/>
  <c r="AG125" i="40"/>
  <c r="AG127" i="40" s="1"/>
  <c r="AA127" i="40"/>
  <c r="AS99" i="40"/>
  <c r="AS102" i="40" s="1"/>
  <c r="I102" i="40"/>
  <c r="AG131" i="40"/>
  <c r="AA137" i="40"/>
  <c r="AG122" i="40"/>
  <c r="AS122" i="40" s="1"/>
  <c r="AT137" i="40"/>
  <c r="AS95" i="40"/>
  <c r="BA177" i="40"/>
  <c r="BA53" i="40"/>
  <c r="AG91" i="40"/>
  <c r="AS85" i="40"/>
  <c r="AY67" i="40"/>
  <c r="AC98" i="40"/>
  <c r="AT92" i="40"/>
  <c r="AB75" i="40"/>
  <c r="AA75" i="40"/>
  <c r="AT75" i="40"/>
  <c r="AT81" i="40" s="1"/>
  <c r="V81" i="40"/>
  <c r="AC75" i="40"/>
  <c r="AB45" i="40"/>
  <c r="V51" i="40"/>
  <c r="AA45" i="40"/>
  <c r="AT45" i="40"/>
  <c r="AT51" i="40" s="1"/>
  <c r="AC45" i="40"/>
  <c r="AY44" i="40"/>
  <c r="AS93" i="40"/>
  <c r="I98" i="40"/>
  <c r="AY172" i="40"/>
  <c r="V171" i="40"/>
  <c r="AT33" i="40"/>
  <c r="AC33" i="40"/>
  <c r="AB33" i="40"/>
  <c r="V38" i="40"/>
  <c r="AA33" i="40"/>
  <c r="AW12" i="40"/>
  <c r="AG30" i="40"/>
  <c r="AS30" i="40" s="1"/>
  <c r="AV178" i="40"/>
  <c r="AV25" i="40"/>
  <c r="AR15" i="40"/>
  <c r="AX170" i="40"/>
  <c r="AA44" i="40"/>
  <c r="AS31" i="40"/>
  <c r="V175" i="40"/>
  <c r="AB14" i="40"/>
  <c r="AB175" i="40" s="1"/>
  <c r="AA14" i="40"/>
  <c r="AC14" i="40"/>
  <c r="AC175" i="40" s="1"/>
  <c r="I169" i="40"/>
  <c r="AY60" i="40"/>
  <c r="AV30" i="40"/>
  <c r="AV176" i="40" s="1"/>
  <c r="BA169" i="40"/>
  <c r="BA168" i="40" s="1"/>
  <c r="BA15" i="40"/>
  <c r="AG57" i="40"/>
  <c r="AS57" i="40" s="1"/>
  <c r="AC170" i="40"/>
  <c r="AC32" i="40"/>
  <c r="I110" i="40"/>
  <c r="AS109" i="40"/>
  <c r="AS110" i="40" s="1"/>
  <c r="AS153" i="40"/>
  <c r="AR164" i="40"/>
  <c r="AY161" i="40"/>
  <c r="AY164" i="40" s="1"/>
  <c r="AG159" i="40"/>
  <c r="AS159" i="40" s="1"/>
  <c r="AS143" i="40"/>
  <c r="I130" i="40"/>
  <c r="AG153" i="40"/>
  <c r="AB138" i="40"/>
  <c r="AT138" i="40"/>
  <c r="AT144" i="40" s="1"/>
  <c r="AC138" i="40"/>
  <c r="V144" i="40"/>
  <c r="V165" i="40" s="1"/>
  <c r="AA166" i="40" s="1"/>
  <c r="AA138" i="40"/>
  <c r="I144" i="40"/>
  <c r="AS125" i="40"/>
  <c r="I127" i="40"/>
  <c r="AZ120" i="40"/>
  <c r="AZ170" i="40" s="1"/>
  <c r="AR120" i="40"/>
  <c r="AY120" i="40" s="1"/>
  <c r="AY124" i="40" s="1"/>
  <c r="AC110" i="40"/>
  <c r="AW109" i="40"/>
  <c r="AW110" i="40" s="1"/>
  <c r="AG140" i="40"/>
  <c r="AS140" i="40" s="1"/>
  <c r="AA130" i="40"/>
  <c r="AG128" i="40"/>
  <c r="AG130" i="40" s="1"/>
  <c r="AZ124" i="40"/>
  <c r="AZ165" i="40" s="1"/>
  <c r="AY166" i="40" s="1"/>
  <c r="AA118" i="40"/>
  <c r="AG115" i="40"/>
  <c r="AY109" i="40"/>
  <c r="AY110" i="40" s="1"/>
  <c r="AR110" i="40"/>
  <c r="AT127" i="40"/>
  <c r="Z165" i="40"/>
  <c r="AT102" i="40"/>
  <c r="AC137" i="40"/>
  <c r="AW131" i="40"/>
  <c r="AW137" i="40" s="1"/>
  <c r="BA118" i="40"/>
  <c r="BA165" i="40" s="1"/>
  <c r="AR102" i="40"/>
  <c r="AG123" i="40"/>
  <c r="AS123" i="40" s="1"/>
  <c r="AG86" i="40"/>
  <c r="AS86" i="40" s="1"/>
  <c r="AG53" i="40"/>
  <c r="AG105" i="40"/>
  <c r="AS105" i="40" s="1"/>
  <c r="AW82" i="40"/>
  <c r="AW88" i="40" s="1"/>
  <c r="AT98" i="40"/>
  <c r="AA92" i="40"/>
  <c r="AG89" i="40"/>
  <c r="BA172" i="40"/>
  <c r="AG36" i="40"/>
  <c r="AS36" i="40" s="1"/>
  <c r="AG104" i="40"/>
  <c r="AS104" i="40" s="1"/>
  <c r="AG82" i="40"/>
  <c r="AW93" i="40"/>
  <c r="AW98" i="40" s="1"/>
  <c r="AV85" i="40"/>
  <c r="AV88" i="40" s="1"/>
  <c r="N168" i="40"/>
  <c r="I178" i="40"/>
  <c r="I25" i="40"/>
  <c r="AS24" i="40"/>
  <c r="AB15" i="40"/>
  <c r="AG76" i="40"/>
  <c r="AS76" i="40" s="1"/>
  <c r="AG39" i="40"/>
  <c r="I14" i="40"/>
  <c r="AG79" i="40"/>
  <c r="I170" i="40"/>
  <c r="I32" i="40"/>
  <c r="AS26" i="40"/>
  <c r="AU169" i="40"/>
  <c r="AU168" i="40" s="1"/>
  <c r="AS22" i="40"/>
  <c r="AS18" i="40"/>
  <c r="AG22" i="40"/>
  <c r="AG23" i="40" s="1"/>
  <c r="AT170" i="40"/>
  <c r="AT32" i="40"/>
  <c r="AG13" i="40"/>
  <c r="AS13" i="40" s="1"/>
  <c r="AA154" i="40"/>
  <c r="AG152" i="40"/>
  <c r="I92" i="40"/>
  <c r="AS89" i="40"/>
  <c r="AP165" i="40"/>
  <c r="AR166" i="40" s="1"/>
  <c r="AB164" i="40"/>
  <c r="AV161" i="40"/>
  <c r="AV164" i="40" s="1"/>
  <c r="AY160" i="40"/>
  <c r="AC154" i="40"/>
  <c r="AB151" i="40"/>
  <c r="AV145" i="40"/>
  <c r="AV151" i="40" s="1"/>
  <c r="AS91" i="40"/>
  <c r="AS131" i="40"/>
  <c r="I137" i="40"/>
  <c r="AC127" i="40"/>
  <c r="I164" i="40"/>
  <c r="AG135" i="40"/>
  <c r="AS135" i="40" s="1"/>
  <c r="AS126" i="40"/>
  <c r="AG116" i="40"/>
  <c r="AS116" i="40" s="1"/>
  <c r="AS133" i="40"/>
  <c r="AB102" i="40"/>
  <c r="AB98" i="40"/>
  <c r="AV93" i="40"/>
  <c r="AV98" i="40" s="1"/>
  <c r="AV89" i="40"/>
  <c r="AV92" i="40" s="1"/>
  <c r="AY171" i="40"/>
  <c r="AY38" i="40"/>
  <c r="AU172" i="40"/>
  <c r="AR177" i="40"/>
  <c r="AR53" i="40"/>
  <c r="AY103" i="40"/>
  <c r="AY108" i="40" s="1"/>
  <c r="AA88" i="40"/>
  <c r="AS79" i="40"/>
  <c r="AG49" i="40"/>
  <c r="AS49" i="40" s="1"/>
  <c r="AC44" i="40"/>
  <c r="L168" i="40"/>
  <c r="BA178" i="40"/>
  <c r="AR171" i="40"/>
  <c r="AR38" i="40"/>
  <c r="AG41" i="40"/>
  <c r="AS41" i="40" s="1"/>
  <c r="AY24" i="40"/>
  <c r="V169" i="40"/>
  <c r="V168" i="40" s="1"/>
  <c r="AA167" i="40" s="1"/>
  <c r="AG58" i="40"/>
  <c r="AS58" i="40" s="1"/>
  <c r="AG12" i="40"/>
  <c r="V32" i="40"/>
  <c r="L15" i="40"/>
  <c r="AS108" i="39"/>
  <c r="AC65" i="39"/>
  <c r="AW59" i="39"/>
  <c r="AA65" i="39"/>
  <c r="AG59" i="39"/>
  <c r="AZ130" i="39"/>
  <c r="AZ42" i="39"/>
  <c r="K79" i="39"/>
  <c r="AR24" i="39"/>
  <c r="AR128" i="39"/>
  <c r="AR18" i="39"/>
  <c r="AU137" i="39"/>
  <c r="AU13" i="39"/>
  <c r="AY19" i="39"/>
  <c r="AW24" i="39"/>
  <c r="AY137" i="39"/>
  <c r="AY13" i="39"/>
  <c r="AX131" i="39"/>
  <c r="AX30" i="39"/>
  <c r="AX137" i="39"/>
  <c r="AX13" i="39"/>
  <c r="AY36" i="39"/>
  <c r="AC79" i="39"/>
  <c r="AG31" i="39"/>
  <c r="AA36" i="39"/>
  <c r="I36" i="39"/>
  <c r="AB123" i="39"/>
  <c r="AV119" i="39"/>
  <c r="AV123" i="39" s="1"/>
  <c r="AG90" i="39"/>
  <c r="AS90" i="39" s="1"/>
  <c r="AG120" i="39"/>
  <c r="AS120" i="39" s="1"/>
  <c r="AC93" i="39"/>
  <c r="AW80" i="39"/>
  <c r="AW86" i="39" s="1"/>
  <c r="AG105" i="39"/>
  <c r="AS105" i="39" s="1"/>
  <c r="I76" i="39"/>
  <c r="AS76" i="39" s="1"/>
  <c r="V100" i="39"/>
  <c r="AB94" i="39"/>
  <c r="AA94" i="39"/>
  <c r="AT94" i="39"/>
  <c r="AT100" i="39" s="1"/>
  <c r="AC94" i="39"/>
  <c r="AB58" i="39"/>
  <c r="AV57" i="39"/>
  <c r="AV58" i="39" s="1"/>
  <c r="AY107" i="39"/>
  <c r="N65" i="39"/>
  <c r="AC56" i="39"/>
  <c r="AW51" i="39"/>
  <c r="AW56" i="39" s="1"/>
  <c r="AS41" i="39"/>
  <c r="AR93" i="39"/>
  <c r="AG69" i="39"/>
  <c r="AS69" i="39" s="1"/>
  <c r="AG57" i="39"/>
  <c r="AG58" i="39" s="1"/>
  <c r="AA58" i="39"/>
  <c r="AR100" i="39"/>
  <c r="AY94" i="39"/>
  <c r="AY100" i="39" s="1"/>
  <c r="I62" i="39"/>
  <c r="AS62" i="39" s="1"/>
  <c r="V137" i="39"/>
  <c r="AT12" i="39"/>
  <c r="AC12" i="39"/>
  <c r="AB12" i="39"/>
  <c r="V13" i="39"/>
  <c r="AA12" i="39"/>
  <c r="AY51" i="39"/>
  <c r="AY56" i="39" s="1"/>
  <c r="AR56" i="39"/>
  <c r="AA129" i="39"/>
  <c r="AY14" i="39"/>
  <c r="AG52" i="39"/>
  <c r="AS52" i="39" s="1"/>
  <c r="AA72" i="39"/>
  <c r="AG66" i="39"/>
  <c r="AS55" i="39"/>
  <c r="N50" i="39"/>
  <c r="AW34" i="39"/>
  <c r="AW135" i="39" s="1"/>
  <c r="AR131" i="39"/>
  <c r="AR30" i="39"/>
  <c r="AR137" i="39"/>
  <c r="AR13" i="39"/>
  <c r="AR36" i="39"/>
  <c r="I42" i="39"/>
  <c r="AG32" i="39"/>
  <c r="AS32" i="39" s="1"/>
  <c r="AS104" i="39"/>
  <c r="AP125" i="39"/>
  <c r="AZ114" i="39"/>
  <c r="AG119" i="39"/>
  <c r="AS119" i="39" s="1"/>
  <c r="AA123" i="39"/>
  <c r="AG106" i="39"/>
  <c r="AS106" i="39" s="1"/>
  <c r="AX107" i="39"/>
  <c r="AA86" i="39"/>
  <c r="AG80" i="39"/>
  <c r="I123" i="39"/>
  <c r="AG102" i="39"/>
  <c r="AS102" i="39" s="1"/>
  <c r="AZ79" i="39"/>
  <c r="AV73" i="39"/>
  <c r="AV79" i="39" s="1"/>
  <c r="AW49" i="39"/>
  <c r="I58" i="39"/>
  <c r="AG83" i="39"/>
  <c r="AS83" i="39" s="1"/>
  <c r="AB50" i="39"/>
  <c r="AV47" i="39"/>
  <c r="AV50" i="39" s="1"/>
  <c r="AU130" i="39"/>
  <c r="AU42" i="39"/>
  <c r="BA50" i="39"/>
  <c r="AR114" i="39"/>
  <c r="AU131" i="39"/>
  <c r="AU30" i="39"/>
  <c r="AR135" i="39"/>
  <c r="AV135" i="39"/>
  <c r="AV24" i="39"/>
  <c r="AY134" i="39"/>
  <c r="AP127" i="39"/>
  <c r="AR126" i="39" s="1"/>
  <c r="AW66" i="39"/>
  <c r="AW72" i="39" s="1"/>
  <c r="AC72" i="39"/>
  <c r="K18" i="39"/>
  <c r="BA128" i="39"/>
  <c r="BA18" i="39"/>
  <c r="AY59" i="39"/>
  <c r="AW48" i="39"/>
  <c r="AW50" i="39" s="1"/>
  <c r="AY22" i="39"/>
  <c r="AY135" i="39" s="1"/>
  <c r="I130" i="39"/>
  <c r="AG34" i="39"/>
  <c r="AS34" i="39" s="1"/>
  <c r="AG29" i="39"/>
  <c r="AS29" i="39" s="1"/>
  <c r="AG26" i="39"/>
  <c r="AS26" i="39" s="1"/>
  <c r="AA118" i="39"/>
  <c r="AG115" i="39"/>
  <c r="AR123" i="39"/>
  <c r="AB114" i="39"/>
  <c r="AV108" i="39"/>
  <c r="AF125" i="39"/>
  <c r="AG97" i="39"/>
  <c r="AS97" i="39" s="1"/>
  <c r="AT79" i="39"/>
  <c r="AV86" i="39"/>
  <c r="AG109" i="39"/>
  <c r="AS64" i="39"/>
  <c r="AS45" i="39"/>
  <c r="AS46" i="39" s="1"/>
  <c r="I46" i="39"/>
  <c r="AG82" i="39"/>
  <c r="AS82" i="39" s="1"/>
  <c r="AS75" i="39"/>
  <c r="AY114" i="39"/>
  <c r="AG85" i="39"/>
  <c r="AS85" i="39" s="1"/>
  <c r="AR136" i="39"/>
  <c r="AR44" i="39"/>
  <c r="V131" i="39"/>
  <c r="AT25" i="39"/>
  <c r="AC25" i="39"/>
  <c r="AB25" i="39"/>
  <c r="AA25" i="39"/>
  <c r="V30" i="39"/>
  <c r="AB135" i="39"/>
  <c r="V134" i="39"/>
  <c r="AC17" i="39"/>
  <c r="AB17" i="39"/>
  <c r="AV17" i="39" s="1"/>
  <c r="AA17" i="39"/>
  <c r="AG70" i="39"/>
  <c r="AS70" i="39" s="1"/>
  <c r="AZ56" i="39"/>
  <c r="AZ131" i="39"/>
  <c r="AZ30" i="39"/>
  <c r="AZ134" i="39"/>
  <c r="AW60" i="39"/>
  <c r="AG67" i="39"/>
  <c r="AS67" i="39" s="1"/>
  <c r="BA129" i="39"/>
  <c r="BA24" i="39"/>
  <c r="AX134" i="39"/>
  <c r="AU128" i="39"/>
  <c r="AU18" i="39"/>
  <c r="AB136" i="39"/>
  <c r="AB44" i="39"/>
  <c r="AV43" i="39"/>
  <c r="BA130" i="39"/>
  <c r="BA42" i="39"/>
  <c r="AT128" i="39"/>
  <c r="AT18" i="39"/>
  <c r="AB36" i="39"/>
  <c r="AV31" i="39"/>
  <c r="AV36" i="39" s="1"/>
  <c r="AG28" i="39"/>
  <c r="AG33" i="39"/>
  <c r="AS33" i="39" s="1"/>
  <c r="AZ128" i="39"/>
  <c r="AV110" i="39"/>
  <c r="AW108" i="39"/>
  <c r="AW114" i="39" s="1"/>
  <c r="AC114" i="39"/>
  <c r="AG112" i="39"/>
  <c r="AS112" i="39" s="1"/>
  <c r="AT101" i="39"/>
  <c r="AT107" i="39" s="1"/>
  <c r="AC101" i="39"/>
  <c r="AB101" i="39"/>
  <c r="V107" i="39"/>
  <c r="AA101" i="39"/>
  <c r="AA128" i="39" s="1"/>
  <c r="AT123" i="39"/>
  <c r="AA93" i="39"/>
  <c r="AG87" i="39"/>
  <c r="AR107" i="39"/>
  <c r="AR72" i="39"/>
  <c r="AY66" i="39"/>
  <c r="AY72" i="39" s="1"/>
  <c r="I93" i="39"/>
  <c r="AR61" i="39"/>
  <c r="AY61" i="39" s="1"/>
  <c r="AZ61" i="39"/>
  <c r="AZ129" i="39" s="1"/>
  <c r="AT134" i="39"/>
  <c r="I128" i="39"/>
  <c r="I18" i="39"/>
  <c r="AS14" i="39"/>
  <c r="AG48" i="39"/>
  <c r="AB72" i="39"/>
  <c r="AU129" i="39"/>
  <c r="AR134" i="39"/>
  <c r="V128" i="39"/>
  <c r="AP65" i="39"/>
  <c r="AP124" i="39" s="1"/>
  <c r="AR50" i="39"/>
  <c r="AY47" i="39"/>
  <c r="AY50" i="39" s="1"/>
  <c r="AC136" i="39"/>
  <c r="AC44" i="39"/>
  <c r="L134" i="39"/>
  <c r="L127" i="39" s="1"/>
  <c r="AC36" i="39"/>
  <c r="V18" i="39"/>
  <c r="AS110" i="39"/>
  <c r="AB118" i="39"/>
  <c r="AV115" i="39"/>
  <c r="AV118" i="39" s="1"/>
  <c r="AS122" i="39"/>
  <c r="Z125" i="39"/>
  <c r="Q125" i="39"/>
  <c r="I107" i="39"/>
  <c r="AW104" i="39"/>
  <c r="AB86" i="39"/>
  <c r="K72" i="39"/>
  <c r="AV69" i="39"/>
  <c r="AV72" i="39" s="1"/>
  <c r="AG49" i="39"/>
  <c r="AS49" i="39" s="1"/>
  <c r="AV59" i="39"/>
  <c r="AV65" i="39" s="1"/>
  <c r="AB65" i="39"/>
  <c r="AG45" i="39"/>
  <c r="AG46" i="39" s="1"/>
  <c r="AA46" i="39"/>
  <c r="AG47" i="39"/>
  <c r="AA50" i="39"/>
  <c r="AY130" i="39"/>
  <c r="AY42" i="39"/>
  <c r="K134" i="39"/>
  <c r="K127" i="39" s="1"/>
  <c r="AG121" i="39"/>
  <c r="AS121" i="39" s="1"/>
  <c r="AY119" i="39"/>
  <c r="AY123" i="39" s="1"/>
  <c r="N125" i="39"/>
  <c r="AG98" i="39"/>
  <c r="AS98" i="39" s="1"/>
  <c r="AW93" i="39"/>
  <c r="AG73" i="39"/>
  <c r="AG79" i="39" s="1"/>
  <c r="AG71" i="39"/>
  <c r="AS71" i="39" s="1"/>
  <c r="AS48" i="39"/>
  <c r="AS74" i="39"/>
  <c r="AY43" i="39"/>
  <c r="AR79" i="39"/>
  <c r="AY73" i="39"/>
  <c r="AY79" i="39" s="1"/>
  <c r="I72" i="39"/>
  <c r="AS66" i="39"/>
  <c r="L65" i="39"/>
  <c r="L124" i="39" s="1"/>
  <c r="E19" i="47" s="1"/>
  <c r="AV51" i="39"/>
  <c r="AV56" i="39" s="1"/>
  <c r="AB56" i="39"/>
  <c r="N124" i="39"/>
  <c r="G19" i="47" s="1"/>
  <c r="AG51" i="39"/>
  <c r="AA56" i="39"/>
  <c r="AW44" i="39"/>
  <c r="AW79" i="39"/>
  <c r="AZ136" i="39"/>
  <c r="AZ44" i="39"/>
  <c r="AX128" i="39"/>
  <c r="AZ137" i="39"/>
  <c r="AZ13" i="39"/>
  <c r="AA135" i="39"/>
  <c r="AY30" i="39"/>
  <c r="I135" i="39"/>
  <c r="AS22" i="39"/>
  <c r="I129" i="39"/>
  <c r="I24" i="39"/>
  <c r="AS19" i="39"/>
  <c r="I56" i="39"/>
  <c r="I136" i="39"/>
  <c r="AW31" i="39"/>
  <c r="N134" i="39"/>
  <c r="N127" i="39" s="1"/>
  <c r="AT36" i="39"/>
  <c r="AT42" i="39" l="1"/>
  <c r="BA124" i="39"/>
  <c r="AT19" i="47" s="1"/>
  <c r="AC58" i="39"/>
  <c r="AW57" i="39"/>
  <c r="AZ65" i="39"/>
  <c r="AY65" i="39"/>
  <c r="AY131" i="39"/>
  <c r="AA44" i="39"/>
  <c r="AG24" i="39"/>
  <c r="AB93" i="39"/>
  <c r="AV87" i="39"/>
  <c r="AV93" i="39" s="1"/>
  <c r="AU124" i="39"/>
  <c r="AN19" i="47" s="1"/>
  <c r="AG43" i="39"/>
  <c r="V125" i="39"/>
  <c r="AG129" i="39"/>
  <c r="I79" i="39"/>
  <c r="W125" i="39"/>
  <c r="AV134" i="39"/>
  <c r="V124" i="39"/>
  <c r="AS21" i="39"/>
  <c r="AB42" i="39"/>
  <c r="AV37" i="39"/>
  <c r="AB130" i="39"/>
  <c r="AT44" i="39"/>
  <c r="AG114" i="39"/>
  <c r="AB46" i="39"/>
  <c r="AV45" i="39"/>
  <c r="AV46" i="39" s="1"/>
  <c r="I65" i="39"/>
  <c r="AG93" i="39"/>
  <c r="AC46" i="39"/>
  <c r="AW45" i="39"/>
  <c r="AW46" i="39" s="1"/>
  <c r="AA130" i="39"/>
  <c r="AA42" i="39"/>
  <c r="AG37" i="39"/>
  <c r="AW36" i="39"/>
  <c r="AR125" i="39"/>
  <c r="AI19" i="47"/>
  <c r="AW65" i="39"/>
  <c r="AX124" i="39"/>
  <c r="AQ19" i="47" s="1"/>
  <c r="I126" i="39"/>
  <c r="K124" i="39"/>
  <c r="AC130" i="39"/>
  <c r="AC42" i="39"/>
  <c r="AW37" i="39"/>
  <c r="AR200" i="42"/>
  <c r="AI22" i="47"/>
  <c r="AA200" i="42"/>
  <c r="O22" i="47"/>
  <c r="AR142" i="41"/>
  <c r="AI21" i="47"/>
  <c r="AB204" i="42"/>
  <c r="AB53" i="42"/>
  <c r="AV48" i="42"/>
  <c r="AG90" i="42"/>
  <c r="AG118" i="42"/>
  <c r="AS118" i="42" s="1"/>
  <c r="AA122" i="42"/>
  <c r="AG122" i="42"/>
  <c r="AT206" i="42"/>
  <c r="AA90" i="42"/>
  <c r="AV18" i="42"/>
  <c r="AS27" i="42"/>
  <c r="AS30" i="42" s="1"/>
  <c r="AG211" i="42"/>
  <c r="AG79" i="42"/>
  <c r="AS78" i="42"/>
  <c r="AT212" i="42"/>
  <c r="AT47" i="42"/>
  <c r="AY204" i="42"/>
  <c r="AS106" i="42"/>
  <c r="AB126" i="42"/>
  <c r="AV123" i="42"/>
  <c r="AV126" i="42" s="1"/>
  <c r="AU202" i="42"/>
  <c r="AW59" i="42"/>
  <c r="AG106" i="42"/>
  <c r="AB132" i="42"/>
  <c r="AB113" i="42"/>
  <c r="AV107" i="42"/>
  <c r="AV113" i="42" s="1"/>
  <c r="AG145" i="42"/>
  <c r="AS139" i="42"/>
  <c r="AS145" i="42" s="1"/>
  <c r="AW122" i="42"/>
  <c r="AW129" i="42"/>
  <c r="AC132" i="42"/>
  <c r="AG77" i="42"/>
  <c r="AS71" i="42"/>
  <c r="AS77" i="42" s="1"/>
  <c r="AT209" i="42"/>
  <c r="AC209" i="42"/>
  <c r="AY203" i="42"/>
  <c r="AS122" i="42"/>
  <c r="AW211" i="42"/>
  <c r="AW79" i="42"/>
  <c r="AA86" i="42"/>
  <c r="AG80" i="42"/>
  <c r="AB210" i="42"/>
  <c r="AV51" i="42"/>
  <c r="AV210" i="42" s="1"/>
  <c r="AG162" i="42"/>
  <c r="AS157" i="42"/>
  <c r="AS162" i="42" s="1"/>
  <c r="AB191" i="42"/>
  <c r="AV186" i="42"/>
  <c r="AV191" i="42" s="1"/>
  <c r="AB100" i="42"/>
  <c r="AV97" i="42"/>
  <c r="AV100" i="42" s="1"/>
  <c r="AG153" i="42"/>
  <c r="AS149" i="42"/>
  <c r="AS153" i="42" s="1"/>
  <c r="AA113" i="42"/>
  <c r="AG107" i="42"/>
  <c r="AG116" i="42"/>
  <c r="AS114" i="42"/>
  <c r="AS116" i="42" s="1"/>
  <c r="AS167" i="42"/>
  <c r="AS172" i="42" s="1"/>
  <c r="BA202" i="42"/>
  <c r="AS154" i="42"/>
  <c r="AS156" i="42" s="1"/>
  <c r="AG179" i="42"/>
  <c r="AS173" i="42"/>
  <c r="AS179" i="42" s="1"/>
  <c r="AW18" i="42"/>
  <c r="AC204" i="42"/>
  <c r="AC53" i="42"/>
  <c r="AW48" i="42"/>
  <c r="AG34" i="42"/>
  <c r="AS31" i="42"/>
  <c r="AS34" i="42" s="1"/>
  <c r="AS42" i="42"/>
  <c r="AS45" i="42" s="1"/>
  <c r="AG26" i="42"/>
  <c r="AS23" i="42"/>
  <c r="AS26" i="42" s="1"/>
  <c r="AA212" i="42"/>
  <c r="AA47" i="42"/>
  <c r="AG46" i="42"/>
  <c r="AZ202" i="42"/>
  <c r="AY201" i="42" s="1"/>
  <c r="AC126" i="42"/>
  <c r="AW123" i="42"/>
  <c r="AW126" i="42" s="1"/>
  <c r="AB209" i="42"/>
  <c r="AG206" i="42"/>
  <c r="AG65" i="42"/>
  <c r="AS60" i="42"/>
  <c r="AB86" i="42"/>
  <c r="AV80" i="42"/>
  <c r="AV86" i="42" s="1"/>
  <c r="AC90" i="42"/>
  <c r="AC210" i="42"/>
  <c r="AW51" i="42"/>
  <c r="AW210" i="42" s="1"/>
  <c r="AS87" i="42"/>
  <c r="AS90" i="42" s="1"/>
  <c r="AC191" i="42"/>
  <c r="AW186" i="42"/>
  <c r="AW191" i="42" s="1"/>
  <c r="AC100" i="42"/>
  <c r="AW97" i="42"/>
  <c r="AW100" i="42" s="1"/>
  <c r="AY122" i="42"/>
  <c r="AY199" i="42" s="1"/>
  <c r="AR22" i="47" s="1"/>
  <c r="AX202" i="42"/>
  <c r="AA206" i="42"/>
  <c r="AY210" i="42"/>
  <c r="AA191" i="42"/>
  <c r="AA199" i="42" s="1"/>
  <c r="AG186" i="42"/>
  <c r="AC113" i="42"/>
  <c r="AW107" i="42"/>
  <c r="AW113" i="42" s="1"/>
  <c r="AS56" i="42"/>
  <c r="I59" i="42"/>
  <c r="I199" i="42" s="1"/>
  <c r="AR122" i="42"/>
  <c r="AR199" i="42" s="1"/>
  <c r="AK22" i="47" s="1"/>
  <c r="AG129" i="42"/>
  <c r="AS129" i="42" s="1"/>
  <c r="AT204" i="42"/>
  <c r="AT202" i="42" s="1"/>
  <c r="AT53" i="42"/>
  <c r="AT199" i="42" s="1"/>
  <c r="AM22" i="47" s="1"/>
  <c r="AG59" i="42"/>
  <c r="AS54" i="42"/>
  <c r="AS59" i="42" s="1"/>
  <c r="AG209" i="42"/>
  <c r="AS17" i="42"/>
  <c r="AS209" i="42" s="1"/>
  <c r="AC203" i="42"/>
  <c r="AA204" i="42"/>
  <c r="AA53" i="42"/>
  <c r="AG48" i="42"/>
  <c r="AG41" i="42"/>
  <c r="AS39" i="42"/>
  <c r="AS41" i="42" s="1"/>
  <c r="AG205" i="42"/>
  <c r="AS14" i="42"/>
  <c r="AS205" i="42" s="1"/>
  <c r="AG18" i="42"/>
  <c r="AS12" i="42"/>
  <c r="AB212" i="42"/>
  <c r="AB47" i="42"/>
  <c r="AV46" i="42"/>
  <c r="AB122" i="42"/>
  <c r="AB199" i="42" s="1"/>
  <c r="U22" i="47" s="1"/>
  <c r="AC86" i="42"/>
  <c r="AW80" i="42"/>
  <c r="AW86" i="42" s="1"/>
  <c r="AA210" i="42"/>
  <c r="AG51" i="42"/>
  <c r="AA100" i="42"/>
  <c r="AG97" i="42"/>
  <c r="AS166" i="42"/>
  <c r="I202" i="42"/>
  <c r="AG198" i="42"/>
  <c r="AS192" i="42"/>
  <c r="AS198" i="42" s="1"/>
  <c r="AG166" i="42"/>
  <c r="AV206" i="42"/>
  <c r="AV65" i="42"/>
  <c r="AR202" i="42"/>
  <c r="AS70" i="42"/>
  <c r="AZ199" i="42"/>
  <c r="AC212" i="42"/>
  <c r="AC47" i="42"/>
  <c r="AC199" i="42" s="1"/>
  <c r="V22" i="47" s="1"/>
  <c r="AW46" i="42"/>
  <c r="AA126" i="42"/>
  <c r="AG123" i="42"/>
  <c r="AS132" i="42"/>
  <c r="V202" i="42"/>
  <c r="AA201" i="42" s="1"/>
  <c r="AS96" i="42"/>
  <c r="AS136" i="42"/>
  <c r="AS138" i="42" s="1"/>
  <c r="AV132" i="42"/>
  <c r="AG135" i="42"/>
  <c r="AS133" i="42"/>
  <c r="AS135" i="42" s="1"/>
  <c r="AG96" i="42"/>
  <c r="AV211" i="42"/>
  <c r="AV79" i="42"/>
  <c r="AY206" i="42"/>
  <c r="AC122" i="42"/>
  <c r="AG185" i="42"/>
  <c r="AS148" i="41"/>
  <c r="V144" i="41"/>
  <c r="AA143" i="41" s="1"/>
  <c r="AA109" i="41"/>
  <c r="AG102" i="41"/>
  <c r="AG36" i="41"/>
  <c r="AG153" i="41"/>
  <c r="AG29" i="41"/>
  <c r="AS28" i="41"/>
  <c r="AY153" i="41"/>
  <c r="AY29" i="41"/>
  <c r="AC146" i="41"/>
  <c r="AC21" i="41"/>
  <c r="AW17" i="41"/>
  <c r="AA83" i="41"/>
  <c r="AG80" i="41"/>
  <c r="AG58" i="41"/>
  <c r="AS51" i="41"/>
  <c r="AG65" i="41"/>
  <c r="AS62" i="41"/>
  <c r="AS65" i="41" s="1"/>
  <c r="W142" i="41"/>
  <c r="V142" i="41"/>
  <c r="AU144" i="41"/>
  <c r="AC145" i="41"/>
  <c r="AC16" i="41"/>
  <c r="AW12" i="41"/>
  <c r="AW79" i="41"/>
  <c r="AS66" i="41"/>
  <c r="AS72" i="41" s="1"/>
  <c r="AS129" i="41"/>
  <c r="AS133" i="41" s="1"/>
  <c r="AG87" i="41"/>
  <c r="AB109" i="41"/>
  <c r="AV102" i="41"/>
  <c r="AV109" i="41" s="1"/>
  <c r="AG124" i="41"/>
  <c r="AG148" i="41"/>
  <c r="AW124" i="41"/>
  <c r="AB146" i="41"/>
  <c r="AB21" i="41"/>
  <c r="AV17" i="41"/>
  <c r="AS54" i="41"/>
  <c r="I58" i="41"/>
  <c r="AG116" i="41"/>
  <c r="AS110" i="41"/>
  <c r="AS116" i="41" s="1"/>
  <c r="AG43" i="41"/>
  <c r="AS37" i="41"/>
  <c r="AS43" i="41" s="1"/>
  <c r="AY43" i="41"/>
  <c r="AC101" i="41"/>
  <c r="AW98" i="41"/>
  <c r="AW101" i="41" s="1"/>
  <c r="I143" i="41"/>
  <c r="I142" i="41"/>
  <c r="AA151" i="41"/>
  <c r="AG15" i="41"/>
  <c r="AG151" i="41" s="1"/>
  <c r="AT146" i="41"/>
  <c r="AT21" i="41"/>
  <c r="AS108" i="41"/>
  <c r="AS154" i="41" s="1"/>
  <c r="AY151" i="41"/>
  <c r="AG50" i="41"/>
  <c r="AT145" i="41"/>
  <c r="AT16" i="41"/>
  <c r="AG79" i="41"/>
  <c r="AS73" i="41"/>
  <c r="AS79" i="41" s="1"/>
  <c r="AG97" i="41"/>
  <c r="AS93" i="41"/>
  <c r="AG140" i="41"/>
  <c r="AS134" i="41"/>
  <c r="AS140" i="41" s="1"/>
  <c r="AW15" i="41"/>
  <c r="AW151" i="41" s="1"/>
  <c r="AZ146" i="41"/>
  <c r="AA152" i="41"/>
  <c r="AG19" i="41"/>
  <c r="AW58" i="41"/>
  <c r="BA141" i="41"/>
  <c r="AV148" i="41"/>
  <c r="AA145" i="41"/>
  <c r="AG12" i="41"/>
  <c r="AA16" i="41"/>
  <c r="AS22" i="41"/>
  <c r="AS27" i="41" s="1"/>
  <c r="AV153" i="41"/>
  <c r="AV29" i="41"/>
  <c r="AS87" i="41"/>
  <c r="AA101" i="41"/>
  <c r="AG98" i="41"/>
  <c r="AB83" i="41"/>
  <c r="AV80" i="41"/>
  <c r="AV83" i="41" s="1"/>
  <c r="AB152" i="41"/>
  <c r="AV19" i="41"/>
  <c r="AV152" i="41" s="1"/>
  <c r="BA144" i="41"/>
  <c r="I151" i="41"/>
  <c r="I144" i="41" s="1"/>
  <c r="AS15" i="41"/>
  <c r="AS151" i="41" s="1"/>
  <c r="I16" i="41"/>
  <c r="I141" i="41" s="1"/>
  <c r="AB145" i="41"/>
  <c r="AB16" i="41"/>
  <c r="AV12" i="41"/>
  <c r="AG93" i="41"/>
  <c r="AY16" i="41"/>
  <c r="AY141" i="41" s="1"/>
  <c r="AR21" i="47" s="1"/>
  <c r="AS50" i="41"/>
  <c r="AR141" i="41"/>
  <c r="AK21" i="47" s="1"/>
  <c r="AB101" i="41"/>
  <c r="AV98" i="41"/>
  <c r="AV101" i="41" s="1"/>
  <c r="AZ141" i="41"/>
  <c r="AS36" i="41"/>
  <c r="AA146" i="41"/>
  <c r="AG17" i="41"/>
  <c r="AA21" i="41"/>
  <c r="AC83" i="41"/>
  <c r="AW80" i="41"/>
  <c r="AW83" i="41" s="1"/>
  <c r="AC152" i="41"/>
  <c r="AW19" i="41"/>
  <c r="AW152" i="41" s="1"/>
  <c r="AS59" i="41"/>
  <c r="AS61" i="41" s="1"/>
  <c r="AV15" i="41"/>
  <c r="AV151" i="41" s="1"/>
  <c r="V141" i="41"/>
  <c r="AS124" i="41"/>
  <c r="AR146" i="41"/>
  <c r="AW102" i="41"/>
  <c r="AW109" i="41" s="1"/>
  <c r="AC109" i="41"/>
  <c r="AY145" i="41"/>
  <c r="AG128" i="41"/>
  <c r="AS176" i="40"/>
  <c r="AC81" i="40"/>
  <c r="AW75" i="40"/>
  <c r="AW81" i="40" s="1"/>
  <c r="AS137" i="40"/>
  <c r="AG154" i="40"/>
  <c r="AS178" i="40"/>
  <c r="AS25" i="40"/>
  <c r="AG88" i="40"/>
  <c r="AS82" i="40"/>
  <c r="AS88" i="40" s="1"/>
  <c r="AA144" i="40"/>
  <c r="AG138" i="40"/>
  <c r="AS128" i="40"/>
  <c r="AS130" i="40" s="1"/>
  <c r="AS12" i="40"/>
  <c r="AR169" i="40"/>
  <c r="AC169" i="40"/>
  <c r="AY15" i="40"/>
  <c r="AG68" i="40"/>
  <c r="AA74" i="40"/>
  <c r="AR124" i="40"/>
  <c r="AR165" i="40" s="1"/>
  <c r="AC124" i="40"/>
  <c r="AW119" i="40"/>
  <c r="AW124" i="40" s="1"/>
  <c r="AT169" i="40"/>
  <c r="AB172" i="40"/>
  <c r="AV55" i="40"/>
  <c r="AV172" i="40" s="1"/>
  <c r="AG164" i="40"/>
  <c r="AS161" i="40"/>
  <c r="AS164" i="40" s="1"/>
  <c r="AG102" i="40"/>
  <c r="AY178" i="40"/>
  <c r="AY25" i="40"/>
  <c r="I175" i="40"/>
  <c r="I168" i="40" s="1"/>
  <c r="AA171" i="40"/>
  <c r="AA38" i="40"/>
  <c r="AG33" i="40"/>
  <c r="AA51" i="40"/>
  <c r="AG45" i="40"/>
  <c r="AA81" i="40"/>
  <c r="AG75" i="40"/>
  <c r="AA173" i="40"/>
  <c r="AG28" i="40"/>
  <c r="AX168" i="40"/>
  <c r="AY169" i="40"/>
  <c r="AB60" i="40"/>
  <c r="AV54" i="40"/>
  <c r="AV68" i="40"/>
  <c r="AV74" i="40" s="1"/>
  <c r="AB74" i="40"/>
  <c r="AB114" i="40"/>
  <c r="AV111" i="40"/>
  <c r="AV114" i="40" s="1"/>
  <c r="AG160" i="40"/>
  <c r="AS155" i="40"/>
  <c r="AS160" i="40" s="1"/>
  <c r="AC108" i="40"/>
  <c r="AW103" i="40"/>
  <c r="AW108" i="40" s="1"/>
  <c r="AS23" i="40"/>
  <c r="AW178" i="40"/>
  <c r="AW25" i="40"/>
  <c r="AV14" i="40"/>
  <c r="AG44" i="40"/>
  <c r="AB81" i="40"/>
  <c r="AV75" i="40"/>
  <c r="AV81" i="40" s="1"/>
  <c r="AG151" i="40"/>
  <c r="AS145" i="40"/>
  <c r="AS151" i="40" s="1"/>
  <c r="AB173" i="40"/>
  <c r="AV28" i="40"/>
  <c r="AV173" i="40" s="1"/>
  <c r="AB124" i="40"/>
  <c r="AV119" i="40"/>
  <c r="AV124" i="40" s="1"/>
  <c r="AG32" i="40"/>
  <c r="AG98" i="40"/>
  <c r="AG120" i="40"/>
  <c r="AS120" i="40" s="1"/>
  <c r="AC144" i="40"/>
  <c r="AC165" i="40" s="1"/>
  <c r="AW138" i="40"/>
  <c r="AW144" i="40" s="1"/>
  <c r="I165" i="40"/>
  <c r="AA175" i="40"/>
  <c r="AG14" i="40"/>
  <c r="AG175" i="40" s="1"/>
  <c r="AA15" i="40"/>
  <c r="AG176" i="40"/>
  <c r="AB171" i="40"/>
  <c r="AB38" i="40"/>
  <c r="AV33" i="40"/>
  <c r="AS98" i="40"/>
  <c r="AB51" i="40"/>
  <c r="AV45" i="40"/>
  <c r="AV51" i="40" s="1"/>
  <c r="AG137" i="40"/>
  <c r="AB170" i="40"/>
  <c r="AY170" i="40"/>
  <c r="AC60" i="40"/>
  <c r="AW54" i="40"/>
  <c r="AW60" i="40" s="1"/>
  <c r="AC74" i="40"/>
  <c r="AW68" i="40"/>
  <c r="AW74" i="40" s="1"/>
  <c r="AC114" i="40"/>
  <c r="AW111" i="40"/>
  <c r="AW114" i="40" s="1"/>
  <c r="AA32" i="40"/>
  <c r="AG103" i="40"/>
  <c r="AA108" i="40"/>
  <c r="AC172" i="40"/>
  <c r="AW55" i="40"/>
  <c r="AW172" i="40" s="1"/>
  <c r="AS152" i="40"/>
  <c r="AS154" i="40" s="1"/>
  <c r="AR170" i="40"/>
  <c r="AS127" i="40"/>
  <c r="AB144" i="40"/>
  <c r="AV138" i="40"/>
  <c r="AV144" i="40" s="1"/>
  <c r="AC171" i="40"/>
  <c r="AC38" i="40"/>
  <c r="AW33" i="40"/>
  <c r="AG111" i="40"/>
  <c r="AA114" i="40"/>
  <c r="AA170" i="40"/>
  <c r="AB108" i="40"/>
  <c r="AB165" i="40" s="1"/>
  <c r="AV103" i="40"/>
  <c r="AV108" i="40" s="1"/>
  <c r="AV177" i="40"/>
  <c r="AS92" i="40"/>
  <c r="AB169" i="40"/>
  <c r="AG92" i="40"/>
  <c r="AG177" i="40"/>
  <c r="AG118" i="40"/>
  <c r="AS115" i="40"/>
  <c r="AY165" i="40"/>
  <c r="I15" i="40"/>
  <c r="AC15" i="40"/>
  <c r="AT171" i="40"/>
  <c r="AT38" i="40"/>
  <c r="AT165" i="40" s="1"/>
  <c r="AC51" i="40"/>
  <c r="AW45" i="40"/>
  <c r="AC173" i="40"/>
  <c r="AW28" i="40"/>
  <c r="AA60" i="40"/>
  <c r="AG54" i="40"/>
  <c r="AA169" i="40"/>
  <c r="AS39" i="40"/>
  <c r="AS44" i="40" s="1"/>
  <c r="AA124" i="40"/>
  <c r="AA165" i="40" s="1"/>
  <c r="AG166" i="40" s="1"/>
  <c r="AG119" i="40"/>
  <c r="AS19" i="40"/>
  <c r="AW14" i="40"/>
  <c r="AW175" i="40" s="1"/>
  <c r="AS177" i="40"/>
  <c r="AS53" i="40"/>
  <c r="AS117" i="40"/>
  <c r="I118" i="40"/>
  <c r="AZ169" i="40"/>
  <c r="AZ168" i="40" s="1"/>
  <c r="AY167" i="40" s="1"/>
  <c r="AG178" i="40"/>
  <c r="AG25" i="40"/>
  <c r="AA172" i="40"/>
  <c r="AG55" i="40"/>
  <c r="AS123" i="39"/>
  <c r="AC107" i="39"/>
  <c r="AW101" i="39"/>
  <c r="AW107" i="39" s="1"/>
  <c r="AZ127" i="39"/>
  <c r="AB134" i="39"/>
  <c r="AB18" i="39"/>
  <c r="AB131" i="39"/>
  <c r="AV25" i="39"/>
  <c r="AB30" i="39"/>
  <c r="AV129" i="39"/>
  <c r="I124" i="39"/>
  <c r="B19" i="47" s="1"/>
  <c r="AY128" i="39"/>
  <c r="AY18" i="39"/>
  <c r="AB137" i="39"/>
  <c r="AV12" i="39"/>
  <c r="AB13" i="39"/>
  <c r="AB100" i="39"/>
  <c r="AV94" i="39"/>
  <c r="AV100" i="39" s="1"/>
  <c r="AC128" i="39"/>
  <c r="V127" i="39"/>
  <c r="AA126" i="39" s="1"/>
  <c r="AS87" i="39"/>
  <c r="AS93" i="39" s="1"/>
  <c r="AC134" i="39"/>
  <c r="AW17" i="39"/>
  <c r="AC18" i="39"/>
  <c r="AC131" i="39"/>
  <c r="AC30" i="39"/>
  <c r="AW25" i="39"/>
  <c r="AR65" i="39"/>
  <c r="AR124" i="39" s="1"/>
  <c r="AK19" i="47" s="1"/>
  <c r="AS57" i="39"/>
  <c r="AS58" i="39" s="1"/>
  <c r="AG72" i="39"/>
  <c r="AC137" i="39"/>
  <c r="AC13" i="39"/>
  <c r="AW12" i="39"/>
  <c r="AY136" i="39"/>
  <c r="AY44" i="39"/>
  <c r="AG50" i="39"/>
  <c r="AS47" i="39"/>
  <c r="AS50" i="39" s="1"/>
  <c r="AG135" i="39"/>
  <c r="AS28" i="39"/>
  <c r="AS135" i="39" s="1"/>
  <c r="AU127" i="39"/>
  <c r="AT131" i="39"/>
  <c r="AT30" i="39"/>
  <c r="AG86" i="39"/>
  <c r="AS80" i="39"/>
  <c r="AS86" i="39" s="1"/>
  <c r="AG123" i="39"/>
  <c r="AT137" i="39"/>
  <c r="AT13" i="39"/>
  <c r="AS73" i="39"/>
  <c r="AS79" i="39" s="1"/>
  <c r="I134" i="39"/>
  <c r="I127" i="39" s="1"/>
  <c r="AG118" i="39"/>
  <c r="AS115" i="39"/>
  <c r="AS118" i="39" s="1"/>
  <c r="BA127" i="39"/>
  <c r="AZ124" i="39"/>
  <c r="AV18" i="39"/>
  <c r="AC100" i="39"/>
  <c r="AW94" i="39"/>
  <c r="AW100" i="39" s="1"/>
  <c r="AS109" i="39"/>
  <c r="AS114" i="39" s="1"/>
  <c r="AG36" i="39"/>
  <c r="AS31" i="39"/>
  <c r="AS36" i="39" s="1"/>
  <c r="AW129" i="39"/>
  <c r="AG65" i="39"/>
  <c r="AS59" i="39"/>
  <c r="AS65" i="39" s="1"/>
  <c r="AX127" i="39"/>
  <c r="AS72" i="39"/>
  <c r="AG136" i="39"/>
  <c r="AG44" i="39"/>
  <c r="AS43" i="39"/>
  <c r="AA137" i="39"/>
  <c r="AG12" i="39"/>
  <c r="AA13" i="39"/>
  <c r="AG101" i="39"/>
  <c r="AA107" i="39"/>
  <c r="AV136" i="39"/>
  <c r="AV44" i="39"/>
  <c r="AS129" i="39"/>
  <c r="AS24" i="39"/>
  <c r="AG56" i="39"/>
  <c r="AS51" i="39"/>
  <c r="AS56" i="39" s="1"/>
  <c r="AB107" i="39"/>
  <c r="AV101" i="39"/>
  <c r="AV107" i="39" s="1"/>
  <c r="AA134" i="39"/>
  <c r="AG17" i="39"/>
  <c r="AA18" i="39"/>
  <c r="AA131" i="39"/>
  <c r="AA30" i="39"/>
  <c r="AG25" i="39"/>
  <c r="AV114" i="39"/>
  <c r="AG94" i="39"/>
  <c r="AG128" i="39" s="1"/>
  <c r="AA100" i="39"/>
  <c r="AY129" i="39"/>
  <c r="AY24" i="39"/>
  <c r="AR129" i="39"/>
  <c r="AR127" i="39" s="1"/>
  <c r="AB128" i="39"/>
  <c r="AB127" i="39" s="1"/>
  <c r="AT124" i="39" l="1"/>
  <c r="AM19" i="47" s="1"/>
  <c r="AY124" i="39"/>
  <c r="AR19" i="47" s="1"/>
  <c r="AW58" i="39"/>
  <c r="AW136" i="39"/>
  <c r="AW128" i="39"/>
  <c r="I125" i="39"/>
  <c r="D19" i="47"/>
  <c r="AB124" i="39"/>
  <c r="U19" i="47" s="1"/>
  <c r="AT127" i="39"/>
  <c r="AS37" i="39"/>
  <c r="AG42" i="39"/>
  <c r="AG130" i="39"/>
  <c r="AV130" i="39"/>
  <c r="AV42" i="39"/>
  <c r="AV128" i="39"/>
  <c r="AW42" i="39"/>
  <c r="AW130" i="39"/>
  <c r="AY125" i="39"/>
  <c r="AS19" i="47"/>
  <c r="AA127" i="39"/>
  <c r="AA124" i="39"/>
  <c r="AC124" i="39"/>
  <c r="V19" i="47" s="1"/>
  <c r="AA125" i="39"/>
  <c r="O19" i="47"/>
  <c r="AY200" i="42"/>
  <c r="AS22" i="47"/>
  <c r="AG200" i="42"/>
  <c r="T22" i="47"/>
  <c r="AA202" i="42"/>
  <c r="AB202" i="42"/>
  <c r="AY142" i="41"/>
  <c r="AS21" i="47"/>
  <c r="AZ144" i="41"/>
  <c r="AY143" i="41" s="1"/>
  <c r="AR144" i="41"/>
  <c r="AA142" i="41"/>
  <c r="O21" i="47"/>
  <c r="AB144" i="41"/>
  <c r="AT144" i="41"/>
  <c r="AT141" i="41"/>
  <c r="AM21" i="47" s="1"/>
  <c r="AG100" i="42"/>
  <c r="AS97" i="42"/>
  <c r="AS100" i="42" s="1"/>
  <c r="AG204" i="42"/>
  <c r="AG53" i="42"/>
  <c r="AS48" i="42"/>
  <c r="AG126" i="42"/>
  <c r="AS123" i="42"/>
  <c r="AS126" i="42" s="1"/>
  <c r="AW212" i="42"/>
  <c r="AW47" i="42"/>
  <c r="AG210" i="42"/>
  <c r="AS51" i="42"/>
  <c r="AS210" i="42" s="1"/>
  <c r="AC202" i="42"/>
  <c r="AG201" i="42" s="1"/>
  <c r="AV203" i="42"/>
  <c r="AS206" i="42"/>
  <c r="AS65" i="42"/>
  <c r="AY202" i="42"/>
  <c r="AW209" i="42"/>
  <c r="AW132" i="42"/>
  <c r="AS211" i="42"/>
  <c r="AS79" i="42"/>
  <c r="AV204" i="42"/>
  <c r="AV53" i="42"/>
  <c r="AV199" i="42" s="1"/>
  <c r="AO22" i="47" s="1"/>
  <c r="AS203" i="42"/>
  <c r="AS18" i="42"/>
  <c r="AG191" i="42"/>
  <c r="AG199" i="42" s="1"/>
  <c r="Z22" i="47" s="1"/>
  <c r="AS186" i="42"/>
  <c r="AS191" i="42" s="1"/>
  <c r="AG212" i="42"/>
  <c r="AG47" i="42"/>
  <c r="AS46" i="42"/>
  <c r="AG113" i="42"/>
  <c r="AS107" i="42"/>
  <c r="AS113" i="42" s="1"/>
  <c r="AG86" i="42"/>
  <c r="AS80" i="42"/>
  <c r="AS86" i="42" s="1"/>
  <c r="AW203" i="42"/>
  <c r="AG203" i="42"/>
  <c r="AG202" i="42" s="1"/>
  <c r="AG132" i="42"/>
  <c r="AV212" i="42"/>
  <c r="AV47" i="42"/>
  <c r="AW204" i="42"/>
  <c r="AW53" i="42"/>
  <c r="AG145" i="41"/>
  <c r="AG16" i="41"/>
  <c r="AS12" i="41"/>
  <c r="AB141" i="41"/>
  <c r="U21" i="47" s="1"/>
  <c r="AA144" i="41"/>
  <c r="AC144" i="41"/>
  <c r="AS58" i="41"/>
  <c r="AG109" i="41"/>
  <c r="AS102" i="41"/>
  <c r="AS109" i="41" s="1"/>
  <c r="AC141" i="41"/>
  <c r="V21" i="47" s="1"/>
  <c r="AG83" i="41"/>
  <c r="AS80" i="41"/>
  <c r="AS83" i="41" s="1"/>
  <c r="AS153" i="41"/>
  <c r="AS29" i="41"/>
  <c r="AG146" i="41"/>
  <c r="AG21" i="41"/>
  <c r="AS17" i="41"/>
  <c r="AV145" i="41"/>
  <c r="AV16" i="41"/>
  <c r="AY144" i="41"/>
  <c r="AG101" i="41"/>
  <c r="AS98" i="41"/>
  <c r="AS101" i="41" s="1"/>
  <c r="AA141" i="41"/>
  <c r="T21" i="47" s="1"/>
  <c r="AG152" i="41"/>
  <c r="AS19" i="41"/>
  <c r="AS152" i="41" s="1"/>
  <c r="AV146" i="41"/>
  <c r="AV21" i="41"/>
  <c r="AW145" i="41"/>
  <c r="AW16" i="41"/>
  <c r="AW146" i="41"/>
  <c r="AW21" i="41"/>
  <c r="AG60" i="40"/>
  <c r="AS54" i="40"/>
  <c r="AW51" i="40"/>
  <c r="AW165" i="40" s="1"/>
  <c r="AW170" i="40"/>
  <c r="AG114" i="40"/>
  <c r="AS111" i="40"/>
  <c r="AS114" i="40" s="1"/>
  <c r="AG108" i="40"/>
  <c r="AS103" i="40"/>
  <c r="AS108" i="40" s="1"/>
  <c r="AA168" i="40"/>
  <c r="AS118" i="40"/>
  <c r="AW171" i="40"/>
  <c r="AW38" i="40"/>
  <c r="AG170" i="40"/>
  <c r="AV175" i="40"/>
  <c r="AV15" i="40"/>
  <c r="AV60" i="40"/>
  <c r="AV165" i="40" s="1"/>
  <c r="AS166" i="40" s="1"/>
  <c r="AV169" i="40"/>
  <c r="AV32" i="40"/>
  <c r="AG171" i="40"/>
  <c r="AG38" i="40"/>
  <c r="AS33" i="40"/>
  <c r="AW15" i="40"/>
  <c r="AV170" i="40"/>
  <c r="AG74" i="40"/>
  <c r="AS68" i="40"/>
  <c r="AS74" i="40" s="1"/>
  <c r="AW169" i="40"/>
  <c r="AW168" i="40" s="1"/>
  <c r="AY168" i="40"/>
  <c r="AG81" i="40"/>
  <c r="AS75" i="40"/>
  <c r="AS81" i="40" s="1"/>
  <c r="AT168" i="40"/>
  <c r="AG144" i="40"/>
  <c r="AS138" i="40"/>
  <c r="AS144" i="40" s="1"/>
  <c r="AG15" i="40"/>
  <c r="AV171" i="40"/>
  <c r="AV38" i="40"/>
  <c r="AG124" i="40"/>
  <c r="AS119" i="40"/>
  <c r="AS124" i="40" s="1"/>
  <c r="AW173" i="40"/>
  <c r="AW32" i="40"/>
  <c r="AC168" i="40"/>
  <c r="AG169" i="40"/>
  <c r="AG168" i="40" s="1"/>
  <c r="AG172" i="40"/>
  <c r="AS55" i="40"/>
  <c r="AS172" i="40" s="1"/>
  <c r="AB168" i="40"/>
  <c r="AG173" i="40"/>
  <c r="AS28" i="40"/>
  <c r="AG51" i="40"/>
  <c r="AS45" i="40"/>
  <c r="AS51" i="40" s="1"/>
  <c r="AS14" i="40"/>
  <c r="AS175" i="40" s="1"/>
  <c r="AR168" i="40"/>
  <c r="AG165" i="40"/>
  <c r="AG137" i="39"/>
  <c r="AG13" i="39"/>
  <c r="AS12" i="39"/>
  <c r="AC127" i="39"/>
  <c r="AV131" i="39"/>
  <c r="AV30" i="39"/>
  <c r="AV124" i="39" s="1"/>
  <c r="AW137" i="39"/>
  <c r="AW13" i="39"/>
  <c r="AW134" i="39"/>
  <c r="AW18" i="39"/>
  <c r="AG134" i="39"/>
  <c r="AG18" i="39"/>
  <c r="AS17" i="39"/>
  <c r="AG107" i="39"/>
  <c r="AS101" i="39"/>
  <c r="AS107" i="39" s="1"/>
  <c r="AY127" i="39"/>
  <c r="AS136" i="39"/>
  <c r="AS44" i="39"/>
  <c r="AW131" i="39"/>
  <c r="AW30" i="39"/>
  <c r="AW124" i="39" s="1"/>
  <c r="AP19" i="47" s="1"/>
  <c r="AG100" i="39"/>
  <c r="AS94" i="39"/>
  <c r="AS100" i="39" s="1"/>
  <c r="AG131" i="39"/>
  <c r="AG30" i="39"/>
  <c r="AS25" i="39"/>
  <c r="AV137" i="39"/>
  <c r="AV13" i="39"/>
  <c r="AY126" i="39"/>
  <c r="AG127" i="39" l="1"/>
  <c r="AS128" i="39"/>
  <c r="AV127" i="39"/>
  <c r="AS125" i="39"/>
  <c r="AO19" i="47"/>
  <c r="AS130" i="39"/>
  <c r="AS42" i="39"/>
  <c r="AG124" i="39"/>
  <c r="Z19" i="47" s="1"/>
  <c r="AG126" i="39"/>
  <c r="AG125" i="39"/>
  <c r="T19" i="47"/>
  <c r="AW127" i="39"/>
  <c r="AV202" i="42"/>
  <c r="AG144" i="41"/>
  <c r="AV141" i="41"/>
  <c r="AO21" i="47" s="1"/>
  <c r="AW202" i="42"/>
  <c r="AS201" i="42" s="1"/>
  <c r="AS212" i="42"/>
  <c r="AS47" i="42"/>
  <c r="AW199" i="42"/>
  <c r="AS204" i="42"/>
  <c r="AS202" i="42" s="1"/>
  <c r="AS53" i="42"/>
  <c r="AW141" i="41"/>
  <c r="AG142" i="41"/>
  <c r="AS146" i="41"/>
  <c r="AS21" i="41"/>
  <c r="AW144" i="41"/>
  <c r="AG143" i="41"/>
  <c r="AS145" i="41"/>
  <c r="AS16" i="41"/>
  <c r="AV144" i="41"/>
  <c r="AG141" i="41"/>
  <c r="Z21" i="47" s="1"/>
  <c r="AS173" i="40"/>
  <c r="AS32" i="40"/>
  <c r="AV168" i="40"/>
  <c r="AS170" i="40"/>
  <c r="AS171" i="40"/>
  <c r="AS38" i="40"/>
  <c r="AS165" i="40" s="1"/>
  <c r="AG167" i="40"/>
  <c r="AS60" i="40"/>
  <c r="AS15" i="40"/>
  <c r="AS169" i="40"/>
  <c r="AS167" i="40"/>
  <c r="AS131" i="39"/>
  <c r="AS30" i="39"/>
  <c r="AS137" i="39"/>
  <c r="AS13" i="39"/>
  <c r="AS134" i="39"/>
  <c r="AS18" i="39"/>
  <c r="AS126" i="39" l="1"/>
  <c r="AS124" i="39"/>
  <c r="AL19" i="47" s="1"/>
  <c r="AS127" i="39"/>
  <c r="AS200" i="42"/>
  <c r="AP22" i="47"/>
  <c r="AS143" i="41"/>
  <c r="AS142" i="41"/>
  <c r="AP21" i="47"/>
  <c r="AS141" i="41"/>
  <c r="AL21" i="47" s="1"/>
  <c r="AS199" i="42"/>
  <c r="AL22" i="47" s="1"/>
  <c r="AS144" i="41"/>
  <c r="AS168" i="40"/>
  <c r="P130" i="44" l="1"/>
  <c r="O130" i="44"/>
  <c r="N130" i="44"/>
  <c r="M130" i="44"/>
  <c r="L130" i="44"/>
  <c r="K130" i="44"/>
  <c r="J130" i="44"/>
  <c r="I130" i="44"/>
  <c r="P124" i="44"/>
  <c r="O124" i="44"/>
  <c r="N124" i="44"/>
  <c r="M124" i="44"/>
  <c r="L124" i="44"/>
  <c r="K124" i="44"/>
  <c r="J124" i="44"/>
  <c r="I124" i="44"/>
  <c r="P115" i="44"/>
  <c r="O115" i="44"/>
  <c r="N115" i="44"/>
  <c r="M115" i="44"/>
  <c r="L115" i="44"/>
  <c r="K115" i="44"/>
  <c r="J115" i="44"/>
  <c r="I115" i="44"/>
  <c r="P113" i="44"/>
  <c r="O113" i="44"/>
  <c r="N113" i="44"/>
  <c r="M113" i="44"/>
  <c r="L113" i="44"/>
  <c r="K113" i="44"/>
  <c r="J113" i="44"/>
  <c r="I113" i="44"/>
  <c r="P107" i="44"/>
  <c r="O107" i="44"/>
  <c r="N107" i="44"/>
  <c r="M107" i="44"/>
  <c r="L107" i="44"/>
  <c r="K107" i="44"/>
  <c r="J107" i="44"/>
  <c r="I107" i="44"/>
  <c r="P105" i="44"/>
  <c r="O105" i="44"/>
  <c r="N105" i="44"/>
  <c r="M105" i="44"/>
  <c r="L105" i="44"/>
  <c r="K105" i="44"/>
  <c r="J105" i="44"/>
  <c r="I105" i="44"/>
  <c r="P101" i="44"/>
  <c r="O101" i="44"/>
  <c r="N101" i="44"/>
  <c r="M101" i="44"/>
  <c r="L101" i="44"/>
  <c r="K101" i="44"/>
  <c r="J101" i="44"/>
  <c r="I101" i="44"/>
  <c r="P95" i="44"/>
  <c r="O95" i="44"/>
  <c r="N95" i="44"/>
  <c r="M95" i="44"/>
  <c r="L95" i="44"/>
  <c r="K95" i="44"/>
  <c r="J95" i="44"/>
  <c r="I95" i="44"/>
  <c r="P91" i="44"/>
  <c r="O91" i="44"/>
  <c r="N91" i="44"/>
  <c r="M91" i="44"/>
  <c r="L91" i="44"/>
  <c r="K91" i="44"/>
  <c r="J91" i="44"/>
  <c r="I91" i="44"/>
  <c r="P84" i="44"/>
  <c r="O84" i="44"/>
  <c r="N84" i="44"/>
  <c r="M84" i="44"/>
  <c r="L84" i="44"/>
  <c r="K84" i="44"/>
  <c r="J84" i="44"/>
  <c r="I84" i="44"/>
  <c r="P77" i="44"/>
  <c r="O77" i="44"/>
  <c r="N77" i="44"/>
  <c r="M77" i="44"/>
  <c r="L77" i="44"/>
  <c r="K77" i="44"/>
  <c r="J77" i="44"/>
  <c r="I77" i="44"/>
  <c r="P70" i="44"/>
  <c r="O70" i="44"/>
  <c r="N70" i="44"/>
  <c r="M70" i="44"/>
  <c r="L70" i="44"/>
  <c r="K70" i="44"/>
  <c r="J70" i="44"/>
  <c r="I70" i="44"/>
  <c r="P63" i="44"/>
  <c r="O63" i="44"/>
  <c r="N63" i="44"/>
  <c r="M63" i="44"/>
  <c r="L63" i="44"/>
  <c r="K63" i="44"/>
  <c r="J63" i="44"/>
  <c r="I63" i="44"/>
  <c r="P56" i="44"/>
  <c r="O56" i="44"/>
  <c r="N56" i="44"/>
  <c r="M56" i="44"/>
  <c r="L56" i="44"/>
  <c r="K56" i="44"/>
  <c r="J56" i="44"/>
  <c r="I56" i="44"/>
  <c r="P49" i="44"/>
  <c r="O49" i="44"/>
  <c r="N49" i="44"/>
  <c r="M49" i="44"/>
  <c r="L49" i="44"/>
  <c r="K49" i="44"/>
  <c r="J49" i="44"/>
  <c r="I49" i="44"/>
  <c r="P42" i="44"/>
  <c r="O42" i="44"/>
  <c r="N42" i="44"/>
  <c r="M42" i="44"/>
  <c r="L42" i="44"/>
  <c r="K42" i="44"/>
  <c r="J42" i="44"/>
  <c r="I42" i="44"/>
  <c r="P35" i="44"/>
  <c r="O35" i="44"/>
  <c r="N35" i="44"/>
  <c r="M35" i="44"/>
  <c r="L35" i="44"/>
  <c r="K35" i="44"/>
  <c r="J35" i="44"/>
  <c r="I35" i="44"/>
  <c r="P28" i="44"/>
  <c r="O28" i="44"/>
  <c r="N28" i="44"/>
  <c r="M28" i="44"/>
  <c r="L28" i="44"/>
  <c r="K28" i="44"/>
  <c r="J28" i="44"/>
  <c r="I28" i="44"/>
  <c r="P19" i="44"/>
  <c r="O19" i="44"/>
  <c r="N19" i="44"/>
  <c r="M19" i="44"/>
  <c r="L19" i="44"/>
  <c r="K19" i="44"/>
  <c r="J19" i="44"/>
  <c r="I19" i="44"/>
  <c r="P13" i="44"/>
  <c r="O13" i="44"/>
  <c r="N13" i="44"/>
  <c r="M13" i="44"/>
  <c r="L13" i="44"/>
  <c r="K13" i="44"/>
  <c r="J13" i="44"/>
  <c r="I13" i="44"/>
  <c r="P462" i="43"/>
  <c r="O462" i="43"/>
  <c r="N462" i="43"/>
  <c r="M462" i="43"/>
  <c r="L462" i="43"/>
  <c r="K462" i="43"/>
  <c r="J462" i="43"/>
  <c r="I462" i="43"/>
  <c r="P458" i="43"/>
  <c r="O458" i="43"/>
  <c r="N458" i="43"/>
  <c r="M458" i="43"/>
  <c r="L458" i="43"/>
  <c r="K458" i="43"/>
  <c r="J458" i="43"/>
  <c r="I458" i="43"/>
  <c r="P455" i="43"/>
  <c r="O455" i="43"/>
  <c r="N455" i="43"/>
  <c r="M455" i="43"/>
  <c r="L455" i="43"/>
  <c r="K455" i="43"/>
  <c r="J455" i="43"/>
  <c r="I455" i="43"/>
  <c r="P448" i="43"/>
  <c r="O448" i="43"/>
  <c r="N448" i="43"/>
  <c r="M448" i="43"/>
  <c r="L448" i="43"/>
  <c r="K448" i="43"/>
  <c r="J448" i="43"/>
  <c r="I448" i="43"/>
  <c r="P441" i="43"/>
  <c r="O441" i="43"/>
  <c r="N441" i="43"/>
  <c r="M441" i="43"/>
  <c r="L441" i="43"/>
  <c r="K441" i="43"/>
  <c r="J441" i="43"/>
  <c r="I441" i="43"/>
  <c r="P434" i="43"/>
  <c r="O434" i="43"/>
  <c r="N434" i="43"/>
  <c r="M434" i="43"/>
  <c r="L434" i="43"/>
  <c r="K434" i="43"/>
  <c r="J434" i="43"/>
  <c r="I434" i="43"/>
  <c r="P427" i="43"/>
  <c r="O427" i="43"/>
  <c r="N427" i="43"/>
  <c r="M427" i="43"/>
  <c r="L427" i="43"/>
  <c r="K427" i="43"/>
  <c r="J427" i="43"/>
  <c r="I427" i="43"/>
  <c r="P420" i="43"/>
  <c r="O420" i="43"/>
  <c r="N420" i="43"/>
  <c r="M420" i="43"/>
  <c r="L420" i="43"/>
  <c r="K420" i="43"/>
  <c r="J420" i="43"/>
  <c r="I420" i="43"/>
  <c r="P413" i="43"/>
  <c r="O413" i="43"/>
  <c r="N413" i="43"/>
  <c r="M413" i="43"/>
  <c r="L413" i="43"/>
  <c r="K413" i="43"/>
  <c r="J413" i="43"/>
  <c r="I413" i="43"/>
  <c r="P406" i="43"/>
  <c r="O406" i="43"/>
  <c r="N406" i="43"/>
  <c r="M406" i="43"/>
  <c r="L406" i="43"/>
  <c r="K406" i="43"/>
  <c r="J406" i="43"/>
  <c r="I406" i="43"/>
  <c r="P399" i="43"/>
  <c r="O399" i="43"/>
  <c r="N399" i="43"/>
  <c r="M399" i="43"/>
  <c r="L399" i="43"/>
  <c r="K399" i="43"/>
  <c r="J399" i="43"/>
  <c r="I399" i="43"/>
  <c r="P392" i="43"/>
  <c r="O392" i="43"/>
  <c r="N392" i="43"/>
  <c r="M392" i="43"/>
  <c r="L392" i="43"/>
  <c r="K392" i="43"/>
  <c r="J392" i="43"/>
  <c r="I392" i="43"/>
  <c r="P388" i="43"/>
  <c r="O388" i="43"/>
  <c r="N388" i="43"/>
  <c r="M388" i="43"/>
  <c r="L388" i="43"/>
  <c r="K388" i="43"/>
  <c r="J388" i="43"/>
  <c r="I388" i="43"/>
  <c r="P382" i="43"/>
  <c r="O382" i="43"/>
  <c r="N382" i="43"/>
  <c r="M382" i="43"/>
  <c r="L382" i="43"/>
  <c r="K382" i="43"/>
  <c r="J382" i="43"/>
  <c r="I382" i="43"/>
  <c r="P375" i="43"/>
  <c r="O375" i="43"/>
  <c r="N375" i="43"/>
  <c r="M375" i="43"/>
  <c r="L375" i="43"/>
  <c r="K375" i="43"/>
  <c r="J375" i="43"/>
  <c r="I375" i="43"/>
  <c r="P373" i="43"/>
  <c r="O373" i="43"/>
  <c r="N373" i="43"/>
  <c r="M373" i="43"/>
  <c r="L373" i="43"/>
  <c r="K373" i="43"/>
  <c r="J373" i="43"/>
  <c r="I373" i="43"/>
  <c r="P369" i="43"/>
  <c r="O369" i="43"/>
  <c r="N369" i="43"/>
  <c r="M369" i="43"/>
  <c r="L369" i="43"/>
  <c r="K369" i="43"/>
  <c r="J369" i="43"/>
  <c r="I369" i="43"/>
  <c r="P362" i="43"/>
  <c r="O362" i="43"/>
  <c r="N362" i="43"/>
  <c r="M362" i="43"/>
  <c r="L362" i="43"/>
  <c r="K362" i="43"/>
  <c r="J362" i="43"/>
  <c r="I362" i="43"/>
  <c r="P357" i="43"/>
  <c r="O357" i="43"/>
  <c r="N357" i="43"/>
  <c r="M357" i="43"/>
  <c r="L357" i="43"/>
  <c r="K357" i="43"/>
  <c r="J357" i="43"/>
  <c r="I357" i="43"/>
  <c r="P350" i="43"/>
  <c r="O350" i="43"/>
  <c r="N350" i="43"/>
  <c r="M350" i="43"/>
  <c r="L350" i="43"/>
  <c r="K350" i="43"/>
  <c r="J350" i="43"/>
  <c r="I350" i="43"/>
  <c r="P344" i="43"/>
  <c r="O344" i="43"/>
  <c r="N344" i="43"/>
  <c r="M344" i="43"/>
  <c r="L344" i="43"/>
  <c r="K344" i="43"/>
  <c r="J344" i="43"/>
  <c r="I344" i="43"/>
  <c r="P335" i="43"/>
  <c r="O335" i="43"/>
  <c r="N335" i="43"/>
  <c r="M335" i="43"/>
  <c r="L335" i="43"/>
  <c r="K335" i="43"/>
  <c r="J335" i="43"/>
  <c r="I335" i="43"/>
  <c r="P332" i="43"/>
  <c r="O332" i="43"/>
  <c r="N332" i="43"/>
  <c r="M332" i="43"/>
  <c r="L332" i="43"/>
  <c r="K332" i="43"/>
  <c r="J332" i="43"/>
  <c r="I332" i="43"/>
  <c r="P328" i="43"/>
  <c r="O328" i="43"/>
  <c r="N328" i="43"/>
  <c r="M328" i="43"/>
  <c r="L328" i="43"/>
  <c r="K328" i="43"/>
  <c r="J328" i="43"/>
  <c r="I328" i="43"/>
  <c r="P324" i="43"/>
  <c r="O324" i="43"/>
  <c r="N324" i="43"/>
  <c r="M324" i="43"/>
  <c r="L324" i="43"/>
  <c r="K324" i="43"/>
  <c r="J324" i="43"/>
  <c r="I324" i="43"/>
  <c r="P322" i="43"/>
  <c r="O322" i="43"/>
  <c r="N322" i="43"/>
  <c r="M322" i="43"/>
  <c r="L322" i="43"/>
  <c r="K322" i="43"/>
  <c r="J322" i="43"/>
  <c r="I322" i="43"/>
  <c r="P316" i="43"/>
  <c r="O316" i="43"/>
  <c r="N316" i="43"/>
  <c r="M316" i="43"/>
  <c r="L316" i="43"/>
  <c r="K316" i="43"/>
  <c r="J316" i="43"/>
  <c r="I316" i="43"/>
  <c r="P312" i="43"/>
  <c r="O312" i="43"/>
  <c r="N312" i="43"/>
  <c r="M312" i="43"/>
  <c r="L312" i="43"/>
  <c r="K312" i="43"/>
  <c r="J312" i="43"/>
  <c r="I312" i="43"/>
  <c r="P305" i="43"/>
  <c r="O305" i="43"/>
  <c r="N305" i="43"/>
  <c r="M305" i="43"/>
  <c r="L305" i="43"/>
  <c r="K305" i="43"/>
  <c r="J305" i="43"/>
  <c r="I305" i="43"/>
  <c r="P298" i="43"/>
  <c r="O298" i="43"/>
  <c r="N298" i="43"/>
  <c r="M298" i="43"/>
  <c r="L298" i="43"/>
  <c r="K298" i="43"/>
  <c r="J298" i="43"/>
  <c r="I298" i="43"/>
  <c r="P296" i="43"/>
  <c r="O296" i="43"/>
  <c r="N296" i="43"/>
  <c r="M296" i="43"/>
  <c r="L296" i="43"/>
  <c r="K296" i="43"/>
  <c r="J296" i="43"/>
  <c r="I296" i="43"/>
  <c r="P288" i="43"/>
  <c r="O288" i="43"/>
  <c r="N288" i="43"/>
  <c r="M288" i="43"/>
  <c r="L288" i="43"/>
  <c r="K288" i="43"/>
  <c r="J288" i="43"/>
  <c r="I288" i="43"/>
  <c r="P283" i="43"/>
  <c r="O283" i="43"/>
  <c r="N283" i="43"/>
  <c r="M283" i="43"/>
  <c r="L283" i="43"/>
  <c r="K283" i="43"/>
  <c r="J283" i="43"/>
  <c r="I283" i="43"/>
  <c r="P276" i="43"/>
  <c r="O276" i="43"/>
  <c r="N276" i="43"/>
  <c r="M276" i="43"/>
  <c r="L276" i="43"/>
  <c r="K276" i="43"/>
  <c r="J276" i="43"/>
  <c r="I276" i="43"/>
  <c r="P272" i="43"/>
  <c r="O272" i="43"/>
  <c r="N272" i="43"/>
  <c r="M272" i="43"/>
  <c r="L272" i="43"/>
  <c r="K272" i="43"/>
  <c r="J272" i="43"/>
  <c r="I272" i="43"/>
  <c r="P266" i="43"/>
  <c r="O266" i="43"/>
  <c r="N266" i="43"/>
  <c r="M266" i="43"/>
  <c r="L266" i="43"/>
  <c r="K266" i="43"/>
  <c r="J266" i="43"/>
  <c r="I266" i="43"/>
  <c r="P262" i="43"/>
  <c r="O262" i="43"/>
  <c r="N262" i="43"/>
  <c r="M262" i="43"/>
  <c r="L262" i="43"/>
  <c r="K262" i="43"/>
  <c r="J262" i="43"/>
  <c r="I262" i="43"/>
  <c r="P258" i="43"/>
  <c r="O258" i="43"/>
  <c r="N258" i="43"/>
  <c r="M258" i="43"/>
  <c r="L258" i="43"/>
  <c r="K258" i="43"/>
  <c r="J258" i="43"/>
  <c r="I258" i="43"/>
  <c r="P256" i="43"/>
  <c r="O256" i="43"/>
  <c r="N256" i="43"/>
  <c r="M256" i="43"/>
  <c r="L256" i="43"/>
  <c r="K256" i="43"/>
  <c r="J256" i="43"/>
  <c r="I256" i="43"/>
  <c r="P249" i="43"/>
  <c r="O249" i="43"/>
  <c r="N249" i="43"/>
  <c r="M249" i="43"/>
  <c r="L249" i="43"/>
  <c r="K249" i="43"/>
  <c r="J249" i="43"/>
  <c r="I249" i="43"/>
  <c r="P243" i="43"/>
  <c r="O243" i="43"/>
  <c r="N243" i="43"/>
  <c r="M243" i="43"/>
  <c r="L243" i="43"/>
  <c r="K243" i="43"/>
  <c r="J243" i="43"/>
  <c r="I243" i="43"/>
  <c r="P237" i="43"/>
  <c r="O237" i="43"/>
  <c r="N237" i="43"/>
  <c r="M237" i="43"/>
  <c r="L237" i="43"/>
  <c r="K237" i="43"/>
  <c r="J237" i="43"/>
  <c r="I237" i="43"/>
  <c r="P231" i="43"/>
  <c r="O231" i="43"/>
  <c r="N231" i="43"/>
  <c r="M231" i="43"/>
  <c r="L231" i="43"/>
  <c r="K231" i="43"/>
  <c r="J231" i="43"/>
  <c r="I231" i="43"/>
  <c r="P225" i="43"/>
  <c r="O225" i="43"/>
  <c r="N225" i="43"/>
  <c r="M225" i="43"/>
  <c r="L225" i="43"/>
  <c r="K225" i="43"/>
  <c r="J225" i="43"/>
  <c r="I225" i="43"/>
  <c r="P219" i="43"/>
  <c r="O219" i="43"/>
  <c r="N219" i="43"/>
  <c r="M219" i="43"/>
  <c r="L219" i="43"/>
  <c r="K219" i="43"/>
  <c r="J219" i="43"/>
  <c r="I219" i="43"/>
  <c r="P213" i="43"/>
  <c r="O213" i="43"/>
  <c r="N213" i="43"/>
  <c r="M213" i="43"/>
  <c r="L213" i="43"/>
  <c r="K213" i="43"/>
  <c r="J213" i="43"/>
  <c r="I213" i="43"/>
  <c r="P206" i="43"/>
  <c r="O206" i="43"/>
  <c r="N206" i="43"/>
  <c r="M206" i="43"/>
  <c r="L206" i="43"/>
  <c r="K206" i="43"/>
  <c r="J206" i="43"/>
  <c r="I206" i="43"/>
  <c r="P200" i="43"/>
  <c r="O200" i="43"/>
  <c r="N200" i="43"/>
  <c r="M200" i="43"/>
  <c r="L200" i="43"/>
  <c r="K200" i="43"/>
  <c r="J200" i="43"/>
  <c r="I200" i="43"/>
  <c r="P194" i="43"/>
  <c r="O194" i="43"/>
  <c r="N194" i="43"/>
  <c r="M194" i="43"/>
  <c r="L194" i="43"/>
  <c r="K194" i="43"/>
  <c r="J194" i="43"/>
  <c r="I194" i="43"/>
  <c r="P187" i="43"/>
  <c r="O187" i="43"/>
  <c r="N187" i="43"/>
  <c r="M187" i="43"/>
  <c r="L187" i="43"/>
  <c r="K187" i="43"/>
  <c r="J187" i="43"/>
  <c r="I187" i="43"/>
  <c r="P180" i="43"/>
  <c r="O180" i="43"/>
  <c r="N180" i="43"/>
  <c r="M180" i="43"/>
  <c r="L180" i="43"/>
  <c r="K180" i="43"/>
  <c r="J180" i="43"/>
  <c r="I180" i="43"/>
  <c r="P174" i="43"/>
  <c r="O174" i="43"/>
  <c r="N174" i="43"/>
  <c r="M174" i="43"/>
  <c r="L174" i="43"/>
  <c r="K174" i="43"/>
  <c r="J174" i="43"/>
  <c r="I174" i="43"/>
  <c r="P168" i="43"/>
  <c r="O168" i="43"/>
  <c r="N168" i="43"/>
  <c r="M168" i="43"/>
  <c r="L168" i="43"/>
  <c r="K168" i="43"/>
  <c r="J168" i="43"/>
  <c r="I168" i="43"/>
  <c r="P162" i="43"/>
  <c r="O162" i="43"/>
  <c r="N162" i="43"/>
  <c r="M162" i="43"/>
  <c r="L162" i="43"/>
  <c r="K162" i="43"/>
  <c r="J162" i="43"/>
  <c r="I162" i="43"/>
  <c r="P157" i="43"/>
  <c r="O157" i="43"/>
  <c r="N157" i="43"/>
  <c r="M157" i="43"/>
  <c r="L157" i="43"/>
  <c r="K157" i="43"/>
  <c r="J157" i="43"/>
  <c r="I157" i="43"/>
  <c r="P151" i="43"/>
  <c r="O151" i="43"/>
  <c r="N151" i="43"/>
  <c r="M151" i="43"/>
  <c r="L151" i="43"/>
  <c r="K151" i="43"/>
  <c r="J151" i="43"/>
  <c r="I151" i="43"/>
  <c r="P145" i="43"/>
  <c r="O145" i="43"/>
  <c r="N145" i="43"/>
  <c r="M145" i="43"/>
  <c r="L145" i="43"/>
  <c r="K145" i="43"/>
  <c r="J145" i="43"/>
  <c r="I145" i="43"/>
  <c r="P139" i="43"/>
  <c r="O139" i="43"/>
  <c r="N139" i="43"/>
  <c r="M139" i="43"/>
  <c r="L139" i="43"/>
  <c r="K139" i="43"/>
  <c r="J139" i="43"/>
  <c r="I139" i="43"/>
  <c r="P132" i="43"/>
  <c r="O132" i="43"/>
  <c r="N132" i="43"/>
  <c r="M132" i="43"/>
  <c r="L132" i="43"/>
  <c r="K132" i="43"/>
  <c r="J132" i="43"/>
  <c r="I132" i="43"/>
  <c r="P125" i="43"/>
  <c r="O125" i="43"/>
  <c r="N125" i="43"/>
  <c r="M125" i="43"/>
  <c r="L125" i="43"/>
  <c r="K125" i="43"/>
  <c r="J125" i="43"/>
  <c r="I125" i="43"/>
  <c r="P120" i="43"/>
  <c r="O120" i="43"/>
  <c r="N120" i="43"/>
  <c r="M120" i="43"/>
  <c r="L120" i="43"/>
  <c r="K120" i="43"/>
  <c r="J120" i="43"/>
  <c r="I120" i="43"/>
  <c r="P116" i="43"/>
  <c r="O116" i="43"/>
  <c r="N116" i="43"/>
  <c r="M116" i="43"/>
  <c r="L116" i="43"/>
  <c r="K116" i="43"/>
  <c r="J116" i="43"/>
  <c r="I116" i="43"/>
  <c r="P113" i="43"/>
  <c r="O113" i="43"/>
  <c r="N113" i="43"/>
  <c r="M113" i="43"/>
  <c r="L113" i="43"/>
  <c r="K113" i="43"/>
  <c r="J113" i="43"/>
  <c r="I113" i="43"/>
  <c r="P109" i="43"/>
  <c r="O109" i="43"/>
  <c r="N109" i="43"/>
  <c r="M109" i="43"/>
  <c r="L109" i="43"/>
  <c r="K109" i="43"/>
  <c r="J109" i="43"/>
  <c r="I109" i="43"/>
  <c r="P105" i="43"/>
  <c r="O105" i="43"/>
  <c r="N105" i="43"/>
  <c r="M105" i="43"/>
  <c r="L105" i="43"/>
  <c r="K105" i="43"/>
  <c r="J105" i="43"/>
  <c r="I105" i="43"/>
  <c r="P102" i="43"/>
  <c r="O102" i="43"/>
  <c r="N102" i="43"/>
  <c r="M102" i="43"/>
  <c r="L102" i="43"/>
  <c r="K102" i="43"/>
  <c r="J102" i="43"/>
  <c r="I102" i="43"/>
  <c r="P98" i="43"/>
  <c r="O98" i="43"/>
  <c r="N98" i="43"/>
  <c r="M98" i="43"/>
  <c r="L98" i="43"/>
  <c r="K98" i="43"/>
  <c r="J98" i="43"/>
  <c r="I98" i="43"/>
  <c r="P94" i="43"/>
  <c r="O94" i="43"/>
  <c r="N94" i="43"/>
  <c r="M94" i="43"/>
  <c r="L94" i="43"/>
  <c r="K94" i="43"/>
  <c r="J94" i="43"/>
  <c r="I94" i="43"/>
  <c r="P90" i="43"/>
  <c r="O90" i="43"/>
  <c r="N90" i="43"/>
  <c r="M90" i="43"/>
  <c r="L90" i="43"/>
  <c r="K90" i="43"/>
  <c r="J90" i="43"/>
  <c r="I90" i="43"/>
  <c r="P86" i="43"/>
  <c r="O86" i="43"/>
  <c r="N86" i="43"/>
  <c r="M86" i="43"/>
  <c r="L86" i="43"/>
  <c r="K86" i="43"/>
  <c r="J86" i="43"/>
  <c r="I86" i="43"/>
  <c r="P82" i="43"/>
  <c r="O82" i="43"/>
  <c r="N82" i="43"/>
  <c r="M82" i="43"/>
  <c r="L82" i="43"/>
  <c r="K82" i="43"/>
  <c r="J82" i="43"/>
  <c r="I82" i="43"/>
  <c r="P79" i="43"/>
  <c r="O79" i="43"/>
  <c r="N79" i="43"/>
  <c r="M79" i="43"/>
  <c r="L79" i="43"/>
  <c r="K79" i="43"/>
  <c r="J79" i="43"/>
  <c r="I79" i="43"/>
  <c r="P75" i="43"/>
  <c r="O75" i="43"/>
  <c r="N75" i="43"/>
  <c r="M75" i="43"/>
  <c r="L75" i="43"/>
  <c r="K75" i="43"/>
  <c r="J75" i="43"/>
  <c r="I75" i="43"/>
  <c r="P70" i="43"/>
  <c r="O70" i="43"/>
  <c r="N70" i="43"/>
  <c r="M70" i="43"/>
  <c r="L70" i="43"/>
  <c r="K70" i="43"/>
  <c r="J70" i="43"/>
  <c r="I70" i="43"/>
  <c r="P67" i="43"/>
  <c r="O67" i="43"/>
  <c r="N67" i="43"/>
  <c r="M67" i="43"/>
  <c r="L67" i="43"/>
  <c r="K67" i="43"/>
  <c r="J67" i="43"/>
  <c r="I67" i="43"/>
  <c r="P63" i="43"/>
  <c r="O63" i="43"/>
  <c r="N63" i="43"/>
  <c r="M63" i="43"/>
  <c r="L63" i="43"/>
  <c r="K63" i="43"/>
  <c r="J63" i="43"/>
  <c r="I63" i="43"/>
  <c r="P59" i="43"/>
  <c r="O59" i="43"/>
  <c r="N59" i="43"/>
  <c r="M59" i="43"/>
  <c r="L59" i="43"/>
  <c r="K59" i="43"/>
  <c r="J59" i="43"/>
  <c r="I59" i="43"/>
  <c r="P55" i="43"/>
  <c r="O55" i="43"/>
  <c r="N55" i="43"/>
  <c r="M55" i="43"/>
  <c r="L55" i="43"/>
  <c r="K55" i="43"/>
  <c r="J55" i="43"/>
  <c r="I55" i="43"/>
  <c r="P52" i="43"/>
  <c r="O52" i="43"/>
  <c r="N52" i="43"/>
  <c r="M52" i="43"/>
  <c r="L52" i="43"/>
  <c r="K52" i="43"/>
  <c r="J52" i="43"/>
  <c r="I52" i="43"/>
  <c r="P49" i="43"/>
  <c r="O49" i="43"/>
  <c r="N49" i="43"/>
  <c r="M49" i="43"/>
  <c r="L49" i="43"/>
  <c r="K49" i="43"/>
  <c r="J49" i="43"/>
  <c r="I49" i="43"/>
  <c r="P46" i="43"/>
  <c r="O46" i="43"/>
  <c r="N46" i="43"/>
  <c r="M46" i="43"/>
  <c r="L46" i="43"/>
  <c r="K46" i="43"/>
  <c r="J46" i="43"/>
  <c r="I46" i="43"/>
  <c r="P42" i="43"/>
  <c r="O42" i="43"/>
  <c r="N42" i="43"/>
  <c r="M42" i="43"/>
  <c r="L42" i="43"/>
  <c r="K42" i="43"/>
  <c r="J42" i="43"/>
  <c r="I42" i="43"/>
  <c r="P39" i="43"/>
  <c r="O39" i="43"/>
  <c r="N39" i="43"/>
  <c r="M39" i="43"/>
  <c r="L39" i="43"/>
  <c r="K39" i="43"/>
  <c r="J39" i="43"/>
  <c r="I39" i="43"/>
  <c r="P35" i="43"/>
  <c r="O35" i="43"/>
  <c r="N35" i="43"/>
  <c r="M35" i="43"/>
  <c r="L35" i="43"/>
  <c r="K35" i="43"/>
  <c r="J35" i="43"/>
  <c r="I35" i="43"/>
  <c r="P31" i="43"/>
  <c r="O31" i="43"/>
  <c r="N31" i="43"/>
  <c r="M31" i="43"/>
  <c r="L31" i="43"/>
  <c r="K31" i="43"/>
  <c r="J31" i="43"/>
  <c r="I31" i="43"/>
  <c r="P27" i="43"/>
  <c r="O27" i="43"/>
  <c r="N27" i="43"/>
  <c r="M27" i="43"/>
  <c r="L27" i="43"/>
  <c r="K27" i="43"/>
  <c r="J27" i="43"/>
  <c r="I27" i="43"/>
  <c r="P22" i="43"/>
  <c r="O22" i="43"/>
  <c r="N22" i="43"/>
  <c r="M22" i="43"/>
  <c r="L22" i="43"/>
  <c r="K22" i="43"/>
  <c r="J22" i="43"/>
  <c r="I22" i="43"/>
  <c r="P18" i="43"/>
  <c r="O18" i="43"/>
  <c r="N18" i="43"/>
  <c r="M18" i="43"/>
  <c r="L18" i="43"/>
  <c r="K18" i="43"/>
  <c r="J18" i="43"/>
  <c r="I18" i="43"/>
  <c r="P13" i="43"/>
  <c r="O13" i="43"/>
  <c r="N13" i="43"/>
  <c r="M13" i="43"/>
  <c r="L13" i="43"/>
  <c r="K13" i="43"/>
  <c r="J13" i="43"/>
  <c r="I13" i="43"/>
  <c r="AO314" i="32"/>
  <c r="AN314" i="32"/>
  <c r="AM314" i="32"/>
  <c r="AL314" i="32"/>
  <c r="AK314" i="32"/>
  <c r="AJ314" i="32"/>
  <c r="AI314" i="32"/>
  <c r="AH314" i="32"/>
  <c r="AE314" i="32"/>
  <c r="AD314" i="32"/>
  <c r="Y314" i="32"/>
  <c r="X314" i="32"/>
  <c r="W314" i="32"/>
  <c r="U314" i="32"/>
  <c r="T314" i="32"/>
  <c r="S314" i="32"/>
  <c r="R314" i="32"/>
  <c r="P314" i="32"/>
  <c r="O314" i="32"/>
  <c r="M314" i="32"/>
  <c r="J314" i="32"/>
  <c r="AO313" i="32"/>
  <c r="AN313" i="32"/>
  <c r="AM313" i="32"/>
  <c r="AL313" i="32"/>
  <c r="AK313" i="32"/>
  <c r="AJ313" i="32"/>
  <c r="AI313" i="32"/>
  <c r="AH313" i="32"/>
  <c r="AE313" i="32"/>
  <c r="AD313" i="32"/>
  <c r="Y313" i="32"/>
  <c r="X313" i="32"/>
  <c r="W313" i="32"/>
  <c r="U313" i="32"/>
  <c r="T313" i="32"/>
  <c r="S313" i="32"/>
  <c r="R313" i="32"/>
  <c r="P313" i="32"/>
  <c r="O313" i="32"/>
  <c r="M313" i="32"/>
  <c r="J313" i="32"/>
  <c r="AO312" i="32"/>
  <c r="AN312" i="32"/>
  <c r="AM312" i="32"/>
  <c r="AL312" i="32"/>
  <c r="AK312" i="32"/>
  <c r="AJ312" i="32"/>
  <c r="AI312" i="32"/>
  <c r="AH312" i="32"/>
  <c r="AE312" i="32"/>
  <c r="AD312" i="32"/>
  <c r="Y312" i="32"/>
  <c r="X312" i="32"/>
  <c r="W312" i="32"/>
  <c r="U312" i="32"/>
  <c r="T312" i="32"/>
  <c r="S312" i="32"/>
  <c r="R312" i="32"/>
  <c r="P312" i="32"/>
  <c r="O312" i="32"/>
  <c r="M312" i="32"/>
  <c r="J312" i="32"/>
  <c r="AO311" i="32"/>
  <c r="AN311" i="32"/>
  <c r="AM311" i="32"/>
  <c r="AL311" i="32"/>
  <c r="AK311" i="32"/>
  <c r="AJ311" i="32"/>
  <c r="AI311" i="32"/>
  <c r="AH311" i="32"/>
  <c r="AE311" i="32"/>
  <c r="AD311" i="32"/>
  <c r="Y311" i="32"/>
  <c r="X311" i="32"/>
  <c r="W311" i="32"/>
  <c r="U311" i="32"/>
  <c r="T311" i="32"/>
  <c r="S311" i="32"/>
  <c r="R311" i="32"/>
  <c r="P311" i="32"/>
  <c r="O311" i="32"/>
  <c r="M311" i="32"/>
  <c r="J311" i="32"/>
  <c r="AO310" i="32"/>
  <c r="AN310" i="32"/>
  <c r="AM310" i="32"/>
  <c r="AL310" i="32"/>
  <c r="AK310" i="32"/>
  <c r="AJ310" i="32"/>
  <c r="AI310" i="32"/>
  <c r="AH310" i="32"/>
  <c r="AE310" i="32"/>
  <c r="AD310" i="32"/>
  <c r="Y310" i="32"/>
  <c r="X310" i="32"/>
  <c r="W310" i="32"/>
  <c r="U310" i="32"/>
  <c r="T310" i="32"/>
  <c r="S310" i="32"/>
  <c r="R310" i="32"/>
  <c r="P310" i="32"/>
  <c r="O310" i="32"/>
  <c r="M310" i="32"/>
  <c r="J310" i="32"/>
  <c r="BA309" i="32"/>
  <c r="AZ309" i="32"/>
  <c r="AY309" i="32"/>
  <c r="AX309" i="32"/>
  <c r="AW309" i="32"/>
  <c r="AV309" i="32"/>
  <c r="AU309" i="32"/>
  <c r="AT309" i="32"/>
  <c r="AS309" i="32"/>
  <c r="AR309" i="32"/>
  <c r="AQ309" i="32"/>
  <c r="AP309" i="32"/>
  <c r="AO309" i="32"/>
  <c r="AO304" i="32" s="1"/>
  <c r="AN309" i="32"/>
  <c r="AM309" i="32"/>
  <c r="AL309" i="32"/>
  <c r="AK309" i="32"/>
  <c r="AJ309" i="32"/>
  <c r="AI309" i="32"/>
  <c r="AH309" i="32"/>
  <c r="AG309" i="32"/>
  <c r="AF309" i="32"/>
  <c r="AE309" i="32"/>
  <c r="AD309" i="32"/>
  <c r="AC309" i="32"/>
  <c r="AB309" i="32"/>
  <c r="AA309" i="32"/>
  <c r="Z309" i="32"/>
  <c r="Y309" i="32"/>
  <c r="X309" i="32"/>
  <c r="W309" i="32"/>
  <c r="V309" i="32"/>
  <c r="U309" i="32"/>
  <c r="T309" i="32"/>
  <c r="S309" i="32"/>
  <c r="R309" i="32"/>
  <c r="Q309" i="32"/>
  <c r="P309" i="32"/>
  <c r="O309" i="32"/>
  <c r="N309" i="32"/>
  <c r="M309" i="32"/>
  <c r="L309" i="32"/>
  <c r="K309" i="32"/>
  <c r="J309" i="32"/>
  <c r="I309" i="32"/>
  <c r="AO308" i="32"/>
  <c r="AN308" i="32"/>
  <c r="AM308" i="32"/>
  <c r="AL308" i="32"/>
  <c r="AL304" i="32" s="1"/>
  <c r="AK308" i="32"/>
  <c r="AJ308" i="32"/>
  <c r="AI308" i="32"/>
  <c r="AH308" i="32"/>
  <c r="AE308" i="32"/>
  <c r="Y308" i="32"/>
  <c r="X308" i="32"/>
  <c r="W308" i="32"/>
  <c r="U308" i="32"/>
  <c r="T308" i="32"/>
  <c r="S308" i="32"/>
  <c r="R308" i="32"/>
  <c r="P308" i="32"/>
  <c r="O308" i="32"/>
  <c r="M308" i="32"/>
  <c r="J308" i="32"/>
  <c r="AO307" i="32"/>
  <c r="AN307" i="32"/>
  <c r="AM307" i="32"/>
  <c r="AL307" i="32"/>
  <c r="AK307" i="32"/>
  <c r="AJ307" i="32"/>
  <c r="AI307" i="32"/>
  <c r="AH307" i="32"/>
  <c r="AE307" i="32"/>
  <c r="AD307" i="32"/>
  <c r="Y307" i="32"/>
  <c r="X307" i="32"/>
  <c r="W307" i="32"/>
  <c r="U307" i="32"/>
  <c r="T307" i="32"/>
  <c r="S307" i="32"/>
  <c r="R307" i="32"/>
  <c r="P307" i="32"/>
  <c r="O307" i="32"/>
  <c r="M307" i="32"/>
  <c r="J307" i="32"/>
  <c r="AO306" i="32"/>
  <c r="AN306" i="32"/>
  <c r="AM306" i="32"/>
  <c r="AL306" i="32"/>
  <c r="AK306" i="32"/>
  <c r="AI306" i="32"/>
  <c r="AH306" i="32"/>
  <c r="AE306" i="32"/>
  <c r="Y306" i="32"/>
  <c r="X306" i="32"/>
  <c r="W306" i="32"/>
  <c r="U306" i="32"/>
  <c r="T306" i="32"/>
  <c r="S306" i="32"/>
  <c r="P306" i="32"/>
  <c r="O306" i="32"/>
  <c r="M306" i="32"/>
  <c r="M304" i="32" s="1"/>
  <c r="J306" i="32"/>
  <c r="AO305" i="32"/>
  <c r="AN305" i="32"/>
  <c r="AM305" i="32"/>
  <c r="AL305" i="32"/>
  <c r="AK305" i="32"/>
  <c r="AJ305" i="32"/>
  <c r="AI305" i="32"/>
  <c r="AH305" i="32"/>
  <c r="AE305" i="32"/>
  <c r="AD305" i="32"/>
  <c r="Y305" i="32"/>
  <c r="X305" i="32"/>
  <c r="W305" i="32"/>
  <c r="U305" i="32"/>
  <c r="T305" i="32"/>
  <c r="S305" i="32"/>
  <c r="R305" i="32"/>
  <c r="P305" i="32"/>
  <c r="O305" i="32"/>
  <c r="M305" i="32"/>
  <c r="J305" i="32"/>
  <c r="AX300" i="32"/>
  <c r="AP300" i="32"/>
  <c r="AO300" i="32"/>
  <c r="AN300" i="32"/>
  <c r="AM300" i="32"/>
  <c r="AL300" i="32"/>
  <c r="AK300" i="32"/>
  <c r="AJ300" i="32"/>
  <c r="AI300" i="32"/>
  <c r="AH300" i="32"/>
  <c r="AE300" i="32"/>
  <c r="AD300" i="32"/>
  <c r="Y300" i="32"/>
  <c r="X300" i="32"/>
  <c r="W300" i="32"/>
  <c r="U300" i="32"/>
  <c r="T300" i="32"/>
  <c r="S300" i="32"/>
  <c r="R300" i="32"/>
  <c r="P300" i="32"/>
  <c r="O300" i="32"/>
  <c r="N300" i="32"/>
  <c r="M300" i="32"/>
  <c r="J300" i="32"/>
  <c r="AX299" i="32"/>
  <c r="AQ299" i="32"/>
  <c r="AP299" i="32"/>
  <c r="AZ299" i="32" s="1"/>
  <c r="AZ300" i="32" s="1"/>
  <c r="AF299" i="32"/>
  <c r="AF300" i="32" s="1"/>
  <c r="Z299" i="32"/>
  <c r="V299" i="32"/>
  <c r="Q299" i="32"/>
  <c r="Q300" i="32" s="1"/>
  <c r="N299" i="32"/>
  <c r="L299" i="32"/>
  <c r="K299" i="32"/>
  <c r="K300" i="32" s="1"/>
  <c r="AO298" i="32"/>
  <c r="AN298" i="32"/>
  <c r="AM298" i="32"/>
  <c r="AL298" i="32"/>
  <c r="AK298" i="32"/>
  <c r="AJ298" i="32"/>
  <c r="AI298" i="32"/>
  <c r="AH298" i="32"/>
  <c r="AE298" i="32"/>
  <c r="AD298" i="32"/>
  <c r="Y298" i="32"/>
  <c r="X298" i="32"/>
  <c r="W298" i="32"/>
  <c r="U298" i="32"/>
  <c r="T298" i="32"/>
  <c r="S298" i="32"/>
  <c r="R298" i="32"/>
  <c r="P298" i="32"/>
  <c r="O298" i="32"/>
  <c r="M298" i="32"/>
  <c r="J298" i="32"/>
  <c r="AQ297" i="32"/>
  <c r="BA297" i="32" s="1"/>
  <c r="AP297" i="32"/>
  <c r="AF297" i="32"/>
  <c r="AX297" i="32" s="1"/>
  <c r="Z297" i="32"/>
  <c r="AU297" i="32" s="1"/>
  <c r="V297" i="32"/>
  <c r="Q297" i="32"/>
  <c r="N297" i="32"/>
  <c r="L297" i="32"/>
  <c r="K297" i="32"/>
  <c r="BA296" i="32"/>
  <c r="AQ296" i="32"/>
  <c r="AP296" i="32"/>
  <c r="AZ296" i="32" s="1"/>
  <c r="AF296" i="32"/>
  <c r="AX296" i="32" s="1"/>
  <c r="Z296" i="32"/>
  <c r="AU296" i="32" s="1"/>
  <c r="Q296" i="32"/>
  <c r="V296" i="32" s="1"/>
  <c r="N296" i="32"/>
  <c r="L296" i="32"/>
  <c r="K296" i="32"/>
  <c r="AQ295" i="32"/>
  <c r="BA295" i="32" s="1"/>
  <c r="AP295" i="32"/>
  <c r="AF295" i="32"/>
  <c r="AX295" i="32" s="1"/>
  <c r="Z295" i="32"/>
  <c r="AU295" i="32" s="1"/>
  <c r="Q295" i="32"/>
  <c r="V295" i="32" s="1"/>
  <c r="N295" i="32"/>
  <c r="L295" i="32"/>
  <c r="K295" i="32"/>
  <c r="BA294" i="32"/>
  <c r="AQ294" i="32"/>
  <c r="AP294" i="32"/>
  <c r="AF294" i="32"/>
  <c r="AX294" i="32" s="1"/>
  <c r="Z294" i="32"/>
  <c r="AU294" i="32" s="1"/>
  <c r="V294" i="32"/>
  <c r="Q294" i="32"/>
  <c r="N294" i="32"/>
  <c r="L294" i="32"/>
  <c r="K294" i="32"/>
  <c r="K298" i="32" s="1"/>
  <c r="AQ293" i="32"/>
  <c r="BA293" i="32" s="1"/>
  <c r="AP293" i="32"/>
  <c r="AF293" i="32"/>
  <c r="AX293" i="32" s="1"/>
  <c r="Z293" i="32"/>
  <c r="AU293" i="32" s="1"/>
  <c r="Q293" i="32"/>
  <c r="V293" i="32" s="1"/>
  <c r="N293" i="32"/>
  <c r="L293" i="32"/>
  <c r="K293" i="32"/>
  <c r="AX292" i="32"/>
  <c r="AQ292" i="32"/>
  <c r="AP292" i="32"/>
  <c r="AF292" i="32"/>
  <c r="Z292" i="32"/>
  <c r="AU292" i="32" s="1"/>
  <c r="V292" i="32"/>
  <c r="AC292" i="32" s="1"/>
  <c r="Q292" i="32"/>
  <c r="N292" i="32"/>
  <c r="L292" i="32"/>
  <c r="K292" i="32"/>
  <c r="AO291" i="32"/>
  <c r="AN291" i="32"/>
  <c r="AM291" i="32"/>
  <c r="AL291" i="32"/>
  <c r="AK291" i="32"/>
  <c r="AJ291" i="32"/>
  <c r="AI291" i="32"/>
  <c r="AH291" i="32"/>
  <c r="AE291" i="32"/>
  <c r="AD291" i="32"/>
  <c r="Y291" i="32"/>
  <c r="X291" i="32"/>
  <c r="W291" i="32"/>
  <c r="U291" i="32"/>
  <c r="T291" i="32"/>
  <c r="S291" i="32"/>
  <c r="R291" i="32"/>
  <c r="P291" i="32"/>
  <c r="O291" i="32"/>
  <c r="M291" i="32"/>
  <c r="J291" i="32"/>
  <c r="AX290" i="32"/>
  <c r="AU290" i="32"/>
  <c r="AQ290" i="32"/>
  <c r="BA290" i="32" s="1"/>
  <c r="AP290" i="32"/>
  <c r="AZ290" i="32" s="1"/>
  <c r="AF290" i="32"/>
  <c r="Z290" i="32"/>
  <c r="V290" i="32"/>
  <c r="Q290" i="32"/>
  <c r="N290" i="32"/>
  <c r="L290" i="32"/>
  <c r="K290" i="32"/>
  <c r="AZ289" i="32"/>
  <c r="AX289" i="32"/>
  <c r="AQ289" i="32"/>
  <c r="BA289" i="32" s="1"/>
  <c r="AP289" i="32"/>
  <c r="AF289" i="32"/>
  <c r="Z289" i="32"/>
  <c r="AU289" i="32" s="1"/>
  <c r="V289" i="32"/>
  <c r="Q289" i="32"/>
  <c r="N289" i="32"/>
  <c r="L289" i="32"/>
  <c r="K289" i="32"/>
  <c r="BA288" i="32"/>
  <c r="AZ288" i="32"/>
  <c r="AQ288" i="32"/>
  <c r="AP288" i="32"/>
  <c r="AF288" i="32"/>
  <c r="AX288" i="32" s="1"/>
  <c r="AC288" i="32"/>
  <c r="Z288" i="32"/>
  <c r="AU288" i="32" s="1"/>
  <c r="Q288" i="32"/>
  <c r="V288" i="32" s="1"/>
  <c r="N288" i="32"/>
  <c r="L288" i="32"/>
  <c r="K288" i="32"/>
  <c r="AZ287" i="32"/>
  <c r="AX287" i="32"/>
  <c r="AQ287" i="32"/>
  <c r="AP287" i="32"/>
  <c r="AF287" i="32"/>
  <c r="Z287" i="32"/>
  <c r="AU287" i="32" s="1"/>
  <c r="Q287" i="32"/>
  <c r="V287" i="32" s="1"/>
  <c r="N287" i="32"/>
  <c r="L287" i="32"/>
  <c r="K287" i="32"/>
  <c r="AQ286" i="32"/>
  <c r="BA286" i="32" s="1"/>
  <c r="AP286" i="32"/>
  <c r="AZ286" i="32" s="1"/>
  <c r="AF286" i="32"/>
  <c r="AX286" i="32" s="1"/>
  <c r="Z286" i="32"/>
  <c r="AU286" i="32" s="1"/>
  <c r="Q286" i="32"/>
  <c r="V286" i="32" s="1"/>
  <c r="N286" i="32"/>
  <c r="L286" i="32"/>
  <c r="K286" i="32"/>
  <c r="AQ285" i="32"/>
  <c r="AP285" i="32"/>
  <c r="AF285" i="32"/>
  <c r="AX285" i="32" s="1"/>
  <c r="Z285" i="32"/>
  <c r="Q285" i="32"/>
  <c r="N285" i="32"/>
  <c r="L285" i="32"/>
  <c r="K285" i="32"/>
  <c r="AO284" i="32"/>
  <c r="AN284" i="32"/>
  <c r="AM284" i="32"/>
  <c r="AL284" i="32"/>
  <c r="AK284" i="32"/>
  <c r="AJ284" i="32"/>
  <c r="AI284" i="32"/>
  <c r="AH284" i="32"/>
  <c r="AE284" i="32"/>
  <c r="AD284" i="32"/>
  <c r="Y284" i="32"/>
  <c r="X284" i="32"/>
  <c r="W284" i="32"/>
  <c r="U284" i="32"/>
  <c r="T284" i="32"/>
  <c r="S284" i="32"/>
  <c r="R284" i="32"/>
  <c r="P284" i="32"/>
  <c r="O284" i="32"/>
  <c r="M284" i="32"/>
  <c r="J284" i="32"/>
  <c r="AX283" i="32"/>
  <c r="AQ283" i="32"/>
  <c r="BA283" i="32" s="1"/>
  <c r="AP283" i="32"/>
  <c r="AF283" i="32"/>
  <c r="Z283" i="32"/>
  <c r="AU283" i="32" s="1"/>
  <c r="Q283" i="32"/>
  <c r="V283" i="32" s="1"/>
  <c r="N283" i="32"/>
  <c r="L283" i="32"/>
  <c r="K283" i="32"/>
  <c r="AX282" i="32"/>
  <c r="AQ282" i="32"/>
  <c r="AP282" i="32"/>
  <c r="AZ282" i="32" s="1"/>
  <c r="AF282" i="32"/>
  <c r="Z282" i="32"/>
  <c r="AU282" i="32" s="1"/>
  <c r="Q282" i="32"/>
  <c r="V282" i="32" s="1"/>
  <c r="AB282" i="32" s="1"/>
  <c r="AV282" i="32" s="1"/>
  <c r="N282" i="32"/>
  <c r="L282" i="32"/>
  <c r="K282" i="32"/>
  <c r="AQ281" i="32"/>
  <c r="BA281" i="32" s="1"/>
  <c r="AP281" i="32"/>
  <c r="AF281" i="32"/>
  <c r="AX281" i="32" s="1"/>
  <c r="Z281" i="32"/>
  <c r="AU281" i="32" s="1"/>
  <c r="Q281" i="32"/>
  <c r="V281" i="32" s="1"/>
  <c r="N281" i="32"/>
  <c r="L281" i="32"/>
  <c r="K281" i="32"/>
  <c r="AQ280" i="32"/>
  <c r="AP280" i="32"/>
  <c r="AZ280" i="32" s="1"/>
  <c r="AF280" i="32"/>
  <c r="AX280" i="32" s="1"/>
  <c r="Z280" i="32"/>
  <c r="AU280" i="32" s="1"/>
  <c r="Q280" i="32"/>
  <c r="V280" i="32" s="1"/>
  <c r="AT280" i="32" s="1"/>
  <c r="N280" i="32"/>
  <c r="L280" i="32"/>
  <c r="K280" i="32"/>
  <c r="AQ279" i="32"/>
  <c r="BA279" i="32" s="1"/>
  <c r="AP279" i="32"/>
  <c r="AF279" i="32"/>
  <c r="AX279" i="32" s="1"/>
  <c r="Z279" i="32"/>
  <c r="AU279" i="32" s="1"/>
  <c r="Q279" i="32"/>
  <c r="V279" i="32" s="1"/>
  <c r="N279" i="32"/>
  <c r="L279" i="32"/>
  <c r="I279" i="32" s="1"/>
  <c r="K279" i="32"/>
  <c r="AQ278" i="32"/>
  <c r="AR278" i="32" s="1"/>
  <c r="AP278" i="32"/>
  <c r="AZ278" i="32" s="1"/>
  <c r="AF278" i="32"/>
  <c r="AX278" i="32" s="1"/>
  <c r="Z278" i="32"/>
  <c r="Q278" i="32"/>
  <c r="N278" i="32"/>
  <c r="L278" i="32"/>
  <c r="K278" i="32"/>
  <c r="AO277" i="32"/>
  <c r="AN277" i="32"/>
  <c r="AM277" i="32"/>
  <c r="AL277" i="32"/>
  <c r="AK277" i="32"/>
  <c r="AJ277" i="32"/>
  <c r="AI277" i="32"/>
  <c r="AH277" i="32"/>
  <c r="AE277" i="32"/>
  <c r="AD277" i="32"/>
  <c r="Z277" i="32"/>
  <c r="Y277" i="32"/>
  <c r="X277" i="32"/>
  <c r="W277" i="32"/>
  <c r="U277" i="32"/>
  <c r="T277" i="32"/>
  <c r="S277" i="32"/>
  <c r="R277" i="32"/>
  <c r="P277" i="32"/>
  <c r="O277" i="32"/>
  <c r="M277" i="32"/>
  <c r="J277" i="32"/>
  <c r="AZ276" i="32"/>
  <c r="AU276" i="32"/>
  <c r="AQ276" i="32"/>
  <c r="AR276" i="32" s="1"/>
  <c r="AP276" i="32"/>
  <c r="AF276" i="32"/>
  <c r="AX276" i="32" s="1"/>
  <c r="Z276" i="32"/>
  <c r="Q276" i="32"/>
  <c r="V276" i="32" s="1"/>
  <c r="N276" i="32"/>
  <c r="AY276" i="32" s="1"/>
  <c r="L276" i="32"/>
  <c r="K276" i="32"/>
  <c r="AU275" i="32"/>
  <c r="AQ275" i="32"/>
  <c r="AP275" i="32"/>
  <c r="AZ275" i="32" s="1"/>
  <c r="AF275" i="32"/>
  <c r="AX275" i="32" s="1"/>
  <c r="Z275" i="32"/>
  <c r="Q275" i="32"/>
  <c r="V275" i="32" s="1"/>
  <c r="AA275" i="32" s="1"/>
  <c r="N275" i="32"/>
  <c r="L275" i="32"/>
  <c r="K275" i="32"/>
  <c r="AR274" i="32"/>
  <c r="AQ274" i="32"/>
  <c r="BA274" i="32" s="1"/>
  <c r="AP274" i="32"/>
  <c r="AZ274" i="32" s="1"/>
  <c r="AF274" i="32"/>
  <c r="AX274" i="32" s="1"/>
  <c r="AB274" i="32"/>
  <c r="Z274" i="32"/>
  <c r="AU274" i="32" s="1"/>
  <c r="V274" i="32"/>
  <c r="Q274" i="32"/>
  <c r="N274" i="32"/>
  <c r="L274" i="32"/>
  <c r="K274" i="32"/>
  <c r="BA273" i="32"/>
  <c r="AX273" i="32"/>
  <c r="AQ273" i="32"/>
  <c r="AP273" i="32"/>
  <c r="AF273" i="32"/>
  <c r="Z273" i="32"/>
  <c r="AU273" i="32" s="1"/>
  <c r="Q273" i="32"/>
  <c r="V273" i="32" s="1"/>
  <c r="N273" i="32"/>
  <c r="L273" i="32"/>
  <c r="K273" i="32"/>
  <c r="AZ272" i="32"/>
  <c r="AR272" i="32"/>
  <c r="AQ272" i="32"/>
  <c r="BA272" i="32" s="1"/>
  <c r="AP272" i="32"/>
  <c r="AF272" i="32"/>
  <c r="AX272" i="32" s="1"/>
  <c r="Z272" i="32"/>
  <c r="AU272" i="32" s="1"/>
  <c r="Q272" i="32"/>
  <c r="V272" i="32" s="1"/>
  <c r="N272" i="32"/>
  <c r="L272" i="32"/>
  <c r="K272" i="32"/>
  <c r="AX271" i="32"/>
  <c r="AQ271" i="32"/>
  <c r="AP271" i="32"/>
  <c r="AF271" i="32"/>
  <c r="Z271" i="32"/>
  <c r="AU271" i="32" s="1"/>
  <c r="Q271" i="32"/>
  <c r="N271" i="32"/>
  <c r="L271" i="32"/>
  <c r="K271" i="32"/>
  <c r="AO270" i="32"/>
  <c r="AN270" i="32"/>
  <c r="AM270" i="32"/>
  <c r="AL270" i="32"/>
  <c r="AK270" i="32"/>
  <c r="AJ270" i="32"/>
  <c r="AI270" i="32"/>
  <c r="AH270" i="32"/>
  <c r="AE270" i="32"/>
  <c r="AD270" i="32"/>
  <c r="Y270" i="32"/>
  <c r="X270" i="32"/>
  <c r="W270" i="32"/>
  <c r="U270" i="32"/>
  <c r="T270" i="32"/>
  <c r="S270" i="32"/>
  <c r="R270" i="32"/>
  <c r="P270" i="32"/>
  <c r="O270" i="32"/>
  <c r="M270" i="32"/>
  <c r="J270" i="32"/>
  <c r="AQ269" i="32"/>
  <c r="AP269" i="32"/>
  <c r="AZ269" i="32" s="1"/>
  <c r="AF269" i="32"/>
  <c r="AX269" i="32" s="1"/>
  <c r="Z269" i="32"/>
  <c r="AU269" i="32" s="1"/>
  <c r="Q269" i="32"/>
  <c r="V269" i="32" s="1"/>
  <c r="N269" i="32"/>
  <c r="L269" i="32"/>
  <c r="K269" i="32"/>
  <c r="AQ268" i="32"/>
  <c r="AR268" i="32" s="1"/>
  <c r="AP268" i="32"/>
  <c r="AZ268" i="32" s="1"/>
  <c r="AF268" i="32"/>
  <c r="AX268" i="32" s="1"/>
  <c r="Z268" i="32"/>
  <c r="AU268" i="32" s="1"/>
  <c r="Q268" i="32"/>
  <c r="V268" i="32" s="1"/>
  <c r="N268" i="32"/>
  <c r="AY268" i="32" s="1"/>
  <c r="L268" i="32"/>
  <c r="K268" i="32"/>
  <c r="AU267" i="32"/>
  <c r="AQ267" i="32"/>
  <c r="AP267" i="32"/>
  <c r="AZ267" i="32" s="1"/>
  <c r="AF267" i="32"/>
  <c r="AX267" i="32" s="1"/>
  <c r="Z267" i="32"/>
  <c r="Q267" i="32"/>
  <c r="V267" i="32" s="1"/>
  <c r="AA267" i="32" s="1"/>
  <c r="N267" i="32"/>
  <c r="L267" i="32"/>
  <c r="K267" i="32"/>
  <c r="AU266" i="32"/>
  <c r="AQ266" i="32"/>
  <c r="AP266" i="32"/>
  <c r="AZ266" i="32" s="1"/>
  <c r="AF266" i="32"/>
  <c r="AX266" i="32" s="1"/>
  <c r="Z266" i="32"/>
  <c r="Q266" i="32"/>
  <c r="V266" i="32" s="1"/>
  <c r="N266" i="32"/>
  <c r="L266" i="32"/>
  <c r="K266" i="32"/>
  <c r="AQ265" i="32"/>
  <c r="AR265" i="32" s="1"/>
  <c r="AP265" i="32"/>
  <c r="AZ265" i="32" s="1"/>
  <c r="AF265" i="32"/>
  <c r="AX265" i="32" s="1"/>
  <c r="Z265" i="32"/>
  <c r="AU265" i="32" s="1"/>
  <c r="V265" i="32"/>
  <c r="AA265" i="32" s="1"/>
  <c r="Q265" i="32"/>
  <c r="N265" i="32"/>
  <c r="AY265" i="32" s="1"/>
  <c r="L265" i="32"/>
  <c r="K265" i="32"/>
  <c r="AZ264" i="32"/>
  <c r="AU264" i="32"/>
  <c r="AQ264" i="32"/>
  <c r="BA264" i="32" s="1"/>
  <c r="AP264" i="32"/>
  <c r="AP270" i="32" s="1"/>
  <c r="AF264" i="32"/>
  <c r="AX264" i="32" s="1"/>
  <c r="Z264" i="32"/>
  <c r="Z270" i="32" s="1"/>
  <c r="Q264" i="32"/>
  <c r="N264" i="32"/>
  <c r="L264" i="32"/>
  <c r="K264" i="32"/>
  <c r="AP263" i="32"/>
  <c r="AO263" i="32"/>
  <c r="AN263" i="32"/>
  <c r="AM263" i="32"/>
  <c r="AL263" i="32"/>
  <c r="AK263" i="32"/>
  <c r="AJ263" i="32"/>
  <c r="AI263" i="32"/>
  <c r="AH263" i="32"/>
  <c r="AE263" i="32"/>
  <c r="AD263" i="32"/>
  <c r="Y263" i="32"/>
  <c r="X263" i="32"/>
  <c r="W263" i="32"/>
  <c r="U263" i="32"/>
  <c r="T263" i="32"/>
  <c r="S263" i="32"/>
  <c r="R263" i="32"/>
  <c r="P263" i="32"/>
  <c r="O263" i="32"/>
  <c r="M263" i="32"/>
  <c r="J263" i="32"/>
  <c r="AZ262" i="32"/>
  <c r="AX262" i="32"/>
  <c r="AU262" i="32"/>
  <c r="AQ262" i="32"/>
  <c r="AP262" i="32"/>
  <c r="AF262" i="32"/>
  <c r="Z262" i="32"/>
  <c r="Q262" i="32"/>
  <c r="V262" i="32" s="1"/>
  <c r="V263" i="32" s="1"/>
  <c r="N262" i="32"/>
  <c r="L262" i="32"/>
  <c r="K262" i="32"/>
  <c r="AT261" i="32"/>
  <c r="AR261" i="32"/>
  <c r="AQ261" i="32"/>
  <c r="BA261" i="32" s="1"/>
  <c r="AP261" i="32"/>
  <c r="AZ261" i="32" s="1"/>
  <c r="AF261" i="32"/>
  <c r="AX261" i="32" s="1"/>
  <c r="AB261" i="32"/>
  <c r="Z261" i="32"/>
  <c r="Q261" i="32"/>
  <c r="V261" i="32" s="1"/>
  <c r="AC261" i="32" s="1"/>
  <c r="N261" i="32"/>
  <c r="L261" i="32"/>
  <c r="K261" i="32"/>
  <c r="AX260" i="32"/>
  <c r="AU260" i="32"/>
  <c r="AT260" i="32"/>
  <c r="AQ260" i="32"/>
  <c r="BA260" i="32" s="1"/>
  <c r="AP260" i="32"/>
  <c r="AR260" i="32" s="1"/>
  <c r="AF260" i="32"/>
  <c r="AA260" i="32"/>
  <c r="Z260" i="32"/>
  <c r="Q260" i="32"/>
  <c r="V260" i="32" s="1"/>
  <c r="AC260" i="32" s="1"/>
  <c r="N260" i="32"/>
  <c r="L260" i="32"/>
  <c r="AW260" i="32" s="1"/>
  <c r="K260" i="32"/>
  <c r="AQ259" i="32"/>
  <c r="AP259" i="32"/>
  <c r="AZ259" i="32" s="1"/>
  <c r="AF259" i="32"/>
  <c r="AX259" i="32" s="1"/>
  <c r="Z259" i="32"/>
  <c r="AU259" i="32" s="1"/>
  <c r="Q259" i="32"/>
  <c r="V259" i="32" s="1"/>
  <c r="N259" i="32"/>
  <c r="L259" i="32"/>
  <c r="K259" i="32"/>
  <c r="AZ258" i="32"/>
  <c r="AQ258" i="32"/>
  <c r="BA258" i="32" s="1"/>
  <c r="AP258" i="32"/>
  <c r="AR258" i="32" s="1"/>
  <c r="AF258" i="32"/>
  <c r="AX258" i="32" s="1"/>
  <c r="Z258" i="32"/>
  <c r="AU258" i="32" s="1"/>
  <c r="Q258" i="32"/>
  <c r="V258" i="32" s="1"/>
  <c r="N258" i="32"/>
  <c r="L258" i="32"/>
  <c r="K258" i="32"/>
  <c r="AT257" i="32"/>
  <c r="AR257" i="32"/>
  <c r="AQ257" i="32"/>
  <c r="BA257" i="32" s="1"/>
  <c r="AP257" i="32"/>
  <c r="AZ257" i="32" s="1"/>
  <c r="AF257" i="32"/>
  <c r="AX257" i="32" s="1"/>
  <c r="AB257" i="32"/>
  <c r="Z257" i="32"/>
  <c r="V257" i="32"/>
  <c r="AC257" i="32" s="1"/>
  <c r="Q257" i="32"/>
  <c r="N257" i="32"/>
  <c r="L257" i="32"/>
  <c r="K257" i="32"/>
  <c r="AZ256" i="32"/>
  <c r="AO256" i="32"/>
  <c r="AN256" i="32"/>
  <c r="AM256" i="32"/>
  <c r="AL256" i="32"/>
  <c r="AK256" i="32"/>
  <c r="AJ256" i="32"/>
  <c r="AI256" i="32"/>
  <c r="AH256" i="32"/>
  <c r="AE256" i="32"/>
  <c r="AD256" i="32"/>
  <c r="Y256" i="32"/>
  <c r="X256" i="32"/>
  <c r="W256" i="32"/>
  <c r="U256" i="32"/>
  <c r="T256" i="32"/>
  <c r="S256" i="32"/>
  <c r="R256" i="32"/>
  <c r="P256" i="32"/>
  <c r="O256" i="32"/>
  <c r="M256" i="32"/>
  <c r="J256" i="32"/>
  <c r="AZ255" i="32"/>
  <c r="AR255" i="32"/>
  <c r="AR256" i="32" s="1"/>
  <c r="AQ255" i="32"/>
  <c r="BA255" i="32" s="1"/>
  <c r="AP255" i="32"/>
  <c r="AF255" i="32"/>
  <c r="AX255" i="32" s="1"/>
  <c r="Z255" i="32"/>
  <c r="AU255" i="32" s="1"/>
  <c r="Q255" i="32"/>
  <c r="V255" i="32" s="1"/>
  <c r="N255" i="32"/>
  <c r="L255" i="32"/>
  <c r="K255" i="32"/>
  <c r="AZ254" i="32"/>
  <c r="AX254" i="32"/>
  <c r="AX256" i="32" s="1"/>
  <c r="AR254" i="32"/>
  <c r="AQ254" i="32"/>
  <c r="AQ256" i="32" s="1"/>
  <c r="AP254" i="32"/>
  <c r="AP256" i="32" s="1"/>
  <c r="AF254" i="32"/>
  <c r="Z254" i="32"/>
  <c r="Z256" i="32" s="1"/>
  <c r="Q254" i="32"/>
  <c r="N254" i="32"/>
  <c r="AY254" i="32" s="1"/>
  <c r="L254" i="32"/>
  <c r="L256" i="32" s="1"/>
  <c r="K254" i="32"/>
  <c r="K256" i="32" s="1"/>
  <c r="AO253" i="32"/>
  <c r="AN253" i="32"/>
  <c r="AM253" i="32"/>
  <c r="AL253" i="32"/>
  <c r="AK253" i="32"/>
  <c r="AJ253" i="32"/>
  <c r="AI253" i="32"/>
  <c r="AH253" i="32"/>
  <c r="AE253" i="32"/>
  <c r="AD253" i="32"/>
  <c r="Y253" i="32"/>
  <c r="X253" i="32"/>
  <c r="W253" i="32"/>
  <c r="U253" i="32"/>
  <c r="T253" i="32"/>
  <c r="S253" i="32"/>
  <c r="R253" i="32"/>
  <c r="P253" i="32"/>
  <c r="O253" i="32"/>
  <c r="M253" i="32"/>
  <c r="J253" i="32"/>
  <c r="AQ252" i="32"/>
  <c r="BA252" i="32" s="1"/>
  <c r="AP252" i="32"/>
  <c r="AF252" i="32"/>
  <c r="AX252" i="32" s="1"/>
  <c r="Z252" i="32"/>
  <c r="AU252" i="32" s="1"/>
  <c r="Q252" i="32"/>
  <c r="V252" i="32" s="1"/>
  <c r="N252" i="32"/>
  <c r="L252" i="32"/>
  <c r="K252" i="32"/>
  <c r="AT251" i="32"/>
  <c r="AQ251" i="32"/>
  <c r="AP251" i="32"/>
  <c r="AZ251" i="32" s="1"/>
  <c r="AF251" i="32"/>
  <c r="AX251" i="32" s="1"/>
  <c r="Z251" i="32"/>
  <c r="AU251" i="32" s="1"/>
  <c r="Q251" i="32"/>
  <c r="V251" i="32" s="1"/>
  <c r="N251" i="32"/>
  <c r="L251" i="32"/>
  <c r="K251" i="32"/>
  <c r="BA250" i="32"/>
  <c r="AZ250" i="32"/>
  <c r="AU250" i="32"/>
  <c r="AQ250" i="32"/>
  <c r="AR250" i="32" s="1"/>
  <c r="AP250" i="32"/>
  <c r="AF250" i="32"/>
  <c r="AX250" i="32" s="1"/>
  <c r="AA250" i="32"/>
  <c r="Z250" i="32"/>
  <c r="Q250" i="32"/>
  <c r="V250" i="32" s="1"/>
  <c r="N250" i="32"/>
  <c r="L250" i="32"/>
  <c r="K250" i="32"/>
  <c r="BA249" i="32"/>
  <c r="AZ249" i="32"/>
  <c r="AQ249" i="32"/>
  <c r="AP249" i="32"/>
  <c r="AF249" i="32"/>
  <c r="AX249" i="32" s="1"/>
  <c r="Z249" i="32"/>
  <c r="AU249" i="32" s="1"/>
  <c r="V249" i="32"/>
  <c r="Q249" i="32"/>
  <c r="N249" i="32"/>
  <c r="L249" i="32"/>
  <c r="K249" i="32"/>
  <c r="AQ248" i="32"/>
  <c r="AP248" i="32"/>
  <c r="AZ248" i="32" s="1"/>
  <c r="AF248" i="32"/>
  <c r="AX248" i="32" s="1"/>
  <c r="Z248" i="32"/>
  <c r="AU248" i="32" s="1"/>
  <c r="V248" i="32"/>
  <c r="Q248" i="32"/>
  <c r="N248" i="32"/>
  <c r="L248" i="32"/>
  <c r="K248" i="32"/>
  <c r="AQ247" i="32"/>
  <c r="AP247" i="32"/>
  <c r="AZ247" i="32" s="1"/>
  <c r="AF247" i="32"/>
  <c r="AX247" i="32" s="1"/>
  <c r="Z247" i="32"/>
  <c r="Q247" i="32"/>
  <c r="N247" i="32"/>
  <c r="L247" i="32"/>
  <c r="K247" i="32"/>
  <c r="AO246" i="32"/>
  <c r="AN246" i="32"/>
  <c r="AM246" i="32"/>
  <c r="AL246" i="32"/>
  <c r="AK246" i="32"/>
  <c r="AJ246" i="32"/>
  <c r="AI246" i="32"/>
  <c r="AH246" i="32"/>
  <c r="AE246" i="32"/>
  <c r="AD246" i="32"/>
  <c r="Y246" i="32"/>
  <c r="X246" i="32"/>
  <c r="W246" i="32"/>
  <c r="U246" i="32"/>
  <c r="T246" i="32"/>
  <c r="S246" i="32"/>
  <c r="R246" i="32"/>
  <c r="P246" i="32"/>
  <c r="O246" i="32"/>
  <c r="M246" i="32"/>
  <c r="K246" i="32"/>
  <c r="J246" i="32"/>
  <c r="AU245" i="32"/>
  <c r="AQ245" i="32"/>
  <c r="AP245" i="32"/>
  <c r="AZ245" i="32" s="1"/>
  <c r="AF245" i="32"/>
  <c r="AX245" i="32" s="1"/>
  <c r="Z245" i="32"/>
  <c r="V245" i="32"/>
  <c r="Q245" i="32"/>
  <c r="N245" i="32"/>
  <c r="L245" i="32"/>
  <c r="K245" i="32"/>
  <c r="AZ244" i="32"/>
  <c r="AR244" i="32"/>
  <c r="AQ244" i="32"/>
  <c r="BA244" i="32" s="1"/>
  <c r="AP244" i="32"/>
  <c r="AF244" i="32"/>
  <c r="AX244" i="32" s="1"/>
  <c r="Z244" i="32"/>
  <c r="Z246" i="32" s="1"/>
  <c r="Q244" i="32"/>
  <c r="V244" i="32" s="1"/>
  <c r="N244" i="32"/>
  <c r="AY244" i="32" s="1"/>
  <c r="L244" i="32"/>
  <c r="K244" i="32"/>
  <c r="AQ243" i="32"/>
  <c r="AP243" i="32"/>
  <c r="AF243" i="32"/>
  <c r="Z243" i="32"/>
  <c r="AU243" i="32" s="1"/>
  <c r="Q243" i="32"/>
  <c r="V243" i="32" s="1"/>
  <c r="N243" i="32"/>
  <c r="L243" i="32"/>
  <c r="K243" i="32"/>
  <c r="AO242" i="32"/>
  <c r="AN242" i="32"/>
  <c r="AM242" i="32"/>
  <c r="AL242" i="32"/>
  <c r="AK242" i="32"/>
  <c r="AI242" i="32"/>
  <c r="AH242" i="32"/>
  <c r="AE242" i="32"/>
  <c r="AD242" i="32"/>
  <c r="Y242" i="32"/>
  <c r="X242" i="32"/>
  <c r="W242" i="32"/>
  <c r="U242" i="32"/>
  <c r="T242" i="32"/>
  <c r="S242" i="32"/>
  <c r="P242" i="32"/>
  <c r="O242" i="32"/>
  <c r="M242" i="32"/>
  <c r="J242" i="32"/>
  <c r="BA241" i="32"/>
  <c r="AQ241" i="32"/>
  <c r="AR241" i="32" s="1"/>
  <c r="AP241" i="32"/>
  <c r="AZ241" i="32" s="1"/>
  <c r="AF241" i="32"/>
  <c r="AX241" i="32" s="1"/>
  <c r="Z241" i="32"/>
  <c r="AU241" i="32" s="1"/>
  <c r="V241" i="32"/>
  <c r="Q241" i="32"/>
  <c r="N241" i="32"/>
  <c r="L241" i="32"/>
  <c r="K241" i="32"/>
  <c r="AX240" i="32"/>
  <c r="AQ240" i="32"/>
  <c r="AP240" i="32"/>
  <c r="AZ240" i="32" s="1"/>
  <c r="AF240" i="32"/>
  <c r="AB240" i="32"/>
  <c r="AA240" i="32"/>
  <c r="Z240" i="32"/>
  <c r="AU240" i="32" s="1"/>
  <c r="Q240" i="32"/>
  <c r="V240" i="32" s="1"/>
  <c r="N240" i="32"/>
  <c r="L240" i="32"/>
  <c r="K240" i="32"/>
  <c r="AQ239" i="32"/>
  <c r="BA239" i="32" s="1"/>
  <c r="AP239" i="32"/>
  <c r="AF239" i="32"/>
  <c r="AX239" i="32" s="1"/>
  <c r="AB239" i="32"/>
  <c r="Z239" i="32"/>
  <c r="AU239" i="32" s="1"/>
  <c r="Q239" i="32"/>
  <c r="V239" i="32" s="1"/>
  <c r="AA239" i="32" s="1"/>
  <c r="N239" i="32"/>
  <c r="L239" i="32"/>
  <c r="K239" i="32"/>
  <c r="AQ238" i="32"/>
  <c r="BA238" i="32" s="1"/>
  <c r="AJ238" i="32"/>
  <c r="AF238" i="32"/>
  <c r="AX238" i="32" s="1"/>
  <c r="AB238" i="32"/>
  <c r="Z238" i="32"/>
  <c r="R238" i="32"/>
  <c r="R242" i="32" s="1"/>
  <c r="Q238" i="32"/>
  <c r="V238" i="32" s="1"/>
  <c r="AC238" i="32" s="1"/>
  <c r="N238" i="32"/>
  <c r="L238" i="32"/>
  <c r="K238" i="32"/>
  <c r="AQ237" i="32"/>
  <c r="AP237" i="32"/>
  <c r="AZ237" i="32" s="1"/>
  <c r="AF237" i="32"/>
  <c r="AX237" i="32" s="1"/>
  <c r="Z237" i="32"/>
  <c r="AU237" i="32" s="1"/>
  <c r="Q237" i="32"/>
  <c r="V237" i="32" s="1"/>
  <c r="N237" i="32"/>
  <c r="L237" i="32"/>
  <c r="K237" i="32"/>
  <c r="AZ236" i="32"/>
  <c r="AW236" i="32"/>
  <c r="AT236" i="32"/>
  <c r="AQ236" i="32"/>
  <c r="AP236" i="32"/>
  <c r="AF236" i="32"/>
  <c r="AX236" i="32" s="1"/>
  <c r="AC236" i="32"/>
  <c r="AA236" i="32"/>
  <c r="Z236" i="32"/>
  <c r="AU236" i="32" s="1"/>
  <c r="Q236" i="32"/>
  <c r="V236" i="32" s="1"/>
  <c r="AB236" i="32" s="1"/>
  <c r="N236" i="32"/>
  <c r="L236" i="32"/>
  <c r="K236" i="32"/>
  <c r="AO235" i="32"/>
  <c r="AN235" i="32"/>
  <c r="AM235" i="32"/>
  <c r="AL235" i="32"/>
  <c r="AK235" i="32"/>
  <c r="AJ235" i="32"/>
  <c r="AI235" i="32"/>
  <c r="AH235" i="32"/>
  <c r="AE235" i="32"/>
  <c r="Y235" i="32"/>
  <c r="X235" i="32"/>
  <c r="W235" i="32"/>
  <c r="U235" i="32"/>
  <c r="T235" i="32"/>
  <c r="S235" i="32"/>
  <c r="R235" i="32"/>
  <c r="P235" i="32"/>
  <c r="O235" i="32"/>
  <c r="M235" i="32"/>
  <c r="J235" i="32"/>
  <c r="AQ234" i="32"/>
  <c r="BA234" i="32" s="1"/>
  <c r="AP234" i="32"/>
  <c r="AZ234" i="32" s="1"/>
  <c r="AF234" i="32"/>
  <c r="AX234" i="32" s="1"/>
  <c r="Z234" i="32"/>
  <c r="AU234" i="32" s="1"/>
  <c r="Q234" i="32"/>
  <c r="V234" i="32" s="1"/>
  <c r="AT234" i="32" s="1"/>
  <c r="N234" i="32"/>
  <c r="L234" i="32"/>
  <c r="K234" i="32"/>
  <c r="I234" i="32" s="1"/>
  <c r="AQ233" i="32"/>
  <c r="BA233" i="32" s="1"/>
  <c r="AP233" i="32"/>
  <c r="AZ233" i="32" s="1"/>
  <c r="AF233" i="32"/>
  <c r="AX233" i="32" s="1"/>
  <c r="Z233" i="32"/>
  <c r="Q233" i="32"/>
  <c r="V233" i="32" s="1"/>
  <c r="N233" i="32"/>
  <c r="N235" i="32" s="1"/>
  <c r="L233" i="32"/>
  <c r="K233" i="32"/>
  <c r="I233" i="32" s="1"/>
  <c r="AQ232" i="32"/>
  <c r="BA232" i="32" s="1"/>
  <c r="AP232" i="32"/>
  <c r="AF232" i="32"/>
  <c r="AX232" i="32" s="1"/>
  <c r="AA232" i="32"/>
  <c r="Z232" i="32"/>
  <c r="AU232" i="32" s="1"/>
  <c r="Q232" i="32"/>
  <c r="V232" i="32" s="1"/>
  <c r="N232" i="32"/>
  <c r="L232" i="32"/>
  <c r="K232" i="32"/>
  <c r="AT231" i="32"/>
  <c r="AQ231" i="32"/>
  <c r="BA231" i="32" s="1"/>
  <c r="AP231" i="32"/>
  <c r="AZ231" i="32" s="1"/>
  <c r="AD231" i="32"/>
  <c r="AA231" i="32"/>
  <c r="Z231" i="32"/>
  <c r="AU231" i="32" s="1"/>
  <c r="V231" i="32"/>
  <c r="AC231" i="32" s="1"/>
  <c r="Q231" i="32"/>
  <c r="N231" i="32"/>
  <c r="L231" i="32"/>
  <c r="K231" i="32"/>
  <c r="AQ230" i="32"/>
  <c r="AP230" i="32"/>
  <c r="AZ230" i="32" s="1"/>
  <c r="AF230" i="32"/>
  <c r="AX230" i="32" s="1"/>
  <c r="Z230" i="32"/>
  <c r="AU230" i="32" s="1"/>
  <c r="V230" i="32"/>
  <c r="Q230" i="32"/>
  <c r="N230" i="32"/>
  <c r="L230" i="32"/>
  <c r="K230" i="32"/>
  <c r="AX229" i="32"/>
  <c r="AQ229" i="32"/>
  <c r="AP229" i="32"/>
  <c r="AF229" i="32"/>
  <c r="Z229" i="32"/>
  <c r="V229" i="32"/>
  <c r="Q229" i="32"/>
  <c r="N229" i="32"/>
  <c r="L229" i="32"/>
  <c r="I229" i="32" s="1"/>
  <c r="K229" i="32"/>
  <c r="AQ228" i="32"/>
  <c r="AP228" i="32"/>
  <c r="AO228" i="32"/>
  <c r="AN228" i="32"/>
  <c r="AM228" i="32"/>
  <c r="AL228" i="32"/>
  <c r="AK228" i="32"/>
  <c r="AJ228" i="32"/>
  <c r="AI228" i="32"/>
  <c r="AH228" i="32"/>
  <c r="AE228" i="32"/>
  <c r="AD228" i="32"/>
  <c r="Z228" i="32"/>
  <c r="Y228" i="32"/>
  <c r="X228" i="32"/>
  <c r="W228" i="32"/>
  <c r="U228" i="32"/>
  <c r="T228" i="32"/>
  <c r="S228" i="32"/>
  <c r="R228" i="32"/>
  <c r="P228" i="32"/>
  <c r="O228" i="32"/>
  <c r="M228" i="32"/>
  <c r="J228" i="32"/>
  <c r="BA227" i="32"/>
  <c r="AZ227" i="32"/>
  <c r="AQ227" i="32"/>
  <c r="AP227" i="32"/>
  <c r="AF227" i="32"/>
  <c r="AX227" i="32" s="1"/>
  <c r="Z227" i="32"/>
  <c r="AU227" i="32" s="1"/>
  <c r="V227" i="32"/>
  <c r="Q227" i="32"/>
  <c r="N227" i="32"/>
  <c r="L227" i="32"/>
  <c r="K227" i="32"/>
  <c r="AZ226" i="32"/>
  <c r="AX226" i="32"/>
  <c r="AQ226" i="32"/>
  <c r="AR226" i="32" s="1"/>
  <c r="AP226" i="32"/>
  <c r="AF226" i="32"/>
  <c r="Z226" i="32"/>
  <c r="AU226" i="32" s="1"/>
  <c r="V226" i="32"/>
  <c r="Q226" i="32"/>
  <c r="N226" i="32"/>
  <c r="L226" i="32"/>
  <c r="K226" i="32"/>
  <c r="BA225" i="32"/>
  <c r="AZ225" i="32"/>
  <c r="AZ228" i="32" s="1"/>
  <c r="AQ225" i="32"/>
  <c r="AP225" i="32"/>
  <c r="AF225" i="32"/>
  <c r="AX225" i="32" s="1"/>
  <c r="Z225" i="32"/>
  <c r="AU225" i="32" s="1"/>
  <c r="Q225" i="32"/>
  <c r="N225" i="32"/>
  <c r="L225" i="32"/>
  <c r="K225" i="32"/>
  <c r="K228" i="32" s="1"/>
  <c r="AO224" i="32"/>
  <c r="AN224" i="32"/>
  <c r="AM224" i="32"/>
  <c r="AL224" i="32"/>
  <c r="AK224" i="32"/>
  <c r="AJ224" i="32"/>
  <c r="AI224" i="32"/>
  <c r="AH224" i="32"/>
  <c r="AF224" i="32"/>
  <c r="AE224" i="32"/>
  <c r="AD224" i="32"/>
  <c r="Y224" i="32"/>
  <c r="X224" i="32"/>
  <c r="W224" i="32"/>
  <c r="U224" i="32"/>
  <c r="T224" i="32"/>
  <c r="S224" i="32"/>
  <c r="R224" i="32"/>
  <c r="P224" i="32"/>
  <c r="O224" i="32"/>
  <c r="M224" i="32"/>
  <c r="J224" i="32"/>
  <c r="BA223" i="32"/>
  <c r="BA224" i="32" s="1"/>
  <c r="AQ223" i="32"/>
  <c r="AQ224" i="32" s="1"/>
  <c r="AP223" i="32"/>
  <c r="AF223" i="32"/>
  <c r="AX223" i="32" s="1"/>
  <c r="AX224" i="32" s="1"/>
  <c r="Z223" i="32"/>
  <c r="AU223" i="32" s="1"/>
  <c r="AU224" i="32" s="1"/>
  <c r="Q223" i="32"/>
  <c r="N223" i="32"/>
  <c r="N224" i="32" s="1"/>
  <c r="L223" i="32"/>
  <c r="K223" i="32"/>
  <c r="AO222" i="32"/>
  <c r="AN222" i="32"/>
  <c r="AM222" i="32"/>
  <c r="AL222" i="32"/>
  <c r="AK222" i="32"/>
  <c r="AJ222" i="32"/>
  <c r="AI222" i="32"/>
  <c r="AH222" i="32"/>
  <c r="AE222" i="32"/>
  <c r="AD222" i="32"/>
  <c r="Y222" i="32"/>
  <c r="X222" i="32"/>
  <c r="W222" i="32"/>
  <c r="U222" i="32"/>
  <c r="T222" i="32"/>
  <c r="S222" i="32"/>
  <c r="R222" i="32"/>
  <c r="P222" i="32"/>
  <c r="O222" i="32"/>
  <c r="M222" i="32"/>
  <c r="J222" i="32"/>
  <c r="AR221" i="32"/>
  <c r="AQ221" i="32"/>
  <c r="BA221" i="32" s="1"/>
  <c r="AP221" i="32"/>
  <c r="AZ221" i="32" s="1"/>
  <c r="AF221" i="32"/>
  <c r="AX221" i="32" s="1"/>
  <c r="Z221" i="32"/>
  <c r="AU221" i="32" s="1"/>
  <c r="Q221" i="32"/>
  <c r="V221" i="32" s="1"/>
  <c r="N221" i="32"/>
  <c r="AY221" i="32" s="1"/>
  <c r="L221" i="32"/>
  <c r="K221" i="32"/>
  <c r="AR220" i="32"/>
  <c r="AQ220" i="32"/>
  <c r="BA220" i="32" s="1"/>
  <c r="AP220" i="32"/>
  <c r="AZ220" i="32" s="1"/>
  <c r="AF220" i="32"/>
  <c r="AX220" i="32" s="1"/>
  <c r="AB220" i="32"/>
  <c r="AA220" i="32"/>
  <c r="Z220" i="32"/>
  <c r="AU220" i="32" s="1"/>
  <c r="V220" i="32"/>
  <c r="AT220" i="32" s="1"/>
  <c r="Q220" i="32"/>
  <c r="N220" i="32"/>
  <c r="AY220" i="32" s="1"/>
  <c r="L220" i="32"/>
  <c r="K220" i="32"/>
  <c r="AQ219" i="32"/>
  <c r="AP219" i="32"/>
  <c r="AZ219" i="32" s="1"/>
  <c r="AF219" i="32"/>
  <c r="AX219" i="32" s="1"/>
  <c r="AA219" i="32"/>
  <c r="Z219" i="32"/>
  <c r="AU219" i="32" s="1"/>
  <c r="Q219" i="32"/>
  <c r="V219" i="32" s="1"/>
  <c r="AT219" i="32" s="1"/>
  <c r="N219" i="32"/>
  <c r="L219" i="32"/>
  <c r="K219" i="32"/>
  <c r="AR218" i="32"/>
  <c r="AQ218" i="32"/>
  <c r="BA218" i="32" s="1"/>
  <c r="AP218" i="32"/>
  <c r="AZ218" i="32" s="1"/>
  <c r="AF218" i="32"/>
  <c r="AX218" i="32" s="1"/>
  <c r="Z218" i="32"/>
  <c r="AU218" i="32" s="1"/>
  <c r="Q218" i="32"/>
  <c r="V218" i="32" s="1"/>
  <c r="N218" i="32"/>
  <c r="AY218" i="32" s="1"/>
  <c r="L218" i="32"/>
  <c r="K218" i="32"/>
  <c r="AQ217" i="32"/>
  <c r="BA217" i="32" s="1"/>
  <c r="AP217" i="32"/>
  <c r="AF217" i="32"/>
  <c r="AX217" i="32" s="1"/>
  <c r="AA217" i="32"/>
  <c r="Z217" i="32"/>
  <c r="AU217" i="32" s="1"/>
  <c r="V217" i="32"/>
  <c r="Q217" i="32"/>
  <c r="N217" i="32"/>
  <c r="L217" i="32"/>
  <c r="K217" i="32"/>
  <c r="AZ216" i="32"/>
  <c r="AQ216" i="32"/>
  <c r="AP216" i="32"/>
  <c r="AF216" i="32"/>
  <c r="AX216" i="32" s="1"/>
  <c r="AA216" i="32"/>
  <c r="Z216" i="32"/>
  <c r="Q216" i="32"/>
  <c r="V216" i="32" s="1"/>
  <c r="AT216" i="32" s="1"/>
  <c r="N216" i="32"/>
  <c r="L216" i="32"/>
  <c r="K216" i="32"/>
  <c r="AO215" i="32"/>
  <c r="AN215" i="32"/>
  <c r="AM215" i="32"/>
  <c r="AL215" i="32"/>
  <c r="AK215" i="32"/>
  <c r="AI215" i="32"/>
  <c r="AH215" i="32"/>
  <c r="AE215" i="32"/>
  <c r="AD215" i="32"/>
  <c r="Y215" i="32"/>
  <c r="X215" i="32"/>
  <c r="W215" i="32"/>
  <c r="U215" i="32"/>
  <c r="T215" i="32"/>
  <c r="S215" i="32"/>
  <c r="P215" i="32"/>
  <c r="O215" i="32"/>
  <c r="M215" i="32"/>
  <c r="J215" i="32"/>
  <c r="AQ214" i="32"/>
  <c r="AP214" i="32"/>
  <c r="AZ214" i="32" s="1"/>
  <c r="AF214" i="32"/>
  <c r="AX214" i="32" s="1"/>
  <c r="Z214" i="32"/>
  <c r="AU214" i="32" s="1"/>
  <c r="Q214" i="32"/>
  <c r="V214" i="32" s="1"/>
  <c r="N214" i="32"/>
  <c r="L214" i="32"/>
  <c r="K214" i="32"/>
  <c r="AU213" i="32"/>
  <c r="AR213" i="32"/>
  <c r="AQ213" i="32"/>
  <c r="BA213" i="32" s="1"/>
  <c r="AP213" i="32"/>
  <c r="AZ213" i="32" s="1"/>
  <c r="AF213" i="32"/>
  <c r="AX213" i="32" s="1"/>
  <c r="Z213" i="32"/>
  <c r="Q213" i="32"/>
  <c r="V213" i="32" s="1"/>
  <c r="N213" i="32"/>
  <c r="AY213" i="32" s="1"/>
  <c r="L213" i="32"/>
  <c r="K213" i="32"/>
  <c r="AQ212" i="32"/>
  <c r="BA212" i="32" s="1"/>
  <c r="AP212" i="32"/>
  <c r="AF212" i="32"/>
  <c r="AX212" i="32" s="1"/>
  <c r="Z212" i="32"/>
  <c r="AU212" i="32" s="1"/>
  <c r="V212" i="32"/>
  <c r="Q212" i="32"/>
  <c r="N212" i="32"/>
  <c r="N215" i="32" s="1"/>
  <c r="L212" i="32"/>
  <c r="K212" i="32"/>
  <c r="AZ211" i="32"/>
  <c r="AR211" i="32"/>
  <c r="AQ211" i="32"/>
  <c r="BA211" i="32" s="1"/>
  <c r="AP211" i="32"/>
  <c r="AF211" i="32"/>
  <c r="AX211" i="32" s="1"/>
  <c r="Z211" i="32"/>
  <c r="AU211" i="32" s="1"/>
  <c r="AU215" i="32" s="1"/>
  <c r="Q211" i="32"/>
  <c r="V211" i="32" s="1"/>
  <c r="N211" i="32"/>
  <c r="AY211" i="32" s="1"/>
  <c r="L211" i="32"/>
  <c r="K211" i="32"/>
  <c r="AX210" i="32"/>
  <c r="AR210" i="32"/>
  <c r="AQ210" i="32"/>
  <c r="BA210" i="32" s="1"/>
  <c r="AP210" i="32"/>
  <c r="AZ210" i="32" s="1"/>
  <c r="AJ210" i="32"/>
  <c r="AJ215" i="32" s="1"/>
  <c r="AF210" i="32"/>
  <c r="Z210" i="32"/>
  <c r="AU210" i="32" s="1"/>
  <c r="R210" i="32"/>
  <c r="R215" i="32" s="1"/>
  <c r="Q210" i="32"/>
  <c r="N210" i="32"/>
  <c r="L210" i="32"/>
  <c r="K210" i="32"/>
  <c r="AR209" i="32"/>
  <c r="AQ209" i="32"/>
  <c r="BA209" i="32" s="1"/>
  <c r="AP209" i="32"/>
  <c r="AZ209" i="32" s="1"/>
  <c r="AF209" i="32"/>
  <c r="AX209" i="32" s="1"/>
  <c r="Z209" i="32"/>
  <c r="AU209" i="32" s="1"/>
  <c r="Q209" i="32"/>
  <c r="V209" i="32" s="1"/>
  <c r="AT209" i="32" s="1"/>
  <c r="N209" i="32"/>
  <c r="L209" i="32"/>
  <c r="K209" i="32"/>
  <c r="I209" i="32"/>
  <c r="AQ208" i="32"/>
  <c r="BA208" i="32" s="1"/>
  <c r="AP208" i="32"/>
  <c r="AF208" i="32"/>
  <c r="AX208" i="32" s="1"/>
  <c r="AC208" i="32"/>
  <c r="Z208" i="32"/>
  <c r="AU208" i="32" s="1"/>
  <c r="Q208" i="32"/>
  <c r="V208" i="32" s="1"/>
  <c r="N208" i="32"/>
  <c r="L208" i="32"/>
  <c r="K208" i="32"/>
  <c r="AQ207" i="32"/>
  <c r="BA207" i="32" s="1"/>
  <c r="AP207" i="32"/>
  <c r="AF207" i="32"/>
  <c r="AX207" i="32" s="1"/>
  <c r="Z207" i="32"/>
  <c r="AU207" i="32" s="1"/>
  <c r="Q207" i="32"/>
  <c r="N207" i="32"/>
  <c r="L207" i="32"/>
  <c r="K207" i="32"/>
  <c r="AP206" i="32"/>
  <c r="AO206" i="32"/>
  <c r="AN206" i="32"/>
  <c r="AM206" i="32"/>
  <c r="AL206" i="32"/>
  <c r="AK206" i="32"/>
  <c r="AJ206" i="32"/>
  <c r="AI206" i="32"/>
  <c r="AH206" i="32"/>
  <c r="AE206" i="32"/>
  <c r="AD206" i="32"/>
  <c r="Y206" i="32"/>
  <c r="X206" i="32"/>
  <c r="W206" i="32"/>
  <c r="U206" i="32"/>
  <c r="T206" i="32"/>
  <c r="S206" i="32"/>
  <c r="R206" i="32"/>
  <c r="P206" i="32"/>
  <c r="O206" i="32"/>
  <c r="M206" i="32"/>
  <c r="J206" i="32"/>
  <c r="AQ205" i="32"/>
  <c r="BA205" i="32" s="1"/>
  <c r="AP205" i="32"/>
  <c r="AF205" i="32"/>
  <c r="AX205" i="32" s="1"/>
  <c r="Z205" i="32"/>
  <c r="AU205" i="32" s="1"/>
  <c r="Q205" i="32"/>
  <c r="V205" i="32" s="1"/>
  <c r="N205" i="32"/>
  <c r="L205" i="32"/>
  <c r="K205" i="32"/>
  <c r="BA204" i="32"/>
  <c r="AU204" i="32"/>
  <c r="AQ204" i="32"/>
  <c r="AP204" i="32"/>
  <c r="AF204" i="32"/>
  <c r="AX204" i="32" s="1"/>
  <c r="Z204" i="32"/>
  <c r="Q204" i="32"/>
  <c r="V204" i="32" s="1"/>
  <c r="N204" i="32"/>
  <c r="L204" i="32"/>
  <c r="K204" i="32"/>
  <c r="BA203" i="32"/>
  <c r="AR203" i="32"/>
  <c r="AQ203" i="32"/>
  <c r="AP203" i="32"/>
  <c r="AZ203" i="32" s="1"/>
  <c r="AF203" i="32"/>
  <c r="AX203" i="32" s="1"/>
  <c r="Z203" i="32"/>
  <c r="AU203" i="32" s="1"/>
  <c r="Q203" i="32"/>
  <c r="V203" i="32" s="1"/>
  <c r="N203" i="32"/>
  <c r="AY203" i="32" s="1"/>
  <c r="L203" i="32"/>
  <c r="K203" i="32"/>
  <c r="BA202" i="32"/>
  <c r="AZ202" i="32"/>
  <c r="AR202" i="32"/>
  <c r="AQ202" i="32"/>
  <c r="AP202" i="32"/>
  <c r="AF202" i="32"/>
  <c r="AX202" i="32" s="1"/>
  <c r="Z202" i="32"/>
  <c r="AU202" i="32" s="1"/>
  <c r="Q202" i="32"/>
  <c r="V202" i="32" s="1"/>
  <c r="N202" i="32"/>
  <c r="AY202" i="32" s="1"/>
  <c r="L202" i="32"/>
  <c r="K202" i="32"/>
  <c r="BA201" i="32"/>
  <c r="AZ201" i="32"/>
  <c r="AQ201" i="32"/>
  <c r="AR201" i="32" s="1"/>
  <c r="AP201" i="32"/>
  <c r="AF201" i="32"/>
  <c r="AX201" i="32" s="1"/>
  <c r="Z201" i="32"/>
  <c r="AU201" i="32" s="1"/>
  <c r="AU206" i="32" s="1"/>
  <c r="Q201" i="32"/>
  <c r="N201" i="32"/>
  <c r="L201" i="32"/>
  <c r="K201" i="32"/>
  <c r="AO200" i="32"/>
  <c r="AN200" i="32"/>
  <c r="AM200" i="32"/>
  <c r="AL200" i="32"/>
  <c r="AK200" i="32"/>
  <c r="AJ200" i="32"/>
  <c r="AI200" i="32"/>
  <c r="AH200" i="32"/>
  <c r="AE200" i="32"/>
  <c r="AD200" i="32"/>
  <c r="Y200" i="32"/>
  <c r="X200" i="32"/>
  <c r="W200" i="32"/>
  <c r="U200" i="32"/>
  <c r="T200" i="32"/>
  <c r="S200" i="32"/>
  <c r="R200" i="32"/>
  <c r="Q200" i="32"/>
  <c r="P200" i="32"/>
  <c r="O200" i="32"/>
  <c r="M200" i="32"/>
  <c r="J200" i="32"/>
  <c r="AX199" i="32"/>
  <c r="AQ199" i="32"/>
  <c r="BA199" i="32" s="1"/>
  <c r="AP199" i="32"/>
  <c r="AZ199" i="32" s="1"/>
  <c r="AF199" i="32"/>
  <c r="AA199" i="32"/>
  <c r="Z199" i="32"/>
  <c r="AU199" i="32" s="1"/>
  <c r="V199" i="32"/>
  <c r="Q199" i="32"/>
  <c r="N199" i="32"/>
  <c r="L199" i="32"/>
  <c r="K199" i="32"/>
  <c r="AX198" i="32"/>
  <c r="AR198" i="32"/>
  <c r="AQ198" i="32"/>
  <c r="BA198" i="32" s="1"/>
  <c r="AP198" i="32"/>
  <c r="AZ198" i="32" s="1"/>
  <c r="AF198" i="32"/>
  <c r="AB198" i="32"/>
  <c r="AA198" i="32"/>
  <c r="Z198" i="32"/>
  <c r="AU198" i="32" s="1"/>
  <c r="V198" i="32"/>
  <c r="AT198" i="32" s="1"/>
  <c r="Q198" i="32"/>
  <c r="N198" i="32"/>
  <c r="L198" i="32"/>
  <c r="K198" i="32"/>
  <c r="AX197" i="32"/>
  <c r="AQ197" i="32"/>
  <c r="AP197" i="32"/>
  <c r="AZ197" i="32" s="1"/>
  <c r="AZ200" i="32" s="1"/>
  <c r="AF197" i="32"/>
  <c r="AB197" i="32"/>
  <c r="AA197" i="32"/>
  <c r="Z197" i="32"/>
  <c r="V197" i="32"/>
  <c r="AT197" i="32" s="1"/>
  <c r="Q197" i="32"/>
  <c r="N197" i="32"/>
  <c r="L197" i="32"/>
  <c r="L200" i="32" s="1"/>
  <c r="K197" i="32"/>
  <c r="AO196" i="32"/>
  <c r="AN196" i="32"/>
  <c r="AM196" i="32"/>
  <c r="AL196" i="32"/>
  <c r="AK196" i="32"/>
  <c r="AI196" i="32"/>
  <c r="AH196" i="32"/>
  <c r="AE196" i="32"/>
  <c r="AD196" i="32"/>
  <c r="Y196" i="32"/>
  <c r="X196" i="32"/>
  <c r="W196" i="32"/>
  <c r="U196" i="32"/>
  <c r="T196" i="32"/>
  <c r="S196" i="32"/>
  <c r="P196" i="32"/>
  <c r="O196" i="32"/>
  <c r="N196" i="32"/>
  <c r="M196" i="32"/>
  <c r="J196" i="32"/>
  <c r="AZ195" i="32"/>
  <c r="AU195" i="32"/>
  <c r="AR195" i="32"/>
  <c r="AQ195" i="32"/>
  <c r="BA195" i="32" s="1"/>
  <c r="AP195" i="32"/>
  <c r="AF195" i="32"/>
  <c r="AX195" i="32" s="1"/>
  <c r="Z195" i="32"/>
  <c r="Q195" i="32"/>
  <c r="V195" i="32" s="1"/>
  <c r="N195" i="32"/>
  <c r="L195" i="32"/>
  <c r="K195" i="32"/>
  <c r="BA194" i="32"/>
  <c r="AZ194" i="32"/>
  <c r="AU194" i="32"/>
  <c r="AR194" i="32"/>
  <c r="AQ194" i="32"/>
  <c r="AP194" i="32"/>
  <c r="AF194" i="32"/>
  <c r="AX194" i="32" s="1"/>
  <c r="Z194" i="32"/>
  <c r="Q194" i="32"/>
  <c r="V194" i="32" s="1"/>
  <c r="N194" i="32"/>
  <c r="AY194" i="32" s="1"/>
  <c r="L194" i="32"/>
  <c r="K194" i="32"/>
  <c r="BA193" i="32"/>
  <c r="AZ193" i="32"/>
  <c r="AU193" i="32"/>
  <c r="AR193" i="32"/>
  <c r="AQ193" i="32"/>
  <c r="AP193" i="32"/>
  <c r="AF193" i="32"/>
  <c r="AX193" i="32" s="1"/>
  <c r="Z193" i="32"/>
  <c r="V193" i="32"/>
  <c r="Q193" i="32"/>
  <c r="N193" i="32"/>
  <c r="L193" i="32"/>
  <c r="K193" i="32"/>
  <c r="AQ192" i="32"/>
  <c r="BA192" i="32" s="1"/>
  <c r="AJ192" i="32"/>
  <c r="AF192" i="32"/>
  <c r="AX192" i="32" s="1"/>
  <c r="Z192" i="32"/>
  <c r="AU192" i="32" s="1"/>
  <c r="R192" i="32"/>
  <c r="R196" i="32" s="1"/>
  <c r="Q192" i="32"/>
  <c r="V192" i="32" s="1"/>
  <c r="N192" i="32"/>
  <c r="L192" i="32"/>
  <c r="K192" i="32"/>
  <c r="AQ191" i="32"/>
  <c r="BA191" i="32" s="1"/>
  <c r="AP191" i="32"/>
  <c r="AF191" i="32"/>
  <c r="AX191" i="32" s="1"/>
  <c r="Z191" i="32"/>
  <c r="V191" i="32"/>
  <c r="AT191" i="32" s="1"/>
  <c r="Q191" i="32"/>
  <c r="N191" i="32"/>
  <c r="L191" i="32"/>
  <c r="L196" i="32" s="1"/>
  <c r="K191" i="32"/>
  <c r="I191" i="32" s="1"/>
  <c r="AQ190" i="32"/>
  <c r="BA190" i="32" s="1"/>
  <c r="AP190" i="32"/>
  <c r="AF190" i="32"/>
  <c r="AX190" i="32" s="1"/>
  <c r="AA190" i="32"/>
  <c r="Z190" i="32"/>
  <c r="V190" i="32"/>
  <c r="AT190" i="32" s="1"/>
  <c r="Q190" i="32"/>
  <c r="N190" i="32"/>
  <c r="L190" i="32"/>
  <c r="K190" i="32"/>
  <c r="I190" i="32" s="1"/>
  <c r="AO189" i="32"/>
  <c r="AN189" i="32"/>
  <c r="AM189" i="32"/>
  <c r="AL189" i="32"/>
  <c r="AK189" i="32"/>
  <c r="AJ189" i="32"/>
  <c r="AI189" i="32"/>
  <c r="AH189" i="32"/>
  <c r="AE189" i="32"/>
  <c r="AD189" i="32"/>
  <c r="Y189" i="32"/>
  <c r="X189" i="32"/>
  <c r="W189" i="32"/>
  <c r="U189" i="32"/>
  <c r="T189" i="32"/>
  <c r="S189" i="32"/>
  <c r="R189" i="32"/>
  <c r="P189" i="32"/>
  <c r="O189" i="32"/>
  <c r="M189" i="32"/>
  <c r="K189" i="32"/>
  <c r="J189" i="32"/>
  <c r="AZ188" i="32"/>
  <c r="AQ188" i="32"/>
  <c r="AP188" i="32"/>
  <c r="AF188" i="32"/>
  <c r="AX188" i="32" s="1"/>
  <c r="Z188" i="32"/>
  <c r="AU188" i="32" s="1"/>
  <c r="Q188" i="32"/>
  <c r="V188" i="32" s="1"/>
  <c r="N188" i="32"/>
  <c r="L188" i="32"/>
  <c r="K188" i="32"/>
  <c r="AR187" i="32"/>
  <c r="AQ187" i="32"/>
  <c r="BA187" i="32" s="1"/>
  <c r="AP187" i="32"/>
  <c r="AZ187" i="32" s="1"/>
  <c r="AF187" i="32"/>
  <c r="AX187" i="32" s="1"/>
  <c r="Z187" i="32"/>
  <c r="AU187" i="32" s="1"/>
  <c r="Q187" i="32"/>
  <c r="V187" i="32" s="1"/>
  <c r="N187" i="32"/>
  <c r="AY187" i="32" s="1"/>
  <c r="L187" i="32"/>
  <c r="K187" i="32"/>
  <c r="AQ186" i="32"/>
  <c r="AQ189" i="32" s="1"/>
  <c r="AP186" i="32"/>
  <c r="AZ186" i="32" s="1"/>
  <c r="AF186" i="32"/>
  <c r="Z186" i="32"/>
  <c r="Z189" i="32" s="1"/>
  <c r="Q186" i="32"/>
  <c r="N186" i="32"/>
  <c r="L186" i="32"/>
  <c r="K186" i="32"/>
  <c r="AO185" i="32"/>
  <c r="AN185" i="32"/>
  <c r="AM185" i="32"/>
  <c r="AL185" i="32"/>
  <c r="AK185" i="32"/>
  <c r="AJ185" i="32"/>
  <c r="AI185" i="32"/>
  <c r="AH185" i="32"/>
  <c r="AE185" i="32"/>
  <c r="AD185" i="32"/>
  <c r="Y185" i="32"/>
  <c r="X185" i="32"/>
  <c r="W185" i="32"/>
  <c r="U185" i="32"/>
  <c r="T185" i="32"/>
  <c r="S185" i="32"/>
  <c r="R185" i="32"/>
  <c r="P185" i="32"/>
  <c r="O185" i="32"/>
  <c r="M185" i="32"/>
  <c r="J185" i="32"/>
  <c r="AQ184" i="32"/>
  <c r="BA184" i="32" s="1"/>
  <c r="AP184" i="32"/>
  <c r="AF184" i="32"/>
  <c r="AX184" i="32" s="1"/>
  <c r="Z184" i="32"/>
  <c r="V184" i="32"/>
  <c r="AT184" i="32" s="1"/>
  <c r="Q184" i="32"/>
  <c r="N184" i="32"/>
  <c r="L184" i="32"/>
  <c r="K184" i="32"/>
  <c r="AQ183" i="32"/>
  <c r="BA183" i="32" s="1"/>
  <c r="AP183" i="32"/>
  <c r="AF183" i="32"/>
  <c r="AX183" i="32" s="1"/>
  <c r="Z183" i="32"/>
  <c r="AU183" i="32" s="1"/>
  <c r="V183" i="32"/>
  <c r="Q183" i="32"/>
  <c r="N183" i="32"/>
  <c r="L183" i="32"/>
  <c r="K183" i="32"/>
  <c r="AQ182" i="32"/>
  <c r="BA182" i="32" s="1"/>
  <c r="AP182" i="32"/>
  <c r="AF182" i="32"/>
  <c r="AX182" i="32" s="1"/>
  <c r="Z182" i="32"/>
  <c r="AU182" i="32" s="1"/>
  <c r="V182" i="32"/>
  <c r="AT182" i="32" s="1"/>
  <c r="Q182" i="32"/>
  <c r="N182" i="32"/>
  <c r="L182" i="32"/>
  <c r="K182" i="32"/>
  <c r="I182" i="32"/>
  <c r="AQ181" i="32"/>
  <c r="BA181" i="32" s="1"/>
  <c r="AP181" i="32"/>
  <c r="AF181" i="32"/>
  <c r="AX181" i="32" s="1"/>
  <c r="Z181" i="32"/>
  <c r="AU181" i="32" s="1"/>
  <c r="V181" i="32"/>
  <c r="Q181" i="32"/>
  <c r="N181" i="32"/>
  <c r="L181" i="32"/>
  <c r="L185" i="32" s="1"/>
  <c r="K181" i="32"/>
  <c r="AQ180" i="32"/>
  <c r="AP180" i="32"/>
  <c r="AF180" i="32"/>
  <c r="Z180" i="32"/>
  <c r="V180" i="32"/>
  <c r="Q180" i="32"/>
  <c r="Q185" i="32" s="1"/>
  <c r="N180" i="32"/>
  <c r="N185" i="32" s="1"/>
  <c r="L180" i="32"/>
  <c r="K180" i="32"/>
  <c r="AP179" i="32"/>
  <c r="AO179" i="32"/>
  <c r="AN179" i="32"/>
  <c r="AM179" i="32"/>
  <c r="AL179" i="32"/>
  <c r="AK179" i="32"/>
  <c r="AJ179" i="32"/>
  <c r="AI179" i="32"/>
  <c r="AH179" i="32"/>
  <c r="AE179" i="32"/>
  <c r="AD179" i="32"/>
  <c r="Y179" i="32"/>
  <c r="X179" i="32"/>
  <c r="W179" i="32"/>
  <c r="U179" i="32"/>
  <c r="T179" i="32"/>
  <c r="S179" i="32"/>
  <c r="R179" i="32"/>
  <c r="P179" i="32"/>
  <c r="O179" i="32"/>
  <c r="M179" i="32"/>
  <c r="J179" i="32"/>
  <c r="AQ178" i="32"/>
  <c r="BA178" i="32" s="1"/>
  <c r="AP178" i="32"/>
  <c r="AF178" i="32"/>
  <c r="AX178" i="32" s="1"/>
  <c r="AB178" i="32"/>
  <c r="Z178" i="32"/>
  <c r="AU178" i="32" s="1"/>
  <c r="Q178" i="32"/>
  <c r="V178" i="32" s="1"/>
  <c r="N178" i="32"/>
  <c r="L178" i="32"/>
  <c r="K178" i="32"/>
  <c r="AZ177" i="32"/>
  <c r="AQ177" i="32"/>
  <c r="BA177" i="32" s="1"/>
  <c r="AP177" i="32"/>
  <c r="AR177" i="32" s="1"/>
  <c r="AF177" i="32"/>
  <c r="AX177" i="32" s="1"/>
  <c r="Z177" i="32"/>
  <c r="AU177" i="32" s="1"/>
  <c r="Q177" i="32"/>
  <c r="V177" i="32" s="1"/>
  <c r="N177" i="32"/>
  <c r="L177" i="32"/>
  <c r="K177" i="32"/>
  <c r="AZ176" i="32"/>
  <c r="AR176" i="32"/>
  <c r="AQ176" i="32"/>
  <c r="BA176" i="32" s="1"/>
  <c r="AP176" i="32"/>
  <c r="AF176" i="32"/>
  <c r="AX176" i="32" s="1"/>
  <c r="AC176" i="32"/>
  <c r="Z176" i="32"/>
  <c r="AU176" i="32" s="1"/>
  <c r="Q176" i="32"/>
  <c r="V176" i="32" s="1"/>
  <c r="N176" i="32"/>
  <c r="L176" i="32"/>
  <c r="K176" i="32"/>
  <c r="AZ175" i="32"/>
  <c r="AQ175" i="32"/>
  <c r="AP175" i="32"/>
  <c r="AF175" i="32"/>
  <c r="AX175" i="32" s="1"/>
  <c r="Z175" i="32"/>
  <c r="AU175" i="32" s="1"/>
  <c r="Q175" i="32"/>
  <c r="V175" i="32" s="1"/>
  <c r="N175" i="32"/>
  <c r="L175" i="32"/>
  <c r="K175" i="32"/>
  <c r="AZ174" i="32"/>
  <c r="AR174" i="32"/>
  <c r="AQ174" i="32"/>
  <c r="BA174" i="32" s="1"/>
  <c r="AP174" i="32"/>
  <c r="AF174" i="32"/>
  <c r="AX174" i="32" s="1"/>
  <c r="AB174" i="32"/>
  <c r="Z174" i="32"/>
  <c r="Q174" i="32"/>
  <c r="V174" i="32" s="1"/>
  <c r="AT174" i="32" s="1"/>
  <c r="N174" i="32"/>
  <c r="L174" i="32"/>
  <c r="K174" i="32"/>
  <c r="AX173" i="32"/>
  <c r="AQ173" i="32"/>
  <c r="BA173" i="32" s="1"/>
  <c r="AP173" i="32"/>
  <c r="AR173" i="32" s="1"/>
  <c r="AF173" i="32"/>
  <c r="Z173" i="32"/>
  <c r="Z179" i="32" s="1"/>
  <c r="Q173" i="32"/>
  <c r="N173" i="32"/>
  <c r="L173" i="32"/>
  <c r="K173" i="32"/>
  <c r="AO172" i="32"/>
  <c r="AN172" i="32"/>
  <c r="AM172" i="32"/>
  <c r="AL172" i="32"/>
  <c r="AK172" i="32"/>
  <c r="AJ172" i="32"/>
  <c r="AI172" i="32"/>
  <c r="AH172" i="32"/>
  <c r="AE172" i="32"/>
  <c r="AD172" i="32"/>
  <c r="Y172" i="32"/>
  <c r="X172" i="32"/>
  <c r="W172" i="32"/>
  <c r="U172" i="32"/>
  <c r="T172" i="32"/>
  <c r="S172" i="32"/>
  <c r="R172" i="32"/>
  <c r="P172" i="32"/>
  <c r="O172" i="32"/>
  <c r="M172" i="32"/>
  <c r="J172" i="32"/>
  <c r="AZ171" i="32"/>
  <c r="AQ171" i="32"/>
  <c r="BA171" i="32" s="1"/>
  <c r="AP171" i="32"/>
  <c r="AF171" i="32"/>
  <c r="AX171" i="32" s="1"/>
  <c r="Z171" i="32"/>
  <c r="AU171" i="32" s="1"/>
  <c r="Q171" i="32"/>
  <c r="V171" i="32" s="1"/>
  <c r="AA171" i="32" s="1"/>
  <c r="N171" i="32"/>
  <c r="L171" i="32"/>
  <c r="K171" i="32"/>
  <c r="AU170" i="32"/>
  <c r="AQ170" i="32"/>
  <c r="BA170" i="32" s="1"/>
  <c r="AP170" i="32"/>
  <c r="AZ170" i="32" s="1"/>
  <c r="AF170" i="32"/>
  <c r="AX170" i="32" s="1"/>
  <c r="Z170" i="32"/>
  <c r="Q170" i="32"/>
  <c r="V170" i="32" s="1"/>
  <c r="N170" i="32"/>
  <c r="L170" i="32"/>
  <c r="K170" i="32"/>
  <c r="AZ169" i="32"/>
  <c r="AQ169" i="32"/>
  <c r="BA169" i="32" s="1"/>
  <c r="AP169" i="32"/>
  <c r="AF169" i="32"/>
  <c r="AX169" i="32" s="1"/>
  <c r="Z169" i="32"/>
  <c r="AU169" i="32" s="1"/>
  <c r="Q169" i="32"/>
  <c r="V169" i="32" s="1"/>
  <c r="N169" i="32"/>
  <c r="L169" i="32"/>
  <c r="K169" i="32"/>
  <c r="AU168" i="32"/>
  <c r="AQ168" i="32"/>
  <c r="BA168" i="32" s="1"/>
  <c r="AP168" i="32"/>
  <c r="AZ168" i="32" s="1"/>
  <c r="AF168" i="32"/>
  <c r="AX168" i="32" s="1"/>
  <c r="Z168" i="32"/>
  <c r="Q168" i="32"/>
  <c r="V168" i="32" s="1"/>
  <c r="N168" i="32"/>
  <c r="L168" i="32"/>
  <c r="K168" i="32"/>
  <c r="I168" i="32" s="1"/>
  <c r="AQ167" i="32"/>
  <c r="BA167" i="32" s="1"/>
  <c r="AP167" i="32"/>
  <c r="AF167" i="32"/>
  <c r="AX167" i="32" s="1"/>
  <c r="Z167" i="32"/>
  <c r="AU167" i="32" s="1"/>
  <c r="Q167" i="32"/>
  <c r="V167" i="32" s="1"/>
  <c r="N167" i="32"/>
  <c r="L167" i="32"/>
  <c r="K167" i="32"/>
  <c r="I167" i="32" s="1"/>
  <c r="AZ166" i="32"/>
  <c r="AU166" i="32"/>
  <c r="AU172" i="32" s="1"/>
  <c r="AQ166" i="32"/>
  <c r="BA166" i="32" s="1"/>
  <c r="AP166" i="32"/>
  <c r="AF166" i="32"/>
  <c r="Z166" i="32"/>
  <c r="Q166" i="32"/>
  <c r="N166" i="32"/>
  <c r="L166" i="32"/>
  <c r="K166" i="32"/>
  <c r="AO165" i="32"/>
  <c r="AN165" i="32"/>
  <c r="AM165" i="32"/>
  <c r="AL165" i="32"/>
  <c r="AK165" i="32"/>
  <c r="AJ165" i="32"/>
  <c r="AI165" i="32"/>
  <c r="AH165" i="32"/>
  <c r="AE165" i="32"/>
  <c r="AD165" i="32"/>
  <c r="Y165" i="32"/>
  <c r="X165" i="32"/>
  <c r="W165" i="32"/>
  <c r="U165" i="32"/>
  <c r="T165" i="32"/>
  <c r="S165" i="32"/>
  <c r="R165" i="32"/>
  <c r="P165" i="32"/>
  <c r="O165" i="32"/>
  <c r="M165" i="32"/>
  <c r="J165" i="32"/>
  <c r="AQ164" i="32"/>
  <c r="BA164" i="32" s="1"/>
  <c r="AP164" i="32"/>
  <c r="AF164" i="32"/>
  <c r="AX164" i="32" s="1"/>
  <c r="Z164" i="32"/>
  <c r="AU164" i="32" s="1"/>
  <c r="Q164" i="32"/>
  <c r="V164" i="32" s="1"/>
  <c r="N164" i="32"/>
  <c r="L164" i="32"/>
  <c r="K164" i="32"/>
  <c r="AR163" i="32"/>
  <c r="AQ163" i="32"/>
  <c r="BA163" i="32" s="1"/>
  <c r="AP163" i="32"/>
  <c r="AZ163" i="32" s="1"/>
  <c r="AF163" i="32"/>
  <c r="AX163" i="32" s="1"/>
  <c r="Z163" i="32"/>
  <c r="AU163" i="32" s="1"/>
  <c r="Q163" i="32"/>
  <c r="V163" i="32" s="1"/>
  <c r="AT163" i="32" s="1"/>
  <c r="N163" i="32"/>
  <c r="L163" i="32"/>
  <c r="K163" i="32"/>
  <c r="I163" i="32" s="1"/>
  <c r="AT162" i="32"/>
  <c r="AQ162" i="32"/>
  <c r="BA162" i="32" s="1"/>
  <c r="AP162" i="32"/>
  <c r="AF162" i="32"/>
  <c r="AX162" i="32" s="1"/>
  <c r="Z162" i="32"/>
  <c r="AU162" i="32" s="1"/>
  <c r="Q162" i="32"/>
  <c r="V162" i="32" s="1"/>
  <c r="N162" i="32"/>
  <c r="L162" i="32"/>
  <c r="K162" i="32"/>
  <c r="AQ161" i="32"/>
  <c r="BA161" i="32" s="1"/>
  <c r="AP161" i="32"/>
  <c r="AF161" i="32"/>
  <c r="AX161" i="32" s="1"/>
  <c r="Z161" i="32"/>
  <c r="AU161" i="32" s="1"/>
  <c r="Q161" i="32"/>
  <c r="V161" i="32" s="1"/>
  <c r="N161" i="32"/>
  <c r="L161" i="32"/>
  <c r="K161" i="32"/>
  <c r="I161" i="32" s="1"/>
  <c r="AX160" i="32"/>
  <c r="AT160" i="32"/>
  <c r="AQ160" i="32"/>
  <c r="BA160" i="32" s="1"/>
  <c r="AP160" i="32"/>
  <c r="AZ160" i="32" s="1"/>
  <c r="AF160" i="32"/>
  <c r="AC160" i="32"/>
  <c r="Z160" i="32"/>
  <c r="Q160" i="32"/>
  <c r="V160" i="32" s="1"/>
  <c r="AB160" i="32" s="1"/>
  <c r="N160" i="32"/>
  <c r="L160" i="32"/>
  <c r="K160" i="32"/>
  <c r="I160" i="32" s="1"/>
  <c r="AZ159" i="32"/>
  <c r="AQ159" i="32"/>
  <c r="AP159" i="32"/>
  <c r="AF159" i="32"/>
  <c r="Z159" i="32"/>
  <c r="Q159" i="32"/>
  <c r="V159" i="32" s="1"/>
  <c r="N159" i="32"/>
  <c r="L159" i="32"/>
  <c r="K159" i="32"/>
  <c r="AO158" i="32"/>
  <c r="AN158" i="32"/>
  <c r="AM158" i="32"/>
  <c r="AL158" i="32"/>
  <c r="AK158" i="32"/>
  <c r="AI158" i="32"/>
  <c r="AH158" i="32"/>
  <c r="AE158" i="32"/>
  <c r="Y158" i="32"/>
  <c r="X158" i="32"/>
  <c r="W158" i="32"/>
  <c r="U158" i="32"/>
  <c r="T158" i="32"/>
  <c r="S158" i="32"/>
  <c r="R158" i="32"/>
  <c r="P158" i="32"/>
  <c r="O158" i="32"/>
  <c r="M158" i="32"/>
  <c r="J158" i="32"/>
  <c r="AQ157" i="32"/>
  <c r="BA157" i="32" s="1"/>
  <c r="AP157" i="32"/>
  <c r="AF157" i="32"/>
  <c r="AX157" i="32" s="1"/>
  <c r="Z157" i="32"/>
  <c r="AU157" i="32" s="1"/>
  <c r="Q157" i="32"/>
  <c r="V157" i="32" s="1"/>
  <c r="AA157" i="32" s="1"/>
  <c r="N157" i="32"/>
  <c r="L157" i="32"/>
  <c r="K157" i="32"/>
  <c r="I157" i="32" s="1"/>
  <c r="AQ156" i="32"/>
  <c r="BA156" i="32" s="1"/>
  <c r="AP156" i="32"/>
  <c r="AF156" i="32"/>
  <c r="AX156" i="32" s="1"/>
  <c r="AA156" i="32"/>
  <c r="Z156" i="32"/>
  <c r="AU156" i="32" s="1"/>
  <c r="Q156" i="32"/>
  <c r="V156" i="32" s="1"/>
  <c r="N156" i="32"/>
  <c r="L156" i="32"/>
  <c r="K156" i="32"/>
  <c r="AQ155" i="32"/>
  <c r="BA155" i="32" s="1"/>
  <c r="AP155" i="32"/>
  <c r="AF155" i="32"/>
  <c r="AX155" i="32" s="1"/>
  <c r="Z155" i="32"/>
  <c r="AU155" i="32" s="1"/>
  <c r="Q155" i="32"/>
  <c r="V155" i="32" s="1"/>
  <c r="N155" i="32"/>
  <c r="L155" i="32"/>
  <c r="K155" i="32"/>
  <c r="I155" i="32"/>
  <c r="AQ154" i="32"/>
  <c r="BA154" i="32" s="1"/>
  <c r="AP154" i="32"/>
  <c r="AF154" i="32"/>
  <c r="AX154" i="32" s="1"/>
  <c r="Z154" i="32"/>
  <c r="AU154" i="32" s="1"/>
  <c r="Q154" i="32"/>
  <c r="V154" i="32" s="1"/>
  <c r="AA154" i="32" s="1"/>
  <c r="N154" i="32"/>
  <c r="L154" i="32"/>
  <c r="K154" i="32"/>
  <c r="AQ153" i="32"/>
  <c r="BA153" i="32" s="1"/>
  <c r="AP153" i="32"/>
  <c r="AJ153" i="32"/>
  <c r="AJ158" i="32" s="1"/>
  <c r="AD153" i="32"/>
  <c r="AD158" i="32" s="1"/>
  <c r="Z153" i="32"/>
  <c r="AU153" i="32" s="1"/>
  <c r="R153" i="32"/>
  <c r="Q153" i="32"/>
  <c r="V153" i="32" s="1"/>
  <c r="N153" i="32"/>
  <c r="L153" i="32"/>
  <c r="K153" i="32"/>
  <c r="I153" i="32" s="1"/>
  <c r="AQ152" i="32"/>
  <c r="AP152" i="32"/>
  <c r="AF152" i="32"/>
  <c r="Z152" i="32"/>
  <c r="Q152" i="32"/>
  <c r="N152" i="32"/>
  <c r="L152" i="32"/>
  <c r="K152" i="32"/>
  <c r="AO151" i="32"/>
  <c r="AN151" i="32"/>
  <c r="AM151" i="32"/>
  <c r="AL151" i="32"/>
  <c r="AK151" i="32"/>
  <c r="AJ151" i="32"/>
  <c r="AI151" i="32"/>
  <c r="AH151" i="32"/>
  <c r="AE151" i="32"/>
  <c r="AD151" i="32"/>
  <c r="Y151" i="32"/>
  <c r="X151" i="32"/>
  <c r="W151" i="32"/>
  <c r="U151" i="32"/>
  <c r="T151" i="32"/>
  <c r="S151" i="32"/>
  <c r="R151" i="32"/>
  <c r="P151" i="32"/>
  <c r="O151" i="32"/>
  <c r="M151" i="32"/>
  <c r="J151" i="32"/>
  <c r="AQ150" i="32"/>
  <c r="BA150" i="32" s="1"/>
  <c r="AP150" i="32"/>
  <c r="AF150" i="32"/>
  <c r="AX150" i="32" s="1"/>
  <c r="Z150" i="32"/>
  <c r="Q150" i="32"/>
  <c r="V150" i="32" s="1"/>
  <c r="N150" i="32"/>
  <c r="L150" i="32"/>
  <c r="K150" i="32"/>
  <c r="AQ149" i="32"/>
  <c r="BA149" i="32" s="1"/>
  <c r="AP149" i="32"/>
  <c r="AF149" i="32"/>
  <c r="AX149" i="32" s="1"/>
  <c r="Z149" i="32"/>
  <c r="Q149" i="32"/>
  <c r="V149" i="32" s="1"/>
  <c r="N149" i="32"/>
  <c r="L149" i="32"/>
  <c r="K149" i="32"/>
  <c r="AQ148" i="32"/>
  <c r="AP148" i="32"/>
  <c r="AF148" i="32"/>
  <c r="AF151" i="32" s="1"/>
  <c r="Z148" i="32"/>
  <c r="Q148" i="32"/>
  <c r="V148" i="32" s="1"/>
  <c r="N148" i="32"/>
  <c r="L148" i="32"/>
  <c r="K148" i="32"/>
  <c r="AQ147" i="32"/>
  <c r="AO147" i="32"/>
  <c r="AN147" i="32"/>
  <c r="AM147" i="32"/>
  <c r="AL147" i="32"/>
  <c r="AK147" i="32"/>
  <c r="AJ147" i="32"/>
  <c r="AI147" i="32"/>
  <c r="AH147" i="32"/>
  <c r="AE147" i="32"/>
  <c r="AD147" i="32"/>
  <c r="Y147" i="32"/>
  <c r="X147" i="32"/>
  <c r="W147" i="32"/>
  <c r="U147" i="32"/>
  <c r="T147" i="32"/>
  <c r="S147" i="32"/>
  <c r="R147" i="32"/>
  <c r="P147" i="32"/>
  <c r="O147" i="32"/>
  <c r="M147" i="32"/>
  <c r="L147" i="32"/>
  <c r="J147" i="32"/>
  <c r="AZ146" i="32"/>
  <c r="AZ147" i="32" s="1"/>
  <c r="AQ146" i="32"/>
  <c r="BA146" i="32" s="1"/>
  <c r="BA147" i="32" s="1"/>
  <c r="AP146" i="32"/>
  <c r="AR146" i="32" s="1"/>
  <c r="AR147" i="32" s="1"/>
  <c r="AF146" i="32"/>
  <c r="Z146" i="32"/>
  <c r="Z147" i="32" s="1"/>
  <c r="Q146" i="32"/>
  <c r="N146" i="32"/>
  <c r="L146" i="32"/>
  <c r="K146" i="32"/>
  <c r="K147" i="32" s="1"/>
  <c r="AO145" i="32"/>
  <c r="AN145" i="32"/>
  <c r="AM145" i="32"/>
  <c r="AL145" i="32"/>
  <c r="AK145" i="32"/>
  <c r="AI145" i="32"/>
  <c r="AH145" i="32"/>
  <c r="AE145" i="32"/>
  <c r="AD145" i="32"/>
  <c r="Y145" i="32"/>
  <c r="X145" i="32"/>
  <c r="W145" i="32"/>
  <c r="U145" i="32"/>
  <c r="T145" i="32"/>
  <c r="S145" i="32"/>
  <c r="P145" i="32"/>
  <c r="O145" i="32"/>
  <c r="M145" i="32"/>
  <c r="J145" i="32"/>
  <c r="AZ144" i="32"/>
  <c r="AQ144" i="32"/>
  <c r="BA144" i="32" s="1"/>
  <c r="AP144" i="32"/>
  <c r="AF144" i="32"/>
  <c r="AX144" i="32" s="1"/>
  <c r="Z144" i="32"/>
  <c r="AU144" i="32" s="1"/>
  <c r="Q144" i="32"/>
  <c r="V144" i="32" s="1"/>
  <c r="N144" i="32"/>
  <c r="L144" i="32"/>
  <c r="K144" i="32"/>
  <c r="AQ143" i="32"/>
  <c r="BA143" i="32" s="1"/>
  <c r="AP143" i="32"/>
  <c r="AF143" i="32"/>
  <c r="AX143" i="32" s="1"/>
  <c r="AA143" i="32"/>
  <c r="Z143" i="32"/>
  <c r="AU143" i="32" s="1"/>
  <c r="Q143" i="32"/>
  <c r="V143" i="32" s="1"/>
  <c r="N143" i="32"/>
  <c r="L143" i="32"/>
  <c r="K143" i="32"/>
  <c r="I143" i="32"/>
  <c r="AQ142" i="32"/>
  <c r="BA142" i="32" s="1"/>
  <c r="AP142" i="32"/>
  <c r="AR142" i="32" s="1"/>
  <c r="AF142" i="32"/>
  <c r="AX142" i="32" s="1"/>
  <c r="Z142" i="32"/>
  <c r="AU142" i="32" s="1"/>
  <c r="Q142" i="32"/>
  <c r="V142" i="32" s="1"/>
  <c r="N142" i="32"/>
  <c r="L142" i="32"/>
  <c r="K142" i="32"/>
  <c r="I142" i="32" s="1"/>
  <c r="AQ141" i="32"/>
  <c r="BA141" i="32" s="1"/>
  <c r="AJ141" i="32"/>
  <c r="AF141" i="32"/>
  <c r="Z141" i="32"/>
  <c r="AU141" i="32" s="1"/>
  <c r="R141" i="32"/>
  <c r="R145" i="32" s="1"/>
  <c r="Q141" i="32"/>
  <c r="N141" i="32"/>
  <c r="L141" i="32"/>
  <c r="K141" i="32"/>
  <c r="AW140" i="32"/>
  <c r="AQ140" i="32"/>
  <c r="BA140" i="32" s="1"/>
  <c r="AP140" i="32"/>
  <c r="AF140" i="32"/>
  <c r="AX140" i="32" s="1"/>
  <c r="AC140" i="32"/>
  <c r="AB140" i="32"/>
  <c r="Z140" i="32"/>
  <c r="Q140" i="32"/>
  <c r="V140" i="32" s="1"/>
  <c r="AT140" i="32" s="1"/>
  <c r="N140" i="32"/>
  <c r="L140" i="32"/>
  <c r="K140" i="32"/>
  <c r="AV140" i="32" s="1"/>
  <c r="AQ139" i="32"/>
  <c r="BA139" i="32" s="1"/>
  <c r="AP139" i="32"/>
  <c r="AF139" i="32"/>
  <c r="AX139" i="32" s="1"/>
  <c r="Z139" i="32"/>
  <c r="AU139" i="32" s="1"/>
  <c r="Q139" i="32"/>
  <c r="V139" i="32" s="1"/>
  <c r="AT139" i="32" s="1"/>
  <c r="N139" i="32"/>
  <c r="L139" i="32"/>
  <c r="I139" i="32" s="1"/>
  <c r="K139" i="32"/>
  <c r="AO138" i="32"/>
  <c r="AN138" i="32"/>
  <c r="AM138" i="32"/>
  <c r="AL138" i="32"/>
  <c r="AK138" i="32"/>
  <c r="AJ138" i="32"/>
  <c r="AI138" i="32"/>
  <c r="AH138" i="32"/>
  <c r="AE138" i="32"/>
  <c r="AD138" i="32"/>
  <c r="Y138" i="32"/>
  <c r="X138" i="32"/>
  <c r="W138" i="32"/>
  <c r="U138" i="32"/>
  <c r="T138" i="32"/>
  <c r="S138" i="32"/>
  <c r="R138" i="32"/>
  <c r="P138" i="32"/>
  <c r="O138" i="32"/>
  <c r="M138" i="32"/>
  <c r="J138" i="32"/>
  <c r="AZ137" i="32"/>
  <c r="AR137" i="32"/>
  <c r="AY137" i="32" s="1"/>
  <c r="AQ137" i="32"/>
  <c r="BA137" i="32" s="1"/>
  <c r="AP137" i="32"/>
  <c r="AF137" i="32"/>
  <c r="AX137" i="32" s="1"/>
  <c r="Z137" i="32"/>
  <c r="AU137" i="32" s="1"/>
  <c r="Q137" i="32"/>
  <c r="V137" i="32" s="1"/>
  <c r="AB137" i="32" s="1"/>
  <c r="AV137" i="32" s="1"/>
  <c r="N137" i="32"/>
  <c r="L137" i="32"/>
  <c r="K137" i="32"/>
  <c r="AX136" i="32"/>
  <c r="AQ136" i="32"/>
  <c r="BA136" i="32" s="1"/>
  <c r="AP136" i="32"/>
  <c r="AF136" i="32"/>
  <c r="Z136" i="32"/>
  <c r="AU136" i="32" s="1"/>
  <c r="V136" i="32"/>
  <c r="Q136" i="32"/>
  <c r="N136" i="32"/>
  <c r="L136" i="32"/>
  <c r="K136" i="32"/>
  <c r="I136" i="32"/>
  <c r="BA135" i="32"/>
  <c r="AT135" i="32"/>
  <c r="AQ135" i="32"/>
  <c r="AP135" i="32"/>
  <c r="AZ135" i="32" s="1"/>
  <c r="AF135" i="32"/>
  <c r="AX135" i="32" s="1"/>
  <c r="Z135" i="32"/>
  <c r="AU135" i="32" s="1"/>
  <c r="Q135" i="32"/>
  <c r="V135" i="32" s="1"/>
  <c r="N135" i="32"/>
  <c r="L135" i="32"/>
  <c r="K135" i="32"/>
  <c r="I135" i="32"/>
  <c r="BA134" i="32"/>
  <c r="AQ134" i="32"/>
  <c r="AP134" i="32"/>
  <c r="AF134" i="32"/>
  <c r="AX134" i="32" s="1"/>
  <c r="AB134" i="32"/>
  <c r="Z134" i="32"/>
  <c r="AU134" i="32" s="1"/>
  <c r="Q134" i="32"/>
  <c r="V134" i="32" s="1"/>
  <c r="N134" i="32"/>
  <c r="L134" i="32"/>
  <c r="L138" i="32" s="1"/>
  <c r="K134" i="32"/>
  <c r="BA133" i="32"/>
  <c r="AQ133" i="32"/>
  <c r="AP133" i="32"/>
  <c r="AF133" i="32"/>
  <c r="AX133" i="32" s="1"/>
  <c r="Z133" i="32"/>
  <c r="AU133" i="32" s="1"/>
  <c r="V133" i="32"/>
  <c r="Q133" i="32"/>
  <c r="N133" i="32"/>
  <c r="L133" i="32"/>
  <c r="K133" i="32"/>
  <c r="I133" i="32"/>
  <c r="BA132" i="32"/>
  <c r="AQ132" i="32"/>
  <c r="AP132" i="32"/>
  <c r="AZ132" i="32" s="1"/>
  <c r="AF132" i="32"/>
  <c r="Z132" i="32"/>
  <c r="AU132" i="32" s="1"/>
  <c r="Q132" i="32"/>
  <c r="Q138" i="32" s="1"/>
  <c r="N132" i="32"/>
  <c r="L132" i="32"/>
  <c r="K132" i="32"/>
  <c r="I132" i="32"/>
  <c r="AO131" i="32"/>
  <c r="AN131" i="32"/>
  <c r="AM131" i="32"/>
  <c r="AL131" i="32"/>
  <c r="AK131" i="32"/>
  <c r="AJ131" i="32"/>
  <c r="AI131" i="32"/>
  <c r="AH131" i="32"/>
  <c r="AE131" i="32"/>
  <c r="AD131" i="32"/>
  <c r="Y131" i="32"/>
  <c r="X131" i="32"/>
  <c r="W131" i="32"/>
  <c r="U131" i="32"/>
  <c r="T131" i="32"/>
  <c r="S131" i="32"/>
  <c r="R131" i="32"/>
  <c r="P131" i="32"/>
  <c r="O131" i="32"/>
  <c r="M131" i="32"/>
  <c r="J131" i="32"/>
  <c r="AQ130" i="32"/>
  <c r="BA130" i="32" s="1"/>
  <c r="AP130" i="32"/>
  <c r="AF130" i="32"/>
  <c r="AX130" i="32" s="1"/>
  <c r="Z130" i="32"/>
  <c r="AU130" i="32" s="1"/>
  <c r="Q130" i="32"/>
  <c r="V130" i="32" s="1"/>
  <c r="N130" i="32"/>
  <c r="L130" i="32"/>
  <c r="K130" i="32"/>
  <c r="AQ129" i="32"/>
  <c r="BA129" i="32" s="1"/>
  <c r="AP129" i="32"/>
  <c r="AF129" i="32"/>
  <c r="AX129" i="32" s="1"/>
  <c r="Z129" i="32"/>
  <c r="Q129" i="32"/>
  <c r="V129" i="32" s="1"/>
  <c r="N129" i="32"/>
  <c r="L129" i="32"/>
  <c r="K129" i="32"/>
  <c r="I129" i="32"/>
  <c r="AX128" i="32"/>
  <c r="AU128" i="32"/>
  <c r="AQ128" i="32"/>
  <c r="BA128" i="32" s="1"/>
  <c r="AP128" i="32"/>
  <c r="AZ128" i="32" s="1"/>
  <c r="AF128" i="32"/>
  <c r="Z128" i="32"/>
  <c r="Q128" i="32"/>
  <c r="V128" i="32" s="1"/>
  <c r="AT128" i="32" s="1"/>
  <c r="N128" i="32"/>
  <c r="L128" i="32"/>
  <c r="K128" i="32"/>
  <c r="I128" i="32"/>
  <c r="AU127" i="32"/>
  <c r="AQ127" i="32"/>
  <c r="BA127" i="32" s="1"/>
  <c r="AP127" i="32"/>
  <c r="AF127" i="32"/>
  <c r="AX127" i="32" s="1"/>
  <c r="Z127" i="32"/>
  <c r="Q127" i="32"/>
  <c r="N127" i="32"/>
  <c r="L127" i="32"/>
  <c r="K127" i="32"/>
  <c r="AQ126" i="32"/>
  <c r="AP126" i="32"/>
  <c r="AF126" i="32"/>
  <c r="Z126" i="32"/>
  <c r="V126" i="32"/>
  <c r="Q126" i="32"/>
  <c r="N126" i="32"/>
  <c r="L126" i="32"/>
  <c r="K126" i="32"/>
  <c r="I126" i="32"/>
  <c r="AO125" i="32"/>
  <c r="AN125" i="32"/>
  <c r="AM125" i="32"/>
  <c r="AL125" i="32"/>
  <c r="AK125" i="32"/>
  <c r="AJ125" i="32"/>
  <c r="AI125" i="32"/>
  <c r="AH125" i="32"/>
  <c r="AE125" i="32"/>
  <c r="AD125" i="32"/>
  <c r="Y125" i="32"/>
  <c r="X125" i="32"/>
  <c r="W125" i="32"/>
  <c r="U125" i="32"/>
  <c r="T125" i="32"/>
  <c r="S125" i="32"/>
  <c r="R125" i="32"/>
  <c r="P125" i="32"/>
  <c r="O125" i="32"/>
  <c r="M125" i="32"/>
  <c r="J125" i="32"/>
  <c r="BA124" i="32"/>
  <c r="AT124" i="32"/>
  <c r="AQ124" i="32"/>
  <c r="AP124" i="32"/>
  <c r="AZ124" i="32" s="1"/>
  <c r="AF124" i="32"/>
  <c r="AX124" i="32" s="1"/>
  <c r="Z124" i="32"/>
  <c r="AU124" i="32" s="1"/>
  <c r="Q124" i="32"/>
  <c r="V124" i="32" s="1"/>
  <c r="N124" i="32"/>
  <c r="L124" i="32"/>
  <c r="K124" i="32"/>
  <c r="I124" i="32" s="1"/>
  <c r="BA123" i="32"/>
  <c r="AU123" i="32"/>
  <c r="AQ123" i="32"/>
  <c r="AP123" i="32"/>
  <c r="AF123" i="32"/>
  <c r="AX123" i="32" s="1"/>
  <c r="Z123" i="32"/>
  <c r="Q123" i="32"/>
  <c r="V123" i="32" s="1"/>
  <c r="AB123" i="32" s="1"/>
  <c r="N123" i="32"/>
  <c r="L123" i="32"/>
  <c r="K123" i="32"/>
  <c r="AQ122" i="32"/>
  <c r="BA122" i="32" s="1"/>
  <c r="AP122" i="32"/>
  <c r="AF122" i="32"/>
  <c r="AX122" i="32" s="1"/>
  <c r="Z122" i="32"/>
  <c r="Z125" i="32" s="1"/>
  <c r="V122" i="32"/>
  <c r="Q122" i="32"/>
  <c r="N122" i="32"/>
  <c r="L122" i="32"/>
  <c r="K122" i="32"/>
  <c r="I122" i="32" s="1"/>
  <c r="AO121" i="32"/>
  <c r="AN121" i="32"/>
  <c r="AM121" i="32"/>
  <c r="AL121" i="32"/>
  <c r="AK121" i="32"/>
  <c r="AJ121" i="32"/>
  <c r="AI121" i="32"/>
  <c r="AH121" i="32"/>
  <c r="AE121" i="32"/>
  <c r="AD121" i="32"/>
  <c r="Y121" i="32"/>
  <c r="X121" i="32"/>
  <c r="W121" i="32"/>
  <c r="U121" i="32"/>
  <c r="T121" i="32"/>
  <c r="S121" i="32"/>
  <c r="R121" i="32"/>
  <c r="P121" i="32"/>
  <c r="O121" i="32"/>
  <c r="M121" i="32"/>
  <c r="J121" i="32"/>
  <c r="AQ120" i="32"/>
  <c r="BA120" i="32" s="1"/>
  <c r="AP120" i="32"/>
  <c r="AZ120" i="32" s="1"/>
  <c r="AF120" i="32"/>
  <c r="AX120" i="32" s="1"/>
  <c r="Z120" i="32"/>
  <c r="AU120" i="32" s="1"/>
  <c r="Q120" i="32"/>
  <c r="V120" i="32" s="1"/>
  <c r="AT120" i="32" s="1"/>
  <c r="N120" i="32"/>
  <c r="L120" i="32"/>
  <c r="K120" i="32"/>
  <c r="I120" i="32"/>
  <c r="AX119" i="32"/>
  <c r="AU119" i="32"/>
  <c r="AQ119" i="32"/>
  <c r="BA119" i="32" s="1"/>
  <c r="AP119" i="32"/>
  <c r="AF119" i="32"/>
  <c r="AC119" i="32"/>
  <c r="AB119" i="32"/>
  <c r="AV119" i="32" s="1"/>
  <c r="Z119" i="32"/>
  <c r="Q119" i="32"/>
  <c r="V119" i="32" s="1"/>
  <c r="AT119" i="32" s="1"/>
  <c r="N119" i="32"/>
  <c r="L119" i="32"/>
  <c r="K119" i="32"/>
  <c r="I119" i="32" s="1"/>
  <c r="AQ118" i="32"/>
  <c r="BA118" i="32" s="1"/>
  <c r="AP118" i="32"/>
  <c r="AF118" i="32"/>
  <c r="AX118" i="32" s="1"/>
  <c r="Z118" i="32"/>
  <c r="V118" i="32"/>
  <c r="Q118" i="32"/>
  <c r="N118" i="32"/>
  <c r="L118" i="32"/>
  <c r="K118" i="32"/>
  <c r="I118" i="32" s="1"/>
  <c r="AX117" i="32"/>
  <c r="AQ117" i="32"/>
  <c r="BA117" i="32" s="1"/>
  <c r="AP117" i="32"/>
  <c r="AZ117" i="32" s="1"/>
  <c r="AF117" i="32"/>
  <c r="Z117" i="32"/>
  <c r="AU117" i="32" s="1"/>
  <c r="V117" i="32"/>
  <c r="AT117" i="32" s="1"/>
  <c r="Q117" i="32"/>
  <c r="N117" i="32"/>
  <c r="L117" i="32"/>
  <c r="K117" i="32"/>
  <c r="BA116" i="32"/>
  <c r="AU116" i="32"/>
  <c r="AR116" i="32"/>
  <c r="AQ116" i="32"/>
  <c r="AP116" i="32"/>
  <c r="AF116" i="32"/>
  <c r="AX116" i="32" s="1"/>
  <c r="Z116" i="32"/>
  <c r="Q116" i="32"/>
  <c r="N116" i="32"/>
  <c r="L116" i="32"/>
  <c r="K116" i="32"/>
  <c r="AZ115" i="32"/>
  <c r="AU115" i="32"/>
  <c r="AR115" i="32"/>
  <c r="AQ115" i="32"/>
  <c r="AP115" i="32"/>
  <c r="AF115" i="32"/>
  <c r="Z115" i="32"/>
  <c r="Q115" i="32"/>
  <c r="V115" i="32" s="1"/>
  <c r="N115" i="32"/>
  <c r="L115" i="32"/>
  <c r="K115" i="32"/>
  <c r="AO114" i="32"/>
  <c r="AN114" i="32"/>
  <c r="AM114" i="32"/>
  <c r="AL114" i="32"/>
  <c r="AK114" i="32"/>
  <c r="AJ114" i="32"/>
  <c r="AI114" i="32"/>
  <c r="AH114" i="32"/>
  <c r="AE114" i="32"/>
  <c r="AD114" i="32"/>
  <c r="Y114" i="32"/>
  <c r="X114" i="32"/>
  <c r="W114" i="32"/>
  <c r="U114" i="32"/>
  <c r="T114" i="32"/>
  <c r="S114" i="32"/>
  <c r="R114" i="32"/>
  <c r="P114" i="32"/>
  <c r="O114" i="32"/>
  <c r="M114" i="32"/>
  <c r="J114" i="32"/>
  <c r="AQ113" i="32"/>
  <c r="BA113" i="32" s="1"/>
  <c r="AP113" i="32"/>
  <c r="AF113" i="32"/>
  <c r="AX113" i="32" s="1"/>
  <c r="Z113" i="32"/>
  <c r="AU113" i="32" s="1"/>
  <c r="Q113" i="32"/>
  <c r="V113" i="32" s="1"/>
  <c r="N113" i="32"/>
  <c r="L113" i="32"/>
  <c r="K113" i="32"/>
  <c r="I113" i="32" s="1"/>
  <c r="AQ112" i="32"/>
  <c r="BA112" i="32" s="1"/>
  <c r="AP112" i="32"/>
  <c r="AF112" i="32"/>
  <c r="AX112" i="32" s="1"/>
  <c r="Z112" i="32"/>
  <c r="AU112" i="32" s="1"/>
  <c r="Q112" i="32"/>
  <c r="V112" i="32" s="1"/>
  <c r="N112" i="32"/>
  <c r="N114" i="32" s="1"/>
  <c r="L112" i="32"/>
  <c r="K112" i="32"/>
  <c r="I112" i="32" s="1"/>
  <c r="AQ111" i="32"/>
  <c r="AP111" i="32"/>
  <c r="AF111" i="32"/>
  <c r="AX111" i="32" s="1"/>
  <c r="Z111" i="32"/>
  <c r="V111" i="32"/>
  <c r="Q111" i="32"/>
  <c r="N111" i="32"/>
  <c r="L111" i="32"/>
  <c r="K111" i="32"/>
  <c r="AU110" i="32"/>
  <c r="AO110" i="32"/>
  <c r="AN110" i="32"/>
  <c r="AM110" i="32"/>
  <c r="AL110" i="32"/>
  <c r="AK110" i="32"/>
  <c r="AJ110" i="32"/>
  <c r="AI110" i="32"/>
  <c r="AH110" i="32"/>
  <c r="AE110" i="32"/>
  <c r="AD110" i="32"/>
  <c r="Z110" i="32"/>
  <c r="Y110" i="32"/>
  <c r="X110" i="32"/>
  <c r="W110" i="32"/>
  <c r="U110" i="32"/>
  <c r="T110" i="32"/>
  <c r="S110" i="32"/>
  <c r="R110" i="32"/>
  <c r="P110" i="32"/>
  <c r="O110" i="32"/>
  <c r="M110" i="32"/>
  <c r="J110" i="32"/>
  <c r="AU109" i="32"/>
  <c r="AQ109" i="32"/>
  <c r="AQ313" i="32" s="1"/>
  <c r="AP109" i="32"/>
  <c r="AF109" i="32"/>
  <c r="Z109" i="32"/>
  <c r="Q109" i="32"/>
  <c r="Q110" i="32" s="1"/>
  <c r="N109" i="32"/>
  <c r="L109" i="32"/>
  <c r="K109" i="32"/>
  <c r="AO108" i="32"/>
  <c r="AN108" i="32"/>
  <c r="AM108" i="32"/>
  <c r="AL108" i="32"/>
  <c r="AK108" i="32"/>
  <c r="AJ108" i="32"/>
  <c r="AI108" i="32"/>
  <c r="AH108" i="32"/>
  <c r="AE108" i="32"/>
  <c r="AD108" i="32"/>
  <c r="Y108" i="32"/>
  <c r="X108" i="32"/>
  <c r="W108" i="32"/>
  <c r="U108" i="32"/>
  <c r="T108" i="32"/>
  <c r="S108" i="32"/>
  <c r="R108" i="32"/>
  <c r="P108" i="32"/>
  <c r="O108" i="32"/>
  <c r="M108" i="32"/>
  <c r="J108" i="32"/>
  <c r="BA107" i="32"/>
  <c r="AU107" i="32"/>
  <c r="AQ107" i="32"/>
  <c r="AP107" i="32"/>
  <c r="AF107" i="32"/>
  <c r="AX107" i="32" s="1"/>
  <c r="Z107" i="32"/>
  <c r="Q107" i="32"/>
  <c r="V107" i="32" s="1"/>
  <c r="N107" i="32"/>
  <c r="L107" i="32"/>
  <c r="K107" i="32"/>
  <c r="AQ106" i="32"/>
  <c r="BA106" i="32" s="1"/>
  <c r="AP106" i="32"/>
  <c r="AF106" i="32"/>
  <c r="AX106" i="32" s="1"/>
  <c r="Z106" i="32"/>
  <c r="AU106" i="32" s="1"/>
  <c r="V106" i="32"/>
  <c r="Q106" i="32"/>
  <c r="N106" i="32"/>
  <c r="L106" i="32"/>
  <c r="K106" i="32"/>
  <c r="AQ105" i="32"/>
  <c r="BA105" i="32" s="1"/>
  <c r="AP105" i="32"/>
  <c r="AF105" i="32"/>
  <c r="AX105" i="32" s="1"/>
  <c r="Z105" i="32"/>
  <c r="AU105" i="32" s="1"/>
  <c r="Q105" i="32"/>
  <c r="V105" i="32" s="1"/>
  <c r="N105" i="32"/>
  <c r="L105" i="32"/>
  <c r="K105" i="32"/>
  <c r="BA104" i="32"/>
  <c r="AQ104" i="32"/>
  <c r="AP104" i="32"/>
  <c r="AF104" i="32"/>
  <c r="AX104" i="32" s="1"/>
  <c r="Z104" i="32"/>
  <c r="AU104" i="32" s="1"/>
  <c r="V104" i="32"/>
  <c r="Q104" i="32"/>
  <c r="N104" i="32"/>
  <c r="L104" i="32"/>
  <c r="K104" i="32"/>
  <c r="AQ103" i="32"/>
  <c r="BA103" i="32" s="1"/>
  <c r="AP103" i="32"/>
  <c r="AF103" i="32"/>
  <c r="AX103" i="32" s="1"/>
  <c r="Z103" i="32"/>
  <c r="AU103" i="32" s="1"/>
  <c r="Q103" i="32"/>
  <c r="V103" i="32" s="1"/>
  <c r="N103" i="32"/>
  <c r="L103" i="32"/>
  <c r="K103" i="32"/>
  <c r="AU102" i="32"/>
  <c r="AQ102" i="32"/>
  <c r="AP102" i="32"/>
  <c r="AF102" i="32"/>
  <c r="Z102" i="32"/>
  <c r="Q102" i="32"/>
  <c r="N102" i="32"/>
  <c r="L102" i="32"/>
  <c r="L310" i="32" s="1"/>
  <c r="K102" i="32"/>
  <c r="K310" i="32" s="1"/>
  <c r="AQ101" i="32"/>
  <c r="BA101" i="32" s="1"/>
  <c r="AP101" i="32"/>
  <c r="AF101" i="32"/>
  <c r="AX101" i="32" s="1"/>
  <c r="Z101" i="32"/>
  <c r="AU101" i="32" s="1"/>
  <c r="Q101" i="32"/>
  <c r="V101" i="32" s="1"/>
  <c r="N101" i="32"/>
  <c r="L101" i="32"/>
  <c r="K101" i="32"/>
  <c r="BA100" i="32"/>
  <c r="BA307" i="32" s="1"/>
  <c r="AR100" i="32"/>
  <c r="AQ100" i="32"/>
  <c r="AP100" i="32"/>
  <c r="AZ100" i="32" s="1"/>
  <c r="AF100" i="32"/>
  <c r="AX100" i="32" s="1"/>
  <c r="Z100" i="32"/>
  <c r="Q100" i="32"/>
  <c r="Q307" i="32" s="1"/>
  <c r="N100" i="32"/>
  <c r="N307" i="32" s="1"/>
  <c r="L100" i="32"/>
  <c r="K100" i="32"/>
  <c r="AQ99" i="32"/>
  <c r="AP99" i="32"/>
  <c r="AZ99" i="32" s="1"/>
  <c r="AF99" i="32"/>
  <c r="AX99" i="32" s="1"/>
  <c r="Z99" i="32"/>
  <c r="AU99" i="32" s="1"/>
  <c r="Q99" i="32"/>
  <c r="V99" i="32" s="1"/>
  <c r="AT99" i="32" s="1"/>
  <c r="N99" i="32"/>
  <c r="L99" i="32"/>
  <c r="I99" i="32" s="1"/>
  <c r="K99" i="32"/>
  <c r="AR98" i="32"/>
  <c r="AQ98" i="32"/>
  <c r="BA98" i="32" s="1"/>
  <c r="AP98" i="32"/>
  <c r="AF98" i="32"/>
  <c r="Z98" i="32"/>
  <c r="Q98" i="32"/>
  <c r="N98" i="32"/>
  <c r="L98" i="32"/>
  <c r="K98" i="32"/>
  <c r="AO97" i="32"/>
  <c r="AN97" i="32"/>
  <c r="AM97" i="32"/>
  <c r="AL97" i="32"/>
  <c r="AK97" i="32"/>
  <c r="AJ97" i="32"/>
  <c r="AI97" i="32"/>
  <c r="AH97" i="32"/>
  <c r="AE97" i="32"/>
  <c r="AD97" i="32"/>
  <c r="Y97" i="32"/>
  <c r="X97" i="32"/>
  <c r="W97" i="32"/>
  <c r="U97" i="32"/>
  <c r="T97" i="32"/>
  <c r="S97" i="32"/>
  <c r="R97" i="32"/>
  <c r="P97" i="32"/>
  <c r="O97" i="32"/>
  <c r="M97" i="32"/>
  <c r="J97" i="32"/>
  <c r="AQ96" i="32"/>
  <c r="AP96" i="32"/>
  <c r="AF96" i="32"/>
  <c r="AX96" i="32" s="1"/>
  <c r="Z96" i="32"/>
  <c r="AU96" i="32" s="1"/>
  <c r="Q96" i="32"/>
  <c r="V96" i="32" s="1"/>
  <c r="AC96" i="32" s="1"/>
  <c r="AW96" i="32" s="1"/>
  <c r="N96" i="32"/>
  <c r="L96" i="32"/>
  <c r="K96" i="32"/>
  <c r="BA95" i="32"/>
  <c r="AU95" i="32"/>
  <c r="AQ95" i="32"/>
  <c r="AR95" i="32" s="1"/>
  <c r="AP95" i="32"/>
  <c r="AZ95" i="32" s="1"/>
  <c r="AF95" i="32"/>
  <c r="AX95" i="32" s="1"/>
  <c r="AA95" i="32"/>
  <c r="Z95" i="32"/>
  <c r="V95" i="32"/>
  <c r="AB95" i="32" s="1"/>
  <c r="Q95" i="32"/>
  <c r="N95" i="32"/>
  <c r="L95" i="32"/>
  <c r="K95" i="32"/>
  <c r="AU94" i="32"/>
  <c r="AQ94" i="32"/>
  <c r="AR94" i="32" s="1"/>
  <c r="AP94" i="32"/>
  <c r="AZ94" i="32" s="1"/>
  <c r="AF94" i="32"/>
  <c r="AX94" i="32" s="1"/>
  <c r="Z94" i="32"/>
  <c r="Q94" i="32"/>
  <c r="V94" i="32" s="1"/>
  <c r="N94" i="32"/>
  <c r="AY94" i="32" s="1"/>
  <c r="L94" i="32"/>
  <c r="K94" i="32"/>
  <c r="AZ93" i="32"/>
  <c r="AQ93" i="32"/>
  <c r="AP93" i="32"/>
  <c r="AF93" i="32"/>
  <c r="AX93" i="32" s="1"/>
  <c r="Z93" i="32"/>
  <c r="AU93" i="32" s="1"/>
  <c r="Q93" i="32"/>
  <c r="V93" i="32" s="1"/>
  <c r="N93" i="32"/>
  <c r="L93" i="32"/>
  <c r="K93" i="32"/>
  <c r="AZ92" i="32"/>
  <c r="AQ92" i="32"/>
  <c r="AP92" i="32"/>
  <c r="AF92" i="32"/>
  <c r="AX92" i="32" s="1"/>
  <c r="Z92" i="32"/>
  <c r="Z97" i="32" s="1"/>
  <c r="Q92" i="32"/>
  <c r="N92" i="32"/>
  <c r="L92" i="32"/>
  <c r="K92" i="32"/>
  <c r="AO91" i="32"/>
  <c r="AN91" i="32"/>
  <c r="AM91" i="32"/>
  <c r="AL91" i="32"/>
  <c r="AK91" i="32"/>
  <c r="AI91" i="32"/>
  <c r="AH91" i="32"/>
  <c r="AE91" i="32"/>
  <c r="AD91" i="32"/>
  <c r="Y91" i="32"/>
  <c r="X91" i="32"/>
  <c r="W91" i="32"/>
  <c r="U91" i="32"/>
  <c r="T91" i="32"/>
  <c r="S91" i="32"/>
  <c r="P91" i="32"/>
  <c r="O91" i="32"/>
  <c r="M91" i="32"/>
  <c r="J91" i="32"/>
  <c r="AT90" i="32"/>
  <c r="AQ90" i="32"/>
  <c r="BA90" i="32" s="1"/>
  <c r="AP90" i="32"/>
  <c r="AF90" i="32"/>
  <c r="AX90" i="32" s="1"/>
  <c r="Z90" i="32"/>
  <c r="AU90" i="32" s="1"/>
  <c r="Q90" i="32"/>
  <c r="V90" i="32" s="1"/>
  <c r="N90" i="32"/>
  <c r="L90" i="32"/>
  <c r="K90" i="32"/>
  <c r="AQ89" i="32"/>
  <c r="BA89" i="32" s="1"/>
  <c r="AP89" i="32"/>
  <c r="AZ89" i="32" s="1"/>
  <c r="AF89" i="32"/>
  <c r="AX89" i="32" s="1"/>
  <c r="Z89" i="32"/>
  <c r="Q89" i="32"/>
  <c r="V89" i="32" s="1"/>
  <c r="AC89" i="32" s="1"/>
  <c r="N89" i="32"/>
  <c r="L89" i="32"/>
  <c r="I89" i="32" s="1"/>
  <c r="K89" i="32"/>
  <c r="AX88" i="32"/>
  <c r="AV88" i="32"/>
  <c r="AQ88" i="32"/>
  <c r="BA88" i="32" s="1"/>
  <c r="AP88" i="32"/>
  <c r="AF88" i="32"/>
  <c r="AB88" i="32"/>
  <c r="Z88" i="32"/>
  <c r="AU88" i="32" s="1"/>
  <c r="Q88" i="32"/>
  <c r="V88" i="32" s="1"/>
  <c r="AC88" i="32" s="1"/>
  <c r="N88" i="32"/>
  <c r="L88" i="32"/>
  <c r="AW88" i="32" s="1"/>
  <c r="K88" i="32"/>
  <c r="AX87" i="32"/>
  <c r="AQ87" i="32"/>
  <c r="BA87" i="32" s="1"/>
  <c r="AP87" i="32"/>
  <c r="AJ87" i="32"/>
  <c r="AJ91" i="32" s="1"/>
  <c r="AF87" i="32"/>
  <c r="Z87" i="32"/>
  <c r="AU87" i="32" s="1"/>
  <c r="R87" i="32"/>
  <c r="R91" i="32" s="1"/>
  <c r="Q87" i="32"/>
  <c r="V87" i="32" s="1"/>
  <c r="AT87" i="32" s="1"/>
  <c r="N87" i="32"/>
  <c r="L87" i="32"/>
  <c r="K87" i="32"/>
  <c r="AZ86" i="32"/>
  <c r="AR86" i="32"/>
  <c r="AQ86" i="32"/>
  <c r="BA86" i="32" s="1"/>
  <c r="AP86" i="32"/>
  <c r="AF86" i="32"/>
  <c r="AX86" i="32" s="1"/>
  <c r="Z86" i="32"/>
  <c r="Q86" i="32"/>
  <c r="V86" i="32" s="1"/>
  <c r="N86" i="32"/>
  <c r="L86" i="32"/>
  <c r="K86" i="32"/>
  <c r="AO85" i="32"/>
  <c r="AN85" i="32"/>
  <c r="AM85" i="32"/>
  <c r="AL85" i="32"/>
  <c r="AK85" i="32"/>
  <c r="AI85" i="32"/>
  <c r="AH85" i="32"/>
  <c r="AE85" i="32"/>
  <c r="AD85" i="32"/>
  <c r="Y85" i="32"/>
  <c r="X85" i="32"/>
  <c r="W85" i="32"/>
  <c r="U85" i="32"/>
  <c r="T85" i="32"/>
  <c r="S85" i="32"/>
  <c r="P85" i="32"/>
  <c r="O85" i="32"/>
  <c r="M85" i="32"/>
  <c r="J85" i="32"/>
  <c r="AQ84" i="32"/>
  <c r="BA84" i="32" s="1"/>
  <c r="AP84" i="32"/>
  <c r="AF84" i="32"/>
  <c r="AX84" i="32" s="1"/>
  <c r="Z84" i="32"/>
  <c r="AU84" i="32" s="1"/>
  <c r="V84" i="32"/>
  <c r="AC84" i="32" s="1"/>
  <c r="Q84" i="32"/>
  <c r="N84" i="32"/>
  <c r="L84" i="32"/>
  <c r="I84" i="32" s="1"/>
  <c r="K84" i="32"/>
  <c r="AQ83" i="32"/>
  <c r="BA83" i="32" s="1"/>
  <c r="AP83" i="32"/>
  <c r="AF83" i="32"/>
  <c r="AX83" i="32" s="1"/>
  <c r="Z83" i="32"/>
  <c r="AU83" i="32" s="1"/>
  <c r="Q83" i="32"/>
  <c r="V83" i="32" s="1"/>
  <c r="AA83" i="32" s="1"/>
  <c r="N83" i="32"/>
  <c r="L83" i="32"/>
  <c r="K83" i="32"/>
  <c r="I83" i="32" s="1"/>
  <c r="AQ82" i="32"/>
  <c r="BA82" i="32" s="1"/>
  <c r="AP82" i="32"/>
  <c r="AF82" i="32"/>
  <c r="AX82" i="32" s="1"/>
  <c r="AC82" i="32"/>
  <c r="Z82" i="32"/>
  <c r="AU82" i="32" s="1"/>
  <c r="V82" i="32"/>
  <c r="Q82" i="32"/>
  <c r="N82" i="32"/>
  <c r="L82" i="32"/>
  <c r="K82" i="32"/>
  <c r="AU81" i="32"/>
  <c r="AQ81" i="32"/>
  <c r="BA81" i="32" s="1"/>
  <c r="AP81" i="32"/>
  <c r="AF81" i="32"/>
  <c r="AX81" i="32" s="1"/>
  <c r="Z81" i="32"/>
  <c r="Q81" i="32"/>
  <c r="V81" i="32" s="1"/>
  <c r="N81" i="32"/>
  <c r="L81" i="32"/>
  <c r="K81" i="32"/>
  <c r="I81" i="32" s="1"/>
  <c r="BA80" i="32"/>
  <c r="AQ80" i="32"/>
  <c r="AJ80" i="32"/>
  <c r="AF80" i="32"/>
  <c r="AX80" i="32" s="1"/>
  <c r="Z80" i="32"/>
  <c r="R80" i="32"/>
  <c r="Q80" i="32"/>
  <c r="N80" i="32"/>
  <c r="L80" i="32"/>
  <c r="K80" i="32"/>
  <c r="AU79" i="32"/>
  <c r="AQ79" i="32"/>
  <c r="AP79" i="32"/>
  <c r="AZ79" i="32" s="1"/>
  <c r="AF79" i="32"/>
  <c r="AX79" i="32" s="1"/>
  <c r="AX85" i="32" s="1"/>
  <c r="Z79" i="32"/>
  <c r="V79" i="32"/>
  <c r="Q79" i="32"/>
  <c r="N79" i="32"/>
  <c r="L79" i="32"/>
  <c r="K79" i="32"/>
  <c r="AQ78" i="32"/>
  <c r="AO78" i="32"/>
  <c r="AN78" i="32"/>
  <c r="AM78" i="32"/>
  <c r="AL78" i="32"/>
  <c r="AK78" i="32"/>
  <c r="AJ78" i="32"/>
  <c r="AI78" i="32"/>
  <c r="AH78" i="32"/>
  <c r="AE78" i="32"/>
  <c r="AD78" i="32"/>
  <c r="Y78" i="32"/>
  <c r="X78" i="32"/>
  <c r="W78" i="32"/>
  <c r="U78" i="32"/>
  <c r="T78" i="32"/>
  <c r="S78" i="32"/>
  <c r="R78" i="32"/>
  <c r="P78" i="32"/>
  <c r="O78" i="32"/>
  <c r="M78" i="32"/>
  <c r="J78" i="32"/>
  <c r="BA77" i="32"/>
  <c r="AZ77" i="32"/>
  <c r="AU77" i="32"/>
  <c r="AR77" i="32"/>
  <c r="AQ77" i="32"/>
  <c r="AP77" i="32"/>
  <c r="AF77" i="32"/>
  <c r="AX77" i="32" s="1"/>
  <c r="Z77" i="32"/>
  <c r="Q77" i="32"/>
  <c r="V77" i="32" s="1"/>
  <c r="N77" i="32"/>
  <c r="L77" i="32"/>
  <c r="K77" i="32"/>
  <c r="BA76" i="32"/>
  <c r="AX76" i="32"/>
  <c r="AQ76" i="32"/>
  <c r="AP76" i="32"/>
  <c r="AZ76" i="32" s="1"/>
  <c r="AF76" i="32"/>
  <c r="Z76" i="32"/>
  <c r="AU76" i="32" s="1"/>
  <c r="V76" i="32"/>
  <c r="Q76" i="32"/>
  <c r="N76" i="32"/>
  <c r="L76" i="32"/>
  <c r="K76" i="32"/>
  <c r="AZ75" i="32"/>
  <c r="AX75" i="32"/>
  <c r="AQ75" i="32"/>
  <c r="BA75" i="32" s="1"/>
  <c r="AP75" i="32"/>
  <c r="AR75" i="32" s="1"/>
  <c r="AF75" i="32"/>
  <c r="Z75" i="32"/>
  <c r="AU75" i="32" s="1"/>
  <c r="Q75" i="32"/>
  <c r="V75" i="32" s="1"/>
  <c r="N75" i="32"/>
  <c r="AY75" i="32" s="1"/>
  <c r="L75" i="32"/>
  <c r="K75" i="32"/>
  <c r="I75" i="32"/>
  <c r="AZ74" i="32"/>
  <c r="AX74" i="32"/>
  <c r="AQ74" i="32"/>
  <c r="AP74" i="32"/>
  <c r="AF74" i="32"/>
  <c r="Z74" i="32"/>
  <c r="AU74" i="32" s="1"/>
  <c r="Q74" i="32"/>
  <c r="V74" i="32" s="1"/>
  <c r="N74" i="32"/>
  <c r="L74" i="32"/>
  <c r="I74" i="32" s="1"/>
  <c r="K74" i="32"/>
  <c r="BA73" i="32"/>
  <c r="AX73" i="32"/>
  <c r="AQ73" i="32"/>
  <c r="AP73" i="32"/>
  <c r="AF73" i="32"/>
  <c r="Z73" i="32"/>
  <c r="Q73" i="32"/>
  <c r="N73" i="32"/>
  <c r="L73" i="32"/>
  <c r="K73" i="32"/>
  <c r="K78" i="32" s="1"/>
  <c r="AO72" i="32"/>
  <c r="AN72" i="32"/>
  <c r="AM72" i="32"/>
  <c r="AL72" i="32"/>
  <c r="AK72" i="32"/>
  <c r="AJ72" i="32"/>
  <c r="AI72" i="32"/>
  <c r="AH72" i="32"/>
  <c r="AF72" i="32"/>
  <c r="AE72" i="32"/>
  <c r="AD72" i="32"/>
  <c r="Y72" i="32"/>
  <c r="X72" i="32"/>
  <c r="W72" i="32"/>
  <c r="U72" i="32"/>
  <c r="T72" i="32"/>
  <c r="S72" i="32"/>
  <c r="R72" i="32"/>
  <c r="P72" i="32"/>
  <c r="O72" i="32"/>
  <c r="M72" i="32"/>
  <c r="J72" i="32"/>
  <c r="AU71" i="32"/>
  <c r="AQ71" i="32"/>
  <c r="BA71" i="32" s="1"/>
  <c r="AP71" i="32"/>
  <c r="AZ71" i="32" s="1"/>
  <c r="AF71" i="32"/>
  <c r="AX71" i="32" s="1"/>
  <c r="Z71" i="32"/>
  <c r="Q71" i="32"/>
  <c r="V71" i="32" s="1"/>
  <c r="AT71" i="32" s="1"/>
  <c r="N71" i="32"/>
  <c r="L71" i="32"/>
  <c r="K71" i="32"/>
  <c r="BA70" i="32"/>
  <c r="AU70" i="32"/>
  <c r="AQ70" i="32"/>
  <c r="AP70" i="32"/>
  <c r="AZ70" i="32" s="1"/>
  <c r="AF70" i="32"/>
  <c r="AX70" i="32" s="1"/>
  <c r="Z70" i="32"/>
  <c r="Q70" i="32"/>
  <c r="V70" i="32" s="1"/>
  <c r="N70" i="32"/>
  <c r="L70" i="32"/>
  <c r="L72" i="32" s="1"/>
  <c r="K70" i="32"/>
  <c r="I70" i="32" s="1"/>
  <c r="AX69" i="32"/>
  <c r="AQ69" i="32"/>
  <c r="BA69" i="32" s="1"/>
  <c r="AP69" i="32"/>
  <c r="AZ69" i="32" s="1"/>
  <c r="AF69" i="32"/>
  <c r="AC69" i="32"/>
  <c r="AW69" i="32" s="1"/>
  <c r="Z69" i="32"/>
  <c r="AU69" i="32" s="1"/>
  <c r="V69" i="32"/>
  <c r="Q69" i="32"/>
  <c r="N69" i="32"/>
  <c r="L69" i="32"/>
  <c r="K69" i="32"/>
  <c r="AX68" i="32"/>
  <c r="AQ68" i="32"/>
  <c r="BA68" i="32" s="1"/>
  <c r="AP68" i="32"/>
  <c r="AZ68" i="32" s="1"/>
  <c r="AF68" i="32"/>
  <c r="Z68" i="32"/>
  <c r="AU68" i="32" s="1"/>
  <c r="V68" i="32"/>
  <c r="Q68" i="32"/>
  <c r="N68" i="32"/>
  <c r="L68" i="32"/>
  <c r="K68" i="32"/>
  <c r="BA67" i="32"/>
  <c r="AX67" i="32"/>
  <c r="AQ67" i="32"/>
  <c r="AR67" i="32" s="1"/>
  <c r="AP67" i="32"/>
  <c r="AZ67" i="32" s="1"/>
  <c r="AF67" i="32"/>
  <c r="Z67" i="32"/>
  <c r="AU67" i="32" s="1"/>
  <c r="V67" i="32"/>
  <c r="Q67" i="32"/>
  <c r="N67" i="32"/>
  <c r="L67" i="32"/>
  <c r="K67" i="32"/>
  <c r="BA66" i="32"/>
  <c r="AX66" i="32"/>
  <c r="AQ66" i="32"/>
  <c r="AP66" i="32"/>
  <c r="AZ66" i="32" s="1"/>
  <c r="AF66" i="32"/>
  <c r="Z66" i="32"/>
  <c r="Q66" i="32"/>
  <c r="N66" i="32"/>
  <c r="L66" i="32"/>
  <c r="K66" i="32"/>
  <c r="AO65" i="32"/>
  <c r="AN65" i="32"/>
  <c r="AM65" i="32"/>
  <c r="AL65" i="32"/>
  <c r="AK65" i="32"/>
  <c r="AI65" i="32"/>
  <c r="AH65" i="32"/>
  <c r="AE65" i="32"/>
  <c r="AD65" i="32"/>
  <c r="Y65" i="32"/>
  <c r="X65" i="32"/>
  <c r="W65" i="32"/>
  <c r="U65" i="32"/>
  <c r="T65" i="32"/>
  <c r="S65" i="32"/>
  <c r="P65" i="32"/>
  <c r="O65" i="32"/>
  <c r="M65" i="32"/>
  <c r="J65" i="32"/>
  <c r="BA64" i="32"/>
  <c r="AZ64" i="32"/>
  <c r="AX64" i="32"/>
  <c r="AQ64" i="32"/>
  <c r="AP64" i="32"/>
  <c r="AF64" i="32"/>
  <c r="Z64" i="32"/>
  <c r="AU64" i="32" s="1"/>
  <c r="Q64" i="32"/>
  <c r="V64" i="32" s="1"/>
  <c r="N64" i="32"/>
  <c r="L64" i="32"/>
  <c r="I64" i="32" s="1"/>
  <c r="K64" i="32"/>
  <c r="BA63" i="32"/>
  <c r="AX63" i="32"/>
  <c r="AQ63" i="32"/>
  <c r="AP63" i="32"/>
  <c r="AF63" i="32"/>
  <c r="Z63" i="32"/>
  <c r="AU63" i="32" s="1"/>
  <c r="Q63" i="32"/>
  <c r="V63" i="32" s="1"/>
  <c r="N63" i="32"/>
  <c r="L63" i="32"/>
  <c r="K63" i="32"/>
  <c r="BA62" i="32"/>
  <c r="AZ62" i="32"/>
  <c r="AX62" i="32"/>
  <c r="AQ62" i="32"/>
  <c r="AP62" i="32"/>
  <c r="AR62" i="32" s="1"/>
  <c r="AF62" i="32"/>
  <c r="Z62" i="32"/>
  <c r="AU62" i="32" s="1"/>
  <c r="Q62" i="32"/>
  <c r="V62" i="32" s="1"/>
  <c r="N62" i="32"/>
  <c r="L62" i="32"/>
  <c r="K62" i="32"/>
  <c r="AZ61" i="32"/>
  <c r="AX61" i="32"/>
  <c r="AQ61" i="32"/>
  <c r="AP61" i="32"/>
  <c r="AF61" i="32"/>
  <c r="Z61" i="32"/>
  <c r="AU61" i="32" s="1"/>
  <c r="Q61" i="32"/>
  <c r="V61" i="32" s="1"/>
  <c r="N61" i="32"/>
  <c r="L61" i="32"/>
  <c r="I61" i="32" s="1"/>
  <c r="K61" i="32"/>
  <c r="BA60" i="32"/>
  <c r="AQ60" i="32"/>
  <c r="AJ60" i="32"/>
  <c r="AF60" i="32"/>
  <c r="AX60" i="32" s="1"/>
  <c r="Z60" i="32"/>
  <c r="AU60" i="32" s="1"/>
  <c r="V60" i="32"/>
  <c r="R60" i="32"/>
  <c r="R65" i="32" s="1"/>
  <c r="Q60" i="32"/>
  <c r="N60" i="32"/>
  <c r="L60" i="32"/>
  <c r="K60" i="32"/>
  <c r="I60" i="32" s="1"/>
  <c r="AU59" i="32"/>
  <c r="AQ59" i="32"/>
  <c r="BA59" i="32" s="1"/>
  <c r="AP59" i="32"/>
  <c r="AF59" i="32"/>
  <c r="Z59" i="32"/>
  <c r="V59" i="32"/>
  <c r="AA59" i="32" s="1"/>
  <c r="Q59" i="32"/>
  <c r="N59" i="32"/>
  <c r="L59" i="32"/>
  <c r="K59" i="32"/>
  <c r="K65" i="32" s="1"/>
  <c r="AO58" i="32"/>
  <c r="AN58" i="32"/>
  <c r="AM58" i="32"/>
  <c r="AL58" i="32"/>
  <c r="AK58" i="32"/>
  <c r="AI58" i="32"/>
  <c r="AH58" i="32"/>
  <c r="AE58" i="32"/>
  <c r="AD58" i="32"/>
  <c r="Y58" i="32"/>
  <c r="X58" i="32"/>
  <c r="W58" i="32"/>
  <c r="U58" i="32"/>
  <c r="T58" i="32"/>
  <c r="S58" i="32"/>
  <c r="Q58" i="32"/>
  <c r="P58" i="32"/>
  <c r="O58" i="32"/>
  <c r="M58" i="32"/>
  <c r="J58" i="32"/>
  <c r="AU57" i="32"/>
  <c r="AQ57" i="32"/>
  <c r="BA57" i="32" s="1"/>
  <c r="AP57" i="32"/>
  <c r="AZ57" i="32" s="1"/>
  <c r="AF57" i="32"/>
  <c r="AX57" i="32" s="1"/>
  <c r="Z57" i="32"/>
  <c r="Q57" i="32"/>
  <c r="V57" i="32" s="1"/>
  <c r="N57" i="32"/>
  <c r="L57" i="32"/>
  <c r="K57" i="32"/>
  <c r="AQ56" i="32"/>
  <c r="BA56" i="32" s="1"/>
  <c r="AP56" i="32"/>
  <c r="AF56" i="32"/>
  <c r="AX56" i="32" s="1"/>
  <c r="Z56" i="32"/>
  <c r="AU56" i="32" s="1"/>
  <c r="Q56" i="32"/>
  <c r="V56" i="32" s="1"/>
  <c r="N56" i="32"/>
  <c r="L56" i="32"/>
  <c r="K56" i="32"/>
  <c r="AZ55" i="32"/>
  <c r="AQ55" i="32"/>
  <c r="BA55" i="32" s="1"/>
  <c r="AP55" i="32"/>
  <c r="AR55" i="32" s="1"/>
  <c r="AF55" i="32"/>
  <c r="AX55" i="32" s="1"/>
  <c r="Z55" i="32"/>
  <c r="AU55" i="32" s="1"/>
  <c r="Q55" i="32"/>
  <c r="V55" i="32" s="1"/>
  <c r="N55" i="32"/>
  <c r="L55" i="32"/>
  <c r="K55" i="32"/>
  <c r="AQ54" i="32"/>
  <c r="BA54" i="32" s="1"/>
  <c r="AJ54" i="32"/>
  <c r="AF54" i="32"/>
  <c r="AX54" i="32" s="1"/>
  <c r="Z54" i="32"/>
  <c r="R54" i="32"/>
  <c r="Q54" i="32"/>
  <c r="N54" i="32"/>
  <c r="L54" i="32"/>
  <c r="K54" i="32"/>
  <c r="AZ53" i="32"/>
  <c r="AQ53" i="32"/>
  <c r="BA53" i="32" s="1"/>
  <c r="AP53" i="32"/>
  <c r="AF53" i="32"/>
  <c r="AA53" i="32"/>
  <c r="Z53" i="32"/>
  <c r="AU53" i="32" s="1"/>
  <c r="V53" i="32"/>
  <c r="Q53" i="32"/>
  <c r="N53" i="32"/>
  <c r="L53" i="32"/>
  <c r="K53" i="32"/>
  <c r="AO52" i="32"/>
  <c r="AN52" i="32"/>
  <c r="AM52" i="32"/>
  <c r="AL52" i="32"/>
  <c r="AK52" i="32"/>
  <c r="AJ52" i="32"/>
  <c r="AI52" i="32"/>
  <c r="AH52" i="32"/>
  <c r="AE52" i="32"/>
  <c r="Y52" i="32"/>
  <c r="X52" i="32"/>
  <c r="W52" i="32"/>
  <c r="U52" i="32"/>
  <c r="T52" i="32"/>
  <c r="S52" i="32"/>
  <c r="R52" i="32"/>
  <c r="P52" i="32"/>
  <c r="O52" i="32"/>
  <c r="M52" i="32"/>
  <c r="J52" i="32"/>
  <c r="AQ51" i="32"/>
  <c r="AP51" i="32"/>
  <c r="AZ51" i="32" s="1"/>
  <c r="AF51" i="32"/>
  <c r="AX51" i="32" s="1"/>
  <c r="Z51" i="32"/>
  <c r="AU51" i="32" s="1"/>
  <c r="Q51" i="32"/>
  <c r="V51" i="32" s="1"/>
  <c r="N51" i="32"/>
  <c r="L51" i="32"/>
  <c r="K51" i="32"/>
  <c r="AQ50" i="32"/>
  <c r="BA50" i="32" s="1"/>
  <c r="AP50" i="32"/>
  <c r="AZ50" i="32" s="1"/>
  <c r="AF50" i="32"/>
  <c r="Z50" i="32"/>
  <c r="AU50" i="32" s="1"/>
  <c r="Q50" i="32"/>
  <c r="N50" i="32"/>
  <c r="L50" i="32"/>
  <c r="K50" i="32"/>
  <c r="AZ49" i="32"/>
  <c r="AR49" i="32"/>
  <c r="AQ49" i="32"/>
  <c r="BA49" i="32" s="1"/>
  <c r="AP49" i="32"/>
  <c r="AF49" i="32"/>
  <c r="AX49" i="32" s="1"/>
  <c r="Z49" i="32"/>
  <c r="AU49" i="32" s="1"/>
  <c r="Q49" i="32"/>
  <c r="N49" i="32"/>
  <c r="AY49" i="32" s="1"/>
  <c r="L49" i="32"/>
  <c r="K49" i="32"/>
  <c r="AZ48" i="32"/>
  <c r="AQ48" i="32"/>
  <c r="AP48" i="32"/>
  <c r="AD48" i="32"/>
  <c r="AD306" i="32" s="1"/>
  <c r="Z48" i="32"/>
  <c r="AU48" i="32" s="1"/>
  <c r="Q48" i="32"/>
  <c r="V48" i="32" s="1"/>
  <c r="AT48" i="32" s="1"/>
  <c r="N48" i="32"/>
  <c r="L48" i="32"/>
  <c r="K48" i="32"/>
  <c r="AZ47" i="32"/>
  <c r="AX47" i="32"/>
  <c r="AR47" i="32"/>
  <c r="AQ47" i="32"/>
  <c r="BA47" i="32" s="1"/>
  <c r="AP47" i="32"/>
  <c r="AF47" i="32"/>
  <c r="Z47" i="32"/>
  <c r="AU47" i="32" s="1"/>
  <c r="Q47" i="32"/>
  <c r="V47" i="32" s="1"/>
  <c r="N47" i="32"/>
  <c r="L47" i="32"/>
  <c r="K47" i="32"/>
  <c r="AX46" i="32"/>
  <c r="AR46" i="32"/>
  <c r="AQ46" i="32"/>
  <c r="BA46" i="32" s="1"/>
  <c r="AP46" i="32"/>
  <c r="AZ46" i="32" s="1"/>
  <c r="AF46" i="32"/>
  <c r="Z46" i="32"/>
  <c r="V46" i="32"/>
  <c r="Q46" i="32"/>
  <c r="N46" i="32"/>
  <c r="L46" i="32"/>
  <c r="K46" i="32"/>
  <c r="BA45" i="32"/>
  <c r="AQ45" i="32"/>
  <c r="AO45" i="32"/>
  <c r="AN45" i="32"/>
  <c r="AM45" i="32"/>
  <c r="AL45" i="32"/>
  <c r="AK45" i="32"/>
  <c r="AJ45" i="32"/>
  <c r="AI45" i="32"/>
  <c r="AH45" i="32"/>
  <c r="AE45" i="32"/>
  <c r="AD45" i="32"/>
  <c r="Y45" i="32"/>
  <c r="X45" i="32"/>
  <c r="W45" i="32"/>
  <c r="U45" i="32"/>
  <c r="T45" i="32"/>
  <c r="S45" i="32"/>
  <c r="R45" i="32"/>
  <c r="Q45" i="32"/>
  <c r="P45" i="32"/>
  <c r="O45" i="32"/>
  <c r="M45" i="32"/>
  <c r="K45" i="32"/>
  <c r="J45" i="32"/>
  <c r="BA44" i="32"/>
  <c r="AQ44" i="32"/>
  <c r="AP44" i="32"/>
  <c r="AF44" i="32"/>
  <c r="AB44" i="32"/>
  <c r="Z44" i="32"/>
  <c r="Z45" i="32" s="1"/>
  <c r="V44" i="32"/>
  <c r="V45" i="32" s="1"/>
  <c r="Q44" i="32"/>
  <c r="N44" i="32"/>
  <c r="L44" i="32"/>
  <c r="K44" i="32"/>
  <c r="AO43" i="32"/>
  <c r="AN43" i="32"/>
  <c r="AM43" i="32"/>
  <c r="AL43" i="32"/>
  <c r="AK43" i="32"/>
  <c r="AJ43" i="32"/>
  <c r="AI43" i="32"/>
  <c r="AH43" i="32"/>
  <c r="AE43" i="32"/>
  <c r="AD43" i="32"/>
  <c r="Y43" i="32"/>
  <c r="X43" i="32"/>
  <c r="W43" i="32"/>
  <c r="U43" i="32"/>
  <c r="T43" i="32"/>
  <c r="S43" i="32"/>
  <c r="R43" i="32"/>
  <c r="P43" i="32"/>
  <c r="O43" i="32"/>
  <c r="N43" i="32"/>
  <c r="M43" i="32"/>
  <c r="J43" i="32"/>
  <c r="BA42" i="32"/>
  <c r="AZ42" i="32"/>
  <c r="AQ42" i="32"/>
  <c r="AR42" i="32" s="1"/>
  <c r="AP42" i="32"/>
  <c r="AF42" i="32"/>
  <c r="AX42" i="32" s="1"/>
  <c r="Z42" i="32"/>
  <c r="AU42" i="32" s="1"/>
  <c r="Q42" i="32"/>
  <c r="V42" i="32" s="1"/>
  <c r="N42" i="32"/>
  <c r="L42" i="32"/>
  <c r="K42" i="32"/>
  <c r="BA41" i="32"/>
  <c r="AX41" i="32"/>
  <c r="AU41" i="32"/>
  <c r="AQ41" i="32"/>
  <c r="AR41" i="32" s="1"/>
  <c r="AP41" i="32"/>
  <c r="AZ41" i="32" s="1"/>
  <c r="AF41" i="32"/>
  <c r="Z41" i="32"/>
  <c r="V41" i="32"/>
  <c r="Q41" i="32"/>
  <c r="N41" i="32"/>
  <c r="L41" i="32"/>
  <c r="K41" i="32"/>
  <c r="BA40" i="32"/>
  <c r="AZ40" i="32"/>
  <c r="AU40" i="32"/>
  <c r="AQ40" i="32"/>
  <c r="AP40" i="32"/>
  <c r="AF40" i="32"/>
  <c r="AX40" i="32" s="1"/>
  <c r="Z40" i="32"/>
  <c r="V40" i="32"/>
  <c r="Q40" i="32"/>
  <c r="Q43" i="32" s="1"/>
  <c r="N40" i="32"/>
  <c r="L40" i="32"/>
  <c r="L43" i="32" s="1"/>
  <c r="K40" i="32"/>
  <c r="K43" i="32" s="1"/>
  <c r="AO39" i="32"/>
  <c r="AN39" i="32"/>
  <c r="AM39" i="32"/>
  <c r="AL39" i="32"/>
  <c r="AK39" i="32"/>
  <c r="AJ39" i="32"/>
  <c r="AI39" i="32"/>
  <c r="AH39" i="32"/>
  <c r="AE39" i="32"/>
  <c r="AD39" i="32"/>
  <c r="Y39" i="32"/>
  <c r="X39" i="32"/>
  <c r="W39" i="32"/>
  <c r="U39" i="32"/>
  <c r="T39" i="32"/>
  <c r="S39" i="32"/>
  <c r="R39" i="32"/>
  <c r="P39" i="32"/>
  <c r="O39" i="32"/>
  <c r="M39" i="32"/>
  <c r="J39" i="32"/>
  <c r="AQ38" i="32"/>
  <c r="BA38" i="32" s="1"/>
  <c r="AP38" i="32"/>
  <c r="AZ38" i="32" s="1"/>
  <c r="AF38" i="32"/>
  <c r="AX38" i="32" s="1"/>
  <c r="Z38" i="32"/>
  <c r="AU38" i="32" s="1"/>
  <c r="Q38" i="32"/>
  <c r="V38" i="32" s="1"/>
  <c r="N38" i="32"/>
  <c r="L38" i="32"/>
  <c r="K38" i="32"/>
  <c r="AR37" i="32"/>
  <c r="AQ37" i="32"/>
  <c r="BA37" i="32" s="1"/>
  <c r="AP37" i="32"/>
  <c r="AZ37" i="32" s="1"/>
  <c r="AF37" i="32"/>
  <c r="AX37" i="32" s="1"/>
  <c r="Z37" i="32"/>
  <c r="AU37" i="32" s="1"/>
  <c r="Q37" i="32"/>
  <c r="V37" i="32" s="1"/>
  <c r="N37" i="32"/>
  <c r="L37" i="32"/>
  <c r="K37" i="32"/>
  <c r="AX36" i="32"/>
  <c r="AQ36" i="32"/>
  <c r="AP36" i="32"/>
  <c r="AF36" i="32"/>
  <c r="Z36" i="32"/>
  <c r="Q36" i="32"/>
  <c r="N36" i="32"/>
  <c r="L36" i="32"/>
  <c r="K36" i="32"/>
  <c r="K39" i="32" s="1"/>
  <c r="AP35" i="32"/>
  <c r="AO35" i="32"/>
  <c r="AN35" i="32"/>
  <c r="AM35" i="32"/>
  <c r="AL35" i="32"/>
  <c r="AK35" i="32"/>
  <c r="AJ35" i="32"/>
  <c r="AI35" i="32"/>
  <c r="AH35" i="32"/>
  <c r="AE35" i="32"/>
  <c r="AD35" i="32"/>
  <c r="Y35" i="32"/>
  <c r="X35" i="32"/>
  <c r="W35" i="32"/>
  <c r="U35" i="32"/>
  <c r="T35" i="32"/>
  <c r="S35" i="32"/>
  <c r="R35" i="32"/>
  <c r="P35" i="32"/>
  <c r="O35" i="32"/>
  <c r="M35" i="32"/>
  <c r="J35" i="32"/>
  <c r="AX34" i="32"/>
  <c r="AU34" i="32"/>
  <c r="AQ34" i="32"/>
  <c r="BA34" i="32" s="1"/>
  <c r="AP34" i="32"/>
  <c r="AZ34" i="32" s="1"/>
  <c r="AF34" i="32"/>
  <c r="Z34" i="32"/>
  <c r="V34" i="32"/>
  <c r="Q34" i="32"/>
  <c r="N34" i="32"/>
  <c r="L34" i="32"/>
  <c r="K34" i="32"/>
  <c r="AZ33" i="32"/>
  <c r="AU33" i="32"/>
  <c r="AR33" i="32"/>
  <c r="AQ33" i="32"/>
  <c r="BA33" i="32" s="1"/>
  <c r="AP33" i="32"/>
  <c r="AF33" i="32"/>
  <c r="AX33" i="32" s="1"/>
  <c r="Z33" i="32"/>
  <c r="Q33" i="32"/>
  <c r="Q35" i="32" s="1"/>
  <c r="N33" i="32"/>
  <c r="L33" i="32"/>
  <c r="K33" i="32"/>
  <c r="AZ32" i="32"/>
  <c r="AZ35" i="32" s="1"/>
  <c r="AX32" i="32"/>
  <c r="AX35" i="32" s="1"/>
  <c r="AU32" i="32"/>
  <c r="AQ32" i="32"/>
  <c r="AP32" i="32"/>
  <c r="AF32" i="32"/>
  <c r="AF35" i="32" s="1"/>
  <c r="Z32" i="32"/>
  <c r="Z35" i="32" s="1"/>
  <c r="V32" i="32"/>
  <c r="Q32" i="32"/>
  <c r="N32" i="32"/>
  <c r="L32" i="32"/>
  <c r="K32" i="32"/>
  <c r="K35" i="32" s="1"/>
  <c r="AQ31" i="32"/>
  <c r="AO31" i="32"/>
  <c r="AN31" i="32"/>
  <c r="AM31" i="32"/>
  <c r="AL31" i="32"/>
  <c r="AK31" i="32"/>
  <c r="AJ31" i="32"/>
  <c r="AI31" i="32"/>
  <c r="AH31" i="32"/>
  <c r="AE31" i="32"/>
  <c r="AD31" i="32"/>
  <c r="Y31" i="32"/>
  <c r="X31" i="32"/>
  <c r="W31" i="32"/>
  <c r="U31" i="32"/>
  <c r="T31" i="32"/>
  <c r="S31" i="32"/>
  <c r="R31" i="32"/>
  <c r="Q31" i="32"/>
  <c r="P31" i="32"/>
  <c r="O31" i="32"/>
  <c r="M31" i="32"/>
  <c r="J31" i="32"/>
  <c r="BA30" i="32"/>
  <c r="BA31" i="32" s="1"/>
  <c r="AQ30" i="32"/>
  <c r="AP30" i="32"/>
  <c r="AF30" i="32"/>
  <c r="AX30" i="32" s="1"/>
  <c r="AB30" i="32"/>
  <c r="AV30" i="32" s="1"/>
  <c r="Z30" i="32"/>
  <c r="AU30" i="32" s="1"/>
  <c r="Q30" i="32"/>
  <c r="V30" i="32" s="1"/>
  <c r="N30" i="32"/>
  <c r="L30" i="32"/>
  <c r="K30" i="32"/>
  <c r="BA29" i="32"/>
  <c r="AR29" i="32"/>
  <c r="AQ29" i="32"/>
  <c r="AP29" i="32"/>
  <c r="AZ29" i="32" s="1"/>
  <c r="AF29" i="32"/>
  <c r="AX29" i="32" s="1"/>
  <c r="Z29" i="32"/>
  <c r="AU29" i="32" s="1"/>
  <c r="V29" i="32"/>
  <c r="AA29" i="32" s="1"/>
  <c r="Q29" i="32"/>
  <c r="N29" i="32"/>
  <c r="L29" i="32"/>
  <c r="K29" i="32"/>
  <c r="BA28" i="32"/>
  <c r="AQ28" i="32"/>
  <c r="AR28" i="32" s="1"/>
  <c r="AP28" i="32"/>
  <c r="AZ28" i="32" s="1"/>
  <c r="AF28" i="32"/>
  <c r="Z28" i="32"/>
  <c r="Q28" i="32"/>
  <c r="V28" i="32" s="1"/>
  <c r="V31" i="32" s="1"/>
  <c r="N28" i="32"/>
  <c r="L28" i="32"/>
  <c r="K28" i="32"/>
  <c r="K31" i="32" s="1"/>
  <c r="AO27" i="32"/>
  <c r="AN27" i="32"/>
  <c r="AM27" i="32"/>
  <c r="AL27" i="32"/>
  <c r="AK27" i="32"/>
  <c r="AJ27" i="32"/>
  <c r="AI27" i="32"/>
  <c r="AH27" i="32"/>
  <c r="AF27" i="32"/>
  <c r="AE27" i="32"/>
  <c r="AD27" i="32"/>
  <c r="Y27" i="32"/>
  <c r="X27" i="32"/>
  <c r="W27" i="32"/>
  <c r="U27" i="32"/>
  <c r="T27" i="32"/>
  <c r="S27" i="32"/>
  <c r="R27" i="32"/>
  <c r="P27" i="32"/>
  <c r="O27" i="32"/>
  <c r="M27" i="32"/>
  <c r="L27" i="32"/>
  <c r="J27" i="32"/>
  <c r="AX26" i="32"/>
  <c r="AQ26" i="32"/>
  <c r="BA26" i="32" s="1"/>
  <c r="AP26" i="32"/>
  <c r="AF26" i="32"/>
  <c r="Z26" i="32"/>
  <c r="AU26" i="32" s="1"/>
  <c r="Q26" i="32"/>
  <c r="V26" i="32" s="1"/>
  <c r="N26" i="32"/>
  <c r="L26" i="32"/>
  <c r="K26" i="32"/>
  <c r="BA25" i="32"/>
  <c r="AX25" i="32"/>
  <c r="AU25" i="32"/>
  <c r="AR25" i="32"/>
  <c r="AQ25" i="32"/>
  <c r="AP25" i="32"/>
  <c r="AZ25" i="32" s="1"/>
  <c r="AF25" i="32"/>
  <c r="Z25" i="32"/>
  <c r="Q25" i="32"/>
  <c r="V25" i="32" s="1"/>
  <c r="N25" i="32"/>
  <c r="L25" i="32"/>
  <c r="K25" i="32"/>
  <c r="BA24" i="32"/>
  <c r="AX24" i="32"/>
  <c r="AQ24" i="32"/>
  <c r="AP24" i="32"/>
  <c r="AF24" i="32"/>
  <c r="Z24" i="32"/>
  <c r="AU24" i="32" s="1"/>
  <c r="Q24" i="32"/>
  <c r="V24" i="32" s="1"/>
  <c r="N24" i="32"/>
  <c r="L24" i="32"/>
  <c r="K24" i="32"/>
  <c r="AX23" i="32"/>
  <c r="AQ23" i="32"/>
  <c r="AP23" i="32"/>
  <c r="AF23" i="32"/>
  <c r="Z23" i="32"/>
  <c r="Q23" i="32"/>
  <c r="V23" i="32" s="1"/>
  <c r="N23" i="32"/>
  <c r="L23" i="32"/>
  <c r="K23" i="32"/>
  <c r="AO22" i="32"/>
  <c r="AN22" i="32"/>
  <c r="AM22" i="32"/>
  <c r="AL22" i="32"/>
  <c r="AK22" i="32"/>
  <c r="AJ22" i="32"/>
  <c r="AI22" i="32"/>
  <c r="AH22" i="32"/>
  <c r="AE22" i="32"/>
  <c r="AD22" i="32"/>
  <c r="Y22" i="32"/>
  <c r="X22" i="32"/>
  <c r="W22" i="32"/>
  <c r="U22" i="32"/>
  <c r="T22" i="32"/>
  <c r="S22" i="32"/>
  <c r="R22" i="32"/>
  <c r="P22" i="32"/>
  <c r="O22" i="32"/>
  <c r="M22" i="32"/>
  <c r="J22" i="32"/>
  <c r="BA21" i="32"/>
  <c r="AX21" i="32"/>
  <c r="AR21" i="32"/>
  <c r="AQ21" i="32"/>
  <c r="AP21" i="32"/>
  <c r="AZ21" i="32" s="1"/>
  <c r="AF21" i="32"/>
  <c r="Z21" i="32"/>
  <c r="AU21" i="32" s="1"/>
  <c r="V21" i="32"/>
  <c r="Q21" i="32"/>
  <c r="N21" i="32"/>
  <c r="L21" i="32"/>
  <c r="K21" i="32"/>
  <c r="BA20" i="32"/>
  <c r="AX20" i="32"/>
  <c r="AQ20" i="32"/>
  <c r="AR20" i="32" s="1"/>
  <c r="AP20" i="32"/>
  <c r="AZ20" i="32" s="1"/>
  <c r="AF20" i="32"/>
  <c r="Z20" i="32"/>
  <c r="AU20" i="32" s="1"/>
  <c r="Q20" i="32"/>
  <c r="V20" i="32" s="1"/>
  <c r="N20" i="32"/>
  <c r="L20" i="32"/>
  <c r="K20" i="32"/>
  <c r="BA19" i="32"/>
  <c r="AQ19" i="32"/>
  <c r="AP19" i="32"/>
  <c r="AF19" i="32"/>
  <c r="AX19" i="32" s="1"/>
  <c r="AB19" i="32"/>
  <c r="Z19" i="32"/>
  <c r="AU19" i="32" s="1"/>
  <c r="V19" i="32"/>
  <c r="AA19" i="32" s="1"/>
  <c r="Q19" i="32"/>
  <c r="N19" i="32"/>
  <c r="L19" i="32"/>
  <c r="K19" i="32"/>
  <c r="AQ18" i="32"/>
  <c r="AP18" i="32"/>
  <c r="AR18" i="32" s="1"/>
  <c r="AF18" i="32"/>
  <c r="Z18" i="32"/>
  <c r="Q18" i="32"/>
  <c r="N18" i="32"/>
  <c r="L18" i="32"/>
  <c r="K18" i="32"/>
  <c r="AO17" i="32"/>
  <c r="AN17" i="32"/>
  <c r="AM17" i="32"/>
  <c r="AL17" i="32"/>
  <c r="AK17" i="32"/>
  <c r="AJ17" i="32"/>
  <c r="AI17" i="32"/>
  <c r="AH17" i="32"/>
  <c r="AE17" i="32"/>
  <c r="AD17" i="32"/>
  <c r="Y17" i="32"/>
  <c r="X17" i="32"/>
  <c r="W17" i="32"/>
  <c r="U17" i="32"/>
  <c r="T17" i="32"/>
  <c r="S17" i="32"/>
  <c r="R17" i="32"/>
  <c r="P17" i="32"/>
  <c r="O17" i="32"/>
  <c r="M17" i="32"/>
  <c r="J17" i="32"/>
  <c r="AZ16" i="32"/>
  <c r="AY16" i="32"/>
  <c r="AX16" i="32"/>
  <c r="AQ16" i="32"/>
  <c r="BA16" i="32" s="1"/>
  <c r="AP16" i="32"/>
  <c r="AR16" i="32" s="1"/>
  <c r="AF16" i="32"/>
  <c r="Z16" i="32"/>
  <c r="AU16" i="32" s="1"/>
  <c r="Q16" i="32"/>
  <c r="V16" i="32" s="1"/>
  <c r="N16" i="32"/>
  <c r="L16" i="32"/>
  <c r="K16" i="32"/>
  <c r="AQ15" i="32"/>
  <c r="AP15" i="32"/>
  <c r="AZ15" i="32" s="1"/>
  <c r="AF15" i="32"/>
  <c r="AX15" i="32" s="1"/>
  <c r="Z15" i="32"/>
  <c r="Z17" i="32" s="1"/>
  <c r="Q15" i="32"/>
  <c r="V15" i="32" s="1"/>
  <c r="AC15" i="32" s="1"/>
  <c r="N15" i="32"/>
  <c r="L15" i="32"/>
  <c r="K15" i="32"/>
  <c r="AQ14" i="32"/>
  <c r="AP14" i="32"/>
  <c r="AF14" i="32"/>
  <c r="Z14" i="32"/>
  <c r="AU14" i="32" s="1"/>
  <c r="Q14" i="32"/>
  <c r="V14" i="32" s="1"/>
  <c r="N14" i="32"/>
  <c r="L14" i="32"/>
  <c r="K14" i="32"/>
  <c r="AO13" i="32"/>
  <c r="AN13" i="32"/>
  <c r="AM13" i="32"/>
  <c r="AL13" i="32"/>
  <c r="AK13" i="32"/>
  <c r="AJ13" i="32"/>
  <c r="AI13" i="32"/>
  <c r="AH13" i="32"/>
  <c r="AE13" i="32"/>
  <c r="AD13" i="32"/>
  <c r="Y13" i="32"/>
  <c r="X13" i="32"/>
  <c r="W13" i="32"/>
  <c r="U13" i="32"/>
  <c r="T13" i="32"/>
  <c r="S13" i="32"/>
  <c r="R13" i="32"/>
  <c r="P13" i="32"/>
  <c r="P301" i="32" s="1"/>
  <c r="O13" i="32"/>
  <c r="M13" i="32"/>
  <c r="K13" i="32"/>
  <c r="J13" i="32"/>
  <c r="AQ12" i="32"/>
  <c r="AQ314" i="32" s="1"/>
  <c r="AP12" i="32"/>
  <c r="AF12" i="32"/>
  <c r="AF314" i="32" s="1"/>
  <c r="Z12" i="32"/>
  <c r="Z314" i="32" s="1"/>
  <c r="Q12" i="32"/>
  <c r="Q314" i="32" s="1"/>
  <c r="N12" i="32"/>
  <c r="L12" i="32"/>
  <c r="K12" i="32"/>
  <c r="K314" i="32" s="1"/>
  <c r="AR133" i="31"/>
  <c r="AQ133" i="31"/>
  <c r="AP133" i="31"/>
  <c r="AR132" i="31"/>
  <c r="AQ132" i="31"/>
  <c r="AP132" i="31"/>
  <c r="AO87" i="31"/>
  <c r="AN87" i="31"/>
  <c r="AM87" i="31"/>
  <c r="AL87" i="31"/>
  <c r="AK87" i="31"/>
  <c r="AJ87" i="31"/>
  <c r="AI87" i="31"/>
  <c r="AH87" i="31"/>
  <c r="AE87" i="31"/>
  <c r="AD87" i="31"/>
  <c r="Y87" i="31"/>
  <c r="X87" i="31"/>
  <c r="W87" i="31"/>
  <c r="U87" i="31"/>
  <c r="T87" i="31"/>
  <c r="S87" i="31"/>
  <c r="R87" i="31"/>
  <c r="P87" i="31"/>
  <c r="O87" i="31"/>
  <c r="M87" i="31"/>
  <c r="J87" i="31"/>
  <c r="AO86" i="31"/>
  <c r="AN86" i="31"/>
  <c r="AM86" i="31"/>
  <c r="AL86" i="31"/>
  <c r="AK86" i="31"/>
  <c r="AJ86" i="31"/>
  <c r="AI86" i="31"/>
  <c r="AH86" i="31"/>
  <c r="AE86" i="31"/>
  <c r="AD86" i="31"/>
  <c r="Y86" i="31"/>
  <c r="X86" i="31"/>
  <c r="W86" i="31"/>
  <c r="U86" i="31"/>
  <c r="T86" i="31"/>
  <c r="S86" i="31"/>
  <c r="R86" i="31"/>
  <c r="P86" i="31"/>
  <c r="O86" i="31"/>
  <c r="M86" i="31"/>
  <c r="J86" i="31"/>
  <c r="AO85" i="31"/>
  <c r="AN85" i="31"/>
  <c r="AM85" i="31"/>
  <c r="AL85" i="31"/>
  <c r="AK85" i="31"/>
  <c r="AJ85" i="31"/>
  <c r="AI85" i="31"/>
  <c r="AH85" i="31"/>
  <c r="AE85" i="31"/>
  <c r="AD85" i="31"/>
  <c r="Y85" i="31"/>
  <c r="X85" i="31"/>
  <c r="W85" i="31"/>
  <c r="U85" i="31"/>
  <c r="T85" i="31"/>
  <c r="S85" i="31"/>
  <c r="R85" i="31"/>
  <c r="P85" i="31"/>
  <c r="O85" i="31"/>
  <c r="M85" i="31"/>
  <c r="J85" i="31"/>
  <c r="AO84" i="31"/>
  <c r="AN84" i="31"/>
  <c r="AM84" i="31"/>
  <c r="AL84" i="31"/>
  <c r="AK84" i="31"/>
  <c r="AJ84" i="31"/>
  <c r="AI84" i="31"/>
  <c r="AH84" i="31"/>
  <c r="AE84" i="31"/>
  <c r="AD84" i="31"/>
  <c r="Y84" i="31"/>
  <c r="X84" i="31"/>
  <c r="W84" i="31"/>
  <c r="U84" i="31"/>
  <c r="T84" i="31"/>
  <c r="S84" i="31"/>
  <c r="R84" i="31"/>
  <c r="P84" i="31"/>
  <c r="O84" i="31"/>
  <c r="M84" i="31"/>
  <c r="J84" i="31"/>
  <c r="BA83" i="31"/>
  <c r="AZ83" i="31"/>
  <c r="AY83" i="31"/>
  <c r="AX83" i="31"/>
  <c r="AW83" i="31"/>
  <c r="AV83" i="31"/>
  <c r="AU83" i="31"/>
  <c r="AT83" i="31"/>
  <c r="AS83" i="31"/>
  <c r="AR83" i="31"/>
  <c r="AQ83" i="31"/>
  <c r="AP83" i="31"/>
  <c r="AO83" i="31"/>
  <c r="AN83" i="31"/>
  <c r="AM83" i="31"/>
  <c r="AL83" i="31"/>
  <c r="AK83" i="31"/>
  <c r="AJ83" i="31"/>
  <c r="AI83" i="31"/>
  <c r="AH83" i="31"/>
  <c r="AG83" i="31"/>
  <c r="AF83" i="31"/>
  <c r="AE83" i="31"/>
  <c r="AD83" i="31"/>
  <c r="AC83" i="31"/>
  <c r="AB83" i="31"/>
  <c r="AA83" i="31"/>
  <c r="Z83" i="31"/>
  <c r="Y83" i="31"/>
  <c r="X83" i="31"/>
  <c r="W83" i="31"/>
  <c r="V83" i="31"/>
  <c r="U83" i="31"/>
  <c r="T83" i="31"/>
  <c r="S83" i="31"/>
  <c r="R83" i="31"/>
  <c r="Q83" i="31"/>
  <c r="P83" i="31"/>
  <c r="O83" i="31"/>
  <c r="N83" i="31"/>
  <c r="M83" i="31"/>
  <c r="L83" i="31"/>
  <c r="K83" i="31"/>
  <c r="J83" i="31"/>
  <c r="I83" i="31"/>
  <c r="BA82" i="31"/>
  <c r="AZ82" i="31"/>
  <c r="AY82" i="31"/>
  <c r="AX82" i="31"/>
  <c r="AW82" i="31"/>
  <c r="AV82" i="31"/>
  <c r="AU82" i="31"/>
  <c r="AT82" i="31"/>
  <c r="AS82" i="31"/>
  <c r="AR82" i="31"/>
  <c r="AQ82" i="31"/>
  <c r="AP82" i="31"/>
  <c r="AO82" i="31"/>
  <c r="AN82" i="31"/>
  <c r="AM82" i="31"/>
  <c r="AL82" i="31"/>
  <c r="AK82" i="31"/>
  <c r="AJ82" i="31"/>
  <c r="AI82" i="31"/>
  <c r="AH82" i="31"/>
  <c r="AG82" i="31"/>
  <c r="AF82" i="31"/>
  <c r="AE82" i="31"/>
  <c r="AD82" i="31"/>
  <c r="AC82" i="31"/>
  <c r="AB82" i="31"/>
  <c r="AA82" i="31"/>
  <c r="Z82" i="31"/>
  <c r="Y82" i="31"/>
  <c r="X82" i="31"/>
  <c r="W82" i="31"/>
  <c r="V82" i="31"/>
  <c r="U82" i="31"/>
  <c r="T82" i="31"/>
  <c r="S82" i="31"/>
  <c r="R82" i="31"/>
  <c r="Q82" i="31"/>
  <c r="P82" i="31"/>
  <c r="O82" i="31"/>
  <c r="N82" i="31"/>
  <c r="M82" i="31"/>
  <c r="L82" i="31"/>
  <c r="K82" i="31"/>
  <c r="J82" i="31"/>
  <c r="I82" i="31"/>
  <c r="AO81" i="31"/>
  <c r="AN81" i="31"/>
  <c r="AM81" i="31"/>
  <c r="AL81" i="31"/>
  <c r="AK81" i="31"/>
  <c r="AJ81" i="31"/>
  <c r="AI81" i="31"/>
  <c r="AH81" i="31"/>
  <c r="AE81" i="31"/>
  <c r="AD81" i="31"/>
  <c r="Y81" i="31"/>
  <c r="X81" i="31"/>
  <c r="W81" i="31"/>
  <c r="U81" i="31"/>
  <c r="T81" i="31"/>
  <c r="S81" i="31"/>
  <c r="R81" i="31"/>
  <c r="P81" i="31"/>
  <c r="O81" i="31"/>
  <c r="M81" i="31"/>
  <c r="J81" i="31"/>
  <c r="BA80" i="31"/>
  <c r="AZ80" i="31"/>
  <c r="AY80" i="31"/>
  <c r="AX80" i="31"/>
  <c r="AW80" i="31"/>
  <c r="AV80" i="31"/>
  <c r="AU80" i="31"/>
  <c r="AT80" i="31"/>
  <c r="AS80" i="31"/>
  <c r="AR80" i="31"/>
  <c r="AQ80" i="31"/>
  <c r="AP80" i="31"/>
  <c r="AO80" i="31"/>
  <c r="AN80" i="31"/>
  <c r="AM80" i="31"/>
  <c r="AL80" i="31"/>
  <c r="AK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P77" i="31" s="1"/>
  <c r="O80" i="31"/>
  <c r="N80" i="31"/>
  <c r="M80" i="31"/>
  <c r="L80" i="31"/>
  <c r="K80" i="31"/>
  <c r="J80" i="31"/>
  <c r="J77" i="31" s="1"/>
  <c r="I80" i="31"/>
  <c r="AO79" i="31"/>
  <c r="AN79" i="31"/>
  <c r="AM79" i="31"/>
  <c r="AL79" i="31"/>
  <c r="AK79" i="31"/>
  <c r="AK77" i="31" s="1"/>
  <c r="AI79" i="31"/>
  <c r="AH79" i="31"/>
  <c r="AE79" i="31"/>
  <c r="AD79" i="31"/>
  <c r="Y79" i="31"/>
  <c r="X79" i="31"/>
  <c r="W79" i="31"/>
  <c r="U79" i="31"/>
  <c r="T79" i="31"/>
  <c r="S79" i="31"/>
  <c r="P79" i="31"/>
  <c r="O79" i="31"/>
  <c r="M79" i="31"/>
  <c r="J79" i="31"/>
  <c r="AO78" i="31"/>
  <c r="AN78" i="31"/>
  <c r="AM78" i="31"/>
  <c r="AL78" i="31"/>
  <c r="AL77" i="31" s="1"/>
  <c r="AK78" i="31"/>
  <c r="AJ78" i="31"/>
  <c r="AI78" i="31"/>
  <c r="AH78" i="31"/>
  <c r="AE78" i="31"/>
  <c r="AD78" i="31"/>
  <c r="Y78" i="31"/>
  <c r="X78" i="31"/>
  <c r="W78" i="31"/>
  <c r="W77" i="31" s="1"/>
  <c r="U78" i="31"/>
  <c r="T78" i="31"/>
  <c r="T77" i="31" s="1"/>
  <c r="S78" i="31"/>
  <c r="S77" i="31" s="1"/>
  <c r="R78" i="31"/>
  <c r="P78" i="31"/>
  <c r="O78" i="31"/>
  <c r="M78" i="31"/>
  <c r="M77" i="31" s="1"/>
  <c r="J78" i="31"/>
  <c r="AO77" i="31"/>
  <c r="AI77" i="31"/>
  <c r="AE77" i="31"/>
  <c r="AO73" i="31"/>
  <c r="AN73" i="31"/>
  <c r="AM73" i="31"/>
  <c r="AL73" i="31"/>
  <c r="AK73" i="31"/>
  <c r="AI73" i="31"/>
  <c r="AH73" i="31"/>
  <c r="AE73" i="31"/>
  <c r="AD73" i="31"/>
  <c r="Y73" i="31"/>
  <c r="X73" i="31"/>
  <c r="W73" i="31"/>
  <c r="U73" i="31"/>
  <c r="T73" i="31"/>
  <c r="S73" i="31"/>
  <c r="P73" i="31"/>
  <c r="O73" i="31"/>
  <c r="M73" i="31"/>
  <c r="J73" i="31"/>
  <c r="AQ72" i="31"/>
  <c r="BA72" i="31" s="1"/>
  <c r="AP72" i="31"/>
  <c r="AZ72" i="31" s="1"/>
  <c r="AF72" i="31"/>
  <c r="AX72" i="31" s="1"/>
  <c r="Z72" i="31"/>
  <c r="AU72" i="31" s="1"/>
  <c r="Q72" i="31"/>
  <c r="V72" i="31" s="1"/>
  <c r="AC72" i="31" s="1"/>
  <c r="N72" i="31"/>
  <c r="L72" i="31"/>
  <c r="AW72" i="31" s="1"/>
  <c r="K72" i="31"/>
  <c r="I72" i="31"/>
  <c r="AX71" i="31"/>
  <c r="AQ71" i="31"/>
  <c r="BA71" i="31" s="1"/>
  <c r="AP71" i="31"/>
  <c r="AZ71" i="31" s="1"/>
  <c r="AF71" i="31"/>
  <c r="Z71" i="31"/>
  <c r="V71" i="31"/>
  <c r="AC71" i="31" s="1"/>
  <c r="Q71" i="31"/>
  <c r="N71" i="31"/>
  <c r="L71" i="31"/>
  <c r="K71" i="31"/>
  <c r="I71" i="31"/>
  <c r="BA70" i="31"/>
  <c r="AQ70" i="31"/>
  <c r="AP70" i="31"/>
  <c r="AF70" i="31"/>
  <c r="AX70" i="31" s="1"/>
  <c r="Z70" i="31"/>
  <c r="AU70" i="31" s="1"/>
  <c r="V70" i="31"/>
  <c r="AC70" i="31" s="1"/>
  <c r="Q70" i="31"/>
  <c r="N70" i="31"/>
  <c r="L70" i="31"/>
  <c r="K70" i="31"/>
  <c r="BA69" i="31"/>
  <c r="AX69" i="31"/>
  <c r="AQ69" i="31"/>
  <c r="AJ69" i="31"/>
  <c r="AF69" i="31"/>
  <c r="Z69" i="31"/>
  <c r="AU69" i="31" s="1"/>
  <c r="R69" i="31"/>
  <c r="R73" i="31" s="1"/>
  <c r="Q69" i="31"/>
  <c r="V69" i="31" s="1"/>
  <c r="N69" i="31"/>
  <c r="L69" i="31"/>
  <c r="K69" i="31"/>
  <c r="I69" i="31" s="1"/>
  <c r="AZ68" i="31"/>
  <c r="AU68" i="31"/>
  <c r="AQ68" i="31"/>
  <c r="AP68" i="31"/>
  <c r="AF68" i="31"/>
  <c r="Z68" i="31"/>
  <c r="Q68" i="31"/>
  <c r="N68" i="31"/>
  <c r="L68" i="31"/>
  <c r="K68" i="31"/>
  <c r="AO67" i="31"/>
  <c r="AN67" i="31"/>
  <c r="AM67" i="31"/>
  <c r="AL67" i="31"/>
  <c r="AK67" i="31"/>
  <c r="AJ67" i="31"/>
  <c r="AI67" i="31"/>
  <c r="AH67" i="31"/>
  <c r="AE67" i="31"/>
  <c r="AD67" i="31"/>
  <c r="Z67" i="31"/>
  <c r="Y67" i="31"/>
  <c r="X67" i="31"/>
  <c r="W67" i="31"/>
  <c r="U67" i="31"/>
  <c r="T67" i="31"/>
  <c r="S67" i="31"/>
  <c r="R67" i="31"/>
  <c r="P67" i="31"/>
  <c r="O67" i="31"/>
  <c r="M67" i="31"/>
  <c r="J67" i="31"/>
  <c r="AX66" i="31"/>
  <c r="AQ66" i="31"/>
  <c r="AP66" i="31"/>
  <c r="AZ66" i="31" s="1"/>
  <c r="AF66" i="31"/>
  <c r="Z66" i="31"/>
  <c r="AU66" i="31" s="1"/>
  <c r="Q66" i="31"/>
  <c r="V66" i="31" s="1"/>
  <c r="AC66" i="31" s="1"/>
  <c r="N66" i="31"/>
  <c r="L66" i="31"/>
  <c r="AW66" i="31" s="1"/>
  <c r="K66" i="31"/>
  <c r="AU65" i="31"/>
  <c r="AU67" i="31" s="1"/>
  <c r="AQ65" i="31"/>
  <c r="BA65" i="31" s="1"/>
  <c r="AP65" i="31"/>
  <c r="AZ65" i="31" s="1"/>
  <c r="AF65" i="31"/>
  <c r="Z65" i="31"/>
  <c r="Q65" i="31"/>
  <c r="Q67" i="31" s="1"/>
  <c r="N65" i="31"/>
  <c r="L65" i="31"/>
  <c r="K65" i="31"/>
  <c r="AO64" i="31"/>
  <c r="AN64" i="31"/>
  <c r="AM64" i="31"/>
  <c r="AL64" i="31"/>
  <c r="AK64" i="31"/>
  <c r="AJ64" i="31"/>
  <c r="AI64" i="31"/>
  <c r="AH64" i="31"/>
  <c r="AE64" i="31"/>
  <c r="AD64" i="31"/>
  <c r="Y64" i="31"/>
  <c r="X64" i="31"/>
  <c r="W64" i="31"/>
  <c r="U64" i="31"/>
  <c r="T64" i="31"/>
  <c r="S64" i="31"/>
  <c r="R64" i="31"/>
  <c r="P64" i="31"/>
  <c r="O64" i="31"/>
  <c r="M64" i="31"/>
  <c r="J64" i="31"/>
  <c r="AZ63" i="31"/>
  <c r="AQ63" i="31"/>
  <c r="AP63" i="31"/>
  <c r="AF63" i="31"/>
  <c r="AX63" i="31" s="1"/>
  <c r="Z63" i="31"/>
  <c r="AU63" i="31" s="1"/>
  <c r="Q63" i="31"/>
  <c r="V63" i="31" s="1"/>
  <c r="AC63" i="31" s="1"/>
  <c r="N63" i="31"/>
  <c r="L63" i="31"/>
  <c r="K63" i="31"/>
  <c r="BA62" i="31"/>
  <c r="AU62" i="31"/>
  <c r="AR62" i="31"/>
  <c r="AQ62" i="31"/>
  <c r="AP62" i="31"/>
  <c r="AZ62" i="31" s="1"/>
  <c r="AF62" i="31"/>
  <c r="AX62" i="31" s="1"/>
  <c r="Z62" i="31"/>
  <c r="Q62" i="31"/>
  <c r="V62" i="31" s="1"/>
  <c r="N62" i="31"/>
  <c r="L62" i="31"/>
  <c r="K62" i="31"/>
  <c r="AX61" i="31"/>
  <c r="AQ61" i="31"/>
  <c r="BA61" i="31" s="1"/>
  <c r="AP61" i="31"/>
  <c r="AZ61" i="31" s="1"/>
  <c r="AF61" i="31"/>
  <c r="Z61" i="31"/>
  <c r="AU61" i="31" s="1"/>
  <c r="Q61" i="31"/>
  <c r="V61" i="31" s="1"/>
  <c r="AT61" i="31" s="1"/>
  <c r="N61" i="31"/>
  <c r="L61" i="31"/>
  <c r="I61" i="31" s="1"/>
  <c r="K61" i="31"/>
  <c r="BA60" i="31"/>
  <c r="AZ60" i="31"/>
  <c r="AU60" i="31"/>
  <c r="AR60" i="31"/>
  <c r="AQ60" i="31"/>
  <c r="AP60" i="31"/>
  <c r="AF60" i="31"/>
  <c r="AX60" i="31" s="1"/>
  <c r="Z60" i="31"/>
  <c r="Q60" i="31"/>
  <c r="V60" i="31" s="1"/>
  <c r="N60" i="31"/>
  <c r="AY60" i="31" s="1"/>
  <c r="L60" i="31"/>
  <c r="K60" i="31"/>
  <c r="I60" i="31"/>
  <c r="BA59" i="31"/>
  <c r="AZ59" i="31"/>
  <c r="AX59" i="31"/>
  <c r="AQ59" i="31"/>
  <c r="AP59" i="31"/>
  <c r="AR59" i="31" s="1"/>
  <c r="AY59" i="31" s="1"/>
  <c r="AF59" i="31"/>
  <c r="AC59" i="31"/>
  <c r="Z59" i="31"/>
  <c r="AU59" i="31" s="1"/>
  <c r="Q59" i="31"/>
  <c r="V59" i="31" s="1"/>
  <c r="N59" i="31"/>
  <c r="L59" i="31"/>
  <c r="K59" i="31"/>
  <c r="BA58" i="31"/>
  <c r="AQ58" i="31"/>
  <c r="AP58" i="31"/>
  <c r="AF58" i="31"/>
  <c r="Z58" i="31"/>
  <c r="AU58" i="31" s="1"/>
  <c r="V58" i="31"/>
  <c r="AT58" i="31" s="1"/>
  <c r="Q58" i="31"/>
  <c r="N58" i="31"/>
  <c r="N64" i="31" s="1"/>
  <c r="L58" i="31"/>
  <c r="K58" i="31"/>
  <c r="K64" i="31" s="1"/>
  <c r="I58" i="31"/>
  <c r="AO57" i="31"/>
  <c r="AN57" i="31"/>
  <c r="AM57" i="31"/>
  <c r="AL57" i="31"/>
  <c r="AK57" i="31"/>
  <c r="AJ57" i="31"/>
  <c r="AI57" i="31"/>
  <c r="AH57" i="31"/>
  <c r="AE57" i="31"/>
  <c r="AD57" i="31"/>
  <c r="Y57" i="31"/>
  <c r="X57" i="31"/>
  <c r="W57" i="31"/>
  <c r="U57" i="31"/>
  <c r="T57" i="31"/>
  <c r="S57" i="31"/>
  <c r="R57" i="31"/>
  <c r="P57" i="31"/>
  <c r="O57" i="31"/>
  <c r="M57" i="31"/>
  <c r="J57" i="31"/>
  <c r="AX56" i="31"/>
  <c r="AU56" i="31"/>
  <c r="AQ56" i="31"/>
  <c r="BA56" i="31" s="1"/>
  <c r="AP56" i="31"/>
  <c r="AZ56" i="31" s="1"/>
  <c r="AF56" i="31"/>
  <c r="Z56" i="31"/>
  <c r="Q56" i="31"/>
  <c r="V56" i="31" s="1"/>
  <c r="N56" i="31"/>
  <c r="L56" i="31"/>
  <c r="K56" i="31"/>
  <c r="I56" i="31" s="1"/>
  <c r="BA55" i="31"/>
  <c r="AX55" i="31"/>
  <c r="AR55" i="31"/>
  <c r="AQ55" i="31"/>
  <c r="AP55" i="31"/>
  <c r="AZ55" i="31" s="1"/>
  <c r="AF55" i="31"/>
  <c r="Z55" i="31"/>
  <c r="AU55" i="31" s="1"/>
  <c r="Q55" i="31"/>
  <c r="V55" i="31" s="1"/>
  <c r="N55" i="31"/>
  <c r="L55" i="31"/>
  <c r="K55" i="31"/>
  <c r="I55" i="31" s="1"/>
  <c r="AX54" i="31"/>
  <c r="AQ54" i="31"/>
  <c r="BA54" i="31" s="1"/>
  <c r="AP54" i="31"/>
  <c r="AZ54" i="31" s="1"/>
  <c r="AF54" i="31"/>
  <c r="Z54" i="31"/>
  <c r="Q54" i="31"/>
  <c r="V54" i="31" s="1"/>
  <c r="N54" i="31"/>
  <c r="L54" i="31"/>
  <c r="K54" i="31"/>
  <c r="AQ53" i="31"/>
  <c r="AP53" i="31"/>
  <c r="AZ53" i="31" s="1"/>
  <c r="AF53" i="31"/>
  <c r="AX53" i="31" s="1"/>
  <c r="AX57" i="31" s="1"/>
  <c r="Z53" i="31"/>
  <c r="AU53" i="31" s="1"/>
  <c r="Q53" i="31"/>
  <c r="V53" i="31" s="1"/>
  <c r="N53" i="31"/>
  <c r="L53" i="31"/>
  <c r="K53" i="31"/>
  <c r="AO52" i="31"/>
  <c r="AN52" i="31"/>
  <c r="AM52" i="31"/>
  <c r="AL52" i="31"/>
  <c r="AK52" i="31"/>
  <c r="AJ52" i="31"/>
  <c r="AI52" i="31"/>
  <c r="AH52" i="31"/>
  <c r="AE52" i="31"/>
  <c r="AD52" i="31"/>
  <c r="Y52" i="31"/>
  <c r="X52" i="31"/>
  <c r="W52" i="31"/>
  <c r="U52" i="31"/>
  <c r="T52" i="31"/>
  <c r="S52" i="31"/>
  <c r="R52" i="31"/>
  <c r="P52" i="31"/>
  <c r="O52" i="31"/>
  <c r="M52" i="31"/>
  <c r="J52" i="31"/>
  <c r="BA51" i="31"/>
  <c r="AX51" i="31"/>
  <c r="AU51" i="31"/>
  <c r="AQ51" i="31"/>
  <c r="AP51" i="31"/>
  <c r="AF51" i="31"/>
  <c r="Z51" i="31"/>
  <c r="Q51" i="31"/>
  <c r="V51" i="31" s="1"/>
  <c r="AC51" i="31" s="1"/>
  <c r="N51" i="31"/>
  <c r="L51" i="31"/>
  <c r="K51" i="31"/>
  <c r="AQ50" i="31"/>
  <c r="BA50" i="31" s="1"/>
  <c r="AP50" i="31"/>
  <c r="AF50" i="31"/>
  <c r="AX50" i="31" s="1"/>
  <c r="Z50" i="31"/>
  <c r="AU50" i="31" s="1"/>
  <c r="Q50" i="31"/>
  <c r="V50" i="31" s="1"/>
  <c r="AT50" i="31" s="1"/>
  <c r="N50" i="31"/>
  <c r="L50" i="31"/>
  <c r="K50" i="31"/>
  <c r="I50" i="31"/>
  <c r="AU49" i="31"/>
  <c r="AQ49" i="31"/>
  <c r="AQ52" i="31" s="1"/>
  <c r="AP49" i="31"/>
  <c r="AF49" i="31"/>
  <c r="Z49" i="31"/>
  <c r="Q49" i="31"/>
  <c r="N49" i="31"/>
  <c r="L49" i="31"/>
  <c r="K49" i="31"/>
  <c r="AO48" i="31"/>
  <c r="AN48" i="31"/>
  <c r="AM48" i="31"/>
  <c r="AL48" i="31"/>
  <c r="AK48" i="31"/>
  <c r="AJ48" i="31"/>
  <c r="AI48" i="31"/>
  <c r="AH48" i="31"/>
  <c r="AF48" i="31"/>
  <c r="AE48" i="31"/>
  <c r="AD48" i="31"/>
  <c r="Y48" i="31"/>
  <c r="X48" i="31"/>
  <c r="W48" i="31"/>
  <c r="U48" i="31"/>
  <c r="T48" i="31"/>
  <c r="S48" i="31"/>
  <c r="R48" i="31"/>
  <c r="Q48" i="31"/>
  <c r="P48" i="31"/>
  <c r="O48" i="31"/>
  <c r="M48" i="31"/>
  <c r="J48" i="31"/>
  <c r="AX47" i="31"/>
  <c r="AQ47" i="31"/>
  <c r="AP47" i="31"/>
  <c r="AZ47" i="31" s="1"/>
  <c r="AF47" i="31"/>
  <c r="Z47" i="31"/>
  <c r="AU47" i="31" s="1"/>
  <c r="V47" i="31"/>
  <c r="Q47" i="31"/>
  <c r="N47" i="31"/>
  <c r="L47" i="31"/>
  <c r="K47" i="31"/>
  <c r="I47" i="31" s="1"/>
  <c r="AX46" i="31"/>
  <c r="AQ46" i="31"/>
  <c r="BA46" i="31" s="1"/>
  <c r="AP46" i="31"/>
  <c r="AZ46" i="31" s="1"/>
  <c r="AF46" i="31"/>
  <c r="Z46" i="31"/>
  <c r="AU46" i="31" s="1"/>
  <c r="Q46" i="31"/>
  <c r="V46" i="31" s="1"/>
  <c r="N46" i="31"/>
  <c r="L46" i="31"/>
  <c r="K46" i="31"/>
  <c r="AX45" i="31"/>
  <c r="AQ45" i="31"/>
  <c r="BA45" i="31" s="1"/>
  <c r="AP45" i="31"/>
  <c r="AZ45" i="31" s="1"/>
  <c r="AF45" i="31"/>
  <c r="Z45" i="31"/>
  <c r="AU45" i="31" s="1"/>
  <c r="V45" i="31"/>
  <c r="Q45" i="31"/>
  <c r="N45" i="31"/>
  <c r="L45" i="31"/>
  <c r="K45" i="31"/>
  <c r="I45" i="31" s="1"/>
  <c r="BA44" i="31"/>
  <c r="AX44" i="31"/>
  <c r="AQ44" i="31"/>
  <c r="AP44" i="31"/>
  <c r="AZ44" i="31" s="1"/>
  <c r="AZ48" i="31" s="1"/>
  <c r="AF44" i="31"/>
  <c r="AB44" i="31"/>
  <c r="Z44" i="31"/>
  <c r="Q44" i="31"/>
  <c r="V44" i="31" s="1"/>
  <c r="AC44" i="31" s="1"/>
  <c r="N44" i="31"/>
  <c r="L44" i="31"/>
  <c r="L48" i="31" s="1"/>
  <c r="K44" i="31"/>
  <c r="AO43" i="31"/>
  <c r="AN43" i="31"/>
  <c r="AM43" i="31"/>
  <c r="AL43" i="31"/>
  <c r="AK43" i="31"/>
  <c r="AJ43" i="31"/>
  <c r="AI43" i="31"/>
  <c r="AH43" i="31"/>
  <c r="AE43" i="31"/>
  <c r="AD43" i="31"/>
  <c r="Y43" i="31"/>
  <c r="X43" i="31"/>
  <c r="W43" i="31"/>
  <c r="U43" i="31"/>
  <c r="T43" i="31"/>
  <c r="S43" i="31"/>
  <c r="R43" i="31"/>
  <c r="P43" i="31"/>
  <c r="O43" i="31"/>
  <c r="M43" i="31"/>
  <c r="J43" i="31"/>
  <c r="AQ42" i="31"/>
  <c r="BA42" i="31" s="1"/>
  <c r="AP42" i="31"/>
  <c r="AF42" i="31"/>
  <c r="AX42" i="31" s="1"/>
  <c r="Z42" i="31"/>
  <c r="AU42" i="31" s="1"/>
  <c r="Q42" i="31"/>
  <c r="V42" i="31" s="1"/>
  <c r="AT42" i="31" s="1"/>
  <c r="N42" i="31"/>
  <c r="L42" i="31"/>
  <c r="K42" i="31"/>
  <c r="I42" i="31"/>
  <c r="AQ41" i="31"/>
  <c r="BA41" i="31" s="1"/>
  <c r="BA43" i="31" s="1"/>
  <c r="AP41" i="31"/>
  <c r="AF41" i="31"/>
  <c r="AX41" i="31" s="1"/>
  <c r="AX43" i="31" s="1"/>
  <c r="Z41" i="31"/>
  <c r="AU41" i="31" s="1"/>
  <c r="Q41" i="31"/>
  <c r="V41" i="31" s="1"/>
  <c r="N41" i="31"/>
  <c r="N43" i="31" s="1"/>
  <c r="L41" i="31"/>
  <c r="L43" i="31" s="1"/>
  <c r="K41" i="31"/>
  <c r="AO40" i="31"/>
  <c r="AN40" i="31"/>
  <c r="AM40" i="31"/>
  <c r="AL40" i="31"/>
  <c r="AK40" i="31"/>
  <c r="AJ40" i="31"/>
  <c r="AI40" i="31"/>
  <c r="AH40" i="31"/>
  <c r="AF40" i="31"/>
  <c r="AE40" i="31"/>
  <c r="AD40" i="31"/>
  <c r="Z40" i="31"/>
  <c r="Y40" i="31"/>
  <c r="X40" i="31"/>
  <c r="W40" i="31"/>
  <c r="U40" i="31"/>
  <c r="T40" i="31"/>
  <c r="S40" i="31"/>
  <c r="R40" i="31"/>
  <c r="Q40" i="31"/>
  <c r="P40" i="31"/>
  <c r="O40" i="31"/>
  <c r="M40" i="31"/>
  <c r="J40" i="31"/>
  <c r="BA39" i="31"/>
  <c r="AX39" i="31"/>
  <c r="AX86" i="31" s="1"/>
  <c r="AR39" i="31"/>
  <c r="AR86" i="31" s="1"/>
  <c r="AQ39" i="31"/>
  <c r="AP39" i="31"/>
  <c r="AP40" i="31" s="1"/>
  <c r="AF39" i="31"/>
  <c r="AF86" i="31" s="1"/>
  <c r="Z39" i="31"/>
  <c r="Z86" i="31" s="1"/>
  <c r="Q39" i="31"/>
  <c r="Q86" i="31" s="1"/>
  <c r="N39" i="31"/>
  <c r="N40" i="31" s="1"/>
  <c r="L39" i="31"/>
  <c r="K39" i="31"/>
  <c r="K86" i="31" s="1"/>
  <c r="AQ38" i="31"/>
  <c r="AO38" i="31"/>
  <c r="AN38" i="31"/>
  <c r="AM38" i="31"/>
  <c r="AL38" i="31"/>
  <c r="AK38" i="31"/>
  <c r="AJ38" i="31"/>
  <c r="AI38" i="31"/>
  <c r="AH38" i="31"/>
  <c r="AE38" i="31"/>
  <c r="AD38" i="31"/>
  <c r="Y38" i="31"/>
  <c r="X38" i="31"/>
  <c r="W38" i="31"/>
  <c r="U38" i="31"/>
  <c r="T38" i="31"/>
  <c r="S38" i="31"/>
  <c r="R38" i="31"/>
  <c r="P38" i="31"/>
  <c r="O38" i="31"/>
  <c r="M38" i="31"/>
  <c r="J38" i="31"/>
  <c r="BA37" i="31"/>
  <c r="AZ37" i="31"/>
  <c r="AU37" i="31"/>
  <c r="AR37" i="31"/>
  <c r="AQ37" i="31"/>
  <c r="AP37" i="31"/>
  <c r="AF37" i="31"/>
  <c r="AX37" i="31" s="1"/>
  <c r="Z37" i="31"/>
  <c r="Q37" i="31"/>
  <c r="V37" i="31" s="1"/>
  <c r="N37" i="31"/>
  <c r="AY37" i="31" s="1"/>
  <c r="L37" i="31"/>
  <c r="K37" i="31"/>
  <c r="BA36" i="31"/>
  <c r="AZ36" i="31"/>
  <c r="AU36" i="31"/>
  <c r="AR36" i="31"/>
  <c r="AQ36" i="31"/>
  <c r="AP36" i="31"/>
  <c r="AF36" i="31"/>
  <c r="AX36" i="31" s="1"/>
  <c r="Z36" i="31"/>
  <c r="Q36" i="31"/>
  <c r="V36" i="31" s="1"/>
  <c r="N36" i="31"/>
  <c r="AY36" i="31" s="1"/>
  <c r="L36" i="31"/>
  <c r="K36" i="31"/>
  <c r="BA35" i="31"/>
  <c r="AZ35" i="31"/>
  <c r="AU35" i="31"/>
  <c r="AR35" i="31"/>
  <c r="AQ35" i="31"/>
  <c r="AP35" i="31"/>
  <c r="AF35" i="31"/>
  <c r="AX35" i="31" s="1"/>
  <c r="Z35" i="31"/>
  <c r="Q35" i="31"/>
  <c r="V35" i="31" s="1"/>
  <c r="N35" i="31"/>
  <c r="AY35" i="31" s="1"/>
  <c r="L35" i="31"/>
  <c r="K35" i="31"/>
  <c r="BA34" i="31"/>
  <c r="AZ34" i="31"/>
  <c r="AU34" i="31"/>
  <c r="AR34" i="31"/>
  <c r="AQ34" i="31"/>
  <c r="AP34" i="31"/>
  <c r="AF34" i="31"/>
  <c r="AX34" i="31" s="1"/>
  <c r="Z34" i="31"/>
  <c r="Q34" i="31"/>
  <c r="V34" i="31" s="1"/>
  <c r="N34" i="31"/>
  <c r="AY34" i="31" s="1"/>
  <c r="L34" i="31"/>
  <c r="K34" i="31"/>
  <c r="BA33" i="31"/>
  <c r="BA38" i="31" s="1"/>
  <c r="AZ33" i="31"/>
  <c r="AZ38" i="31" s="1"/>
  <c r="AU33" i="31"/>
  <c r="AU38" i="31" s="1"/>
  <c r="AR33" i="31"/>
  <c r="AR38" i="31" s="1"/>
  <c r="AQ33" i="31"/>
  <c r="AP33" i="31"/>
  <c r="AP38" i="31" s="1"/>
  <c r="AF33" i="31"/>
  <c r="AX33" i="31" s="1"/>
  <c r="AX38" i="31" s="1"/>
  <c r="Z33" i="31"/>
  <c r="Z38" i="31" s="1"/>
  <c r="Q33" i="31"/>
  <c r="Q38" i="31" s="1"/>
  <c r="N33" i="31"/>
  <c r="N38" i="31" s="1"/>
  <c r="L33" i="31"/>
  <c r="L38" i="31" s="1"/>
  <c r="K33" i="31"/>
  <c r="K38" i="31" s="1"/>
  <c r="AO32" i="31"/>
  <c r="AN32" i="31"/>
  <c r="AM32" i="31"/>
  <c r="AL32" i="31"/>
  <c r="AK32" i="31"/>
  <c r="AI32" i="31"/>
  <c r="AH32" i="31"/>
  <c r="AE32" i="31"/>
  <c r="AD32" i="31"/>
  <c r="Y32" i="31"/>
  <c r="X32" i="31"/>
  <c r="W32" i="31"/>
  <c r="U32" i="31"/>
  <c r="T32" i="31"/>
  <c r="S32" i="31"/>
  <c r="P32" i="31"/>
  <c r="O32" i="31"/>
  <c r="M32" i="31"/>
  <c r="J32" i="31"/>
  <c r="AZ31" i="31"/>
  <c r="AX31" i="31"/>
  <c r="AQ31" i="31"/>
  <c r="BA31" i="31" s="1"/>
  <c r="AP31" i="31"/>
  <c r="AF31" i="31"/>
  <c r="Z31" i="31"/>
  <c r="AU31" i="31" s="1"/>
  <c r="Q31" i="31"/>
  <c r="V31" i="31" s="1"/>
  <c r="N31" i="31"/>
  <c r="L31" i="31"/>
  <c r="I31" i="31" s="1"/>
  <c r="K31" i="31"/>
  <c r="AZ30" i="31"/>
  <c r="AQ30" i="31"/>
  <c r="AP30" i="31"/>
  <c r="AF30" i="31"/>
  <c r="Z30" i="31"/>
  <c r="AU30" i="31" s="1"/>
  <c r="Q30" i="31"/>
  <c r="V30" i="31" s="1"/>
  <c r="N30" i="31"/>
  <c r="L30" i="31"/>
  <c r="K30" i="31"/>
  <c r="AZ29" i="31"/>
  <c r="AX29" i="31"/>
  <c r="AQ29" i="31"/>
  <c r="BA29" i="31" s="1"/>
  <c r="AP29" i="31"/>
  <c r="AF29" i="31"/>
  <c r="Z29" i="31"/>
  <c r="AU29" i="31" s="1"/>
  <c r="Q29" i="31"/>
  <c r="V29" i="31" s="1"/>
  <c r="N29" i="31"/>
  <c r="L29" i="31"/>
  <c r="I29" i="31" s="1"/>
  <c r="K29" i="31"/>
  <c r="AX28" i="31"/>
  <c r="AU28" i="31"/>
  <c r="AQ28" i="31"/>
  <c r="BA28" i="31" s="1"/>
  <c r="AJ28" i="31"/>
  <c r="AF28" i="31"/>
  <c r="Z28" i="31"/>
  <c r="R28" i="31"/>
  <c r="R79" i="31" s="1"/>
  <c r="Q28" i="31"/>
  <c r="N28" i="31"/>
  <c r="L28" i="31"/>
  <c r="I28" i="31" s="1"/>
  <c r="K28" i="31"/>
  <c r="AQ27" i="31"/>
  <c r="BA27" i="31" s="1"/>
  <c r="AP27" i="31"/>
  <c r="AF27" i="31"/>
  <c r="AX27" i="31" s="1"/>
  <c r="Z27" i="31"/>
  <c r="AU27" i="31" s="1"/>
  <c r="Q27" i="31"/>
  <c r="V27" i="31" s="1"/>
  <c r="AB27" i="31" s="1"/>
  <c r="AV27" i="31" s="1"/>
  <c r="N27" i="31"/>
  <c r="N32" i="31" s="1"/>
  <c r="L27" i="31"/>
  <c r="K27" i="31"/>
  <c r="I27" i="31"/>
  <c r="AZ26" i="31"/>
  <c r="AX26" i="31"/>
  <c r="AQ26" i="31"/>
  <c r="AP26" i="31"/>
  <c r="AF26" i="31"/>
  <c r="Z26" i="31"/>
  <c r="Q26" i="31"/>
  <c r="N26" i="31"/>
  <c r="L26" i="31"/>
  <c r="K26" i="31"/>
  <c r="AP25" i="31"/>
  <c r="AO25" i="31"/>
  <c r="AN25" i="31"/>
  <c r="AM25" i="31"/>
  <c r="AL25" i="31"/>
  <c r="AK25" i="31"/>
  <c r="AJ25" i="31"/>
  <c r="AI25" i="31"/>
  <c r="AH25" i="31"/>
  <c r="AE25" i="31"/>
  <c r="AD25" i="31"/>
  <c r="Y25" i="31"/>
  <c r="X25" i="31"/>
  <c r="W25" i="31"/>
  <c r="U25" i="31"/>
  <c r="T25" i="31"/>
  <c r="S25" i="31"/>
  <c r="R25" i="31"/>
  <c r="P25" i="31"/>
  <c r="O25" i="31"/>
  <c r="M25" i="31"/>
  <c r="J25" i="31"/>
  <c r="BA24" i="31"/>
  <c r="AQ24" i="31"/>
  <c r="AQ87" i="31" s="1"/>
  <c r="AP24" i="31"/>
  <c r="AF24" i="31"/>
  <c r="Z24" i="31"/>
  <c r="Z87" i="31" s="1"/>
  <c r="V24" i="31"/>
  <c r="AT24" i="31" s="1"/>
  <c r="AT87" i="31" s="1"/>
  <c r="Q24" i="31"/>
  <c r="N24" i="31"/>
  <c r="L24" i="31"/>
  <c r="L87" i="31" s="1"/>
  <c r="K24" i="31"/>
  <c r="I24" i="31"/>
  <c r="I87" i="31" s="1"/>
  <c r="AO23" i="31"/>
  <c r="AN23" i="31"/>
  <c r="AM23" i="31"/>
  <c r="AL23" i="31"/>
  <c r="AK23" i="31"/>
  <c r="AJ23" i="31"/>
  <c r="AI23" i="31"/>
  <c r="AH23" i="31"/>
  <c r="AE23" i="31"/>
  <c r="AD23" i="31"/>
  <c r="Y23" i="31"/>
  <c r="X23" i="31"/>
  <c r="W23" i="31"/>
  <c r="U23" i="31"/>
  <c r="T23" i="31"/>
  <c r="S23" i="31"/>
  <c r="R23" i="31"/>
  <c r="Q23" i="31"/>
  <c r="P23" i="31"/>
  <c r="O23" i="31"/>
  <c r="M23" i="31"/>
  <c r="J23" i="31"/>
  <c r="AZ22" i="31"/>
  <c r="AT22" i="31"/>
  <c r="AQ22" i="31"/>
  <c r="BA22" i="31" s="1"/>
  <c r="AP22" i="31"/>
  <c r="AF22" i="31"/>
  <c r="AX22" i="31" s="1"/>
  <c r="AC22" i="31"/>
  <c r="AB22" i="31"/>
  <c r="AV22" i="31" s="1"/>
  <c r="Z22" i="31"/>
  <c r="AU22" i="31" s="1"/>
  <c r="Q22" i="31"/>
  <c r="V22" i="31" s="1"/>
  <c r="N22" i="31"/>
  <c r="L22" i="31"/>
  <c r="K22" i="31"/>
  <c r="AX21" i="31"/>
  <c r="AQ21" i="31"/>
  <c r="BA21" i="31" s="1"/>
  <c r="BA23" i="31" s="1"/>
  <c r="AP21" i="31"/>
  <c r="AF21" i="31"/>
  <c r="Z21" i="31"/>
  <c r="AU21" i="31" s="1"/>
  <c r="Q21" i="31"/>
  <c r="V21" i="31" s="1"/>
  <c r="N21" i="31"/>
  <c r="L21" i="31"/>
  <c r="L23" i="31" s="1"/>
  <c r="K21" i="31"/>
  <c r="AQ20" i="31"/>
  <c r="BA20" i="31" s="1"/>
  <c r="AP20" i="31"/>
  <c r="AZ20" i="31" s="1"/>
  <c r="AF20" i="31"/>
  <c r="Z20" i="31"/>
  <c r="Q20" i="31"/>
  <c r="V20" i="31" s="1"/>
  <c r="AT20" i="31" s="1"/>
  <c r="N20" i="31"/>
  <c r="L20" i="31"/>
  <c r="K20" i="31"/>
  <c r="AO19" i="31"/>
  <c r="AN19" i="31"/>
  <c r="AM19" i="31"/>
  <c r="AL19" i="31"/>
  <c r="AK19" i="31"/>
  <c r="AJ19" i="31"/>
  <c r="AI19" i="31"/>
  <c r="AH19" i="31"/>
  <c r="AE19" i="31"/>
  <c r="AD19" i="31"/>
  <c r="Y19" i="31"/>
  <c r="X19" i="31"/>
  <c r="W19" i="31"/>
  <c r="U19" i="31"/>
  <c r="T19" i="31"/>
  <c r="S19" i="31"/>
  <c r="R19" i="31"/>
  <c r="P19" i="31"/>
  <c r="O19" i="31"/>
  <c r="M19" i="31"/>
  <c r="J19" i="31"/>
  <c r="AQ18" i="31"/>
  <c r="BA18" i="31" s="1"/>
  <c r="AP18" i="31"/>
  <c r="AR18" i="31" s="1"/>
  <c r="AF18" i="31"/>
  <c r="AX18" i="31" s="1"/>
  <c r="Z18" i="31"/>
  <c r="AU18" i="31" s="1"/>
  <c r="Q18" i="31"/>
  <c r="V18" i="31" s="1"/>
  <c r="AT18" i="31" s="1"/>
  <c r="N18" i="31"/>
  <c r="L18" i="31"/>
  <c r="K18" i="31"/>
  <c r="I18" i="31"/>
  <c r="AQ17" i="31"/>
  <c r="BA17" i="31" s="1"/>
  <c r="AP17" i="31"/>
  <c r="AF17" i="31"/>
  <c r="AX17" i="31" s="1"/>
  <c r="Z17" i="31"/>
  <c r="AU17" i="31" s="1"/>
  <c r="Q17" i="31"/>
  <c r="V17" i="31" s="1"/>
  <c r="N17" i="31"/>
  <c r="L17" i="31"/>
  <c r="K17" i="31"/>
  <c r="I17" i="31"/>
  <c r="AZ16" i="31"/>
  <c r="AQ16" i="31"/>
  <c r="AP16" i="31"/>
  <c r="AF16" i="31"/>
  <c r="Z16" i="31"/>
  <c r="Q16" i="31"/>
  <c r="N16" i="31"/>
  <c r="L16" i="31"/>
  <c r="I16" i="31" s="1"/>
  <c r="I19" i="31" s="1"/>
  <c r="K16" i="31"/>
  <c r="AO15" i="31"/>
  <c r="AN15" i="31"/>
  <c r="AM15" i="31"/>
  <c r="AL15" i="31"/>
  <c r="AK15" i="31"/>
  <c r="AJ15" i="31"/>
  <c r="AI15" i="31"/>
  <c r="AH15" i="31"/>
  <c r="AE15" i="31"/>
  <c r="AD15" i="31"/>
  <c r="Y15" i="31"/>
  <c r="X15" i="31"/>
  <c r="W15" i="31"/>
  <c r="U15" i="31"/>
  <c r="T15" i="31"/>
  <c r="S15" i="31"/>
  <c r="R15" i="31"/>
  <c r="P15" i="31"/>
  <c r="O15" i="31"/>
  <c r="M15" i="31"/>
  <c r="J15" i="31"/>
  <c r="AQ14" i="31"/>
  <c r="AP14" i="31"/>
  <c r="AF14" i="31"/>
  <c r="AX14" i="31" s="1"/>
  <c r="Z14" i="31"/>
  <c r="AU14" i="31" s="1"/>
  <c r="Q14" i="31"/>
  <c r="N14" i="31"/>
  <c r="L14" i="31"/>
  <c r="K14" i="31"/>
  <c r="AQ13" i="31"/>
  <c r="BA13" i="31" s="1"/>
  <c r="AP13" i="31"/>
  <c r="AZ13" i="31" s="1"/>
  <c r="AF13" i="31"/>
  <c r="AX13" i="31" s="1"/>
  <c r="Z13" i="31"/>
  <c r="AU13" i="31" s="1"/>
  <c r="Q13" i="31"/>
  <c r="V13" i="31" s="1"/>
  <c r="N13" i="31"/>
  <c r="L13" i="31"/>
  <c r="K13" i="31"/>
  <c r="AQ12" i="31"/>
  <c r="AP12" i="31"/>
  <c r="AP78" i="31" s="1"/>
  <c r="AF12" i="31"/>
  <c r="AX12" i="31" s="1"/>
  <c r="Z12" i="31"/>
  <c r="Q12" i="31"/>
  <c r="N12" i="31"/>
  <c r="L12" i="31"/>
  <c r="L15" i="31" s="1"/>
  <c r="K12" i="31"/>
  <c r="AR133" i="30"/>
  <c r="AQ133" i="30"/>
  <c r="AP133" i="30"/>
  <c r="AR132" i="30"/>
  <c r="AQ132" i="30"/>
  <c r="AP132" i="30"/>
  <c r="AO113" i="30"/>
  <c r="AN113" i="30"/>
  <c r="AM113" i="30"/>
  <c r="AL113" i="30"/>
  <c r="AK113" i="30"/>
  <c r="AJ113" i="30"/>
  <c r="AI113" i="30"/>
  <c r="AH113" i="30"/>
  <c r="AE113" i="30"/>
  <c r="AD113" i="30"/>
  <c r="Y113" i="30"/>
  <c r="X113" i="30"/>
  <c r="W113" i="30"/>
  <c r="U113" i="30"/>
  <c r="T113" i="30"/>
  <c r="S113" i="30"/>
  <c r="R113" i="30"/>
  <c r="P113" i="30"/>
  <c r="O113" i="30"/>
  <c r="M113" i="30"/>
  <c r="J113" i="30"/>
  <c r="AO112" i="30"/>
  <c r="AN112" i="30"/>
  <c r="AM112" i="30"/>
  <c r="AL112" i="30"/>
  <c r="AK112" i="30"/>
  <c r="AJ112" i="30"/>
  <c r="AI112" i="30"/>
  <c r="AH112" i="30"/>
  <c r="AE112" i="30"/>
  <c r="AD112" i="30"/>
  <c r="Y112" i="30"/>
  <c r="X112" i="30"/>
  <c r="W112" i="30"/>
  <c r="U112" i="30"/>
  <c r="T112" i="30"/>
  <c r="S112" i="30"/>
  <c r="R112" i="30"/>
  <c r="P112" i="30"/>
  <c r="O112" i="30"/>
  <c r="M112" i="30"/>
  <c r="J112" i="30"/>
  <c r="AO111" i="30"/>
  <c r="AN111" i="30"/>
  <c r="AM111" i="30"/>
  <c r="AL111" i="30"/>
  <c r="AK111" i="30"/>
  <c r="AJ111" i="30"/>
  <c r="AI111" i="30"/>
  <c r="AH111" i="30"/>
  <c r="AE111" i="30"/>
  <c r="AD111" i="30"/>
  <c r="Y111" i="30"/>
  <c r="X111" i="30"/>
  <c r="W111" i="30"/>
  <c r="U111" i="30"/>
  <c r="T111" i="30"/>
  <c r="S111" i="30"/>
  <c r="R111" i="30"/>
  <c r="P111" i="30"/>
  <c r="O111" i="30"/>
  <c r="M111" i="30"/>
  <c r="J111" i="30"/>
  <c r="AO110" i="30"/>
  <c r="AN110" i="30"/>
  <c r="AM110" i="30"/>
  <c r="AL110" i="30"/>
  <c r="AK110" i="30"/>
  <c r="AJ110" i="30"/>
  <c r="AI110" i="30"/>
  <c r="AH110" i="30"/>
  <c r="AE110" i="30"/>
  <c r="AD110" i="30"/>
  <c r="Y110" i="30"/>
  <c r="X110" i="30"/>
  <c r="W110" i="30"/>
  <c r="U110" i="30"/>
  <c r="T110" i="30"/>
  <c r="S110" i="30"/>
  <c r="R110" i="30"/>
  <c r="P110" i="30"/>
  <c r="O110" i="30"/>
  <c r="M110" i="30"/>
  <c r="J110" i="30"/>
  <c r="BA109" i="30"/>
  <c r="AZ109" i="30"/>
  <c r="AY109" i="30"/>
  <c r="AX109" i="30"/>
  <c r="AW109" i="30"/>
  <c r="AV109" i="30"/>
  <c r="AU109" i="30"/>
  <c r="AT109" i="30"/>
  <c r="AS109" i="30"/>
  <c r="AR109" i="30"/>
  <c r="AQ109" i="30"/>
  <c r="AP109" i="30"/>
  <c r="AO109" i="30"/>
  <c r="AN109" i="30"/>
  <c r="AM109" i="30"/>
  <c r="AL109" i="30"/>
  <c r="AK109" i="30"/>
  <c r="AJ109" i="30"/>
  <c r="AI109" i="30"/>
  <c r="AH109" i="30"/>
  <c r="AG109" i="30"/>
  <c r="AF109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S109" i="30"/>
  <c r="R109" i="30"/>
  <c r="Q109" i="30"/>
  <c r="P109" i="30"/>
  <c r="O109" i="30"/>
  <c r="N109" i="30"/>
  <c r="M109" i="30"/>
  <c r="L109" i="30"/>
  <c r="K109" i="30"/>
  <c r="J109" i="30"/>
  <c r="I109" i="30"/>
  <c r="BA108" i="30"/>
  <c r="AZ108" i="30"/>
  <c r="AY108" i="30"/>
  <c r="AX108" i="30"/>
  <c r="AW108" i="30"/>
  <c r="AV108" i="30"/>
  <c r="AU108" i="30"/>
  <c r="AT108" i="30"/>
  <c r="AS108" i="30"/>
  <c r="AR108" i="30"/>
  <c r="AQ108" i="30"/>
  <c r="AP108" i="30"/>
  <c r="AO108" i="30"/>
  <c r="AN108" i="30"/>
  <c r="AM108" i="30"/>
  <c r="AL108" i="30"/>
  <c r="AK108" i="30"/>
  <c r="AJ108" i="30"/>
  <c r="AI108" i="30"/>
  <c r="AH108" i="30"/>
  <c r="AG108" i="30"/>
  <c r="AF108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S108" i="30"/>
  <c r="R108" i="30"/>
  <c r="Q108" i="30"/>
  <c r="P108" i="30"/>
  <c r="O108" i="30"/>
  <c r="N108" i="30"/>
  <c r="M108" i="30"/>
  <c r="L108" i="30"/>
  <c r="K108" i="30"/>
  <c r="J108" i="30"/>
  <c r="I108" i="30"/>
  <c r="AO107" i="30"/>
  <c r="AN107" i="30"/>
  <c r="AM107" i="30"/>
  <c r="AL107" i="30"/>
  <c r="AK107" i="30"/>
  <c r="AJ107" i="30"/>
  <c r="AI107" i="30"/>
  <c r="AH107" i="30"/>
  <c r="AE107" i="30"/>
  <c r="AD107" i="30"/>
  <c r="Y107" i="30"/>
  <c r="X107" i="30"/>
  <c r="W107" i="30"/>
  <c r="U107" i="30"/>
  <c r="T107" i="30"/>
  <c r="S107" i="30"/>
  <c r="R107" i="30"/>
  <c r="P107" i="30"/>
  <c r="O107" i="30"/>
  <c r="M107" i="30"/>
  <c r="J107" i="30"/>
  <c r="BA106" i="30"/>
  <c r="AZ106" i="30"/>
  <c r="AY106" i="30"/>
  <c r="AX106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U103" i="30" s="1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AO105" i="30"/>
  <c r="AN105" i="30"/>
  <c r="AM105" i="30"/>
  <c r="AL105" i="30"/>
  <c r="AK105" i="30"/>
  <c r="AJ105" i="30"/>
  <c r="AI105" i="30"/>
  <c r="AH105" i="30"/>
  <c r="AE105" i="30"/>
  <c r="Y105" i="30"/>
  <c r="X105" i="30"/>
  <c r="W105" i="30"/>
  <c r="U105" i="30"/>
  <c r="T105" i="30"/>
  <c r="S105" i="30"/>
  <c r="R105" i="30"/>
  <c r="P105" i="30"/>
  <c r="O105" i="30"/>
  <c r="M105" i="30"/>
  <c r="J105" i="30"/>
  <c r="AO104" i="30"/>
  <c r="AN104" i="30"/>
  <c r="AM104" i="30"/>
  <c r="AL104" i="30"/>
  <c r="AK104" i="30"/>
  <c r="AI104" i="30"/>
  <c r="AH104" i="30"/>
  <c r="AH103" i="30" s="1"/>
  <c r="AE104" i="30"/>
  <c r="AD104" i="30"/>
  <c r="Y104" i="30"/>
  <c r="X104" i="30"/>
  <c r="W104" i="30"/>
  <c r="U104" i="30"/>
  <c r="T104" i="30"/>
  <c r="S104" i="30"/>
  <c r="P104" i="30"/>
  <c r="O104" i="30"/>
  <c r="M104" i="30"/>
  <c r="J104" i="30"/>
  <c r="AO103" i="30"/>
  <c r="AL103" i="30"/>
  <c r="AI103" i="30"/>
  <c r="AQ102" i="30" s="1"/>
  <c r="W103" i="30"/>
  <c r="AO99" i="30"/>
  <c r="AN99" i="30"/>
  <c r="AM99" i="30"/>
  <c r="AL99" i="30"/>
  <c r="AK99" i="30"/>
  <c r="AJ99" i="30"/>
  <c r="AI99" i="30"/>
  <c r="AH99" i="30"/>
  <c r="AF99" i="30"/>
  <c r="AE99" i="30"/>
  <c r="AD99" i="30"/>
  <c r="Y99" i="30"/>
  <c r="X99" i="30"/>
  <c r="W99" i="30"/>
  <c r="U99" i="30"/>
  <c r="T99" i="30"/>
  <c r="S99" i="30"/>
  <c r="R99" i="30"/>
  <c r="P99" i="30"/>
  <c r="O99" i="30"/>
  <c r="N99" i="30"/>
  <c r="M99" i="30"/>
  <c r="J99" i="30"/>
  <c r="BA98" i="30"/>
  <c r="AX98" i="30"/>
  <c r="AR98" i="30"/>
  <c r="AY98" i="30" s="1"/>
  <c r="AQ98" i="30"/>
  <c r="AP98" i="30"/>
  <c r="AZ98" i="30" s="1"/>
  <c r="AF98" i="30"/>
  <c r="Z98" i="30"/>
  <c r="AU98" i="30" s="1"/>
  <c r="Q98" i="30"/>
  <c r="V98" i="30" s="1"/>
  <c r="N98" i="30"/>
  <c r="L98" i="30"/>
  <c r="K98" i="30"/>
  <c r="AX97" i="30"/>
  <c r="AU97" i="30"/>
  <c r="AQ97" i="30"/>
  <c r="BA97" i="30" s="1"/>
  <c r="AP97" i="30"/>
  <c r="AZ97" i="30" s="1"/>
  <c r="AF97" i="30"/>
  <c r="AB97" i="30"/>
  <c r="Z97" i="30"/>
  <c r="Q97" i="30"/>
  <c r="V97" i="30" s="1"/>
  <c r="AC97" i="30" s="1"/>
  <c r="N97" i="30"/>
  <c r="L97" i="30"/>
  <c r="K97" i="30"/>
  <c r="I97" i="30" s="1"/>
  <c r="AX96" i="30"/>
  <c r="AQ96" i="30"/>
  <c r="BA96" i="30" s="1"/>
  <c r="AP96" i="30"/>
  <c r="AF96" i="30"/>
  <c r="Z96" i="30"/>
  <c r="AU96" i="30" s="1"/>
  <c r="Q96" i="30"/>
  <c r="V96" i="30" s="1"/>
  <c r="AC96" i="30" s="1"/>
  <c r="N96" i="30"/>
  <c r="L96" i="30"/>
  <c r="K96" i="30"/>
  <c r="AQ95" i="30"/>
  <c r="AP95" i="30"/>
  <c r="AZ95" i="30" s="1"/>
  <c r="AF95" i="30"/>
  <c r="AX95" i="30" s="1"/>
  <c r="Z95" i="30"/>
  <c r="AU95" i="30" s="1"/>
  <c r="Q95" i="30"/>
  <c r="V95" i="30" s="1"/>
  <c r="AB95" i="30" s="1"/>
  <c r="AV95" i="30" s="1"/>
  <c r="N95" i="30"/>
  <c r="L95" i="30"/>
  <c r="I95" i="30" s="1"/>
  <c r="K95" i="30"/>
  <c r="AX94" i="30"/>
  <c r="AU94" i="30"/>
  <c r="AQ94" i="30"/>
  <c r="BA94" i="30" s="1"/>
  <c r="AP94" i="30"/>
  <c r="AZ94" i="30" s="1"/>
  <c r="AF94" i="30"/>
  <c r="AC94" i="30"/>
  <c r="AB94" i="30"/>
  <c r="Z94" i="30"/>
  <c r="V94" i="30"/>
  <c r="Q94" i="30"/>
  <c r="N94" i="30"/>
  <c r="L94" i="30"/>
  <c r="AW94" i="30" s="1"/>
  <c r="K94" i="30"/>
  <c r="AX93" i="30"/>
  <c r="AQ93" i="30"/>
  <c r="AP93" i="30"/>
  <c r="AF93" i="30"/>
  <c r="Z93" i="30"/>
  <c r="AU93" i="30" s="1"/>
  <c r="V93" i="30"/>
  <c r="Q93" i="30"/>
  <c r="N93" i="30"/>
  <c r="L93" i="30"/>
  <c r="K93" i="30"/>
  <c r="AO92" i="30"/>
  <c r="AN92" i="30"/>
  <c r="AM92" i="30"/>
  <c r="AL92" i="30"/>
  <c r="AK92" i="30"/>
  <c r="AJ92" i="30"/>
  <c r="AI92" i="30"/>
  <c r="AH92" i="30"/>
  <c r="AE92" i="30"/>
  <c r="AD92" i="30"/>
  <c r="Y92" i="30"/>
  <c r="X92" i="30"/>
  <c r="W92" i="30"/>
  <c r="U92" i="30"/>
  <c r="T92" i="30"/>
  <c r="S92" i="30"/>
  <c r="R92" i="30"/>
  <c r="P92" i="30"/>
  <c r="O92" i="30"/>
  <c r="M92" i="30"/>
  <c r="J92" i="30"/>
  <c r="BA91" i="30"/>
  <c r="AR91" i="30"/>
  <c r="AQ91" i="30"/>
  <c r="AP91" i="30"/>
  <c r="AZ91" i="30" s="1"/>
  <c r="AF91" i="30"/>
  <c r="AX91" i="30" s="1"/>
  <c r="Z91" i="30"/>
  <c r="AU91" i="30" s="1"/>
  <c r="Q91" i="30"/>
  <c r="V91" i="30" s="1"/>
  <c r="N91" i="30"/>
  <c r="L91" i="30"/>
  <c r="K91" i="30"/>
  <c r="BA90" i="30"/>
  <c r="AQ90" i="30"/>
  <c r="AP90" i="30"/>
  <c r="AZ90" i="30" s="1"/>
  <c r="AF90" i="30"/>
  <c r="AX90" i="30" s="1"/>
  <c r="Z90" i="30"/>
  <c r="AU90" i="30" s="1"/>
  <c r="V90" i="30"/>
  <c r="AB90" i="30" s="1"/>
  <c r="AV90" i="30" s="1"/>
  <c r="Q90" i="30"/>
  <c r="N90" i="30"/>
  <c r="L90" i="30"/>
  <c r="I90" i="30" s="1"/>
  <c r="K90" i="30"/>
  <c r="AQ89" i="30"/>
  <c r="BA89" i="30" s="1"/>
  <c r="AP89" i="30"/>
  <c r="AF89" i="30"/>
  <c r="AX89" i="30" s="1"/>
  <c r="Z89" i="30"/>
  <c r="AU89" i="30" s="1"/>
  <c r="V89" i="30"/>
  <c r="Q89" i="30"/>
  <c r="N89" i="30"/>
  <c r="L89" i="30"/>
  <c r="I89" i="30" s="1"/>
  <c r="K89" i="30"/>
  <c r="AU88" i="30"/>
  <c r="AQ88" i="30"/>
  <c r="BA88" i="30" s="1"/>
  <c r="AP88" i="30"/>
  <c r="AZ88" i="30" s="1"/>
  <c r="AF88" i="30"/>
  <c r="AX88" i="30" s="1"/>
  <c r="AC88" i="30"/>
  <c r="AB88" i="30"/>
  <c r="Z88" i="30"/>
  <c r="V88" i="30"/>
  <c r="Q88" i="30"/>
  <c r="N88" i="30"/>
  <c r="L88" i="30"/>
  <c r="K88" i="30"/>
  <c r="AV88" i="30" s="1"/>
  <c r="AQ87" i="30"/>
  <c r="BA87" i="30" s="1"/>
  <c r="AP87" i="30"/>
  <c r="AF87" i="30"/>
  <c r="AX87" i="30" s="1"/>
  <c r="Z87" i="30"/>
  <c r="AU87" i="30" s="1"/>
  <c r="Q87" i="30"/>
  <c r="V87" i="30" s="1"/>
  <c r="AB87" i="30" s="1"/>
  <c r="N87" i="30"/>
  <c r="L87" i="30"/>
  <c r="K87" i="30"/>
  <c r="AX86" i="30"/>
  <c r="AQ86" i="30"/>
  <c r="AP86" i="30"/>
  <c r="AF86" i="30"/>
  <c r="Z86" i="30"/>
  <c r="Q86" i="30"/>
  <c r="Q92" i="30" s="1"/>
  <c r="N86" i="30"/>
  <c r="L86" i="30"/>
  <c r="K86" i="30"/>
  <c r="AO85" i="30"/>
  <c r="AN85" i="30"/>
  <c r="AM85" i="30"/>
  <c r="AL85" i="30"/>
  <c r="AK85" i="30"/>
  <c r="AI85" i="30"/>
  <c r="AH85" i="30"/>
  <c r="AE85" i="30"/>
  <c r="AD85" i="30"/>
  <c r="Y85" i="30"/>
  <c r="X85" i="30"/>
  <c r="W85" i="30"/>
  <c r="U85" i="30"/>
  <c r="T85" i="30"/>
  <c r="S85" i="30"/>
  <c r="P85" i="30"/>
  <c r="O85" i="30"/>
  <c r="M85" i="30"/>
  <c r="L85" i="30"/>
  <c r="J85" i="30"/>
  <c r="AQ84" i="30"/>
  <c r="AP84" i="30"/>
  <c r="AZ84" i="30" s="1"/>
  <c r="AF84" i="30"/>
  <c r="AX84" i="30" s="1"/>
  <c r="AA84" i="30"/>
  <c r="Z84" i="30"/>
  <c r="AU84" i="30" s="1"/>
  <c r="Q84" i="30"/>
  <c r="V84" i="30" s="1"/>
  <c r="AB84" i="30" s="1"/>
  <c r="N84" i="30"/>
  <c r="L84" i="30"/>
  <c r="K84" i="30"/>
  <c r="AX83" i="30"/>
  <c r="AQ83" i="30"/>
  <c r="BA83" i="30" s="1"/>
  <c r="AJ83" i="30"/>
  <c r="AJ85" i="30" s="1"/>
  <c r="AF83" i="30"/>
  <c r="Z83" i="30"/>
  <c r="AU83" i="30" s="1"/>
  <c r="V83" i="30"/>
  <c r="AC83" i="30" s="1"/>
  <c r="AW83" i="30" s="1"/>
  <c r="R83" i="30"/>
  <c r="R85" i="30" s="1"/>
  <c r="Q83" i="30"/>
  <c r="N83" i="30"/>
  <c r="L83" i="30"/>
  <c r="K83" i="30"/>
  <c r="I83" i="30"/>
  <c r="AQ82" i="30"/>
  <c r="BA82" i="30" s="1"/>
  <c r="AP82" i="30"/>
  <c r="AF82" i="30"/>
  <c r="AX82" i="30" s="1"/>
  <c r="Z82" i="30"/>
  <c r="Q82" i="30"/>
  <c r="N82" i="30"/>
  <c r="L82" i="30"/>
  <c r="I82" i="30" s="1"/>
  <c r="K82" i="30"/>
  <c r="AO81" i="30"/>
  <c r="AN81" i="30"/>
  <c r="AM81" i="30"/>
  <c r="AL81" i="30"/>
  <c r="AK81" i="30"/>
  <c r="AJ81" i="30"/>
  <c r="AI81" i="30"/>
  <c r="AH81" i="30"/>
  <c r="AE81" i="30"/>
  <c r="AD81" i="30"/>
  <c r="Y81" i="30"/>
  <c r="X81" i="30"/>
  <c r="W81" i="30"/>
  <c r="U81" i="30"/>
  <c r="T81" i="30"/>
  <c r="S81" i="30"/>
  <c r="R81" i="30"/>
  <c r="P81" i="30"/>
  <c r="O81" i="30"/>
  <c r="M81" i="30"/>
  <c r="L81" i="30"/>
  <c r="J81" i="30"/>
  <c r="AQ80" i="30"/>
  <c r="BA80" i="30" s="1"/>
  <c r="AP80" i="30"/>
  <c r="AF80" i="30"/>
  <c r="AX80" i="30" s="1"/>
  <c r="AA80" i="30"/>
  <c r="Z80" i="30"/>
  <c r="AU80" i="30" s="1"/>
  <c r="Q80" i="30"/>
  <c r="V80" i="30" s="1"/>
  <c r="AC80" i="30" s="1"/>
  <c r="N80" i="30"/>
  <c r="L80" i="30"/>
  <c r="AW80" i="30" s="1"/>
  <c r="K80" i="30"/>
  <c r="I80" i="30"/>
  <c r="AQ79" i="30"/>
  <c r="BA79" i="30" s="1"/>
  <c r="AP79" i="30"/>
  <c r="AF79" i="30"/>
  <c r="AX79" i="30" s="1"/>
  <c r="AC79" i="30"/>
  <c r="Z79" i="30"/>
  <c r="AU79" i="30" s="1"/>
  <c r="Q79" i="30"/>
  <c r="V79" i="30" s="1"/>
  <c r="N79" i="30"/>
  <c r="L79" i="30"/>
  <c r="AW79" i="30" s="1"/>
  <c r="K79" i="30"/>
  <c r="AQ78" i="30"/>
  <c r="BA78" i="30" s="1"/>
  <c r="AP78" i="30"/>
  <c r="AF78" i="30"/>
  <c r="AX78" i="30" s="1"/>
  <c r="Z78" i="30"/>
  <c r="AU78" i="30" s="1"/>
  <c r="Q78" i="30"/>
  <c r="V78" i="30" s="1"/>
  <c r="N78" i="30"/>
  <c r="L78" i="30"/>
  <c r="K78" i="30"/>
  <c r="I78" i="30" s="1"/>
  <c r="AQ77" i="30"/>
  <c r="BA77" i="30" s="1"/>
  <c r="AP77" i="30"/>
  <c r="AF77" i="30"/>
  <c r="AX77" i="30" s="1"/>
  <c r="Z77" i="30"/>
  <c r="AU77" i="30" s="1"/>
  <c r="Q77" i="30"/>
  <c r="V77" i="30" s="1"/>
  <c r="AC77" i="30" s="1"/>
  <c r="AW77" i="30" s="1"/>
  <c r="N77" i="30"/>
  <c r="L77" i="30"/>
  <c r="K77" i="30"/>
  <c r="I77" i="30" s="1"/>
  <c r="AQ76" i="30"/>
  <c r="AP76" i="30"/>
  <c r="AF76" i="30"/>
  <c r="AF81" i="30" s="1"/>
  <c r="Z76" i="30"/>
  <c r="Q76" i="30"/>
  <c r="V76" i="30" s="1"/>
  <c r="AC76" i="30" s="1"/>
  <c r="N76" i="30"/>
  <c r="L76" i="30"/>
  <c r="K76" i="30"/>
  <c r="AO75" i="30"/>
  <c r="AN75" i="30"/>
  <c r="AM75" i="30"/>
  <c r="AL75" i="30"/>
  <c r="AK75" i="30"/>
  <c r="AJ75" i="30"/>
  <c r="AI75" i="30"/>
  <c r="AH75" i="30"/>
  <c r="AE75" i="30"/>
  <c r="AD75" i="30"/>
  <c r="Y75" i="30"/>
  <c r="X75" i="30"/>
  <c r="W75" i="30"/>
  <c r="U75" i="30"/>
  <c r="T75" i="30"/>
  <c r="S75" i="30"/>
  <c r="R75" i="30"/>
  <c r="P75" i="30"/>
  <c r="O75" i="30"/>
  <c r="M75" i="30"/>
  <c r="J75" i="30"/>
  <c r="AQ74" i="30"/>
  <c r="BA74" i="30" s="1"/>
  <c r="AP74" i="30"/>
  <c r="AR74" i="30" s="1"/>
  <c r="AF74" i="30"/>
  <c r="AX74" i="30" s="1"/>
  <c r="Z74" i="30"/>
  <c r="AU74" i="30" s="1"/>
  <c r="Q74" i="30"/>
  <c r="V74" i="30" s="1"/>
  <c r="N74" i="30"/>
  <c r="AY74" i="30" s="1"/>
  <c r="L74" i="30"/>
  <c r="K74" i="30"/>
  <c r="I74" i="30" s="1"/>
  <c r="AT73" i="30"/>
  <c r="AQ73" i="30"/>
  <c r="BA73" i="30" s="1"/>
  <c r="AP73" i="30"/>
  <c r="AF73" i="30"/>
  <c r="AX73" i="30" s="1"/>
  <c r="Z73" i="30"/>
  <c r="AU73" i="30" s="1"/>
  <c r="Q73" i="30"/>
  <c r="V73" i="30" s="1"/>
  <c r="N73" i="30"/>
  <c r="L73" i="30"/>
  <c r="K73" i="30"/>
  <c r="AQ72" i="30"/>
  <c r="BA72" i="30" s="1"/>
  <c r="AP72" i="30"/>
  <c r="AR72" i="30" s="1"/>
  <c r="AF72" i="30"/>
  <c r="Z72" i="30"/>
  <c r="Q72" i="30"/>
  <c r="N72" i="30"/>
  <c r="L72" i="30"/>
  <c r="L75" i="30" s="1"/>
  <c r="K72" i="30"/>
  <c r="K75" i="30" s="1"/>
  <c r="I72" i="30"/>
  <c r="AO71" i="30"/>
  <c r="AN71" i="30"/>
  <c r="AM71" i="30"/>
  <c r="AL71" i="30"/>
  <c r="AK71" i="30"/>
  <c r="AJ71" i="30"/>
  <c r="AI71" i="30"/>
  <c r="AH71" i="30"/>
  <c r="AE71" i="30"/>
  <c r="AD71" i="30"/>
  <c r="Y71" i="30"/>
  <c r="X71" i="30"/>
  <c r="W71" i="30"/>
  <c r="U71" i="30"/>
  <c r="T71" i="30"/>
  <c r="S71" i="30"/>
  <c r="R71" i="30"/>
  <c r="P71" i="30"/>
  <c r="O71" i="30"/>
  <c r="M71" i="30"/>
  <c r="J71" i="30"/>
  <c r="AQ70" i="30"/>
  <c r="BA70" i="30" s="1"/>
  <c r="AP70" i="30"/>
  <c r="AF70" i="30"/>
  <c r="AX70" i="30" s="1"/>
  <c r="Z70" i="30"/>
  <c r="AU70" i="30" s="1"/>
  <c r="Q70" i="30"/>
  <c r="V70" i="30" s="1"/>
  <c r="N70" i="30"/>
  <c r="L70" i="30"/>
  <c r="K70" i="30"/>
  <c r="AQ69" i="30"/>
  <c r="BA69" i="30" s="1"/>
  <c r="AP69" i="30"/>
  <c r="AF69" i="30"/>
  <c r="AX69" i="30" s="1"/>
  <c r="Z69" i="30"/>
  <c r="AU69" i="30" s="1"/>
  <c r="Q69" i="30"/>
  <c r="V69" i="30" s="1"/>
  <c r="AC69" i="30" s="1"/>
  <c r="AW69" i="30" s="1"/>
  <c r="N69" i="30"/>
  <c r="L69" i="30"/>
  <c r="K69" i="30"/>
  <c r="AQ68" i="30"/>
  <c r="BA68" i="30" s="1"/>
  <c r="AP68" i="30"/>
  <c r="AF68" i="30"/>
  <c r="AX68" i="30" s="1"/>
  <c r="AC68" i="30"/>
  <c r="AW68" i="30" s="1"/>
  <c r="Z68" i="30"/>
  <c r="AU68" i="30" s="1"/>
  <c r="Q68" i="30"/>
  <c r="V68" i="30" s="1"/>
  <c r="N68" i="30"/>
  <c r="L68" i="30"/>
  <c r="K68" i="30"/>
  <c r="AQ67" i="30"/>
  <c r="BA67" i="30" s="1"/>
  <c r="AP67" i="30"/>
  <c r="AF67" i="30"/>
  <c r="AX67" i="30" s="1"/>
  <c r="Z67" i="30"/>
  <c r="AU67" i="30" s="1"/>
  <c r="Q67" i="30"/>
  <c r="V67" i="30" s="1"/>
  <c r="AC67" i="30" s="1"/>
  <c r="AW67" i="30" s="1"/>
  <c r="N67" i="30"/>
  <c r="L67" i="30"/>
  <c r="K67" i="30"/>
  <c r="AQ66" i="30"/>
  <c r="AP66" i="30"/>
  <c r="AF66" i="30"/>
  <c r="Z66" i="30"/>
  <c r="Q66" i="30"/>
  <c r="N66" i="30"/>
  <c r="L66" i="30"/>
  <c r="L71" i="30" s="1"/>
  <c r="K66" i="30"/>
  <c r="I66" i="30"/>
  <c r="AQ65" i="30"/>
  <c r="AO65" i="30"/>
  <c r="AN65" i="30"/>
  <c r="AM65" i="30"/>
  <c r="AL65" i="30"/>
  <c r="AK65" i="30"/>
  <c r="AJ65" i="30"/>
  <c r="AI65" i="30"/>
  <c r="AH65" i="30"/>
  <c r="AE65" i="30"/>
  <c r="AD65" i="30"/>
  <c r="Y65" i="30"/>
  <c r="X65" i="30"/>
  <c r="W65" i="30"/>
  <c r="U65" i="30"/>
  <c r="T65" i="30"/>
  <c r="S65" i="30"/>
  <c r="R65" i="30"/>
  <c r="P65" i="30"/>
  <c r="O65" i="30"/>
  <c r="M65" i="30"/>
  <c r="J65" i="30"/>
  <c r="AT64" i="30"/>
  <c r="AQ64" i="30"/>
  <c r="BA64" i="30" s="1"/>
  <c r="AP64" i="30"/>
  <c r="AF64" i="30"/>
  <c r="AX64" i="30" s="1"/>
  <c r="Z64" i="30"/>
  <c r="AU64" i="30" s="1"/>
  <c r="Q64" i="30"/>
  <c r="V64" i="30" s="1"/>
  <c r="AB64" i="30" s="1"/>
  <c r="N64" i="30"/>
  <c r="L64" i="30"/>
  <c r="K64" i="30"/>
  <c r="AV64" i="30" s="1"/>
  <c r="AQ63" i="30"/>
  <c r="BA63" i="30" s="1"/>
  <c r="AJ63" i="30"/>
  <c r="AJ104" i="30" s="1"/>
  <c r="AF63" i="30"/>
  <c r="AX63" i="30" s="1"/>
  <c r="Z63" i="30"/>
  <c r="AU63" i="30" s="1"/>
  <c r="R63" i="30"/>
  <c r="R104" i="30" s="1"/>
  <c r="Q63" i="30"/>
  <c r="V63" i="30" s="1"/>
  <c r="N63" i="30"/>
  <c r="L63" i="30"/>
  <c r="K63" i="30"/>
  <c r="AQ62" i="30"/>
  <c r="BA62" i="30" s="1"/>
  <c r="AP62" i="30"/>
  <c r="AF62" i="30"/>
  <c r="AX62" i="30" s="1"/>
  <c r="Z62" i="30"/>
  <c r="Z65" i="30" s="1"/>
  <c r="Q62" i="30"/>
  <c r="Q65" i="30" s="1"/>
  <c r="N62" i="30"/>
  <c r="L62" i="30"/>
  <c r="L65" i="30" s="1"/>
  <c r="K62" i="30"/>
  <c r="I62" i="30"/>
  <c r="AO61" i="30"/>
  <c r="AN61" i="30"/>
  <c r="AM61" i="30"/>
  <c r="AL61" i="30"/>
  <c r="AK61" i="30"/>
  <c r="AJ61" i="30"/>
  <c r="AI61" i="30"/>
  <c r="AH61" i="30"/>
  <c r="AE61" i="30"/>
  <c r="AD61" i="30"/>
  <c r="Y61" i="30"/>
  <c r="X61" i="30"/>
  <c r="W61" i="30"/>
  <c r="U61" i="30"/>
  <c r="T61" i="30"/>
  <c r="S61" i="30"/>
  <c r="R61" i="30"/>
  <c r="P61" i="30"/>
  <c r="O61" i="30"/>
  <c r="M61" i="30"/>
  <c r="J61" i="30"/>
  <c r="AQ60" i="30"/>
  <c r="BA60" i="30" s="1"/>
  <c r="AP60" i="30"/>
  <c r="AF60" i="30"/>
  <c r="AX60" i="30" s="1"/>
  <c r="Z60" i="30"/>
  <c r="AU60" i="30" s="1"/>
  <c r="Q60" i="30"/>
  <c r="V60" i="30" s="1"/>
  <c r="AA60" i="30" s="1"/>
  <c r="N60" i="30"/>
  <c r="L60" i="30"/>
  <c r="K60" i="30"/>
  <c r="AQ59" i="30"/>
  <c r="AP59" i="30"/>
  <c r="AZ59" i="30" s="1"/>
  <c r="AF59" i="30"/>
  <c r="AX59" i="30" s="1"/>
  <c r="Z59" i="30"/>
  <c r="AU59" i="30" s="1"/>
  <c r="Q59" i="30"/>
  <c r="V59" i="30" s="1"/>
  <c r="N59" i="30"/>
  <c r="L59" i="30"/>
  <c r="K59" i="30"/>
  <c r="AQ58" i="30"/>
  <c r="BA58" i="30" s="1"/>
  <c r="AP58" i="30"/>
  <c r="AF58" i="30"/>
  <c r="AX58" i="30" s="1"/>
  <c r="Z58" i="30"/>
  <c r="AU58" i="30" s="1"/>
  <c r="Q58" i="30"/>
  <c r="V58" i="30" s="1"/>
  <c r="N58" i="30"/>
  <c r="L58" i="30"/>
  <c r="K58" i="30"/>
  <c r="AQ57" i="30"/>
  <c r="BA57" i="30" s="1"/>
  <c r="AP57" i="30"/>
  <c r="AF57" i="30"/>
  <c r="AX57" i="30" s="1"/>
  <c r="Z57" i="30"/>
  <c r="AU57" i="30" s="1"/>
  <c r="Q57" i="30"/>
  <c r="V57" i="30" s="1"/>
  <c r="N57" i="30"/>
  <c r="L57" i="30"/>
  <c r="K57" i="30"/>
  <c r="AU56" i="30"/>
  <c r="AQ56" i="30"/>
  <c r="BA56" i="30" s="1"/>
  <c r="AP56" i="30"/>
  <c r="AF56" i="30"/>
  <c r="AX56" i="30" s="1"/>
  <c r="Z56" i="30"/>
  <c r="Q56" i="30"/>
  <c r="V56" i="30" s="1"/>
  <c r="N56" i="30"/>
  <c r="L56" i="30"/>
  <c r="K56" i="30"/>
  <c r="AQ55" i="30"/>
  <c r="BA55" i="30" s="1"/>
  <c r="AP55" i="30"/>
  <c r="AF55" i="30"/>
  <c r="AX55" i="30" s="1"/>
  <c r="Z55" i="30"/>
  <c r="AU55" i="30" s="1"/>
  <c r="Q55" i="30"/>
  <c r="N55" i="30"/>
  <c r="L55" i="30"/>
  <c r="K55" i="30"/>
  <c r="AO54" i="30"/>
  <c r="AN54" i="30"/>
  <c r="AM54" i="30"/>
  <c r="AL54" i="30"/>
  <c r="AK54" i="30"/>
  <c r="AJ54" i="30"/>
  <c r="AI54" i="30"/>
  <c r="AH54" i="30"/>
  <c r="AE54" i="30"/>
  <c r="AD54" i="30"/>
  <c r="Y54" i="30"/>
  <c r="X54" i="30"/>
  <c r="W54" i="30"/>
  <c r="U54" i="30"/>
  <c r="T54" i="30"/>
  <c r="S54" i="30"/>
  <c r="R54" i="30"/>
  <c r="P54" i="30"/>
  <c r="O54" i="30"/>
  <c r="M54" i="30"/>
  <c r="J54" i="30"/>
  <c r="AQ53" i="30"/>
  <c r="BA53" i="30" s="1"/>
  <c r="AP53" i="30"/>
  <c r="AF53" i="30"/>
  <c r="AX53" i="30" s="1"/>
  <c r="Z53" i="30"/>
  <c r="AU53" i="30" s="1"/>
  <c r="Q53" i="30"/>
  <c r="V53" i="30" s="1"/>
  <c r="AA53" i="30" s="1"/>
  <c r="N53" i="30"/>
  <c r="L53" i="30"/>
  <c r="K53" i="30"/>
  <c r="AQ52" i="30"/>
  <c r="BA52" i="30" s="1"/>
  <c r="AP52" i="30"/>
  <c r="AR52" i="30" s="1"/>
  <c r="AF52" i="30"/>
  <c r="AX52" i="30" s="1"/>
  <c r="Z52" i="30"/>
  <c r="AU52" i="30" s="1"/>
  <c r="Q52" i="30"/>
  <c r="V52" i="30" s="1"/>
  <c r="AB52" i="30" s="1"/>
  <c r="N52" i="30"/>
  <c r="L52" i="30"/>
  <c r="K52" i="30"/>
  <c r="I52" i="30" s="1"/>
  <c r="AV51" i="30"/>
  <c r="AQ51" i="30"/>
  <c r="BA51" i="30" s="1"/>
  <c r="AP51" i="30"/>
  <c r="AZ51" i="30" s="1"/>
  <c r="AF51" i="30"/>
  <c r="AX51" i="30" s="1"/>
  <c r="AC51" i="30"/>
  <c r="Z51" i="30"/>
  <c r="AU51" i="30" s="1"/>
  <c r="Q51" i="30"/>
  <c r="V51" i="30" s="1"/>
  <c r="AB51" i="30" s="1"/>
  <c r="N51" i="30"/>
  <c r="L51" i="30"/>
  <c r="K51" i="30"/>
  <c r="I51" i="30"/>
  <c r="AZ50" i="30"/>
  <c r="AQ50" i="30"/>
  <c r="BA50" i="30" s="1"/>
  <c r="AP50" i="30"/>
  <c r="AF50" i="30"/>
  <c r="AX50" i="30" s="1"/>
  <c r="AC50" i="30"/>
  <c r="Z50" i="30"/>
  <c r="AU50" i="30" s="1"/>
  <c r="Q50" i="30"/>
  <c r="V50" i="30" s="1"/>
  <c r="AA50" i="30" s="1"/>
  <c r="N50" i="30"/>
  <c r="L50" i="30"/>
  <c r="K50" i="30"/>
  <c r="AQ49" i="30"/>
  <c r="BA49" i="30" s="1"/>
  <c r="AP49" i="30"/>
  <c r="AR49" i="30" s="1"/>
  <c r="AF49" i="30"/>
  <c r="Z49" i="30"/>
  <c r="Q49" i="30"/>
  <c r="N49" i="30"/>
  <c r="L49" i="30"/>
  <c r="K49" i="30"/>
  <c r="AO48" i="30"/>
  <c r="AN48" i="30"/>
  <c r="AM48" i="30"/>
  <c r="AL48" i="30"/>
  <c r="AK48" i="30"/>
  <c r="AJ48" i="30"/>
  <c r="AI48" i="30"/>
  <c r="AH48" i="30"/>
  <c r="AE48" i="30"/>
  <c r="AD48" i="30"/>
  <c r="Y48" i="30"/>
  <c r="X48" i="30"/>
  <c r="W48" i="30"/>
  <c r="U48" i="30"/>
  <c r="T48" i="30"/>
  <c r="S48" i="30"/>
  <c r="R48" i="30"/>
  <c r="P48" i="30"/>
  <c r="O48" i="30"/>
  <c r="M48" i="30"/>
  <c r="J48" i="30"/>
  <c r="BA47" i="30"/>
  <c r="AU47" i="30"/>
  <c r="AQ47" i="30"/>
  <c r="AP47" i="30"/>
  <c r="AF47" i="30"/>
  <c r="AX47" i="30" s="1"/>
  <c r="Z47" i="30"/>
  <c r="Q47" i="30"/>
  <c r="V47" i="30" s="1"/>
  <c r="N47" i="30"/>
  <c r="L47" i="30"/>
  <c r="K47" i="30"/>
  <c r="I47" i="30" s="1"/>
  <c r="AQ46" i="30"/>
  <c r="BA46" i="30" s="1"/>
  <c r="AP46" i="30"/>
  <c r="AF46" i="30"/>
  <c r="AX46" i="30" s="1"/>
  <c r="Z46" i="30"/>
  <c r="AU46" i="30" s="1"/>
  <c r="Q46" i="30"/>
  <c r="V46" i="30" s="1"/>
  <c r="N46" i="30"/>
  <c r="L46" i="30"/>
  <c r="K46" i="30"/>
  <c r="AQ45" i="30"/>
  <c r="BA45" i="30" s="1"/>
  <c r="AP45" i="30"/>
  <c r="AF45" i="30"/>
  <c r="AX45" i="30" s="1"/>
  <c r="AX48" i="30" s="1"/>
  <c r="Z45" i="30"/>
  <c r="Z48" i="30" s="1"/>
  <c r="Q45" i="30"/>
  <c r="N45" i="30"/>
  <c r="L45" i="30"/>
  <c r="L48" i="30" s="1"/>
  <c r="K45" i="30"/>
  <c r="I45" i="30" s="1"/>
  <c r="AO44" i="30"/>
  <c r="AN44" i="30"/>
  <c r="AM44" i="30"/>
  <c r="AL44" i="30"/>
  <c r="AK44" i="30"/>
  <c r="AJ44" i="30"/>
  <c r="AI44" i="30"/>
  <c r="AH44" i="30"/>
  <c r="AE44" i="30"/>
  <c r="AD44" i="30"/>
  <c r="Y44" i="30"/>
  <c r="X44" i="30"/>
  <c r="W44" i="30"/>
  <c r="U44" i="30"/>
  <c r="T44" i="30"/>
  <c r="S44" i="30"/>
  <c r="R44" i="30"/>
  <c r="P44" i="30"/>
  <c r="O44" i="30"/>
  <c r="M44" i="30"/>
  <c r="J44" i="30"/>
  <c r="AQ43" i="30"/>
  <c r="BA43" i="30" s="1"/>
  <c r="AP43" i="30"/>
  <c r="AF43" i="30"/>
  <c r="AX43" i="30" s="1"/>
  <c r="Z43" i="30"/>
  <c r="AU43" i="30" s="1"/>
  <c r="Q43" i="30"/>
  <c r="V43" i="30" s="1"/>
  <c r="AC43" i="30" s="1"/>
  <c r="N43" i="30"/>
  <c r="L43" i="30"/>
  <c r="K43" i="30"/>
  <c r="AQ42" i="30"/>
  <c r="BA42" i="30" s="1"/>
  <c r="AP42" i="30"/>
  <c r="AZ42" i="30" s="1"/>
  <c r="AF42" i="30"/>
  <c r="AX42" i="30" s="1"/>
  <c r="Z42" i="30"/>
  <c r="AU42" i="30" s="1"/>
  <c r="Q42" i="30"/>
  <c r="V42" i="30" s="1"/>
  <c r="N42" i="30"/>
  <c r="L42" i="30"/>
  <c r="K42" i="30"/>
  <c r="I42" i="30"/>
  <c r="AZ41" i="30"/>
  <c r="AQ41" i="30"/>
  <c r="BA41" i="30" s="1"/>
  <c r="AP41" i="30"/>
  <c r="AR41" i="30" s="1"/>
  <c r="AF41" i="30"/>
  <c r="AX41" i="30" s="1"/>
  <c r="Z41" i="30"/>
  <c r="AU41" i="30" s="1"/>
  <c r="Q41" i="30"/>
  <c r="V41" i="30" s="1"/>
  <c r="AC41" i="30" s="1"/>
  <c r="N41" i="30"/>
  <c r="L41" i="30"/>
  <c r="K41" i="30"/>
  <c r="AQ40" i="30"/>
  <c r="BA40" i="30" s="1"/>
  <c r="AP40" i="30"/>
  <c r="AR40" i="30" s="1"/>
  <c r="AF40" i="30"/>
  <c r="AX40" i="30" s="1"/>
  <c r="Z40" i="30"/>
  <c r="AU40" i="30" s="1"/>
  <c r="Q40" i="30"/>
  <c r="V40" i="30" s="1"/>
  <c r="AC40" i="30" s="1"/>
  <c r="N40" i="30"/>
  <c r="AY40" i="30" s="1"/>
  <c r="L40" i="30"/>
  <c r="K40" i="30"/>
  <c r="AQ39" i="30"/>
  <c r="BA39" i="30" s="1"/>
  <c r="AP39" i="30"/>
  <c r="AZ39" i="30" s="1"/>
  <c r="AF39" i="30"/>
  <c r="AX39" i="30" s="1"/>
  <c r="Z39" i="30"/>
  <c r="AU39" i="30" s="1"/>
  <c r="Q39" i="30"/>
  <c r="N39" i="30"/>
  <c r="L39" i="30"/>
  <c r="K39" i="30"/>
  <c r="I39" i="30" s="1"/>
  <c r="AZ38" i="30"/>
  <c r="AQ38" i="30"/>
  <c r="AP38" i="30"/>
  <c r="AF38" i="30"/>
  <c r="AX38" i="30" s="1"/>
  <c r="AC38" i="30"/>
  <c r="Z38" i="30"/>
  <c r="Q38" i="30"/>
  <c r="V38" i="30" s="1"/>
  <c r="AB38" i="30" s="1"/>
  <c r="N38" i="30"/>
  <c r="L38" i="30"/>
  <c r="K38" i="30"/>
  <c r="AO37" i="30"/>
  <c r="AN37" i="30"/>
  <c r="AM37" i="30"/>
  <c r="AL37" i="30"/>
  <c r="AK37" i="30"/>
  <c r="AJ37" i="30"/>
  <c r="AI37" i="30"/>
  <c r="AH37" i="30"/>
  <c r="AE37" i="30"/>
  <c r="AD37" i="30"/>
  <c r="Y37" i="30"/>
  <c r="X37" i="30"/>
  <c r="W37" i="30"/>
  <c r="U37" i="30"/>
  <c r="T37" i="30"/>
  <c r="S37" i="30"/>
  <c r="R37" i="30"/>
  <c r="P37" i="30"/>
  <c r="O37" i="30"/>
  <c r="M37" i="30"/>
  <c r="J37" i="30"/>
  <c r="BA36" i="30"/>
  <c r="AZ36" i="30"/>
  <c r="AQ36" i="30"/>
  <c r="AP36" i="30"/>
  <c r="AF36" i="30"/>
  <c r="AX36" i="30" s="1"/>
  <c r="Z36" i="30"/>
  <c r="Q36" i="30"/>
  <c r="V36" i="30" s="1"/>
  <c r="AB36" i="30" s="1"/>
  <c r="N36" i="30"/>
  <c r="L36" i="30"/>
  <c r="K36" i="30"/>
  <c r="AV36" i="30" s="1"/>
  <c r="I36" i="30"/>
  <c r="AQ35" i="30"/>
  <c r="BA35" i="30" s="1"/>
  <c r="AP35" i="30"/>
  <c r="AF35" i="30"/>
  <c r="AX35" i="30" s="1"/>
  <c r="Z35" i="30"/>
  <c r="AU35" i="30" s="1"/>
  <c r="Q35" i="30"/>
  <c r="V35" i="30" s="1"/>
  <c r="N35" i="30"/>
  <c r="L35" i="30"/>
  <c r="K35" i="30"/>
  <c r="AQ34" i="30"/>
  <c r="BA34" i="30" s="1"/>
  <c r="AP34" i="30"/>
  <c r="AZ34" i="30" s="1"/>
  <c r="AF34" i="30"/>
  <c r="AX34" i="30" s="1"/>
  <c r="Z34" i="30"/>
  <c r="AU34" i="30" s="1"/>
  <c r="Q34" i="30"/>
  <c r="V34" i="30" s="1"/>
  <c r="AB34" i="30" s="1"/>
  <c r="N34" i="30"/>
  <c r="L34" i="30"/>
  <c r="K34" i="30"/>
  <c r="AV34" i="30" s="1"/>
  <c r="AU33" i="30"/>
  <c r="AQ33" i="30"/>
  <c r="BA33" i="30" s="1"/>
  <c r="AP33" i="30"/>
  <c r="AR33" i="30" s="1"/>
  <c r="AF33" i="30"/>
  <c r="AX33" i="30" s="1"/>
  <c r="Z33" i="30"/>
  <c r="Q33" i="30"/>
  <c r="V33" i="30" s="1"/>
  <c r="N33" i="30"/>
  <c r="L33" i="30"/>
  <c r="K33" i="30"/>
  <c r="AQ32" i="30"/>
  <c r="AP32" i="30"/>
  <c r="AZ32" i="30" s="1"/>
  <c r="AF32" i="30"/>
  <c r="Z32" i="30"/>
  <c r="AU32" i="30" s="1"/>
  <c r="Q32" i="30"/>
  <c r="N32" i="30"/>
  <c r="L32" i="30"/>
  <c r="K32" i="30"/>
  <c r="AQ31" i="30"/>
  <c r="BA31" i="30" s="1"/>
  <c r="AP31" i="30"/>
  <c r="AF31" i="30"/>
  <c r="AX31" i="30" s="1"/>
  <c r="Z31" i="30"/>
  <c r="AU31" i="30" s="1"/>
  <c r="Q31" i="30"/>
  <c r="V31" i="30" s="1"/>
  <c r="AT31" i="30" s="1"/>
  <c r="N31" i="30"/>
  <c r="L31" i="30"/>
  <c r="K31" i="30"/>
  <c r="AO30" i="30"/>
  <c r="AN30" i="30"/>
  <c r="AM30" i="30"/>
  <c r="AL30" i="30"/>
  <c r="AK30" i="30"/>
  <c r="AJ30" i="30"/>
  <c r="AI30" i="30"/>
  <c r="AH30" i="30"/>
  <c r="AF30" i="30"/>
  <c r="AE30" i="30"/>
  <c r="AD30" i="30"/>
  <c r="Y30" i="30"/>
  <c r="X30" i="30"/>
  <c r="W30" i="30"/>
  <c r="U30" i="30"/>
  <c r="T30" i="30"/>
  <c r="S30" i="30"/>
  <c r="R30" i="30"/>
  <c r="P30" i="30"/>
  <c r="O30" i="30"/>
  <c r="M30" i="30"/>
  <c r="J30" i="30"/>
  <c r="AZ29" i="30"/>
  <c r="AZ112" i="30" s="1"/>
  <c r="AX29" i="30"/>
  <c r="AR29" i="30"/>
  <c r="AR112" i="30" s="1"/>
  <c r="AQ29" i="30"/>
  <c r="AQ112" i="30" s="1"/>
  <c r="AP29" i="30"/>
  <c r="AF29" i="30"/>
  <c r="AF112" i="30" s="1"/>
  <c r="Z29" i="30"/>
  <c r="Z112" i="30" s="1"/>
  <c r="Q29" i="30"/>
  <c r="Q112" i="30" s="1"/>
  <c r="N29" i="30"/>
  <c r="N112" i="30" s="1"/>
  <c r="L29" i="30"/>
  <c r="K29" i="30"/>
  <c r="K112" i="30" s="1"/>
  <c r="AO28" i="30"/>
  <c r="AN28" i="30"/>
  <c r="AM28" i="30"/>
  <c r="AL28" i="30"/>
  <c r="AK28" i="30"/>
  <c r="AJ28" i="30"/>
  <c r="AI28" i="30"/>
  <c r="AH28" i="30"/>
  <c r="AE28" i="30"/>
  <c r="AD28" i="30"/>
  <c r="Y28" i="30"/>
  <c r="X28" i="30"/>
  <c r="W28" i="30"/>
  <c r="U28" i="30"/>
  <c r="T28" i="30"/>
  <c r="S28" i="30"/>
  <c r="R28" i="30"/>
  <c r="P28" i="30"/>
  <c r="O28" i="30"/>
  <c r="M28" i="30"/>
  <c r="J28" i="30"/>
  <c r="AU27" i="30"/>
  <c r="AQ27" i="30"/>
  <c r="AP27" i="30"/>
  <c r="AZ27" i="30" s="1"/>
  <c r="AF27" i="30"/>
  <c r="AX27" i="30" s="1"/>
  <c r="Z27" i="30"/>
  <c r="Q27" i="30"/>
  <c r="V27" i="30" s="1"/>
  <c r="N27" i="30"/>
  <c r="L27" i="30"/>
  <c r="K27" i="30"/>
  <c r="AQ26" i="30"/>
  <c r="AP26" i="30"/>
  <c r="AZ26" i="30" s="1"/>
  <c r="AF26" i="30"/>
  <c r="AX26" i="30" s="1"/>
  <c r="Z26" i="30"/>
  <c r="AU26" i="30" s="1"/>
  <c r="V26" i="30"/>
  <c r="Q26" i="30"/>
  <c r="N26" i="30"/>
  <c r="L26" i="30"/>
  <c r="K26" i="30"/>
  <c r="AZ25" i="30"/>
  <c r="AX25" i="30"/>
  <c r="AQ25" i="30"/>
  <c r="BA25" i="30" s="1"/>
  <c r="AP25" i="30"/>
  <c r="AF25" i="30"/>
  <c r="Z25" i="30"/>
  <c r="AU25" i="30" s="1"/>
  <c r="Q25" i="30"/>
  <c r="V25" i="30" s="1"/>
  <c r="N25" i="30"/>
  <c r="L25" i="30"/>
  <c r="K25" i="30"/>
  <c r="AZ24" i="30"/>
  <c r="AU24" i="30"/>
  <c r="AU28" i="30" s="1"/>
  <c r="AQ24" i="30"/>
  <c r="AR24" i="30" s="1"/>
  <c r="AP24" i="30"/>
  <c r="AP28" i="30" s="1"/>
  <c r="AF24" i="30"/>
  <c r="AF28" i="30" s="1"/>
  <c r="Z24" i="30"/>
  <c r="Z28" i="30" s="1"/>
  <c r="Q24" i="30"/>
  <c r="N24" i="30"/>
  <c r="N28" i="30" s="1"/>
  <c r="L24" i="30"/>
  <c r="K24" i="30"/>
  <c r="K28" i="30" s="1"/>
  <c r="AO23" i="30"/>
  <c r="AN23" i="30"/>
  <c r="AM23" i="30"/>
  <c r="AL23" i="30"/>
  <c r="AK23" i="30"/>
  <c r="AJ23" i="30"/>
  <c r="AI23" i="30"/>
  <c r="AH23" i="30"/>
  <c r="AE23" i="30"/>
  <c r="Y23" i="30"/>
  <c r="X23" i="30"/>
  <c r="W23" i="30"/>
  <c r="U23" i="30"/>
  <c r="T23" i="30"/>
  <c r="S23" i="30"/>
  <c r="R23" i="30"/>
  <c r="P23" i="30"/>
  <c r="O23" i="30"/>
  <c r="M23" i="30"/>
  <c r="J23" i="30"/>
  <c r="AX22" i="30"/>
  <c r="AQ22" i="30"/>
  <c r="BA22" i="30" s="1"/>
  <c r="AP22" i="30"/>
  <c r="AZ22" i="30" s="1"/>
  <c r="AF22" i="30"/>
  <c r="Z22" i="30"/>
  <c r="AU22" i="30" s="1"/>
  <c r="Q22" i="30"/>
  <c r="V22" i="30" s="1"/>
  <c r="AC22" i="30" s="1"/>
  <c r="AW22" i="30" s="1"/>
  <c r="N22" i="30"/>
  <c r="L22" i="30"/>
  <c r="K22" i="30"/>
  <c r="I22" i="30"/>
  <c r="BA21" i="30"/>
  <c r="AU21" i="30"/>
  <c r="AQ21" i="30"/>
  <c r="AP21" i="30"/>
  <c r="AZ21" i="30" s="1"/>
  <c r="AF21" i="30"/>
  <c r="AX21" i="30" s="1"/>
  <c r="Z21" i="30"/>
  <c r="Q21" i="30"/>
  <c r="V21" i="30" s="1"/>
  <c r="N21" i="30"/>
  <c r="L21" i="30"/>
  <c r="K21" i="30"/>
  <c r="AX20" i="30"/>
  <c r="AQ20" i="30"/>
  <c r="AP20" i="30"/>
  <c r="AF20" i="30"/>
  <c r="Z20" i="30"/>
  <c r="AU20" i="30" s="1"/>
  <c r="Q20" i="30"/>
  <c r="V20" i="30" s="1"/>
  <c r="AA20" i="30" s="1"/>
  <c r="N20" i="30"/>
  <c r="L20" i="30"/>
  <c r="K20" i="30"/>
  <c r="I20" i="30" s="1"/>
  <c r="BA19" i="30"/>
  <c r="AU19" i="30"/>
  <c r="AQ19" i="30"/>
  <c r="AP19" i="30"/>
  <c r="AZ19" i="30" s="1"/>
  <c r="AD19" i="30"/>
  <c r="AD23" i="30" s="1"/>
  <c r="Z19" i="30"/>
  <c r="V19" i="30"/>
  <c r="AC19" i="30" s="1"/>
  <c r="AW19" i="30" s="1"/>
  <c r="Q19" i="30"/>
  <c r="N19" i="30"/>
  <c r="L19" i="30"/>
  <c r="K19" i="30"/>
  <c r="BA18" i="30"/>
  <c r="AQ18" i="30"/>
  <c r="AR18" i="30" s="1"/>
  <c r="AP18" i="30"/>
  <c r="AF18" i="30"/>
  <c r="AX18" i="30" s="1"/>
  <c r="AC18" i="30"/>
  <c r="AB18" i="30"/>
  <c r="Z18" i="30"/>
  <c r="V18" i="30"/>
  <c r="Q18" i="30"/>
  <c r="N18" i="30"/>
  <c r="L18" i="30"/>
  <c r="K18" i="30"/>
  <c r="K23" i="30" s="1"/>
  <c r="AO17" i="30"/>
  <c r="AN17" i="30"/>
  <c r="AM17" i="30"/>
  <c r="AL17" i="30"/>
  <c r="AK17" i="30"/>
  <c r="AJ17" i="30"/>
  <c r="AI17" i="30"/>
  <c r="AH17" i="30"/>
  <c r="AE17" i="30"/>
  <c r="AD17" i="30"/>
  <c r="Y17" i="30"/>
  <c r="X17" i="30"/>
  <c r="W17" i="30"/>
  <c r="U17" i="30"/>
  <c r="T17" i="30"/>
  <c r="S17" i="30"/>
  <c r="R17" i="30"/>
  <c r="P17" i="30"/>
  <c r="O17" i="30"/>
  <c r="M17" i="30"/>
  <c r="J17" i="30"/>
  <c r="AQ16" i="30"/>
  <c r="AQ113" i="30" s="1"/>
  <c r="AP16" i="30"/>
  <c r="AP113" i="30" s="1"/>
  <c r="AF16" i="30"/>
  <c r="AF113" i="30" s="1"/>
  <c r="Z16" i="30"/>
  <c r="Z113" i="30" s="1"/>
  <c r="Q16" i="30"/>
  <c r="Q113" i="30" s="1"/>
  <c r="N16" i="30"/>
  <c r="N113" i="30" s="1"/>
  <c r="L16" i="30"/>
  <c r="L17" i="30" s="1"/>
  <c r="K16" i="30"/>
  <c r="K113" i="30" s="1"/>
  <c r="AO15" i="30"/>
  <c r="AN15" i="30"/>
  <c r="AM15" i="30"/>
  <c r="AL15" i="30"/>
  <c r="AK15" i="30"/>
  <c r="AJ15" i="30"/>
  <c r="AI15" i="30"/>
  <c r="AH15" i="30"/>
  <c r="AE15" i="30"/>
  <c r="AD15" i="30"/>
  <c r="Y15" i="30"/>
  <c r="X15" i="30"/>
  <c r="W15" i="30"/>
  <c r="U15" i="30"/>
  <c r="T15" i="30"/>
  <c r="S15" i="30"/>
  <c r="R15" i="30"/>
  <c r="P15" i="30"/>
  <c r="O15" i="30"/>
  <c r="M15" i="30"/>
  <c r="J15" i="30"/>
  <c r="J100" i="30" s="1"/>
  <c r="AQ14" i="30"/>
  <c r="AP14" i="30"/>
  <c r="AF14" i="30"/>
  <c r="AX14" i="30" s="1"/>
  <c r="Z14" i="30"/>
  <c r="AU14" i="30" s="1"/>
  <c r="V14" i="30"/>
  <c r="Q14" i="30"/>
  <c r="N14" i="30"/>
  <c r="L14" i="30"/>
  <c r="K14" i="30"/>
  <c r="I14" i="30" s="1"/>
  <c r="BA13" i="30"/>
  <c r="AQ13" i="30"/>
  <c r="AP13" i="30"/>
  <c r="AZ13" i="30" s="1"/>
  <c r="AF13" i="30"/>
  <c r="AX13" i="30" s="1"/>
  <c r="AC13" i="30"/>
  <c r="Z13" i="30"/>
  <c r="AU13" i="30" s="1"/>
  <c r="Q13" i="30"/>
  <c r="V13" i="30" s="1"/>
  <c r="N13" i="30"/>
  <c r="L13" i="30"/>
  <c r="K13" i="30"/>
  <c r="AQ12" i="30"/>
  <c r="AQ15" i="30" s="1"/>
  <c r="AP12" i="30"/>
  <c r="AR12" i="30" s="1"/>
  <c r="AF12" i="30"/>
  <c r="AX12" i="30" s="1"/>
  <c r="Z12" i="30"/>
  <c r="Z104" i="30" s="1"/>
  <c r="Q12" i="30"/>
  <c r="Q15" i="30" s="1"/>
  <c r="N12" i="30"/>
  <c r="L12" i="30"/>
  <c r="K12" i="30"/>
  <c r="I12" i="30"/>
  <c r="AO201" i="29"/>
  <c r="AN201" i="29"/>
  <c r="AM201" i="29"/>
  <c r="AL201" i="29"/>
  <c r="AK201" i="29"/>
  <c r="AJ201" i="29"/>
  <c r="AI201" i="29"/>
  <c r="AH201" i="29"/>
  <c r="AE201" i="29"/>
  <c r="AD201" i="29"/>
  <c r="Y201" i="29"/>
  <c r="X201" i="29"/>
  <c r="W201" i="29"/>
  <c r="U201" i="29"/>
  <c r="T201" i="29"/>
  <c r="S201" i="29"/>
  <c r="R201" i="29"/>
  <c r="P201" i="29"/>
  <c r="O201" i="29"/>
  <c r="M201" i="29"/>
  <c r="J201" i="29"/>
  <c r="AO200" i="29"/>
  <c r="AN200" i="29"/>
  <c r="AM200" i="29"/>
  <c r="AL200" i="29"/>
  <c r="AK200" i="29"/>
  <c r="AJ200" i="29"/>
  <c r="AI200" i="29"/>
  <c r="AH200" i="29"/>
  <c r="AE200" i="29"/>
  <c r="AD200" i="29"/>
  <c r="Y200" i="29"/>
  <c r="X200" i="29"/>
  <c r="W200" i="29"/>
  <c r="U200" i="29"/>
  <c r="T200" i="29"/>
  <c r="S200" i="29"/>
  <c r="R200" i="29"/>
  <c r="P200" i="29"/>
  <c r="O200" i="29"/>
  <c r="M200" i="29"/>
  <c r="J200" i="29"/>
  <c r="AO199" i="29"/>
  <c r="AN199" i="29"/>
  <c r="AM199" i="29"/>
  <c r="AL199" i="29"/>
  <c r="AK199" i="29"/>
  <c r="AJ199" i="29"/>
  <c r="AI199" i="29"/>
  <c r="AH199" i="29"/>
  <c r="AE199" i="29"/>
  <c r="AD199" i="29"/>
  <c r="Y199" i="29"/>
  <c r="X199" i="29"/>
  <c r="W199" i="29"/>
  <c r="U199" i="29"/>
  <c r="T199" i="29"/>
  <c r="S199" i="29"/>
  <c r="R199" i="29"/>
  <c r="P199" i="29"/>
  <c r="O199" i="29"/>
  <c r="M199" i="29"/>
  <c r="J199" i="29"/>
  <c r="AO198" i="29"/>
  <c r="AN198" i="29"/>
  <c r="AM198" i="29"/>
  <c r="AL198" i="29"/>
  <c r="AK198" i="29"/>
  <c r="AJ198" i="29"/>
  <c r="AI198" i="29"/>
  <c r="AH198" i="29"/>
  <c r="AE198" i="29"/>
  <c r="AD198" i="29"/>
  <c r="Y198" i="29"/>
  <c r="X198" i="29"/>
  <c r="W198" i="29"/>
  <c r="U198" i="29"/>
  <c r="T198" i="29"/>
  <c r="S198" i="29"/>
  <c r="S191" i="29" s="1"/>
  <c r="R198" i="29"/>
  <c r="P198" i="29"/>
  <c r="O198" i="29"/>
  <c r="M198" i="29"/>
  <c r="J198" i="29"/>
  <c r="BA197" i="29"/>
  <c r="AZ197" i="29"/>
  <c r="AY197" i="29"/>
  <c r="AX197" i="29"/>
  <c r="AW197" i="29"/>
  <c r="AV197" i="29"/>
  <c r="AU197" i="29"/>
  <c r="AT197" i="29"/>
  <c r="AS197" i="29"/>
  <c r="AR197" i="29"/>
  <c r="AQ197" i="29"/>
  <c r="AP197" i="29"/>
  <c r="AO197" i="29"/>
  <c r="AN197" i="29"/>
  <c r="AM197" i="29"/>
  <c r="AL197" i="29"/>
  <c r="AK197" i="29"/>
  <c r="AJ197" i="29"/>
  <c r="AI197" i="29"/>
  <c r="AH197" i="29"/>
  <c r="AG197" i="29"/>
  <c r="AF197" i="29"/>
  <c r="AE197" i="29"/>
  <c r="AD197" i="29"/>
  <c r="AC197" i="29"/>
  <c r="AB197" i="29"/>
  <c r="AA197" i="29"/>
  <c r="Z197" i="29"/>
  <c r="Y197" i="29"/>
  <c r="X197" i="29"/>
  <c r="W197" i="29"/>
  <c r="V197" i="29"/>
  <c r="U197" i="29"/>
  <c r="T197" i="29"/>
  <c r="S197" i="29"/>
  <c r="R197" i="29"/>
  <c r="Q197" i="29"/>
  <c r="P197" i="29"/>
  <c r="O197" i="29"/>
  <c r="N197" i="29"/>
  <c r="M197" i="29"/>
  <c r="L197" i="29"/>
  <c r="K197" i="29"/>
  <c r="J197" i="29"/>
  <c r="I197" i="29"/>
  <c r="BA196" i="29"/>
  <c r="AZ196" i="29"/>
  <c r="AY196" i="29"/>
  <c r="AX196" i="29"/>
  <c r="AW196" i="29"/>
  <c r="AV196" i="29"/>
  <c r="AU196" i="29"/>
  <c r="AT196" i="29"/>
  <c r="AS196" i="29"/>
  <c r="AR196" i="29"/>
  <c r="AQ196" i="29"/>
  <c r="AP196" i="29"/>
  <c r="AO196" i="29"/>
  <c r="AN196" i="29"/>
  <c r="AM196" i="29"/>
  <c r="AL196" i="29"/>
  <c r="AK196" i="29"/>
  <c r="AJ196" i="29"/>
  <c r="AI196" i="29"/>
  <c r="AH196" i="29"/>
  <c r="AG196" i="29"/>
  <c r="AF196" i="29"/>
  <c r="AE196" i="29"/>
  <c r="AD196" i="29"/>
  <c r="AC196" i="29"/>
  <c r="AB196" i="29"/>
  <c r="AA196" i="29"/>
  <c r="Z196" i="29"/>
  <c r="Y196" i="29"/>
  <c r="X196" i="29"/>
  <c r="W196" i="29"/>
  <c r="V196" i="29"/>
  <c r="U196" i="29"/>
  <c r="T196" i="29"/>
  <c r="S196" i="29"/>
  <c r="R196" i="29"/>
  <c r="Q196" i="29"/>
  <c r="P196" i="29"/>
  <c r="O196" i="29"/>
  <c r="N196" i="29"/>
  <c r="M196" i="29"/>
  <c r="L196" i="29"/>
  <c r="K196" i="29"/>
  <c r="J196" i="29"/>
  <c r="I196" i="29"/>
  <c r="AO195" i="29"/>
  <c r="AN195" i="29"/>
  <c r="AM195" i="29"/>
  <c r="AL195" i="29"/>
  <c r="AK195" i="29"/>
  <c r="AJ195" i="29"/>
  <c r="AI195" i="29"/>
  <c r="AH195" i="29"/>
  <c r="AE195" i="29"/>
  <c r="AD195" i="29"/>
  <c r="Y195" i="29"/>
  <c r="X195" i="29"/>
  <c r="W195" i="29"/>
  <c r="U195" i="29"/>
  <c r="T195" i="29"/>
  <c r="S195" i="29"/>
  <c r="R195" i="29"/>
  <c r="P195" i="29"/>
  <c r="O195" i="29"/>
  <c r="O191" i="29" s="1"/>
  <c r="N190" i="29" s="1"/>
  <c r="M195" i="29"/>
  <c r="J195" i="29"/>
  <c r="BA194" i="29"/>
  <c r="AZ194" i="29"/>
  <c r="AY194" i="29"/>
  <c r="AX194" i="29"/>
  <c r="AW194" i="29"/>
  <c r="AV194" i="29"/>
  <c r="AU194" i="29"/>
  <c r="AT194" i="29"/>
  <c r="AS194" i="29"/>
  <c r="AR194" i="29"/>
  <c r="AQ194" i="29"/>
  <c r="AP194" i="29"/>
  <c r="AO194" i="29"/>
  <c r="AN194" i="29"/>
  <c r="AM194" i="29"/>
  <c r="AL194" i="29"/>
  <c r="AK194" i="29"/>
  <c r="AJ194" i="29"/>
  <c r="AI194" i="29"/>
  <c r="AH194" i="29"/>
  <c r="AG194" i="29"/>
  <c r="AF194" i="29"/>
  <c r="AE194" i="29"/>
  <c r="AD194" i="29"/>
  <c r="AC194" i="29"/>
  <c r="AB194" i="29"/>
  <c r="AA194" i="29"/>
  <c r="Z194" i="29"/>
  <c r="Y194" i="29"/>
  <c r="X194" i="29"/>
  <c r="W194" i="29"/>
  <c r="V194" i="29"/>
  <c r="U194" i="29"/>
  <c r="T194" i="29"/>
  <c r="T191" i="29" s="1"/>
  <c r="S194" i="29"/>
  <c r="R194" i="29"/>
  <c r="Q194" i="29"/>
  <c r="P194" i="29"/>
  <c r="O194" i="29"/>
  <c r="N194" i="29"/>
  <c r="M194" i="29"/>
  <c r="L194" i="29"/>
  <c r="K194" i="29"/>
  <c r="J194" i="29"/>
  <c r="I194" i="29"/>
  <c r="AO193" i="29"/>
  <c r="AO191" i="29" s="1"/>
  <c r="AN193" i="29"/>
  <c r="AM193" i="29"/>
  <c r="AL193" i="29"/>
  <c r="AK193" i="29"/>
  <c r="AI193" i="29"/>
  <c r="AH193" i="29"/>
  <c r="AH191" i="29" s="1"/>
  <c r="AE193" i="29"/>
  <c r="AD193" i="29"/>
  <c r="Y193" i="29"/>
  <c r="X193" i="29"/>
  <c r="W193" i="29"/>
  <c r="U193" i="29"/>
  <c r="T193" i="29"/>
  <c r="S193" i="29"/>
  <c r="P193" i="29"/>
  <c r="O193" i="29"/>
  <c r="M193" i="29"/>
  <c r="J193" i="29"/>
  <c r="AO192" i="29"/>
  <c r="AN192" i="29"/>
  <c r="AM192" i="29"/>
  <c r="AL192" i="29"/>
  <c r="AK192" i="29"/>
  <c r="AI192" i="29"/>
  <c r="AI191" i="29" s="1"/>
  <c r="AH192" i="29"/>
  <c r="AE192" i="29"/>
  <c r="AD192" i="29"/>
  <c r="Y192" i="29"/>
  <c r="X192" i="29"/>
  <c r="W192" i="29"/>
  <c r="W191" i="29" s="1"/>
  <c r="U192" i="29"/>
  <c r="T192" i="29"/>
  <c r="S192" i="29"/>
  <c r="P192" i="29"/>
  <c r="P191" i="29" s="1"/>
  <c r="O192" i="29"/>
  <c r="M192" i="29"/>
  <c r="J192" i="29"/>
  <c r="AN191" i="29"/>
  <c r="AK191" i="29"/>
  <c r="AE191" i="29"/>
  <c r="Y191" i="29"/>
  <c r="AQ187" i="29"/>
  <c r="AO187" i="29"/>
  <c r="AN187" i="29"/>
  <c r="AM187" i="29"/>
  <c r="AL187" i="29"/>
  <c r="AK187" i="29"/>
  <c r="AI187" i="29"/>
  <c r="AH187" i="29"/>
  <c r="AE187" i="29"/>
  <c r="AD187" i="29"/>
  <c r="Y187" i="29"/>
  <c r="X187" i="29"/>
  <c r="W187" i="29"/>
  <c r="U187" i="29"/>
  <c r="T187" i="29"/>
  <c r="S187" i="29"/>
  <c r="P187" i="29"/>
  <c r="O187" i="29"/>
  <c r="M187" i="29"/>
  <c r="J187" i="29"/>
  <c r="AQ186" i="29"/>
  <c r="AP186" i="29"/>
  <c r="AZ186" i="29" s="1"/>
  <c r="AF186" i="29"/>
  <c r="AX186" i="29" s="1"/>
  <c r="Z186" i="29"/>
  <c r="AU186" i="29" s="1"/>
  <c r="Q186" i="29"/>
  <c r="V186" i="29" s="1"/>
  <c r="AC186" i="29" s="1"/>
  <c r="N186" i="29"/>
  <c r="L186" i="29"/>
  <c r="AW186" i="29" s="1"/>
  <c r="K186" i="29"/>
  <c r="AQ185" i="29"/>
  <c r="AP185" i="29"/>
  <c r="AZ185" i="29" s="1"/>
  <c r="AF185" i="29"/>
  <c r="AX185" i="29" s="1"/>
  <c r="Z185" i="29"/>
  <c r="AU185" i="29" s="1"/>
  <c r="Q185" i="29"/>
  <c r="V185" i="29" s="1"/>
  <c r="AB185" i="29" s="1"/>
  <c r="N185" i="29"/>
  <c r="L185" i="29"/>
  <c r="K185" i="29"/>
  <c r="AQ184" i="29"/>
  <c r="AP184" i="29"/>
  <c r="AZ184" i="29" s="1"/>
  <c r="AF184" i="29"/>
  <c r="AX184" i="29" s="1"/>
  <c r="AB184" i="29"/>
  <c r="Z184" i="29"/>
  <c r="AU184" i="29" s="1"/>
  <c r="Q184" i="29"/>
  <c r="V184" i="29" s="1"/>
  <c r="AC184" i="29" s="1"/>
  <c r="N184" i="29"/>
  <c r="L184" i="29"/>
  <c r="AW184" i="29" s="1"/>
  <c r="K184" i="29"/>
  <c r="AQ183" i="29"/>
  <c r="BA183" i="29" s="1"/>
  <c r="AJ183" i="29"/>
  <c r="AF183" i="29"/>
  <c r="AX183" i="29" s="1"/>
  <c r="Z183" i="29"/>
  <c r="AU183" i="29" s="1"/>
  <c r="R183" i="29"/>
  <c r="R187" i="29" s="1"/>
  <c r="Q183" i="29"/>
  <c r="N183" i="29"/>
  <c r="L183" i="29"/>
  <c r="I183" i="29" s="1"/>
  <c r="K183" i="29"/>
  <c r="AQ182" i="29"/>
  <c r="BA182" i="29" s="1"/>
  <c r="AP182" i="29"/>
  <c r="AR182" i="29" s="1"/>
  <c r="AF182" i="29"/>
  <c r="AX182" i="29" s="1"/>
  <c r="Z182" i="29"/>
  <c r="AU182" i="29" s="1"/>
  <c r="Q182" i="29"/>
  <c r="V182" i="29" s="1"/>
  <c r="AC182" i="29" s="1"/>
  <c r="N182" i="29"/>
  <c r="L182" i="29"/>
  <c r="K182" i="29"/>
  <c r="I182" i="29" s="1"/>
  <c r="AQ181" i="29"/>
  <c r="BA181" i="29" s="1"/>
  <c r="AP181" i="29"/>
  <c r="AZ181" i="29" s="1"/>
  <c r="AF181" i="29"/>
  <c r="Z181" i="29"/>
  <c r="Q181" i="29"/>
  <c r="V181" i="29" s="1"/>
  <c r="AC181" i="29" s="1"/>
  <c r="N181" i="29"/>
  <c r="L181" i="29"/>
  <c r="K181" i="29"/>
  <c r="I181" i="29" s="1"/>
  <c r="AO180" i="29"/>
  <c r="AN180" i="29"/>
  <c r="AM180" i="29"/>
  <c r="AL180" i="29"/>
  <c r="AK180" i="29"/>
  <c r="AJ180" i="29"/>
  <c r="AI180" i="29"/>
  <c r="AH180" i="29"/>
  <c r="AE180" i="29"/>
  <c r="AD180" i="29"/>
  <c r="Y180" i="29"/>
  <c r="X180" i="29"/>
  <c r="W180" i="29"/>
  <c r="U180" i="29"/>
  <c r="T180" i="29"/>
  <c r="S180" i="29"/>
  <c r="R180" i="29"/>
  <c r="P180" i="29"/>
  <c r="O180" i="29"/>
  <c r="M180" i="29"/>
  <c r="J180" i="29"/>
  <c r="AQ179" i="29"/>
  <c r="BA179" i="29" s="1"/>
  <c r="AP179" i="29"/>
  <c r="AF179" i="29"/>
  <c r="AX179" i="29" s="1"/>
  <c r="Z179" i="29"/>
  <c r="AU179" i="29" s="1"/>
  <c r="Q179" i="29"/>
  <c r="V179" i="29" s="1"/>
  <c r="AC179" i="29" s="1"/>
  <c r="N179" i="29"/>
  <c r="L179" i="29"/>
  <c r="AW179" i="29" s="1"/>
  <c r="K179" i="29"/>
  <c r="AQ178" i="29"/>
  <c r="BA178" i="29" s="1"/>
  <c r="AP178" i="29"/>
  <c r="AZ178" i="29" s="1"/>
  <c r="AF178" i="29"/>
  <c r="AX178" i="29" s="1"/>
  <c r="AB178" i="29"/>
  <c r="Z178" i="29"/>
  <c r="AU178" i="29" s="1"/>
  <c r="Q178" i="29"/>
  <c r="V178" i="29" s="1"/>
  <c r="AT178" i="29" s="1"/>
  <c r="N178" i="29"/>
  <c r="L178" i="29"/>
  <c r="K178" i="29"/>
  <c r="AX177" i="29"/>
  <c r="AQ177" i="29"/>
  <c r="BA177" i="29" s="1"/>
  <c r="AP177" i="29"/>
  <c r="AZ177" i="29" s="1"/>
  <c r="AF177" i="29"/>
  <c r="Z177" i="29"/>
  <c r="AU177" i="29" s="1"/>
  <c r="Q177" i="29"/>
  <c r="V177" i="29" s="1"/>
  <c r="AT177" i="29" s="1"/>
  <c r="N177" i="29"/>
  <c r="L177" i="29"/>
  <c r="K177" i="29"/>
  <c r="AQ176" i="29"/>
  <c r="BA176" i="29" s="1"/>
  <c r="AP176" i="29"/>
  <c r="AZ176" i="29" s="1"/>
  <c r="AF176" i="29"/>
  <c r="AX176" i="29" s="1"/>
  <c r="Z176" i="29"/>
  <c r="AU176" i="29" s="1"/>
  <c r="Q176" i="29"/>
  <c r="V176" i="29" s="1"/>
  <c r="N176" i="29"/>
  <c r="L176" i="29"/>
  <c r="K176" i="29"/>
  <c r="AX175" i="29"/>
  <c r="AQ175" i="29"/>
  <c r="AP175" i="29"/>
  <c r="AZ175" i="29" s="1"/>
  <c r="AF175" i="29"/>
  <c r="Z175" i="29"/>
  <c r="Q175" i="29"/>
  <c r="N175" i="29"/>
  <c r="N180" i="29" s="1"/>
  <c r="L175" i="29"/>
  <c r="L180" i="29" s="1"/>
  <c r="K175" i="29"/>
  <c r="AO174" i="29"/>
  <c r="AN174" i="29"/>
  <c r="AM174" i="29"/>
  <c r="AL174" i="29"/>
  <c r="AK174" i="29"/>
  <c r="AJ174" i="29"/>
  <c r="AI174" i="29"/>
  <c r="AH174" i="29"/>
  <c r="AE174" i="29"/>
  <c r="AD174" i="29"/>
  <c r="Y174" i="29"/>
  <c r="X174" i="29"/>
  <c r="W174" i="29"/>
  <c r="U174" i="29"/>
  <c r="T174" i="29"/>
  <c r="S174" i="29"/>
  <c r="R174" i="29"/>
  <c r="P174" i="29"/>
  <c r="O174" i="29"/>
  <c r="M174" i="29"/>
  <c r="J174" i="29"/>
  <c r="AQ173" i="29"/>
  <c r="BA173" i="29" s="1"/>
  <c r="AP173" i="29"/>
  <c r="AF173" i="29"/>
  <c r="AX173" i="29" s="1"/>
  <c r="AA173" i="29"/>
  <c r="Z173" i="29"/>
  <c r="AU173" i="29" s="1"/>
  <c r="Q173" i="29"/>
  <c r="V173" i="29" s="1"/>
  <c r="N173" i="29"/>
  <c r="L173" i="29"/>
  <c r="K173" i="29"/>
  <c r="AW172" i="29"/>
  <c r="AQ172" i="29"/>
  <c r="BA172" i="29" s="1"/>
  <c r="AP172" i="29"/>
  <c r="AR172" i="29" s="1"/>
  <c r="AF172" i="29"/>
  <c r="Z172" i="29"/>
  <c r="Q172" i="29"/>
  <c r="V172" i="29" s="1"/>
  <c r="AC172" i="29" s="1"/>
  <c r="N172" i="29"/>
  <c r="L172" i="29"/>
  <c r="L174" i="29" s="1"/>
  <c r="K172" i="29"/>
  <c r="K174" i="29" s="1"/>
  <c r="AO171" i="29"/>
  <c r="AN171" i="29"/>
  <c r="AM171" i="29"/>
  <c r="AL171" i="29"/>
  <c r="AK171" i="29"/>
  <c r="AJ171" i="29"/>
  <c r="AI171" i="29"/>
  <c r="AH171" i="29"/>
  <c r="AE171" i="29"/>
  <c r="AD171" i="29"/>
  <c r="Y171" i="29"/>
  <c r="X171" i="29"/>
  <c r="W171" i="29"/>
  <c r="U171" i="29"/>
  <c r="T171" i="29"/>
  <c r="S171" i="29"/>
  <c r="R171" i="29"/>
  <c r="P171" i="29"/>
  <c r="O171" i="29"/>
  <c r="M171" i="29"/>
  <c r="J171" i="29"/>
  <c r="BA170" i="29"/>
  <c r="AQ170" i="29"/>
  <c r="AP170" i="29"/>
  <c r="AF170" i="29"/>
  <c r="AX170" i="29" s="1"/>
  <c r="Z170" i="29"/>
  <c r="AU170" i="29" s="1"/>
  <c r="V170" i="29"/>
  <c r="AC170" i="29" s="1"/>
  <c r="AW170" i="29" s="1"/>
  <c r="Q170" i="29"/>
  <c r="N170" i="29"/>
  <c r="L170" i="29"/>
  <c r="K170" i="29"/>
  <c r="I170" i="29"/>
  <c r="AQ169" i="29"/>
  <c r="BA169" i="29" s="1"/>
  <c r="AP169" i="29"/>
  <c r="AF169" i="29"/>
  <c r="AX169" i="29" s="1"/>
  <c r="Z169" i="29"/>
  <c r="AU169" i="29" s="1"/>
  <c r="V169" i="29"/>
  <c r="AC169" i="29" s="1"/>
  <c r="AW169" i="29" s="1"/>
  <c r="Q169" i="29"/>
  <c r="N169" i="29"/>
  <c r="L169" i="29"/>
  <c r="K169" i="29"/>
  <c r="I169" i="29"/>
  <c r="AQ168" i="29"/>
  <c r="BA168" i="29" s="1"/>
  <c r="AP168" i="29"/>
  <c r="AF168" i="29"/>
  <c r="AX168" i="29" s="1"/>
  <c r="Z168" i="29"/>
  <c r="AU168" i="29" s="1"/>
  <c r="V168" i="29"/>
  <c r="AT168" i="29" s="1"/>
  <c r="Q168" i="29"/>
  <c r="N168" i="29"/>
  <c r="L168" i="29"/>
  <c r="K168" i="29"/>
  <c r="I168" i="29" s="1"/>
  <c r="AQ167" i="29"/>
  <c r="BA167" i="29" s="1"/>
  <c r="AP167" i="29"/>
  <c r="AF167" i="29"/>
  <c r="AX167" i="29" s="1"/>
  <c r="Z167" i="29"/>
  <c r="AU167" i="29" s="1"/>
  <c r="Q167" i="29"/>
  <c r="V167" i="29" s="1"/>
  <c r="AC167" i="29" s="1"/>
  <c r="AW167" i="29" s="1"/>
  <c r="N167" i="29"/>
  <c r="L167" i="29"/>
  <c r="K167" i="29"/>
  <c r="I167" i="29" s="1"/>
  <c r="AQ166" i="29"/>
  <c r="BA166" i="29" s="1"/>
  <c r="AP166" i="29"/>
  <c r="AF166" i="29"/>
  <c r="Z166" i="29"/>
  <c r="Z195" i="29" s="1"/>
  <c r="Q166" i="29"/>
  <c r="Q195" i="29" s="1"/>
  <c r="N166" i="29"/>
  <c r="L166" i="29"/>
  <c r="K166" i="29"/>
  <c r="I166" i="29" s="1"/>
  <c r="AQ165" i="29"/>
  <c r="AP165" i="29"/>
  <c r="AF165" i="29"/>
  <c r="Z165" i="29"/>
  <c r="V165" i="29"/>
  <c r="Q165" i="29"/>
  <c r="N165" i="29"/>
  <c r="L165" i="29"/>
  <c r="L171" i="29" s="1"/>
  <c r="K165" i="29"/>
  <c r="I165" i="29" s="1"/>
  <c r="AO164" i="29"/>
  <c r="AN164" i="29"/>
  <c r="AM164" i="29"/>
  <c r="AL164" i="29"/>
  <c r="AK164" i="29"/>
  <c r="AJ164" i="29"/>
  <c r="AI164" i="29"/>
  <c r="AH164" i="29"/>
  <c r="AE164" i="29"/>
  <c r="AD164" i="29"/>
  <c r="Y164" i="29"/>
  <c r="X164" i="29"/>
  <c r="W164" i="29"/>
  <c r="U164" i="29"/>
  <c r="T164" i="29"/>
  <c r="S164" i="29"/>
  <c r="R164" i="29"/>
  <c r="P164" i="29"/>
  <c r="O164" i="29"/>
  <c r="M164" i="29"/>
  <c r="J164" i="29"/>
  <c r="AT163" i="29"/>
  <c r="AQ163" i="29"/>
  <c r="BA163" i="29" s="1"/>
  <c r="AP163" i="29"/>
  <c r="AF163" i="29"/>
  <c r="AX163" i="29" s="1"/>
  <c r="AC163" i="29"/>
  <c r="Z163" i="29"/>
  <c r="AU163" i="29" s="1"/>
  <c r="Q163" i="29"/>
  <c r="V163" i="29" s="1"/>
  <c r="AB163" i="29" s="1"/>
  <c r="N163" i="29"/>
  <c r="L163" i="29"/>
  <c r="K163" i="29"/>
  <c r="AT162" i="29"/>
  <c r="AQ162" i="29"/>
  <c r="BA162" i="29" s="1"/>
  <c r="AP162" i="29"/>
  <c r="AZ162" i="29" s="1"/>
  <c r="AF162" i="29"/>
  <c r="AX162" i="29" s="1"/>
  <c r="AC162" i="29"/>
  <c r="Z162" i="29"/>
  <c r="AU162" i="29" s="1"/>
  <c r="Q162" i="29"/>
  <c r="V162" i="29" s="1"/>
  <c r="AB162" i="29" s="1"/>
  <c r="N162" i="29"/>
  <c r="L162" i="29"/>
  <c r="K162" i="29"/>
  <c r="AV162" i="29" s="1"/>
  <c r="AQ161" i="29"/>
  <c r="BA161" i="29" s="1"/>
  <c r="BA164" i="29" s="1"/>
  <c r="AP161" i="29"/>
  <c r="AZ161" i="29" s="1"/>
  <c r="AF161" i="29"/>
  <c r="Z161" i="29"/>
  <c r="Q161" i="29"/>
  <c r="N161" i="29"/>
  <c r="L161" i="29"/>
  <c r="L164" i="29" s="1"/>
  <c r="K161" i="29"/>
  <c r="AO160" i="29"/>
  <c r="AN160" i="29"/>
  <c r="AM160" i="29"/>
  <c r="AL160" i="29"/>
  <c r="AK160" i="29"/>
  <c r="AJ160" i="29"/>
  <c r="AI160" i="29"/>
  <c r="AH160" i="29"/>
  <c r="AE160" i="29"/>
  <c r="AD160" i="29"/>
  <c r="Y160" i="29"/>
  <c r="X160" i="29"/>
  <c r="W160" i="29"/>
  <c r="U160" i="29"/>
  <c r="T160" i="29"/>
  <c r="S160" i="29"/>
  <c r="R160" i="29"/>
  <c r="P160" i="29"/>
  <c r="O160" i="29"/>
  <c r="M160" i="29"/>
  <c r="J160" i="29"/>
  <c r="AQ159" i="29"/>
  <c r="BA159" i="29" s="1"/>
  <c r="AP159" i="29"/>
  <c r="AR159" i="29" s="1"/>
  <c r="AF159" i="29"/>
  <c r="AX159" i="29" s="1"/>
  <c r="AC159" i="29"/>
  <c r="Z159" i="29"/>
  <c r="AU159" i="29" s="1"/>
  <c r="Q159" i="29"/>
  <c r="V159" i="29" s="1"/>
  <c r="AT159" i="29" s="1"/>
  <c r="N159" i="29"/>
  <c r="L159" i="29"/>
  <c r="AW159" i="29" s="1"/>
  <c r="K159" i="29"/>
  <c r="AQ158" i="29"/>
  <c r="BA158" i="29" s="1"/>
  <c r="AP158" i="29"/>
  <c r="AF158" i="29"/>
  <c r="AX158" i="29" s="1"/>
  <c r="Z158" i="29"/>
  <c r="AU158" i="29" s="1"/>
  <c r="Q158" i="29"/>
  <c r="V158" i="29" s="1"/>
  <c r="N158" i="29"/>
  <c r="L158" i="29"/>
  <c r="K158" i="29"/>
  <c r="I158" i="29" s="1"/>
  <c r="AZ157" i="29"/>
  <c r="AR157" i="29"/>
  <c r="AY157" i="29" s="1"/>
  <c r="AQ157" i="29"/>
  <c r="BA157" i="29" s="1"/>
  <c r="AP157" i="29"/>
  <c r="AF157" i="29"/>
  <c r="AX157" i="29" s="1"/>
  <c r="Z157" i="29"/>
  <c r="Q157" i="29"/>
  <c r="V157" i="29" s="1"/>
  <c r="AT157" i="29" s="1"/>
  <c r="N157" i="29"/>
  <c r="L157" i="29"/>
  <c r="K157" i="29"/>
  <c r="I157" i="29" s="1"/>
  <c r="AR156" i="29"/>
  <c r="AQ156" i="29"/>
  <c r="BA156" i="29" s="1"/>
  <c r="AP156" i="29"/>
  <c r="AZ156" i="29" s="1"/>
  <c r="AF156" i="29"/>
  <c r="Z156" i="29"/>
  <c r="Q156" i="29"/>
  <c r="N156" i="29"/>
  <c r="L156" i="29"/>
  <c r="K156" i="29"/>
  <c r="AO155" i="29"/>
  <c r="AN155" i="29"/>
  <c r="AM155" i="29"/>
  <c r="AL155" i="29"/>
  <c r="AK155" i="29"/>
  <c r="AJ155" i="29"/>
  <c r="AI155" i="29"/>
  <c r="AH155" i="29"/>
  <c r="AE155" i="29"/>
  <c r="AD155" i="29"/>
  <c r="Y155" i="29"/>
  <c r="X155" i="29"/>
  <c r="W155" i="29"/>
  <c r="U155" i="29"/>
  <c r="T155" i="29"/>
  <c r="S155" i="29"/>
  <c r="R155" i="29"/>
  <c r="P155" i="29"/>
  <c r="O155" i="29"/>
  <c r="M155" i="29"/>
  <c r="J155" i="29"/>
  <c r="BA154" i="29"/>
  <c r="AQ154" i="29"/>
  <c r="AP154" i="29"/>
  <c r="AR154" i="29" s="1"/>
  <c r="AF154" i="29"/>
  <c r="AX154" i="29" s="1"/>
  <c r="Z154" i="29"/>
  <c r="AU154" i="29" s="1"/>
  <c r="V154" i="29"/>
  <c r="AT154" i="29" s="1"/>
  <c r="Q154" i="29"/>
  <c r="N154" i="29"/>
  <c r="L154" i="29"/>
  <c r="I154" i="29" s="1"/>
  <c r="K154" i="29"/>
  <c r="BA153" i="29"/>
  <c r="AQ153" i="29"/>
  <c r="AP153" i="29"/>
  <c r="AF153" i="29"/>
  <c r="AX153" i="29" s="1"/>
  <c r="Z153" i="29"/>
  <c r="AU153" i="29" s="1"/>
  <c r="Q153" i="29"/>
  <c r="V153" i="29" s="1"/>
  <c r="N153" i="29"/>
  <c r="L153" i="29"/>
  <c r="K153" i="29"/>
  <c r="I153" i="29"/>
  <c r="AQ152" i="29"/>
  <c r="BA152" i="29" s="1"/>
  <c r="AP152" i="29"/>
  <c r="AZ152" i="29" s="1"/>
  <c r="AF152" i="29"/>
  <c r="AX152" i="29" s="1"/>
  <c r="Z152" i="29"/>
  <c r="AU152" i="29" s="1"/>
  <c r="Q152" i="29"/>
  <c r="V152" i="29" s="1"/>
  <c r="N152" i="29"/>
  <c r="N155" i="29" s="1"/>
  <c r="L152" i="29"/>
  <c r="L155" i="29" s="1"/>
  <c r="K152" i="29"/>
  <c r="K155" i="29" s="1"/>
  <c r="I152" i="29"/>
  <c r="AO151" i="29"/>
  <c r="AN151" i="29"/>
  <c r="AM151" i="29"/>
  <c r="AL151" i="29"/>
  <c r="AK151" i="29"/>
  <c r="AJ151" i="29"/>
  <c r="AI151" i="29"/>
  <c r="AH151" i="29"/>
  <c r="AE151" i="29"/>
  <c r="AD151" i="29"/>
  <c r="Y151" i="29"/>
  <c r="X151" i="29"/>
  <c r="W151" i="29"/>
  <c r="U151" i="29"/>
  <c r="T151" i="29"/>
  <c r="S151" i="29"/>
  <c r="R151" i="29"/>
  <c r="P151" i="29"/>
  <c r="O151" i="29"/>
  <c r="M151" i="29"/>
  <c r="J151" i="29"/>
  <c r="AQ150" i="29"/>
  <c r="AP150" i="29"/>
  <c r="AZ150" i="29" s="1"/>
  <c r="AF150" i="29"/>
  <c r="AX150" i="29" s="1"/>
  <c r="AB150" i="29"/>
  <c r="Z150" i="29"/>
  <c r="AU150" i="29" s="1"/>
  <c r="V150" i="29"/>
  <c r="AT150" i="29" s="1"/>
  <c r="Q150" i="29"/>
  <c r="N150" i="29"/>
  <c r="L150" i="29"/>
  <c r="K150" i="29"/>
  <c r="AQ149" i="29"/>
  <c r="BA149" i="29" s="1"/>
  <c r="AP149" i="29"/>
  <c r="AZ149" i="29" s="1"/>
  <c r="AF149" i="29"/>
  <c r="AX149" i="29" s="1"/>
  <c r="AC149" i="29"/>
  <c r="AW149" i="29" s="1"/>
  <c r="Z149" i="29"/>
  <c r="AU149" i="29" s="1"/>
  <c r="V149" i="29"/>
  <c r="AT149" i="29" s="1"/>
  <c r="Q149" i="29"/>
  <c r="N149" i="29"/>
  <c r="L149" i="29"/>
  <c r="K149" i="29"/>
  <c r="AX148" i="29"/>
  <c r="AQ148" i="29"/>
  <c r="BA148" i="29" s="1"/>
  <c r="AP148" i="29"/>
  <c r="AZ148" i="29" s="1"/>
  <c r="AF148" i="29"/>
  <c r="Z148" i="29"/>
  <c r="AU148" i="29" s="1"/>
  <c r="V148" i="29"/>
  <c r="AT148" i="29" s="1"/>
  <c r="Q148" i="29"/>
  <c r="N148" i="29"/>
  <c r="L148" i="29"/>
  <c r="K148" i="29"/>
  <c r="AR147" i="29"/>
  <c r="AQ147" i="29"/>
  <c r="BA147" i="29" s="1"/>
  <c r="AP147" i="29"/>
  <c r="AZ147" i="29" s="1"/>
  <c r="AF147" i="29"/>
  <c r="AX147" i="29" s="1"/>
  <c r="Z147" i="29"/>
  <c r="AU147" i="29" s="1"/>
  <c r="Q147" i="29"/>
  <c r="V147" i="29" s="1"/>
  <c r="N147" i="29"/>
  <c r="L147" i="29"/>
  <c r="K147" i="29"/>
  <c r="AR146" i="29"/>
  <c r="AQ146" i="29"/>
  <c r="BA146" i="29" s="1"/>
  <c r="AP146" i="29"/>
  <c r="AZ146" i="29" s="1"/>
  <c r="AF146" i="29"/>
  <c r="AX146" i="29" s="1"/>
  <c r="Z146" i="29"/>
  <c r="AU146" i="29" s="1"/>
  <c r="Q146" i="29"/>
  <c r="V146" i="29" s="1"/>
  <c r="N146" i="29"/>
  <c r="L146" i="29"/>
  <c r="K146" i="29"/>
  <c r="I146" i="29" s="1"/>
  <c r="AQ145" i="29"/>
  <c r="AP145" i="29"/>
  <c r="AF145" i="29"/>
  <c r="AF151" i="29" s="1"/>
  <c r="Z145" i="29"/>
  <c r="Q145" i="29"/>
  <c r="V145" i="29" s="1"/>
  <c r="N145" i="29"/>
  <c r="L145" i="29"/>
  <c r="K145" i="29"/>
  <c r="AO144" i="29"/>
  <c r="AN144" i="29"/>
  <c r="AM144" i="29"/>
  <c r="AL144" i="29"/>
  <c r="AK144" i="29"/>
  <c r="AJ144" i="29"/>
  <c r="AI144" i="29"/>
  <c r="AH144" i="29"/>
  <c r="AE144" i="29"/>
  <c r="AD144" i="29"/>
  <c r="Y144" i="29"/>
  <c r="X144" i="29"/>
  <c r="W144" i="29"/>
  <c r="U144" i="29"/>
  <c r="T144" i="29"/>
  <c r="S144" i="29"/>
  <c r="P144" i="29"/>
  <c r="O144" i="29"/>
  <c r="M144" i="29"/>
  <c r="J144" i="29"/>
  <c r="AZ143" i="29"/>
  <c r="AQ143" i="29"/>
  <c r="BA143" i="29" s="1"/>
  <c r="AP143" i="29"/>
  <c r="AF143" i="29"/>
  <c r="AX143" i="29" s="1"/>
  <c r="Z143" i="29"/>
  <c r="AU143" i="29" s="1"/>
  <c r="Q143" i="29"/>
  <c r="V143" i="29" s="1"/>
  <c r="N143" i="29"/>
  <c r="L143" i="29"/>
  <c r="K143" i="29"/>
  <c r="I143" i="29" s="1"/>
  <c r="AQ142" i="29"/>
  <c r="BA142" i="29" s="1"/>
  <c r="AP142" i="29"/>
  <c r="AR142" i="29" s="1"/>
  <c r="AF142" i="29"/>
  <c r="AX142" i="29" s="1"/>
  <c r="Z142" i="29"/>
  <c r="AU142" i="29" s="1"/>
  <c r="V142" i="29"/>
  <c r="AC142" i="29" s="1"/>
  <c r="Q142" i="29"/>
  <c r="N142" i="29"/>
  <c r="L142" i="29"/>
  <c r="K142" i="29"/>
  <c r="I142" i="29"/>
  <c r="BA141" i="29"/>
  <c r="AU141" i="29"/>
  <c r="AQ141" i="29"/>
  <c r="AP141" i="29"/>
  <c r="AR141" i="29" s="1"/>
  <c r="AF141" i="29"/>
  <c r="AX141" i="29" s="1"/>
  <c r="Z141" i="29"/>
  <c r="Q141" i="29"/>
  <c r="V141" i="29" s="1"/>
  <c r="AC141" i="29" s="1"/>
  <c r="N141" i="29"/>
  <c r="AY141" i="29" s="1"/>
  <c r="L141" i="29"/>
  <c r="K141" i="29"/>
  <c r="BA140" i="29"/>
  <c r="AR140" i="29"/>
  <c r="AY140" i="29" s="1"/>
  <c r="AQ140" i="29"/>
  <c r="AP140" i="29"/>
  <c r="AZ140" i="29" s="1"/>
  <c r="AF140" i="29"/>
  <c r="AX140" i="29" s="1"/>
  <c r="Z140" i="29"/>
  <c r="AU140" i="29" s="1"/>
  <c r="V140" i="29"/>
  <c r="AT140" i="29" s="1"/>
  <c r="Q140" i="29"/>
  <c r="N140" i="29"/>
  <c r="L140" i="29"/>
  <c r="K140" i="29"/>
  <c r="I140" i="29" s="1"/>
  <c r="BA139" i="29"/>
  <c r="AQ139" i="29"/>
  <c r="AP139" i="29"/>
  <c r="AF139" i="29"/>
  <c r="AX139" i="29" s="1"/>
  <c r="Z139" i="29"/>
  <c r="AU139" i="29" s="1"/>
  <c r="V139" i="29"/>
  <c r="R139" i="29"/>
  <c r="R144" i="29" s="1"/>
  <c r="Q139" i="29"/>
  <c r="N139" i="29"/>
  <c r="L139" i="29"/>
  <c r="K139" i="29"/>
  <c r="I139" i="29"/>
  <c r="AU138" i="29"/>
  <c r="AQ138" i="29"/>
  <c r="BA138" i="29" s="1"/>
  <c r="AP138" i="29"/>
  <c r="AZ138" i="29" s="1"/>
  <c r="AF138" i="29"/>
  <c r="Z138" i="29"/>
  <c r="Q138" i="29"/>
  <c r="V138" i="29" s="1"/>
  <c r="AC138" i="29" s="1"/>
  <c r="AW138" i="29" s="1"/>
  <c r="N138" i="29"/>
  <c r="L138" i="29"/>
  <c r="K138" i="29"/>
  <c r="I138" i="29" s="1"/>
  <c r="AQ137" i="29"/>
  <c r="BA137" i="29" s="1"/>
  <c r="AP137" i="29"/>
  <c r="AZ137" i="29" s="1"/>
  <c r="AF137" i="29"/>
  <c r="AX137" i="29" s="1"/>
  <c r="AB137" i="29"/>
  <c r="Z137" i="29"/>
  <c r="V137" i="29"/>
  <c r="AT137" i="29" s="1"/>
  <c r="Q137" i="29"/>
  <c r="N137" i="29"/>
  <c r="L137" i="29"/>
  <c r="K137" i="29"/>
  <c r="AQ136" i="29"/>
  <c r="AP136" i="29"/>
  <c r="AO136" i="29"/>
  <c r="AN136" i="29"/>
  <c r="AM136" i="29"/>
  <c r="AL136" i="29"/>
  <c r="AK136" i="29"/>
  <c r="AJ136" i="29"/>
  <c r="AI136" i="29"/>
  <c r="AH136" i="29"/>
  <c r="AE136" i="29"/>
  <c r="AD136" i="29"/>
  <c r="Z136" i="29"/>
  <c r="Y136" i="29"/>
  <c r="X136" i="29"/>
  <c r="W136" i="29"/>
  <c r="U136" i="29"/>
  <c r="T136" i="29"/>
  <c r="S136" i="29"/>
  <c r="R136" i="29"/>
  <c r="P136" i="29"/>
  <c r="O136" i="29"/>
  <c r="M136" i="29"/>
  <c r="J136" i="29"/>
  <c r="BA135" i="29"/>
  <c r="AR135" i="29"/>
  <c r="AR200" i="29" s="1"/>
  <c r="AQ135" i="29"/>
  <c r="AQ200" i="29" s="1"/>
  <c r="AP135" i="29"/>
  <c r="AP200" i="29" s="1"/>
  <c r="AF135" i="29"/>
  <c r="AF136" i="29" s="1"/>
  <c r="Z135" i="29"/>
  <c r="Z200" i="29" s="1"/>
  <c r="Q135" i="29"/>
  <c r="V135" i="29" s="1"/>
  <c r="N135" i="29"/>
  <c r="N200" i="29" s="1"/>
  <c r="L135" i="29"/>
  <c r="L200" i="29" s="1"/>
  <c r="K135" i="29"/>
  <c r="K200" i="29" s="1"/>
  <c r="AO134" i="29"/>
  <c r="AN134" i="29"/>
  <c r="AM134" i="29"/>
  <c r="AL134" i="29"/>
  <c r="AK134" i="29"/>
  <c r="AI134" i="29"/>
  <c r="AH134" i="29"/>
  <c r="AE134" i="29"/>
  <c r="AD134" i="29"/>
  <c r="Y134" i="29"/>
  <c r="X134" i="29"/>
  <c r="W134" i="29"/>
  <c r="U134" i="29"/>
  <c r="T134" i="29"/>
  <c r="S134" i="29"/>
  <c r="P134" i="29"/>
  <c r="O134" i="29"/>
  <c r="M134" i="29"/>
  <c r="J134" i="29"/>
  <c r="AU133" i="29"/>
  <c r="AQ133" i="29"/>
  <c r="BA133" i="29" s="1"/>
  <c r="AP133" i="29"/>
  <c r="AZ133" i="29" s="1"/>
  <c r="AF133" i="29"/>
  <c r="AX133" i="29" s="1"/>
  <c r="Z133" i="29"/>
  <c r="Q133" i="29"/>
  <c r="V133" i="29" s="1"/>
  <c r="N133" i="29"/>
  <c r="L133" i="29"/>
  <c r="K133" i="29"/>
  <c r="AR132" i="29"/>
  <c r="AQ132" i="29"/>
  <c r="BA132" i="29" s="1"/>
  <c r="AP132" i="29"/>
  <c r="AZ132" i="29" s="1"/>
  <c r="AF132" i="29"/>
  <c r="AX132" i="29" s="1"/>
  <c r="AB132" i="29"/>
  <c r="Z132" i="29"/>
  <c r="AU132" i="29" s="1"/>
  <c r="V132" i="29"/>
  <c r="AT132" i="29" s="1"/>
  <c r="Q132" i="29"/>
  <c r="N132" i="29"/>
  <c r="L132" i="29"/>
  <c r="K132" i="29"/>
  <c r="AX131" i="29"/>
  <c r="AQ131" i="29"/>
  <c r="BA131" i="29" s="1"/>
  <c r="AP131" i="29"/>
  <c r="AZ131" i="29" s="1"/>
  <c r="AF131" i="29"/>
  <c r="AB131" i="29"/>
  <c r="Z131" i="29"/>
  <c r="AU131" i="29" s="1"/>
  <c r="V131" i="29"/>
  <c r="AT131" i="29" s="1"/>
  <c r="Q131" i="29"/>
  <c r="N131" i="29"/>
  <c r="L131" i="29"/>
  <c r="K131" i="29"/>
  <c r="AR130" i="29"/>
  <c r="AQ130" i="29"/>
  <c r="BA130" i="29" s="1"/>
  <c r="AJ130" i="29"/>
  <c r="AP130" i="29" s="1"/>
  <c r="AF130" i="29"/>
  <c r="AX130" i="29" s="1"/>
  <c r="Z130" i="29"/>
  <c r="R130" i="29"/>
  <c r="R134" i="29" s="1"/>
  <c r="Q130" i="29"/>
  <c r="N130" i="29"/>
  <c r="L130" i="29"/>
  <c r="K130" i="29"/>
  <c r="AZ129" i="29"/>
  <c r="AQ129" i="29"/>
  <c r="AR129" i="29" s="1"/>
  <c r="AY129" i="29" s="1"/>
  <c r="AP129" i="29"/>
  <c r="AF129" i="29"/>
  <c r="Z129" i="29"/>
  <c r="AU129" i="29" s="1"/>
  <c r="Q129" i="29"/>
  <c r="N129" i="29"/>
  <c r="L129" i="29"/>
  <c r="L134" i="29" s="1"/>
  <c r="K129" i="29"/>
  <c r="AO128" i="29"/>
  <c r="AN128" i="29"/>
  <c r="AM128" i="29"/>
  <c r="AL128" i="29"/>
  <c r="AK128" i="29"/>
  <c r="AJ128" i="29"/>
  <c r="AI128" i="29"/>
  <c r="AH128" i="29"/>
  <c r="AE128" i="29"/>
  <c r="AD128" i="29"/>
  <c r="Y128" i="29"/>
  <c r="X128" i="29"/>
  <c r="W128" i="29"/>
  <c r="U128" i="29"/>
  <c r="T128" i="29"/>
  <c r="S128" i="29"/>
  <c r="R128" i="29"/>
  <c r="P128" i="29"/>
  <c r="O128" i="29"/>
  <c r="M128" i="29"/>
  <c r="J128" i="29"/>
  <c r="AQ127" i="29"/>
  <c r="BA127" i="29" s="1"/>
  <c r="AP127" i="29"/>
  <c r="AF127" i="29"/>
  <c r="AX127" i="29" s="1"/>
  <c r="Z127" i="29"/>
  <c r="AU127" i="29" s="1"/>
  <c r="Q127" i="29"/>
  <c r="V127" i="29" s="1"/>
  <c r="N127" i="29"/>
  <c r="L127" i="29"/>
  <c r="K127" i="29"/>
  <c r="I127" i="29" s="1"/>
  <c r="AZ126" i="29"/>
  <c r="AQ126" i="29"/>
  <c r="BA126" i="29" s="1"/>
  <c r="AP126" i="29"/>
  <c r="AF126" i="29"/>
  <c r="AX126" i="29" s="1"/>
  <c r="Z126" i="29"/>
  <c r="AU126" i="29" s="1"/>
  <c r="Q126" i="29"/>
  <c r="V126" i="29" s="1"/>
  <c r="N126" i="29"/>
  <c r="N128" i="29" s="1"/>
  <c r="L126" i="29"/>
  <c r="K126" i="29"/>
  <c r="AZ125" i="29"/>
  <c r="AQ125" i="29"/>
  <c r="BA125" i="29" s="1"/>
  <c r="AP125" i="29"/>
  <c r="AF125" i="29"/>
  <c r="AX125" i="29" s="1"/>
  <c r="Z125" i="29"/>
  <c r="AU125" i="29" s="1"/>
  <c r="Q125" i="29"/>
  <c r="V125" i="29" s="1"/>
  <c r="AA125" i="29" s="1"/>
  <c r="N125" i="29"/>
  <c r="L125" i="29"/>
  <c r="K125" i="29"/>
  <c r="I125" i="29" s="1"/>
  <c r="AQ124" i="29"/>
  <c r="BA124" i="29" s="1"/>
  <c r="AP124" i="29"/>
  <c r="AF124" i="29"/>
  <c r="AX124" i="29" s="1"/>
  <c r="Z124" i="29"/>
  <c r="AU124" i="29" s="1"/>
  <c r="Q124" i="29"/>
  <c r="V124" i="29" s="1"/>
  <c r="N124" i="29"/>
  <c r="L124" i="29"/>
  <c r="K124" i="29"/>
  <c r="AQ123" i="29"/>
  <c r="AP123" i="29"/>
  <c r="AF123" i="29"/>
  <c r="Z123" i="29"/>
  <c r="AU123" i="29" s="1"/>
  <c r="Q123" i="29"/>
  <c r="V123" i="29" s="1"/>
  <c r="N123" i="29"/>
  <c r="L123" i="29"/>
  <c r="K123" i="29"/>
  <c r="I123" i="29" s="1"/>
  <c r="AP122" i="29"/>
  <c r="AO122" i="29"/>
  <c r="AN122" i="29"/>
  <c r="AM122" i="29"/>
  <c r="AL122" i="29"/>
  <c r="AK122" i="29"/>
  <c r="AJ122" i="29"/>
  <c r="AI122" i="29"/>
  <c r="AH122" i="29"/>
  <c r="AE122" i="29"/>
  <c r="AD122" i="29"/>
  <c r="Y122" i="29"/>
  <c r="X122" i="29"/>
  <c r="W122" i="29"/>
  <c r="U122" i="29"/>
  <c r="T122" i="29"/>
  <c r="S122" i="29"/>
  <c r="R122" i="29"/>
  <c r="P122" i="29"/>
  <c r="O122" i="29"/>
  <c r="M122" i="29"/>
  <c r="J122" i="29"/>
  <c r="AZ121" i="29"/>
  <c r="AQ121" i="29"/>
  <c r="AP121" i="29"/>
  <c r="AF121" i="29"/>
  <c r="AX121" i="29" s="1"/>
  <c r="Z121" i="29"/>
  <c r="AU121" i="29" s="1"/>
  <c r="Q121" i="29"/>
  <c r="V121" i="29" s="1"/>
  <c r="AB121" i="29" s="1"/>
  <c r="N121" i="29"/>
  <c r="L121" i="29"/>
  <c r="K121" i="29"/>
  <c r="AZ120" i="29"/>
  <c r="AU120" i="29"/>
  <c r="AQ120" i="29"/>
  <c r="AP120" i="29"/>
  <c r="AF120" i="29"/>
  <c r="AX120" i="29" s="1"/>
  <c r="Z120" i="29"/>
  <c r="Q120" i="29"/>
  <c r="V120" i="29" s="1"/>
  <c r="N120" i="29"/>
  <c r="L120" i="29"/>
  <c r="K120" i="29"/>
  <c r="AU119" i="29"/>
  <c r="AQ119" i="29"/>
  <c r="AP119" i="29"/>
  <c r="AZ119" i="29" s="1"/>
  <c r="AF119" i="29"/>
  <c r="AX119" i="29" s="1"/>
  <c r="Z119" i="29"/>
  <c r="V119" i="29"/>
  <c r="AT119" i="29" s="1"/>
  <c r="Q119" i="29"/>
  <c r="N119" i="29"/>
  <c r="L119" i="29"/>
  <c r="K119" i="29"/>
  <c r="AZ118" i="29"/>
  <c r="AQ118" i="29"/>
  <c r="BA118" i="29" s="1"/>
  <c r="AP118" i="29"/>
  <c r="AF118" i="29"/>
  <c r="AX118" i="29" s="1"/>
  <c r="Z118" i="29"/>
  <c r="AU118" i="29" s="1"/>
  <c r="V118" i="29"/>
  <c r="Q118" i="29"/>
  <c r="N118" i="29"/>
  <c r="L118" i="29"/>
  <c r="K118" i="29"/>
  <c r="AZ117" i="29"/>
  <c r="AX117" i="29"/>
  <c r="AQ117" i="29"/>
  <c r="AR117" i="29" s="1"/>
  <c r="AP117" i="29"/>
  <c r="AF117" i="29"/>
  <c r="Z117" i="29"/>
  <c r="Z122" i="29" s="1"/>
  <c r="Q117" i="29"/>
  <c r="V117" i="29" s="1"/>
  <c r="N117" i="29"/>
  <c r="L117" i="29"/>
  <c r="K117" i="29"/>
  <c r="AO116" i="29"/>
  <c r="AN116" i="29"/>
  <c r="AM116" i="29"/>
  <c r="AL116" i="29"/>
  <c r="AK116" i="29"/>
  <c r="AI116" i="29"/>
  <c r="AH116" i="29"/>
  <c r="AE116" i="29"/>
  <c r="AD116" i="29"/>
  <c r="Y116" i="29"/>
  <c r="X116" i="29"/>
  <c r="W116" i="29"/>
  <c r="U116" i="29"/>
  <c r="T116" i="29"/>
  <c r="S116" i="29"/>
  <c r="P116" i="29"/>
  <c r="O116" i="29"/>
  <c r="M116" i="29"/>
  <c r="J116" i="29"/>
  <c r="AU115" i="29"/>
  <c r="AQ115" i="29"/>
  <c r="BA115" i="29" s="1"/>
  <c r="AP115" i="29"/>
  <c r="AZ115" i="29" s="1"/>
  <c r="AF115" i="29"/>
  <c r="AX115" i="29" s="1"/>
  <c r="Z115" i="29"/>
  <c r="V115" i="29"/>
  <c r="AC115" i="29" s="1"/>
  <c r="Q115" i="29"/>
  <c r="N115" i="29"/>
  <c r="L115" i="29"/>
  <c r="K115" i="29"/>
  <c r="AX114" i="29"/>
  <c r="AQ114" i="29"/>
  <c r="BA114" i="29" s="1"/>
  <c r="AP114" i="29"/>
  <c r="AZ114" i="29" s="1"/>
  <c r="AF114" i="29"/>
  <c r="Z114" i="29"/>
  <c r="AU114" i="29" s="1"/>
  <c r="Q114" i="29"/>
  <c r="V114" i="29" s="1"/>
  <c r="N114" i="29"/>
  <c r="L114" i="29"/>
  <c r="K114" i="29"/>
  <c r="I114" i="29" s="1"/>
  <c r="AZ113" i="29"/>
  <c r="AR113" i="29"/>
  <c r="AQ113" i="29"/>
  <c r="BA113" i="29" s="1"/>
  <c r="AP113" i="29"/>
  <c r="AF113" i="29"/>
  <c r="AX113" i="29" s="1"/>
  <c r="Z113" i="29"/>
  <c r="AU113" i="29" s="1"/>
  <c r="Q113" i="29"/>
  <c r="V113" i="29" s="1"/>
  <c r="N113" i="29"/>
  <c r="L113" i="29"/>
  <c r="K113" i="29"/>
  <c r="AX112" i="29"/>
  <c r="AQ112" i="29"/>
  <c r="BA112" i="29" s="1"/>
  <c r="AJ112" i="29"/>
  <c r="AJ116" i="29" s="1"/>
  <c r="AF112" i="29"/>
  <c r="Z112" i="29"/>
  <c r="AU112" i="29" s="1"/>
  <c r="V112" i="29"/>
  <c r="AA112" i="29" s="1"/>
  <c r="R112" i="29"/>
  <c r="R116" i="29" s="1"/>
  <c r="Q112" i="29"/>
  <c r="N112" i="29"/>
  <c r="L112" i="29"/>
  <c r="K112" i="29"/>
  <c r="AX111" i="29"/>
  <c r="AQ111" i="29"/>
  <c r="BA111" i="29" s="1"/>
  <c r="AP111" i="29"/>
  <c r="AZ111" i="29" s="1"/>
  <c r="AF111" i="29"/>
  <c r="AC111" i="29"/>
  <c r="Z111" i="29"/>
  <c r="Q111" i="29"/>
  <c r="V111" i="29" s="1"/>
  <c r="AT111" i="29" s="1"/>
  <c r="N111" i="29"/>
  <c r="L111" i="29"/>
  <c r="K111" i="29"/>
  <c r="K116" i="29" s="1"/>
  <c r="AO110" i="29"/>
  <c r="AN110" i="29"/>
  <c r="AM110" i="29"/>
  <c r="AL110" i="29"/>
  <c r="AK110" i="29"/>
  <c r="AJ110" i="29"/>
  <c r="AI110" i="29"/>
  <c r="AH110" i="29"/>
  <c r="AE110" i="29"/>
  <c r="AD110" i="29"/>
  <c r="Y110" i="29"/>
  <c r="X110" i="29"/>
  <c r="W110" i="29"/>
  <c r="U110" i="29"/>
  <c r="T110" i="29"/>
  <c r="S110" i="29"/>
  <c r="R110" i="29"/>
  <c r="P110" i="29"/>
  <c r="O110" i="29"/>
  <c r="M110" i="29"/>
  <c r="J110" i="29"/>
  <c r="BA109" i="29"/>
  <c r="AQ109" i="29"/>
  <c r="AP109" i="29"/>
  <c r="AF109" i="29"/>
  <c r="AX109" i="29" s="1"/>
  <c r="Z109" i="29"/>
  <c r="AU109" i="29" s="1"/>
  <c r="Q109" i="29"/>
  <c r="V109" i="29" s="1"/>
  <c r="N109" i="29"/>
  <c r="L109" i="29"/>
  <c r="K109" i="29"/>
  <c r="I109" i="29"/>
  <c r="BA108" i="29"/>
  <c r="AQ108" i="29"/>
  <c r="AP108" i="29"/>
  <c r="AF108" i="29"/>
  <c r="AX108" i="29" s="1"/>
  <c r="Z108" i="29"/>
  <c r="AU108" i="29" s="1"/>
  <c r="Q108" i="29"/>
  <c r="V108" i="29" s="1"/>
  <c r="N108" i="29"/>
  <c r="L108" i="29"/>
  <c r="K108" i="29"/>
  <c r="I108" i="29" s="1"/>
  <c r="AQ107" i="29"/>
  <c r="BA107" i="29" s="1"/>
  <c r="AP107" i="29"/>
  <c r="AF107" i="29"/>
  <c r="AX107" i="29" s="1"/>
  <c r="Z107" i="29"/>
  <c r="AU107" i="29" s="1"/>
  <c r="Q107" i="29"/>
  <c r="V107" i="29" s="1"/>
  <c r="N107" i="29"/>
  <c r="L107" i="29"/>
  <c r="K107" i="29"/>
  <c r="I107" i="29" s="1"/>
  <c r="BA106" i="29"/>
  <c r="AQ106" i="29"/>
  <c r="AP106" i="29"/>
  <c r="AF106" i="29"/>
  <c r="AX106" i="29" s="1"/>
  <c r="Z106" i="29"/>
  <c r="AU106" i="29" s="1"/>
  <c r="Q106" i="29"/>
  <c r="V106" i="29" s="1"/>
  <c r="N106" i="29"/>
  <c r="L106" i="29"/>
  <c r="K106" i="29"/>
  <c r="I106" i="29"/>
  <c r="BA105" i="29"/>
  <c r="AQ105" i="29"/>
  <c r="AQ110" i="29" s="1"/>
  <c r="AP105" i="29"/>
  <c r="AF105" i="29"/>
  <c r="Z105" i="29"/>
  <c r="Q105" i="29"/>
  <c r="V105" i="29" s="1"/>
  <c r="N105" i="29"/>
  <c r="L105" i="29"/>
  <c r="L110" i="29" s="1"/>
  <c r="K105" i="29"/>
  <c r="I105" i="29" s="1"/>
  <c r="AO104" i="29"/>
  <c r="AN104" i="29"/>
  <c r="AM104" i="29"/>
  <c r="AL104" i="29"/>
  <c r="AK104" i="29"/>
  <c r="AJ104" i="29"/>
  <c r="AI104" i="29"/>
  <c r="AH104" i="29"/>
  <c r="AE104" i="29"/>
  <c r="AD104" i="29"/>
  <c r="Y104" i="29"/>
  <c r="X104" i="29"/>
  <c r="W104" i="29"/>
  <c r="U104" i="29"/>
  <c r="T104" i="29"/>
  <c r="S104" i="29"/>
  <c r="R104" i="29"/>
  <c r="P104" i="29"/>
  <c r="O104" i="29"/>
  <c r="M104" i="29"/>
  <c r="J104" i="29"/>
  <c r="AQ103" i="29"/>
  <c r="BA103" i="29" s="1"/>
  <c r="AP103" i="29"/>
  <c r="AF103" i="29"/>
  <c r="AX103" i="29" s="1"/>
  <c r="AC103" i="29"/>
  <c r="AW103" i="29" s="1"/>
  <c r="AB103" i="29"/>
  <c r="Z103" i="29"/>
  <c r="AU103" i="29" s="1"/>
  <c r="V103" i="29"/>
  <c r="AT103" i="29" s="1"/>
  <c r="Q103" i="29"/>
  <c r="N103" i="29"/>
  <c r="L103" i="29"/>
  <c r="K103" i="29"/>
  <c r="AX102" i="29"/>
  <c r="AQ102" i="29"/>
  <c r="BA102" i="29" s="1"/>
  <c r="AP102" i="29"/>
  <c r="AF102" i="29"/>
  <c r="Z102" i="29"/>
  <c r="AU102" i="29" s="1"/>
  <c r="Q102" i="29"/>
  <c r="V102" i="29" s="1"/>
  <c r="N102" i="29"/>
  <c r="L102" i="29"/>
  <c r="K102" i="29"/>
  <c r="AQ101" i="29"/>
  <c r="BA101" i="29" s="1"/>
  <c r="AP101" i="29"/>
  <c r="AR101" i="29" s="1"/>
  <c r="AF101" i="29"/>
  <c r="AX101" i="29" s="1"/>
  <c r="AB101" i="29"/>
  <c r="Z101" i="29"/>
  <c r="AU101" i="29" s="1"/>
  <c r="V101" i="29"/>
  <c r="AT101" i="29" s="1"/>
  <c r="Q101" i="29"/>
  <c r="N101" i="29"/>
  <c r="L101" i="29"/>
  <c r="L104" i="29" s="1"/>
  <c r="K101" i="29"/>
  <c r="AQ100" i="29"/>
  <c r="BA100" i="29" s="1"/>
  <c r="AP100" i="29"/>
  <c r="AF100" i="29"/>
  <c r="AX100" i="29" s="1"/>
  <c r="AC100" i="29"/>
  <c r="AW100" i="29" s="1"/>
  <c r="Z100" i="29"/>
  <c r="AU100" i="29" s="1"/>
  <c r="V100" i="29"/>
  <c r="AT100" i="29" s="1"/>
  <c r="Q100" i="29"/>
  <c r="N100" i="29"/>
  <c r="L100" i="29"/>
  <c r="K100" i="29"/>
  <c r="AQ99" i="29"/>
  <c r="BA99" i="29" s="1"/>
  <c r="AP99" i="29"/>
  <c r="AF99" i="29"/>
  <c r="AX99" i="29" s="1"/>
  <c r="Z99" i="29"/>
  <c r="Q99" i="29"/>
  <c r="Q104" i="29" s="1"/>
  <c r="N99" i="29"/>
  <c r="L99" i="29"/>
  <c r="K99" i="29"/>
  <c r="AO98" i="29"/>
  <c r="AN98" i="29"/>
  <c r="AM98" i="29"/>
  <c r="AL98" i="29"/>
  <c r="AK98" i="29"/>
  <c r="AJ98" i="29"/>
  <c r="AI98" i="29"/>
  <c r="AH98" i="29"/>
  <c r="AE98" i="29"/>
  <c r="AD98" i="29"/>
  <c r="Y98" i="29"/>
  <c r="X98" i="29"/>
  <c r="W98" i="29"/>
  <c r="U98" i="29"/>
  <c r="T98" i="29"/>
  <c r="S98" i="29"/>
  <c r="R98" i="29"/>
  <c r="P98" i="29"/>
  <c r="O98" i="29"/>
  <c r="M98" i="29"/>
  <c r="J98" i="29"/>
  <c r="BA97" i="29"/>
  <c r="AQ97" i="29"/>
  <c r="AP97" i="29"/>
  <c r="AF97" i="29"/>
  <c r="AX97" i="29" s="1"/>
  <c r="Z97" i="29"/>
  <c r="AU97" i="29" s="1"/>
  <c r="Q97" i="29"/>
  <c r="V97" i="29" s="1"/>
  <c r="N97" i="29"/>
  <c r="L97" i="29"/>
  <c r="K97" i="29"/>
  <c r="I97" i="29" s="1"/>
  <c r="AQ96" i="29"/>
  <c r="BA96" i="29" s="1"/>
  <c r="AP96" i="29"/>
  <c r="AF96" i="29"/>
  <c r="AX96" i="29" s="1"/>
  <c r="Z96" i="29"/>
  <c r="AU96" i="29" s="1"/>
  <c r="Q96" i="29"/>
  <c r="V96" i="29" s="1"/>
  <c r="N96" i="29"/>
  <c r="L96" i="29"/>
  <c r="K96" i="29"/>
  <c r="I96" i="29" s="1"/>
  <c r="BA95" i="29"/>
  <c r="AQ95" i="29"/>
  <c r="AP95" i="29"/>
  <c r="AF95" i="29"/>
  <c r="AX95" i="29" s="1"/>
  <c r="Z95" i="29"/>
  <c r="AU95" i="29" s="1"/>
  <c r="Q95" i="29"/>
  <c r="V95" i="29" s="1"/>
  <c r="N95" i="29"/>
  <c r="L95" i="29"/>
  <c r="K95" i="29"/>
  <c r="I95" i="29"/>
  <c r="BA94" i="29"/>
  <c r="AQ94" i="29"/>
  <c r="AP94" i="29"/>
  <c r="AF94" i="29"/>
  <c r="AX94" i="29" s="1"/>
  <c r="Z94" i="29"/>
  <c r="AU94" i="29" s="1"/>
  <c r="Q94" i="29"/>
  <c r="V94" i="29" s="1"/>
  <c r="N94" i="29"/>
  <c r="L94" i="29"/>
  <c r="K94" i="29"/>
  <c r="I94" i="29" s="1"/>
  <c r="AQ93" i="29"/>
  <c r="BA93" i="29" s="1"/>
  <c r="BA98" i="29" s="1"/>
  <c r="AP93" i="29"/>
  <c r="AF93" i="29"/>
  <c r="Z93" i="29"/>
  <c r="Q93" i="29"/>
  <c r="V93" i="29" s="1"/>
  <c r="N93" i="29"/>
  <c r="L93" i="29"/>
  <c r="L98" i="29" s="1"/>
  <c r="K93" i="29"/>
  <c r="K98" i="29" s="1"/>
  <c r="AO92" i="29"/>
  <c r="AN92" i="29"/>
  <c r="AM92" i="29"/>
  <c r="AL92" i="29"/>
  <c r="AK92" i="29"/>
  <c r="AJ92" i="29"/>
  <c r="AI92" i="29"/>
  <c r="AH92" i="29"/>
  <c r="AE92" i="29"/>
  <c r="AD92" i="29"/>
  <c r="Y92" i="29"/>
  <c r="X92" i="29"/>
  <c r="W92" i="29"/>
  <c r="U92" i="29"/>
  <c r="T92" i="29"/>
  <c r="S92" i="29"/>
  <c r="P92" i="29"/>
  <c r="O92" i="29"/>
  <c r="M92" i="29"/>
  <c r="J92" i="29"/>
  <c r="AQ91" i="29"/>
  <c r="BA91" i="29" s="1"/>
  <c r="AP91" i="29"/>
  <c r="AF91" i="29"/>
  <c r="AX91" i="29" s="1"/>
  <c r="Z91" i="29"/>
  <c r="AU91" i="29" s="1"/>
  <c r="Q91" i="29"/>
  <c r="V91" i="29" s="1"/>
  <c r="N91" i="29"/>
  <c r="L91" i="29"/>
  <c r="K91" i="29"/>
  <c r="AX90" i="29"/>
  <c r="AQ90" i="29"/>
  <c r="BA90" i="29" s="1"/>
  <c r="AP90" i="29"/>
  <c r="AR90" i="29" s="1"/>
  <c r="AF90" i="29"/>
  <c r="Z90" i="29"/>
  <c r="AU90" i="29" s="1"/>
  <c r="V90" i="29"/>
  <c r="AT90" i="29" s="1"/>
  <c r="Q90" i="29"/>
  <c r="N90" i="29"/>
  <c r="L90" i="29"/>
  <c r="K90" i="29"/>
  <c r="AQ89" i="29"/>
  <c r="AP89" i="29"/>
  <c r="AZ89" i="29" s="1"/>
  <c r="AF89" i="29"/>
  <c r="AX89" i="29" s="1"/>
  <c r="Z89" i="29"/>
  <c r="AU89" i="29" s="1"/>
  <c r="Q89" i="29"/>
  <c r="V89" i="29" s="1"/>
  <c r="N89" i="29"/>
  <c r="L89" i="29"/>
  <c r="K89" i="29"/>
  <c r="AQ88" i="29"/>
  <c r="BA88" i="29" s="1"/>
  <c r="AP88" i="29"/>
  <c r="AZ88" i="29" s="1"/>
  <c r="AJ88" i="29"/>
  <c r="AF88" i="29"/>
  <c r="AX88" i="29" s="1"/>
  <c r="Z88" i="29"/>
  <c r="Z92" i="29" s="1"/>
  <c r="R88" i="29"/>
  <c r="R92" i="29" s="1"/>
  <c r="Q88" i="29"/>
  <c r="N88" i="29"/>
  <c r="L88" i="29"/>
  <c r="K88" i="29"/>
  <c r="BA87" i="29"/>
  <c r="AR87" i="29"/>
  <c r="AQ87" i="29"/>
  <c r="AP87" i="29"/>
  <c r="AZ87" i="29" s="1"/>
  <c r="AF87" i="29"/>
  <c r="Z87" i="29"/>
  <c r="AU87" i="29" s="1"/>
  <c r="Q87" i="29"/>
  <c r="N87" i="29"/>
  <c r="L87" i="29"/>
  <c r="K87" i="29"/>
  <c r="AO86" i="29"/>
  <c r="AN86" i="29"/>
  <c r="AM86" i="29"/>
  <c r="AL86" i="29"/>
  <c r="AK86" i="29"/>
  <c r="AI86" i="29"/>
  <c r="AH86" i="29"/>
  <c r="AE86" i="29"/>
  <c r="AD86" i="29"/>
  <c r="Y86" i="29"/>
  <c r="X86" i="29"/>
  <c r="W86" i="29"/>
  <c r="U86" i="29"/>
  <c r="T86" i="29"/>
  <c r="S86" i="29"/>
  <c r="P86" i="29"/>
  <c r="O86" i="29"/>
  <c r="M86" i="29"/>
  <c r="J86" i="29"/>
  <c r="AQ85" i="29"/>
  <c r="BA85" i="29" s="1"/>
  <c r="AP85" i="29"/>
  <c r="AZ85" i="29" s="1"/>
  <c r="AF85" i="29"/>
  <c r="AX85" i="29" s="1"/>
  <c r="AB85" i="29"/>
  <c r="Z85" i="29"/>
  <c r="AU85" i="29" s="1"/>
  <c r="V85" i="29"/>
  <c r="AT85" i="29" s="1"/>
  <c r="Q85" i="29"/>
  <c r="N85" i="29"/>
  <c r="L85" i="29"/>
  <c r="K85" i="29"/>
  <c r="AX84" i="29"/>
  <c r="AQ84" i="29"/>
  <c r="AP84" i="29"/>
  <c r="AF84" i="29"/>
  <c r="AB84" i="29"/>
  <c r="Z84" i="29"/>
  <c r="V84" i="29"/>
  <c r="AT84" i="29" s="1"/>
  <c r="Q84" i="29"/>
  <c r="N84" i="29"/>
  <c r="L84" i="29"/>
  <c r="L199" i="29" s="1"/>
  <c r="K84" i="29"/>
  <c r="AX83" i="29"/>
  <c r="AQ83" i="29"/>
  <c r="BA83" i="29" s="1"/>
  <c r="AP83" i="29"/>
  <c r="AZ83" i="29" s="1"/>
  <c r="AF83" i="29"/>
  <c r="Z83" i="29"/>
  <c r="AU83" i="29" s="1"/>
  <c r="V83" i="29"/>
  <c r="AB83" i="29" s="1"/>
  <c r="AV83" i="29" s="1"/>
  <c r="Q83" i="29"/>
  <c r="N83" i="29"/>
  <c r="L83" i="29"/>
  <c r="K83" i="29"/>
  <c r="AX82" i="29"/>
  <c r="AQ82" i="29"/>
  <c r="BA82" i="29" s="1"/>
  <c r="AJ82" i="29"/>
  <c r="AP82" i="29" s="1"/>
  <c r="AF82" i="29"/>
  <c r="Z82" i="29"/>
  <c r="AU82" i="29" s="1"/>
  <c r="R82" i="29"/>
  <c r="Q82" i="29"/>
  <c r="N82" i="29"/>
  <c r="L82" i="29"/>
  <c r="K82" i="29"/>
  <c r="AX81" i="29"/>
  <c r="AQ81" i="29"/>
  <c r="AP81" i="29"/>
  <c r="AZ81" i="29" s="1"/>
  <c r="AF81" i="29"/>
  <c r="Z81" i="29"/>
  <c r="Q81" i="29"/>
  <c r="N81" i="29"/>
  <c r="L81" i="29"/>
  <c r="K81" i="29"/>
  <c r="I81" i="29" s="1"/>
  <c r="AO80" i="29"/>
  <c r="AN80" i="29"/>
  <c r="AM80" i="29"/>
  <c r="AL80" i="29"/>
  <c r="AK80" i="29"/>
  <c r="AJ80" i="29"/>
  <c r="AI80" i="29"/>
  <c r="AH80" i="29"/>
  <c r="AE80" i="29"/>
  <c r="AD80" i="29"/>
  <c r="Y80" i="29"/>
  <c r="X80" i="29"/>
  <c r="W80" i="29"/>
  <c r="U80" i="29"/>
  <c r="T80" i="29"/>
  <c r="S80" i="29"/>
  <c r="R80" i="29"/>
  <c r="P80" i="29"/>
  <c r="O80" i="29"/>
  <c r="M80" i="29"/>
  <c r="J80" i="29"/>
  <c r="AQ79" i="29"/>
  <c r="BA79" i="29" s="1"/>
  <c r="AP79" i="29"/>
  <c r="AZ79" i="29" s="1"/>
  <c r="AF79" i="29"/>
  <c r="AX79" i="29" s="1"/>
  <c r="Z79" i="29"/>
  <c r="AU79" i="29" s="1"/>
  <c r="Q79" i="29"/>
  <c r="V79" i="29" s="1"/>
  <c r="N79" i="29"/>
  <c r="N80" i="29" s="1"/>
  <c r="L79" i="29"/>
  <c r="K79" i="29"/>
  <c r="BA78" i="29"/>
  <c r="AQ78" i="29"/>
  <c r="AP78" i="29"/>
  <c r="AF78" i="29"/>
  <c r="AX78" i="29" s="1"/>
  <c r="Z78" i="29"/>
  <c r="AU78" i="29" s="1"/>
  <c r="Q78" i="29"/>
  <c r="V78" i="29" s="1"/>
  <c r="N78" i="29"/>
  <c r="L78" i="29"/>
  <c r="K78" i="29"/>
  <c r="I78" i="29" s="1"/>
  <c r="AQ77" i="29"/>
  <c r="BA77" i="29" s="1"/>
  <c r="AP77" i="29"/>
  <c r="AZ77" i="29" s="1"/>
  <c r="AF77" i="29"/>
  <c r="AX77" i="29" s="1"/>
  <c r="Z77" i="29"/>
  <c r="Q77" i="29"/>
  <c r="V77" i="29" s="1"/>
  <c r="N77" i="29"/>
  <c r="L77" i="29"/>
  <c r="K77" i="29"/>
  <c r="AQ76" i="29"/>
  <c r="AQ80" i="29" s="1"/>
  <c r="AP76" i="29"/>
  <c r="AF76" i="29"/>
  <c r="AX76" i="29" s="1"/>
  <c r="Z76" i="29"/>
  <c r="AU76" i="29" s="1"/>
  <c r="Q76" i="29"/>
  <c r="N76" i="29"/>
  <c r="L76" i="29"/>
  <c r="L80" i="29" s="1"/>
  <c r="K76" i="29"/>
  <c r="I76" i="29" s="1"/>
  <c r="AO75" i="29"/>
  <c r="AN75" i="29"/>
  <c r="AM75" i="29"/>
  <c r="AL75" i="29"/>
  <c r="AK75" i="29"/>
  <c r="AJ75" i="29"/>
  <c r="AI75" i="29"/>
  <c r="AH75" i="29"/>
  <c r="AE75" i="29"/>
  <c r="AD75" i="29"/>
  <c r="Y75" i="29"/>
  <c r="X75" i="29"/>
  <c r="W75" i="29"/>
  <c r="U75" i="29"/>
  <c r="T75" i="29"/>
  <c r="S75" i="29"/>
  <c r="R75" i="29"/>
  <c r="P75" i="29"/>
  <c r="O75" i="29"/>
  <c r="M75" i="29"/>
  <c r="J75" i="29"/>
  <c r="AQ74" i="29"/>
  <c r="BA74" i="29" s="1"/>
  <c r="AP74" i="29"/>
  <c r="AF74" i="29"/>
  <c r="AX74" i="29" s="1"/>
  <c r="Z74" i="29"/>
  <c r="AU74" i="29" s="1"/>
  <c r="Q74" i="29"/>
  <c r="N74" i="29"/>
  <c r="L74" i="29"/>
  <c r="I74" i="29" s="1"/>
  <c r="K74" i="29"/>
  <c r="AX73" i="29"/>
  <c r="AQ73" i="29"/>
  <c r="BA73" i="29" s="1"/>
  <c r="AP73" i="29"/>
  <c r="AZ73" i="29" s="1"/>
  <c r="AF73" i="29"/>
  <c r="AB73" i="29"/>
  <c r="Z73" i="29"/>
  <c r="AU73" i="29" s="1"/>
  <c r="Q73" i="29"/>
  <c r="V73" i="29" s="1"/>
  <c r="N73" i="29"/>
  <c r="L73" i="29"/>
  <c r="K73" i="29"/>
  <c r="I73" i="29" s="1"/>
  <c r="AX72" i="29"/>
  <c r="AX75" i="29" s="1"/>
  <c r="AQ72" i="29"/>
  <c r="AP72" i="29"/>
  <c r="AP75" i="29" s="1"/>
  <c r="AF72" i="29"/>
  <c r="Z72" i="29"/>
  <c r="Q72" i="29"/>
  <c r="V72" i="29" s="1"/>
  <c r="AB72" i="29" s="1"/>
  <c r="N72" i="29"/>
  <c r="L72" i="29"/>
  <c r="K72" i="29"/>
  <c r="K75" i="29" s="1"/>
  <c r="AO71" i="29"/>
  <c r="AN71" i="29"/>
  <c r="AM71" i="29"/>
  <c r="AL71" i="29"/>
  <c r="AK71" i="29"/>
  <c r="AI71" i="29"/>
  <c r="AH71" i="29"/>
  <c r="AE71" i="29"/>
  <c r="AD71" i="29"/>
  <c r="Y71" i="29"/>
  <c r="X71" i="29"/>
  <c r="W71" i="29"/>
  <c r="U71" i="29"/>
  <c r="T71" i="29"/>
  <c r="S71" i="29"/>
  <c r="P71" i="29"/>
  <c r="O71" i="29"/>
  <c r="M71" i="29"/>
  <c r="J71" i="29"/>
  <c r="AZ70" i="29"/>
  <c r="AQ70" i="29"/>
  <c r="BA70" i="29" s="1"/>
  <c r="AP70" i="29"/>
  <c r="AR70" i="29" s="1"/>
  <c r="AF70" i="29"/>
  <c r="AX70" i="29" s="1"/>
  <c r="Z70" i="29"/>
  <c r="AU70" i="29" s="1"/>
  <c r="V70" i="29"/>
  <c r="Q70" i="29"/>
  <c r="N70" i="29"/>
  <c r="L70" i="29"/>
  <c r="L71" i="29" s="1"/>
  <c r="K70" i="29"/>
  <c r="AQ69" i="29"/>
  <c r="BA69" i="29" s="1"/>
  <c r="AJ69" i="29"/>
  <c r="AF69" i="29"/>
  <c r="AX69" i="29" s="1"/>
  <c r="Z69" i="29"/>
  <c r="AU69" i="29" s="1"/>
  <c r="R69" i="29"/>
  <c r="R71" i="29" s="1"/>
  <c r="Q69" i="29"/>
  <c r="V69" i="29" s="1"/>
  <c r="AT69" i="29" s="1"/>
  <c r="N69" i="29"/>
  <c r="L69" i="29"/>
  <c r="K69" i="29"/>
  <c r="AX68" i="29"/>
  <c r="AQ68" i="29"/>
  <c r="AP68" i="29"/>
  <c r="AF68" i="29"/>
  <c r="AF71" i="29" s="1"/>
  <c r="Z68" i="29"/>
  <c r="AU68" i="29" s="1"/>
  <c r="V68" i="29"/>
  <c r="AT68" i="29" s="1"/>
  <c r="Q68" i="29"/>
  <c r="N68" i="29"/>
  <c r="N71" i="29" s="1"/>
  <c r="L68" i="29"/>
  <c r="K68" i="29"/>
  <c r="AO67" i="29"/>
  <c r="AN67" i="29"/>
  <c r="AM67" i="29"/>
  <c r="AL67" i="29"/>
  <c r="AK67" i="29"/>
  <c r="AJ67" i="29"/>
  <c r="AI67" i="29"/>
  <c r="AH67" i="29"/>
  <c r="AE67" i="29"/>
  <c r="AD67" i="29"/>
  <c r="Y67" i="29"/>
  <c r="X67" i="29"/>
  <c r="W67" i="29"/>
  <c r="U67" i="29"/>
  <c r="T67" i="29"/>
  <c r="S67" i="29"/>
  <c r="R67" i="29"/>
  <c r="P67" i="29"/>
  <c r="O67" i="29"/>
  <c r="M67" i="29"/>
  <c r="K67" i="29"/>
  <c r="J67" i="29"/>
  <c r="AZ66" i="29"/>
  <c r="AQ66" i="29"/>
  <c r="BA66" i="29" s="1"/>
  <c r="AP66" i="29"/>
  <c r="AR66" i="29" s="1"/>
  <c r="AF66" i="29"/>
  <c r="AX66" i="29" s="1"/>
  <c r="Z66" i="29"/>
  <c r="AU66" i="29" s="1"/>
  <c r="Q66" i="29"/>
  <c r="V66" i="29" s="1"/>
  <c r="N66" i="29"/>
  <c r="AY66" i="29" s="1"/>
  <c r="L66" i="29"/>
  <c r="K66" i="29"/>
  <c r="AZ65" i="29"/>
  <c r="AQ65" i="29"/>
  <c r="BA65" i="29" s="1"/>
  <c r="AP65" i="29"/>
  <c r="AR65" i="29" s="1"/>
  <c r="AF65" i="29"/>
  <c r="AX65" i="29" s="1"/>
  <c r="Z65" i="29"/>
  <c r="AU65" i="29" s="1"/>
  <c r="Q65" i="29"/>
  <c r="V65" i="29" s="1"/>
  <c r="N65" i="29"/>
  <c r="AY65" i="29" s="1"/>
  <c r="L65" i="29"/>
  <c r="K65" i="29"/>
  <c r="AZ64" i="29"/>
  <c r="AQ64" i="29"/>
  <c r="AQ67" i="29" s="1"/>
  <c r="AP64" i="29"/>
  <c r="AR64" i="29" s="1"/>
  <c r="AF64" i="29"/>
  <c r="Z64" i="29"/>
  <c r="Z67" i="29" s="1"/>
  <c r="Q64" i="29"/>
  <c r="N64" i="29"/>
  <c r="AY64" i="29" s="1"/>
  <c r="L64" i="29"/>
  <c r="L67" i="29" s="1"/>
  <c r="K64" i="29"/>
  <c r="AO63" i="29"/>
  <c r="AN63" i="29"/>
  <c r="AM63" i="29"/>
  <c r="AL63" i="29"/>
  <c r="AK63" i="29"/>
  <c r="AJ63" i="29"/>
  <c r="AI63" i="29"/>
  <c r="AH63" i="29"/>
  <c r="AE63" i="29"/>
  <c r="AD63" i="29"/>
  <c r="Y63" i="29"/>
  <c r="X63" i="29"/>
  <c r="W63" i="29"/>
  <c r="U63" i="29"/>
  <c r="T63" i="29"/>
  <c r="S63" i="29"/>
  <c r="R63" i="29"/>
  <c r="P63" i="29"/>
  <c r="O63" i="29"/>
  <c r="M63" i="29"/>
  <c r="J63" i="29"/>
  <c r="AQ62" i="29"/>
  <c r="BA62" i="29" s="1"/>
  <c r="AP62" i="29"/>
  <c r="AF62" i="29"/>
  <c r="AX62" i="29" s="1"/>
  <c r="Z62" i="29"/>
  <c r="AU62" i="29" s="1"/>
  <c r="V62" i="29"/>
  <c r="Q62" i="29"/>
  <c r="N62" i="29"/>
  <c r="L62" i="29"/>
  <c r="K62" i="29"/>
  <c r="BA61" i="29"/>
  <c r="AX61" i="29"/>
  <c r="AQ61" i="29"/>
  <c r="AP61" i="29"/>
  <c r="AF61" i="29"/>
  <c r="Z61" i="29"/>
  <c r="AU61" i="29" s="1"/>
  <c r="Q61" i="29"/>
  <c r="Q63" i="29" s="1"/>
  <c r="N61" i="29"/>
  <c r="L61" i="29"/>
  <c r="K61" i="29"/>
  <c r="I61" i="29" s="1"/>
  <c r="AQ60" i="29"/>
  <c r="BA60" i="29" s="1"/>
  <c r="BA63" i="29" s="1"/>
  <c r="AP60" i="29"/>
  <c r="AF60" i="29"/>
  <c r="AF63" i="29" s="1"/>
  <c r="Z60" i="29"/>
  <c r="V60" i="29"/>
  <c r="Q60" i="29"/>
  <c r="N60" i="29"/>
  <c r="N63" i="29" s="1"/>
  <c r="L60" i="29"/>
  <c r="L63" i="29" s="1"/>
  <c r="K60" i="29"/>
  <c r="I60" i="29"/>
  <c r="AP59" i="29"/>
  <c r="AO59" i="29"/>
  <c r="AN59" i="29"/>
  <c r="AM59" i="29"/>
  <c r="AL59" i="29"/>
  <c r="AK59" i="29"/>
  <c r="AJ59" i="29"/>
  <c r="AI59" i="29"/>
  <c r="AH59" i="29"/>
  <c r="AE59" i="29"/>
  <c r="AD59" i="29"/>
  <c r="Y59" i="29"/>
  <c r="X59" i="29"/>
  <c r="W59" i="29"/>
  <c r="U59" i="29"/>
  <c r="T59" i="29"/>
  <c r="S59" i="29"/>
  <c r="R59" i="29"/>
  <c r="P59" i="29"/>
  <c r="O59" i="29"/>
  <c r="M59" i="29"/>
  <c r="J59" i="29"/>
  <c r="AZ58" i="29"/>
  <c r="AQ58" i="29"/>
  <c r="BA58" i="29" s="1"/>
  <c r="AP58" i="29"/>
  <c r="AR58" i="29" s="1"/>
  <c r="AF58" i="29"/>
  <c r="AX58" i="29" s="1"/>
  <c r="Z58" i="29"/>
  <c r="AU58" i="29" s="1"/>
  <c r="Q58" i="29"/>
  <c r="V58" i="29" s="1"/>
  <c r="AA58" i="29" s="1"/>
  <c r="N58" i="29"/>
  <c r="L58" i="29"/>
  <c r="K58" i="29"/>
  <c r="BA57" i="29"/>
  <c r="AR57" i="29"/>
  <c r="AQ57" i="29"/>
  <c r="AP57" i="29"/>
  <c r="AZ57" i="29" s="1"/>
  <c r="AF57" i="29"/>
  <c r="AX57" i="29" s="1"/>
  <c r="Z57" i="29"/>
  <c r="AU57" i="29" s="1"/>
  <c r="Q57" i="29"/>
  <c r="V57" i="29" s="1"/>
  <c r="AA57" i="29" s="1"/>
  <c r="N57" i="29"/>
  <c r="L57" i="29"/>
  <c r="K57" i="29"/>
  <c r="K59" i="29" s="1"/>
  <c r="BA56" i="29"/>
  <c r="BA59" i="29" s="1"/>
  <c r="AR56" i="29"/>
  <c r="AQ56" i="29"/>
  <c r="AQ59" i="29" s="1"/>
  <c r="AP56" i="29"/>
  <c r="AZ56" i="29" s="1"/>
  <c r="AF56" i="29"/>
  <c r="AF59" i="29" s="1"/>
  <c r="Z56" i="29"/>
  <c r="Z59" i="29" s="1"/>
  <c r="Q56" i="29"/>
  <c r="V56" i="29" s="1"/>
  <c r="AT56" i="29" s="1"/>
  <c r="N56" i="29"/>
  <c r="L56" i="29"/>
  <c r="K56" i="29"/>
  <c r="AO55" i="29"/>
  <c r="AN55" i="29"/>
  <c r="AM55" i="29"/>
  <c r="AL55" i="29"/>
  <c r="AK55" i="29"/>
  <c r="AJ55" i="29"/>
  <c r="AI55" i="29"/>
  <c r="AH55" i="29"/>
  <c r="AF55" i="29"/>
  <c r="AE55" i="29"/>
  <c r="AD55" i="29"/>
  <c r="Y55" i="29"/>
  <c r="X55" i="29"/>
  <c r="W55" i="29"/>
  <c r="U55" i="29"/>
  <c r="T55" i="29"/>
  <c r="S55" i="29"/>
  <c r="R55" i="29"/>
  <c r="P55" i="29"/>
  <c r="O55" i="29"/>
  <c r="M55" i="29"/>
  <c r="J55" i="29"/>
  <c r="AQ54" i="29"/>
  <c r="BA54" i="29" s="1"/>
  <c r="AP54" i="29"/>
  <c r="AF54" i="29"/>
  <c r="AX54" i="29" s="1"/>
  <c r="AX55" i="29" s="1"/>
  <c r="Z54" i="29"/>
  <c r="Z55" i="29" s="1"/>
  <c r="V54" i="29"/>
  <c r="Q54" i="29"/>
  <c r="N54" i="29"/>
  <c r="N55" i="29" s="1"/>
  <c r="L54" i="29"/>
  <c r="K54" i="29"/>
  <c r="I54" i="29"/>
  <c r="AX53" i="29"/>
  <c r="AQ53" i="29"/>
  <c r="AP53" i="29"/>
  <c r="AF53" i="29"/>
  <c r="Z53" i="29"/>
  <c r="AU53" i="29" s="1"/>
  <c r="V53" i="29"/>
  <c r="Q53" i="29"/>
  <c r="Q55" i="29" s="1"/>
  <c r="N53" i="29"/>
  <c r="L53" i="29"/>
  <c r="L55" i="29" s="1"/>
  <c r="K53" i="29"/>
  <c r="K55" i="29" s="1"/>
  <c r="AO52" i="29"/>
  <c r="AN52" i="29"/>
  <c r="AM52" i="29"/>
  <c r="AL52" i="29"/>
  <c r="AK52" i="29"/>
  <c r="AJ52" i="29"/>
  <c r="AI52" i="29"/>
  <c r="AH52" i="29"/>
  <c r="AE52" i="29"/>
  <c r="AD52" i="29"/>
  <c r="Y52" i="29"/>
  <c r="X52" i="29"/>
  <c r="W52" i="29"/>
  <c r="U52" i="29"/>
  <c r="T52" i="29"/>
  <c r="S52" i="29"/>
  <c r="R52" i="29"/>
  <c r="P52" i="29"/>
  <c r="O52" i="29"/>
  <c r="M52" i="29"/>
  <c r="J52" i="29"/>
  <c r="BA51" i="29"/>
  <c r="AZ51" i="29"/>
  <c r="AR51" i="29"/>
  <c r="AQ51" i="29"/>
  <c r="AP51" i="29"/>
  <c r="AF51" i="29"/>
  <c r="AX51" i="29" s="1"/>
  <c r="AC51" i="29"/>
  <c r="Z51" i="29"/>
  <c r="AU51" i="29" s="1"/>
  <c r="Q51" i="29"/>
  <c r="V51" i="29" s="1"/>
  <c r="AT51" i="29" s="1"/>
  <c r="N51" i="29"/>
  <c r="L51" i="29"/>
  <c r="K51" i="29"/>
  <c r="AZ50" i="29"/>
  <c r="AQ50" i="29"/>
  <c r="AQ52" i="29" s="1"/>
  <c r="AP50" i="29"/>
  <c r="AR50" i="29" s="1"/>
  <c r="AF50" i="29"/>
  <c r="AX50" i="29" s="1"/>
  <c r="AC50" i="29"/>
  <c r="Z50" i="29"/>
  <c r="AU50" i="29" s="1"/>
  <c r="Q50" i="29"/>
  <c r="V50" i="29" s="1"/>
  <c r="AA50" i="29" s="1"/>
  <c r="N50" i="29"/>
  <c r="L50" i="29"/>
  <c r="K50" i="29"/>
  <c r="AR49" i="29"/>
  <c r="AQ49" i="29"/>
  <c r="BA49" i="29" s="1"/>
  <c r="AP49" i="29"/>
  <c r="AZ49" i="29" s="1"/>
  <c r="AZ52" i="29" s="1"/>
  <c r="AF49" i="29"/>
  <c r="Z49" i="29"/>
  <c r="Q49" i="29"/>
  <c r="V49" i="29" s="1"/>
  <c r="N49" i="29"/>
  <c r="L49" i="29"/>
  <c r="K49" i="29"/>
  <c r="K52" i="29" s="1"/>
  <c r="AO48" i="29"/>
  <c r="AN48" i="29"/>
  <c r="AM48" i="29"/>
  <c r="AL48" i="29"/>
  <c r="AK48" i="29"/>
  <c r="AI48" i="29"/>
  <c r="AH48" i="29"/>
  <c r="AE48" i="29"/>
  <c r="AD48" i="29"/>
  <c r="Y48" i="29"/>
  <c r="X48" i="29"/>
  <c r="W48" i="29"/>
  <c r="U48" i="29"/>
  <c r="T48" i="29"/>
  <c r="S48" i="29"/>
  <c r="P48" i="29"/>
  <c r="O48" i="29"/>
  <c r="M48" i="29"/>
  <c r="J48" i="29"/>
  <c r="AQ47" i="29"/>
  <c r="BA47" i="29" s="1"/>
  <c r="AP47" i="29"/>
  <c r="AF47" i="29"/>
  <c r="AX47" i="29" s="1"/>
  <c r="Z47" i="29"/>
  <c r="AU47" i="29" s="1"/>
  <c r="Q47" i="29"/>
  <c r="V47" i="29" s="1"/>
  <c r="N47" i="29"/>
  <c r="L47" i="29"/>
  <c r="K47" i="29"/>
  <c r="AQ46" i="29"/>
  <c r="BA46" i="29" s="1"/>
  <c r="AJ46" i="29"/>
  <c r="AF46" i="29"/>
  <c r="AX46" i="29" s="1"/>
  <c r="Z46" i="29"/>
  <c r="R46" i="29"/>
  <c r="R192" i="29" s="1"/>
  <c r="Q46" i="29"/>
  <c r="N46" i="29"/>
  <c r="L46" i="29"/>
  <c r="K46" i="29"/>
  <c r="AX45" i="29"/>
  <c r="AQ45" i="29"/>
  <c r="AP45" i="29"/>
  <c r="AZ45" i="29" s="1"/>
  <c r="AF45" i="29"/>
  <c r="AF48" i="29" s="1"/>
  <c r="AB45" i="29"/>
  <c r="Z45" i="29"/>
  <c r="AU45" i="29" s="1"/>
  <c r="V45" i="29"/>
  <c r="AT45" i="29" s="1"/>
  <c r="Q45" i="29"/>
  <c r="N45" i="29"/>
  <c r="L45" i="29"/>
  <c r="L48" i="29" s="1"/>
  <c r="K45" i="29"/>
  <c r="AO44" i="29"/>
  <c r="AN44" i="29"/>
  <c r="AM44" i="29"/>
  <c r="AL44" i="29"/>
  <c r="AK44" i="29"/>
  <c r="AJ44" i="29"/>
  <c r="AI44" i="29"/>
  <c r="AH44" i="29"/>
  <c r="AE44" i="29"/>
  <c r="AD44" i="29"/>
  <c r="Y44" i="29"/>
  <c r="X44" i="29"/>
  <c r="W44" i="29"/>
  <c r="U44" i="29"/>
  <c r="T44" i="29"/>
  <c r="S44" i="29"/>
  <c r="R44" i="29"/>
  <c r="P44" i="29"/>
  <c r="O44" i="29"/>
  <c r="M44" i="29"/>
  <c r="J44" i="29"/>
  <c r="AX43" i="29"/>
  <c r="AQ43" i="29"/>
  <c r="BA43" i="29" s="1"/>
  <c r="AP43" i="29"/>
  <c r="AZ43" i="29" s="1"/>
  <c r="AF43" i="29"/>
  <c r="Z43" i="29"/>
  <c r="AU43" i="29" s="1"/>
  <c r="V43" i="29"/>
  <c r="AT43" i="29" s="1"/>
  <c r="Q43" i="29"/>
  <c r="N43" i="29"/>
  <c r="L43" i="29"/>
  <c r="K43" i="29"/>
  <c r="I43" i="29" s="1"/>
  <c r="AX42" i="29"/>
  <c r="AQ42" i="29"/>
  <c r="AP42" i="29"/>
  <c r="AZ42" i="29" s="1"/>
  <c r="AF42" i="29"/>
  <c r="Z42" i="29"/>
  <c r="AU42" i="29" s="1"/>
  <c r="Q42" i="29"/>
  <c r="V42" i="29" s="1"/>
  <c r="N42" i="29"/>
  <c r="L42" i="29"/>
  <c r="K42" i="29"/>
  <c r="I42" i="29" s="1"/>
  <c r="AQ41" i="29"/>
  <c r="BA41" i="29" s="1"/>
  <c r="AP41" i="29"/>
  <c r="AF41" i="29"/>
  <c r="AX41" i="29" s="1"/>
  <c r="Z41" i="29"/>
  <c r="AU41" i="29" s="1"/>
  <c r="AU44" i="29" s="1"/>
  <c r="Q41" i="29"/>
  <c r="N41" i="29"/>
  <c r="N44" i="29" s="1"/>
  <c r="L41" i="29"/>
  <c r="K41" i="29"/>
  <c r="K44" i="29" s="1"/>
  <c r="I41" i="29"/>
  <c r="AO40" i="29"/>
  <c r="AN40" i="29"/>
  <c r="AM40" i="29"/>
  <c r="AL40" i="29"/>
  <c r="AK40" i="29"/>
  <c r="AJ40" i="29"/>
  <c r="AI40" i="29"/>
  <c r="AH40" i="29"/>
  <c r="AE40" i="29"/>
  <c r="AD40" i="29"/>
  <c r="Y40" i="29"/>
  <c r="X40" i="29"/>
  <c r="W40" i="29"/>
  <c r="U40" i="29"/>
  <c r="T40" i="29"/>
  <c r="S40" i="29"/>
  <c r="R40" i="29"/>
  <c r="P40" i="29"/>
  <c r="O40" i="29"/>
  <c r="M40" i="29"/>
  <c r="J40" i="29"/>
  <c r="AU39" i="29"/>
  <c r="AQ39" i="29"/>
  <c r="AR39" i="29" s="1"/>
  <c r="AY39" i="29" s="1"/>
  <c r="AP39" i="29"/>
  <c r="AZ39" i="29" s="1"/>
  <c r="AF39" i="29"/>
  <c r="AX39" i="29" s="1"/>
  <c r="Z39" i="29"/>
  <c r="Q39" i="29"/>
  <c r="V39" i="29" s="1"/>
  <c r="L39" i="29"/>
  <c r="K39" i="29"/>
  <c r="I39" i="29"/>
  <c r="AQ38" i="29"/>
  <c r="BA38" i="29" s="1"/>
  <c r="AP38" i="29"/>
  <c r="AF38" i="29"/>
  <c r="AX38" i="29" s="1"/>
  <c r="Z38" i="29"/>
  <c r="AU38" i="29" s="1"/>
  <c r="Q38" i="29"/>
  <c r="V38" i="29" s="1"/>
  <c r="AT38" i="29" s="1"/>
  <c r="N38" i="29"/>
  <c r="L38" i="29"/>
  <c r="K38" i="29"/>
  <c r="I38" i="29" s="1"/>
  <c r="AZ37" i="29"/>
  <c r="AQ37" i="29"/>
  <c r="BA37" i="29" s="1"/>
  <c r="AP37" i="29"/>
  <c r="AF37" i="29"/>
  <c r="AX37" i="29" s="1"/>
  <c r="Z37" i="29"/>
  <c r="AU37" i="29" s="1"/>
  <c r="Q37" i="29"/>
  <c r="N37" i="29"/>
  <c r="N40" i="29" s="1"/>
  <c r="L37" i="29"/>
  <c r="K37" i="29"/>
  <c r="I37" i="29"/>
  <c r="AO36" i="29"/>
  <c r="AN36" i="29"/>
  <c r="AM36" i="29"/>
  <c r="AL36" i="29"/>
  <c r="AK36" i="29"/>
  <c r="AJ36" i="29"/>
  <c r="AI36" i="29"/>
  <c r="AH36" i="29"/>
  <c r="AE36" i="29"/>
  <c r="AD36" i="29"/>
  <c r="Y36" i="29"/>
  <c r="X36" i="29"/>
  <c r="W36" i="29"/>
  <c r="U36" i="29"/>
  <c r="T36" i="29"/>
  <c r="S36" i="29"/>
  <c r="R36" i="29"/>
  <c r="P36" i="29"/>
  <c r="O36" i="29"/>
  <c r="M36" i="29"/>
  <c r="L36" i="29"/>
  <c r="J36" i="29"/>
  <c r="AU35" i="29"/>
  <c r="AQ35" i="29"/>
  <c r="AP35" i="29"/>
  <c r="AZ35" i="29" s="1"/>
  <c r="AF35" i="29"/>
  <c r="AX35" i="29" s="1"/>
  <c r="Z35" i="29"/>
  <c r="Q35" i="29"/>
  <c r="V35" i="29" s="1"/>
  <c r="N35" i="29"/>
  <c r="L35" i="29"/>
  <c r="K35" i="29"/>
  <c r="AU34" i="29"/>
  <c r="AU36" i="29" s="1"/>
  <c r="AQ34" i="29"/>
  <c r="AP34" i="29"/>
  <c r="AZ34" i="29" s="1"/>
  <c r="AZ36" i="29" s="1"/>
  <c r="AF34" i="29"/>
  <c r="AX34" i="29" s="1"/>
  <c r="Z34" i="29"/>
  <c r="Z36" i="29" s="1"/>
  <c r="Q34" i="29"/>
  <c r="Q36" i="29" s="1"/>
  <c r="N34" i="29"/>
  <c r="L34" i="29"/>
  <c r="K34" i="29"/>
  <c r="AO33" i="29"/>
  <c r="AN33" i="29"/>
  <c r="AM33" i="29"/>
  <c r="AL33" i="29"/>
  <c r="AK33" i="29"/>
  <c r="AJ33" i="29"/>
  <c r="AI33" i="29"/>
  <c r="AH33" i="29"/>
  <c r="AE33" i="29"/>
  <c r="AD33" i="29"/>
  <c r="Y33" i="29"/>
  <c r="X33" i="29"/>
  <c r="W33" i="29"/>
  <c r="U33" i="29"/>
  <c r="T33" i="29"/>
  <c r="S33" i="29"/>
  <c r="R33" i="29"/>
  <c r="P33" i="29"/>
  <c r="O33" i="29"/>
  <c r="M33" i="29"/>
  <c r="J33" i="29"/>
  <c r="AZ32" i="29"/>
  <c r="AQ32" i="29"/>
  <c r="BA32" i="29" s="1"/>
  <c r="AP32" i="29"/>
  <c r="AR32" i="29" s="1"/>
  <c r="AF32" i="29"/>
  <c r="AX32" i="29" s="1"/>
  <c r="Z32" i="29"/>
  <c r="AU32" i="29" s="1"/>
  <c r="Q32" i="29"/>
  <c r="V32" i="29" s="1"/>
  <c r="AT32" i="29" s="1"/>
  <c r="N32" i="29"/>
  <c r="L32" i="29"/>
  <c r="K32" i="29"/>
  <c r="I32" i="29" s="1"/>
  <c r="AQ31" i="29"/>
  <c r="BA31" i="29" s="1"/>
  <c r="AP31" i="29"/>
  <c r="AZ31" i="29" s="1"/>
  <c r="AF31" i="29"/>
  <c r="AX31" i="29" s="1"/>
  <c r="Z31" i="29"/>
  <c r="AU31" i="29" s="1"/>
  <c r="Q31" i="29"/>
  <c r="V31" i="29" s="1"/>
  <c r="N31" i="29"/>
  <c r="L31" i="29"/>
  <c r="I31" i="29" s="1"/>
  <c r="K31" i="29"/>
  <c r="AZ30" i="29"/>
  <c r="AQ30" i="29"/>
  <c r="BA30" i="29" s="1"/>
  <c r="AP30" i="29"/>
  <c r="AF30" i="29"/>
  <c r="Z30" i="29"/>
  <c r="Q30" i="29"/>
  <c r="N30" i="29"/>
  <c r="N33" i="29" s="1"/>
  <c r="L30" i="29"/>
  <c r="K30" i="29"/>
  <c r="I30" i="29"/>
  <c r="AP29" i="29"/>
  <c r="AO29" i="29"/>
  <c r="AN29" i="29"/>
  <c r="AM29" i="29"/>
  <c r="AL29" i="29"/>
  <c r="AK29" i="29"/>
  <c r="AJ29" i="29"/>
  <c r="AI29" i="29"/>
  <c r="AH29" i="29"/>
  <c r="AE29" i="29"/>
  <c r="AD29" i="29"/>
  <c r="Y29" i="29"/>
  <c r="X29" i="29"/>
  <c r="W29" i="29"/>
  <c r="U29" i="29"/>
  <c r="T29" i="29"/>
  <c r="S29" i="29"/>
  <c r="R29" i="29"/>
  <c r="P29" i="29"/>
  <c r="O29" i="29"/>
  <c r="M29" i="29"/>
  <c r="L29" i="29"/>
  <c r="J29" i="29"/>
  <c r="AU28" i="29"/>
  <c r="AQ28" i="29"/>
  <c r="AP28" i="29"/>
  <c r="AZ28" i="29" s="1"/>
  <c r="AF28" i="29"/>
  <c r="AX28" i="29" s="1"/>
  <c r="Z28" i="29"/>
  <c r="Q28" i="29"/>
  <c r="V28" i="29" s="1"/>
  <c r="AA28" i="29" s="1"/>
  <c r="N28" i="29"/>
  <c r="L28" i="29"/>
  <c r="K28" i="29"/>
  <c r="AQ27" i="29"/>
  <c r="AP27" i="29"/>
  <c r="AZ27" i="29" s="1"/>
  <c r="AZ29" i="29" s="1"/>
  <c r="AF27" i="29"/>
  <c r="AX27" i="29" s="1"/>
  <c r="Z27" i="29"/>
  <c r="Z29" i="29" s="1"/>
  <c r="Q27" i="29"/>
  <c r="N27" i="29"/>
  <c r="N29" i="29" s="1"/>
  <c r="L27" i="29"/>
  <c r="K27" i="29"/>
  <c r="AO26" i="29"/>
  <c r="AN26" i="29"/>
  <c r="AM26" i="29"/>
  <c r="AL26" i="29"/>
  <c r="AK26" i="29"/>
  <c r="AJ26" i="29"/>
  <c r="AI26" i="29"/>
  <c r="AH26" i="29"/>
  <c r="AE26" i="29"/>
  <c r="AD26" i="29"/>
  <c r="Y26" i="29"/>
  <c r="X26" i="29"/>
  <c r="W26" i="29"/>
  <c r="U26" i="29"/>
  <c r="T26" i="29"/>
  <c r="S26" i="29"/>
  <c r="R26" i="29"/>
  <c r="P26" i="29"/>
  <c r="O26" i="29"/>
  <c r="M26" i="29"/>
  <c r="J26" i="29"/>
  <c r="AQ25" i="29"/>
  <c r="BA25" i="29" s="1"/>
  <c r="AP25" i="29"/>
  <c r="AR25" i="29" s="1"/>
  <c r="AF25" i="29"/>
  <c r="AX25" i="29" s="1"/>
  <c r="Z25" i="29"/>
  <c r="AU25" i="29" s="1"/>
  <c r="Q25" i="29"/>
  <c r="V25" i="29" s="1"/>
  <c r="AT25" i="29" s="1"/>
  <c r="N25" i="29"/>
  <c r="L25" i="29"/>
  <c r="K25" i="29"/>
  <c r="I25" i="29" s="1"/>
  <c r="AQ24" i="29"/>
  <c r="BA24" i="29" s="1"/>
  <c r="BA26" i="29" s="1"/>
  <c r="AP24" i="29"/>
  <c r="AF24" i="29"/>
  <c r="Z24" i="29"/>
  <c r="Z26" i="29" s="1"/>
  <c r="Q24" i="29"/>
  <c r="N24" i="29"/>
  <c r="N26" i="29" s="1"/>
  <c r="L24" i="29"/>
  <c r="L26" i="29" s="1"/>
  <c r="K24" i="29"/>
  <c r="I24" i="29" s="1"/>
  <c r="AO23" i="29"/>
  <c r="AN23" i="29"/>
  <c r="AM23" i="29"/>
  <c r="AL23" i="29"/>
  <c r="AK23" i="29"/>
  <c r="AJ23" i="29"/>
  <c r="AI23" i="29"/>
  <c r="AH23" i="29"/>
  <c r="AE23" i="29"/>
  <c r="AD23" i="29"/>
  <c r="Y23" i="29"/>
  <c r="X23" i="29"/>
  <c r="W23" i="29"/>
  <c r="U23" i="29"/>
  <c r="T23" i="29"/>
  <c r="S23" i="29"/>
  <c r="R23" i="29"/>
  <c r="P23" i="29"/>
  <c r="O23" i="29"/>
  <c r="M23" i="29"/>
  <c r="J23" i="29"/>
  <c r="AZ22" i="29"/>
  <c r="AQ22" i="29"/>
  <c r="AP22" i="29"/>
  <c r="AF22" i="29"/>
  <c r="AX22" i="29" s="1"/>
  <c r="Z22" i="29"/>
  <c r="AU22" i="29" s="1"/>
  <c r="Q22" i="29"/>
  <c r="V22" i="29" s="1"/>
  <c r="AA22" i="29" s="1"/>
  <c r="N22" i="29"/>
  <c r="L22" i="29"/>
  <c r="K22" i="29"/>
  <c r="AU21" i="29"/>
  <c r="AQ21" i="29"/>
  <c r="AP21" i="29"/>
  <c r="AZ21" i="29" s="1"/>
  <c r="AF21" i="29"/>
  <c r="AX21" i="29" s="1"/>
  <c r="Z21" i="29"/>
  <c r="Q21" i="29"/>
  <c r="V21" i="29" s="1"/>
  <c r="AA21" i="29" s="1"/>
  <c r="N21" i="29"/>
  <c r="L21" i="29"/>
  <c r="K21" i="29"/>
  <c r="AQ20" i="29"/>
  <c r="AP20" i="29"/>
  <c r="AP23" i="29" s="1"/>
  <c r="AF20" i="29"/>
  <c r="AX20" i="29" s="1"/>
  <c r="Z20" i="29"/>
  <c r="Q20" i="29"/>
  <c r="N20" i="29"/>
  <c r="L20" i="29"/>
  <c r="L23" i="29" s="1"/>
  <c r="K20" i="29"/>
  <c r="AO19" i="29"/>
  <c r="AN19" i="29"/>
  <c r="AM19" i="29"/>
  <c r="AL19" i="29"/>
  <c r="AK19" i="29"/>
  <c r="AJ19" i="29"/>
  <c r="AI19" i="29"/>
  <c r="AH19" i="29"/>
  <c r="AE19" i="29"/>
  <c r="AD19" i="29"/>
  <c r="Y19" i="29"/>
  <c r="X19" i="29"/>
  <c r="W19" i="29"/>
  <c r="U19" i="29"/>
  <c r="T19" i="29"/>
  <c r="S19" i="29"/>
  <c r="R19" i="29"/>
  <c r="P19" i="29"/>
  <c r="O19" i="29"/>
  <c r="M19" i="29"/>
  <c r="J19" i="29"/>
  <c r="AZ18" i="29"/>
  <c r="AQ18" i="29"/>
  <c r="BA18" i="29" s="1"/>
  <c r="AP18" i="29"/>
  <c r="AR18" i="29" s="1"/>
  <c r="AF18" i="29"/>
  <c r="AX18" i="29" s="1"/>
  <c r="Z18" i="29"/>
  <c r="AU18" i="29" s="1"/>
  <c r="Q18" i="29"/>
  <c r="V18" i="29" s="1"/>
  <c r="AT18" i="29" s="1"/>
  <c r="N18" i="29"/>
  <c r="AY18" i="29" s="1"/>
  <c r="L18" i="29"/>
  <c r="K18" i="29"/>
  <c r="I18" i="29"/>
  <c r="AQ17" i="29"/>
  <c r="BA17" i="29" s="1"/>
  <c r="BA19" i="29" s="1"/>
  <c r="AP17" i="29"/>
  <c r="AP19" i="29" s="1"/>
  <c r="AF17" i="29"/>
  <c r="Z17" i="29"/>
  <c r="Z19" i="29" s="1"/>
  <c r="Q17" i="29"/>
  <c r="N17" i="29"/>
  <c r="L17" i="29"/>
  <c r="L19" i="29" s="1"/>
  <c r="K17" i="29"/>
  <c r="K19" i="29" s="1"/>
  <c r="AP16" i="29"/>
  <c r="AO16" i="29"/>
  <c r="AN16" i="29"/>
  <c r="AM16" i="29"/>
  <c r="AL16" i="29"/>
  <c r="AK16" i="29"/>
  <c r="AJ16" i="29"/>
  <c r="AI16" i="29"/>
  <c r="AH16" i="29"/>
  <c r="AE16" i="29"/>
  <c r="AD16" i="29"/>
  <c r="Y16" i="29"/>
  <c r="X16" i="29"/>
  <c r="W16" i="29"/>
  <c r="U16" i="29"/>
  <c r="T16" i="29"/>
  <c r="S16" i="29"/>
  <c r="R16" i="29"/>
  <c r="P16" i="29"/>
  <c r="O16" i="29"/>
  <c r="M16" i="29"/>
  <c r="J16" i="29"/>
  <c r="AQ15" i="29"/>
  <c r="AP15" i="29"/>
  <c r="AZ15" i="29" s="1"/>
  <c r="AF15" i="29"/>
  <c r="Z15" i="29"/>
  <c r="AU15" i="29" s="1"/>
  <c r="Q15" i="29"/>
  <c r="N15" i="29"/>
  <c r="L15" i="29"/>
  <c r="K15" i="29"/>
  <c r="AQ14" i="29"/>
  <c r="AP14" i="29"/>
  <c r="AZ14" i="29" s="1"/>
  <c r="AF14" i="29"/>
  <c r="Z14" i="29"/>
  <c r="Q14" i="29"/>
  <c r="N14" i="29"/>
  <c r="N16" i="29" s="1"/>
  <c r="L14" i="29"/>
  <c r="L16" i="29" s="1"/>
  <c r="K14" i="29"/>
  <c r="AO13" i="29"/>
  <c r="AN13" i="29"/>
  <c r="AM13" i="29"/>
  <c r="AL13" i="29"/>
  <c r="AK13" i="29"/>
  <c r="AJ13" i="29"/>
  <c r="AI13" i="29"/>
  <c r="AH13" i="29"/>
  <c r="AE13" i="29"/>
  <c r="AD13" i="29"/>
  <c r="Y13" i="29"/>
  <c r="X13" i="29"/>
  <c r="W13" i="29"/>
  <c r="U13" i="29"/>
  <c r="T13" i="29"/>
  <c r="S13" i="29"/>
  <c r="S188" i="29" s="1"/>
  <c r="R13" i="29"/>
  <c r="P13" i="29"/>
  <c r="O13" i="29"/>
  <c r="M13" i="29"/>
  <c r="L13" i="29"/>
  <c r="J13" i="29"/>
  <c r="AZ12" i="29"/>
  <c r="AQ12" i="29"/>
  <c r="AQ201" i="29" s="1"/>
  <c r="AP12" i="29"/>
  <c r="AP201" i="29" s="1"/>
  <c r="AF12" i="29"/>
  <c r="Z12" i="29"/>
  <c r="Z201" i="29" s="1"/>
  <c r="Q12" i="29"/>
  <c r="N12" i="29"/>
  <c r="N201" i="29" s="1"/>
  <c r="L12" i="29"/>
  <c r="L201" i="29" s="1"/>
  <c r="K12" i="29"/>
  <c r="K201" i="29" s="1"/>
  <c r="I12" i="29"/>
  <c r="I201" i="29" s="1"/>
  <c r="M191" i="29" l="1"/>
  <c r="I26" i="29"/>
  <c r="AR67" i="29"/>
  <c r="AY73" i="29"/>
  <c r="AB77" i="29"/>
  <c r="AA77" i="29"/>
  <c r="I110" i="29"/>
  <c r="AA123" i="29"/>
  <c r="V128" i="29"/>
  <c r="AT123" i="29"/>
  <c r="AB79" i="29"/>
  <c r="AA79" i="29"/>
  <c r="AG79" i="29" s="1"/>
  <c r="AT145" i="29"/>
  <c r="V151" i="29"/>
  <c r="AC145" i="29"/>
  <c r="AW145" i="29" s="1"/>
  <c r="AW151" i="29" s="1"/>
  <c r="AB145" i="29"/>
  <c r="AV145" i="29" s="1"/>
  <c r="AC113" i="29"/>
  <c r="AB113" i="29"/>
  <c r="AV113" i="29" s="1"/>
  <c r="AT113" i="29"/>
  <c r="AA113" i="29"/>
  <c r="V122" i="29"/>
  <c r="AC117" i="29"/>
  <c r="AB117" i="29"/>
  <c r="AA117" i="29"/>
  <c r="AG117" i="29" s="1"/>
  <c r="AT120" i="29"/>
  <c r="AC120" i="29"/>
  <c r="AW120" i="29" s="1"/>
  <c r="AA120" i="29"/>
  <c r="AB120" i="29"/>
  <c r="AT146" i="29"/>
  <c r="AC146" i="29"/>
  <c r="AW146" i="29" s="1"/>
  <c r="AB146" i="29"/>
  <c r="AA146" i="29"/>
  <c r="I171" i="29"/>
  <c r="AZ16" i="29"/>
  <c r="AX48" i="29"/>
  <c r="AX104" i="29"/>
  <c r="AA124" i="29"/>
  <c r="AT124" i="29"/>
  <c r="AT133" i="29"/>
  <c r="AA133" i="29"/>
  <c r="AB133" i="29"/>
  <c r="AV133" i="29" s="1"/>
  <c r="AT89" i="29"/>
  <c r="AC89" i="29"/>
  <c r="AB89" i="29"/>
  <c r="AA89" i="29"/>
  <c r="AT91" i="29"/>
  <c r="AC91" i="29"/>
  <c r="AW91" i="29" s="1"/>
  <c r="AB91" i="29"/>
  <c r="AA91" i="29"/>
  <c r="BA52" i="29"/>
  <c r="AT102" i="29"/>
  <c r="AA102" i="29"/>
  <c r="AC102" i="29"/>
  <c r="AW102" i="29" s="1"/>
  <c r="AB102" i="29"/>
  <c r="AT147" i="29"/>
  <c r="AC147" i="29"/>
  <c r="AW147" i="29" s="1"/>
  <c r="AA147" i="29"/>
  <c r="AB147" i="29"/>
  <c r="AV102" i="29"/>
  <c r="AX112" i="30"/>
  <c r="AX30" i="30"/>
  <c r="AZ31" i="30"/>
  <c r="AR31" i="30"/>
  <c r="AT47" i="31"/>
  <c r="AC47" i="31"/>
  <c r="AB47" i="31"/>
  <c r="AV47" i="31" s="1"/>
  <c r="AZ26" i="32"/>
  <c r="AR26" i="32"/>
  <c r="AZ96" i="32"/>
  <c r="AP97" i="32"/>
  <c r="AQ26" i="29"/>
  <c r="AX29" i="29"/>
  <c r="K33" i="29"/>
  <c r="AP33" i="29"/>
  <c r="AX44" i="29"/>
  <c r="N48" i="29"/>
  <c r="AC45" i="29"/>
  <c r="AW45" i="29" s="1"/>
  <c r="Z48" i="29"/>
  <c r="BA50" i="29"/>
  <c r="AB51" i="29"/>
  <c r="AV51" i="29" s="1"/>
  <c r="AQ55" i="29"/>
  <c r="AX60" i="29"/>
  <c r="AX63" i="29" s="1"/>
  <c r="V61" i="29"/>
  <c r="V63" i="29" s="1"/>
  <c r="BA64" i="29"/>
  <c r="BA67" i="29" s="1"/>
  <c r="AP67" i="29"/>
  <c r="Q71" i="29"/>
  <c r="AQ75" i="29"/>
  <c r="AR73" i="29"/>
  <c r="I88" i="29"/>
  <c r="AR91" i="29"/>
  <c r="I93" i="29"/>
  <c r="AF98" i="29"/>
  <c r="V99" i="29"/>
  <c r="AR99" i="29"/>
  <c r="AY101" i="29"/>
  <c r="AC101" i="29"/>
  <c r="AW101" i="29" s="1"/>
  <c r="AV103" i="29"/>
  <c r="AA103" i="29"/>
  <c r="AF104" i="29"/>
  <c r="I113" i="29"/>
  <c r="AR115" i="29"/>
  <c r="AY115" i="29" s="1"/>
  <c r="AU117" i="29"/>
  <c r="AU122" i="29" s="1"/>
  <c r="AR118" i="29"/>
  <c r="N134" i="29"/>
  <c r="V130" i="29"/>
  <c r="AA132" i="29"/>
  <c r="AZ141" i="29"/>
  <c r="AZ144" i="29" s="1"/>
  <c r="AR143" i="29"/>
  <c r="AY143" i="29" s="1"/>
  <c r="AC150" i="29"/>
  <c r="AW150" i="29" s="1"/>
  <c r="AX155" i="29"/>
  <c r="AY154" i="29"/>
  <c r="AY159" i="29"/>
  <c r="AZ159" i="29"/>
  <c r="AA162" i="29"/>
  <c r="AA163" i="29"/>
  <c r="Z171" i="29"/>
  <c r="I172" i="29"/>
  <c r="AV38" i="30"/>
  <c r="AB46" i="30"/>
  <c r="AV46" i="30" s="1"/>
  <c r="AC46" i="30"/>
  <c r="AW46" i="30" s="1"/>
  <c r="AR55" i="30"/>
  <c r="AY55" i="30" s="1"/>
  <c r="AZ55" i="30"/>
  <c r="I73" i="30"/>
  <c r="AV87" i="30"/>
  <c r="AZ87" i="30"/>
  <c r="AR87" i="30"/>
  <c r="AC91" i="30"/>
  <c r="AB91" i="30"/>
  <c r="AT46" i="31"/>
  <c r="AC46" i="31"/>
  <c r="AW46" i="31" s="1"/>
  <c r="AA46" i="31"/>
  <c r="AT54" i="31"/>
  <c r="AC54" i="31"/>
  <c r="AZ19" i="32"/>
  <c r="AR19" i="32"/>
  <c r="AA20" i="32"/>
  <c r="AB20" i="32"/>
  <c r="AV20" i="32" s="1"/>
  <c r="AF31" i="32"/>
  <c r="AX28" i="32"/>
  <c r="AF246" i="32"/>
  <c r="AX243" i="32"/>
  <c r="AX246" i="32" s="1"/>
  <c r="AC293" i="32"/>
  <c r="AB293" i="32"/>
  <c r="AV293" i="32" s="1"/>
  <c r="Z40" i="29"/>
  <c r="AP92" i="29"/>
  <c r="AY142" i="29"/>
  <c r="N13" i="29"/>
  <c r="AZ17" i="29"/>
  <c r="AZ20" i="29"/>
  <c r="AZ23" i="29" s="1"/>
  <c r="K26" i="29"/>
  <c r="AP26" i="29"/>
  <c r="AY25" i="29"/>
  <c r="AZ25" i="29"/>
  <c r="L33" i="29"/>
  <c r="AR38" i="29"/>
  <c r="AY38" i="29" s="1"/>
  <c r="AP44" i="29"/>
  <c r="AR43" i="29"/>
  <c r="AY43" i="29" s="1"/>
  <c r="Q48" i="29"/>
  <c r="I46" i="29"/>
  <c r="AP52" i="29"/>
  <c r="AB57" i="29"/>
  <c r="AV57" i="29" s="1"/>
  <c r="AR72" i="29"/>
  <c r="BA76" i="29"/>
  <c r="Z80" i="29"/>
  <c r="AR81" i="29"/>
  <c r="V82" i="29"/>
  <c r="AT82" i="29" s="1"/>
  <c r="AQ92" i="29"/>
  <c r="L92" i="29"/>
  <c r="AA90" i="29"/>
  <c r="AQ98" i="29"/>
  <c r="Z104" i="29"/>
  <c r="AR100" i="29"/>
  <c r="AY100" i="29" s="1"/>
  <c r="AY104" i="29" s="1"/>
  <c r="N110" i="29"/>
  <c r="BA110" i="29"/>
  <c r="AB112" i="29"/>
  <c r="AW113" i="29"/>
  <c r="I115" i="29"/>
  <c r="AA115" i="29"/>
  <c r="AT115" i="29"/>
  <c r="L122" i="29"/>
  <c r="Q122" i="29"/>
  <c r="AC121" i="29"/>
  <c r="AW121" i="29" s="1"/>
  <c r="AR133" i="29"/>
  <c r="K136" i="29"/>
  <c r="AB140" i="29"/>
  <c r="AV140" i="29" s="1"/>
  <c r="AT142" i="29"/>
  <c r="L151" i="29"/>
  <c r="AX145" i="29"/>
  <c r="AX151" i="29" s="1"/>
  <c r="AY147" i="29"/>
  <c r="AA148" i="29"/>
  <c r="AR148" i="29"/>
  <c r="AB157" i="29"/>
  <c r="AV157" i="29" s="1"/>
  <c r="AW162" i="29"/>
  <c r="AW163" i="29"/>
  <c r="K171" i="29"/>
  <c r="AT176" i="29"/>
  <c r="AC176" i="29"/>
  <c r="AB176" i="29"/>
  <c r="AW13" i="30"/>
  <c r="BA26" i="30"/>
  <c r="AR26" i="30"/>
  <c r="AY26" i="30" s="1"/>
  <c r="AR53" i="30"/>
  <c r="AY53" i="30" s="1"/>
  <c r="AZ53" i="30"/>
  <c r="AC24" i="31"/>
  <c r="AW24" i="31" s="1"/>
  <c r="V25" i="31"/>
  <c r="AT30" i="31"/>
  <c r="AA30" i="31"/>
  <c r="AY62" i="31"/>
  <c r="AR24" i="32"/>
  <c r="AZ24" i="32"/>
  <c r="N35" i="32"/>
  <c r="BA16" i="31"/>
  <c r="AQ19" i="31"/>
  <c r="AZ27" i="31"/>
  <c r="AR27" i="31"/>
  <c r="AY27" i="31" s="1"/>
  <c r="AA21" i="32"/>
  <c r="AB21" i="32"/>
  <c r="AV21" i="32" s="1"/>
  <c r="AA38" i="32"/>
  <c r="AB38" i="32"/>
  <c r="AV38" i="32" s="1"/>
  <c r="AK304" i="32"/>
  <c r="Z16" i="29"/>
  <c r="K110" i="29"/>
  <c r="AZ142" i="29"/>
  <c r="AB148" i="29"/>
  <c r="AQ190" i="29"/>
  <c r="AC21" i="30"/>
  <c r="AT21" i="30"/>
  <c r="AB21" i="30"/>
  <c r="I35" i="30"/>
  <c r="AC57" i="30"/>
  <c r="AW57" i="30" s="1"/>
  <c r="AA57" i="30"/>
  <c r="I63" i="30"/>
  <c r="AF92" i="30"/>
  <c r="K92" i="30"/>
  <c r="Q99" i="30"/>
  <c r="AV97" i="30"/>
  <c r="X103" i="30"/>
  <c r="L19" i="31"/>
  <c r="AA54" i="31"/>
  <c r="Q57" i="31"/>
  <c r="AP17" i="32"/>
  <c r="AZ14" i="32"/>
  <c r="AZ17" i="32" s="1"/>
  <c r="AZ36" i="32"/>
  <c r="AZ39" i="32" s="1"/>
  <c r="AR36" i="32"/>
  <c r="Z52" i="32"/>
  <c r="AU46" i="32"/>
  <c r="AJ85" i="32"/>
  <c r="AP80" i="32"/>
  <c r="I33" i="29"/>
  <c r="AQ116" i="29"/>
  <c r="AY118" i="29"/>
  <c r="AT121" i="29"/>
  <c r="BA51" i="32"/>
  <c r="AR51" i="32"/>
  <c r="O188" i="29"/>
  <c r="Q92" i="29"/>
  <c r="AY113" i="29"/>
  <c r="AZ122" i="29"/>
  <c r="Z134" i="29"/>
  <c r="BA12" i="29"/>
  <c r="BA201" i="29" s="1"/>
  <c r="AQ13" i="29"/>
  <c r="N198" i="29"/>
  <c r="Z23" i="29"/>
  <c r="AZ24" i="29"/>
  <c r="AU27" i="29"/>
  <c r="AU29" i="29" s="1"/>
  <c r="K40" i="29"/>
  <c r="AP40" i="29"/>
  <c r="Q44" i="29"/>
  <c r="AY51" i="29"/>
  <c r="AA68" i="29"/>
  <c r="AA71" i="29" s="1"/>
  <c r="AX71" i="29"/>
  <c r="AY70" i="29"/>
  <c r="Z75" i="29"/>
  <c r="AX80" i="29"/>
  <c r="AX199" i="29"/>
  <c r="V87" i="29"/>
  <c r="AB87" i="29" s="1"/>
  <c r="AV87" i="29" s="1"/>
  <c r="AY90" i="29"/>
  <c r="AC90" i="29"/>
  <c r="AW90" i="29" s="1"/>
  <c r="N98" i="29"/>
  <c r="AA100" i="29"/>
  <c r="AR102" i="29"/>
  <c r="AY102" i="29" s="1"/>
  <c r="AP104" i="29"/>
  <c r="BA116" i="29"/>
  <c r="L128" i="29"/>
  <c r="AR131" i="29"/>
  <c r="AU135" i="29"/>
  <c r="N136" i="29"/>
  <c r="AR136" i="29"/>
  <c r="AR137" i="29"/>
  <c r="AY137" i="29" s="1"/>
  <c r="AV146" i="29"/>
  <c r="AY148" i="29"/>
  <c r="AC148" i="29"/>
  <c r="AW148" i="29" s="1"/>
  <c r="AA149" i="29"/>
  <c r="Q151" i="29"/>
  <c r="AA159" i="29"/>
  <c r="V166" i="29"/>
  <c r="AC166" i="29" s="1"/>
  <c r="AW166" i="29" s="1"/>
  <c r="AC173" i="29"/>
  <c r="AC174" i="29" s="1"/>
  <c r="AB173" i="29"/>
  <c r="AT173" i="29"/>
  <c r="AT13" i="30"/>
  <c r="AB13" i="30"/>
  <c r="AV13" i="30" s="1"/>
  <c r="AA26" i="30"/>
  <c r="AG26" i="30" s="1"/>
  <c r="AC26" i="30"/>
  <c r="AB26" i="30"/>
  <c r="AR27" i="30"/>
  <c r="AY27" i="30" s="1"/>
  <c r="BA27" i="30"/>
  <c r="AU36" i="30"/>
  <c r="Z37" i="30"/>
  <c r="N48" i="30"/>
  <c r="AR46" i="30"/>
  <c r="AY46" i="30" s="1"/>
  <c r="AZ46" i="30"/>
  <c r="Q61" i="30"/>
  <c r="V55" i="30"/>
  <c r="AV91" i="30"/>
  <c r="I94" i="30"/>
  <c r="K99" i="30"/>
  <c r="AV94" i="30"/>
  <c r="T103" i="30"/>
  <c r="AE103" i="30"/>
  <c r="BA47" i="31"/>
  <c r="BA48" i="31" s="1"/>
  <c r="AR47" i="31"/>
  <c r="AX65" i="31"/>
  <c r="AX67" i="31" s="1"/>
  <c r="AF67" i="31"/>
  <c r="AQ76" i="31"/>
  <c r="AT175" i="32"/>
  <c r="AB175" i="32"/>
  <c r="AV175" i="32" s="1"/>
  <c r="AA175" i="32"/>
  <c r="AP36" i="29"/>
  <c r="BA95" i="30"/>
  <c r="AR95" i="30"/>
  <c r="AY95" i="30" s="1"/>
  <c r="BA30" i="31"/>
  <c r="AR30" i="31"/>
  <c r="W188" i="29"/>
  <c r="L198" i="29"/>
  <c r="N19" i="29"/>
  <c r="Q23" i="29"/>
  <c r="I40" i="29"/>
  <c r="AX40" i="29"/>
  <c r="AF40" i="29"/>
  <c r="AB90" i="29"/>
  <c r="K104" i="29"/>
  <c r="L116" i="29"/>
  <c r="AX116" i="29"/>
  <c r="AW115" i="29"/>
  <c r="AB115" i="29"/>
  <c r="AY132" i="29"/>
  <c r="AQ155" i="29"/>
  <c r="I17" i="29"/>
  <c r="AQ19" i="29"/>
  <c r="Q29" i="29"/>
  <c r="Z33" i="29"/>
  <c r="AR31" i="29"/>
  <c r="AY32" i="29"/>
  <c r="AQ33" i="29"/>
  <c r="AX36" i="29"/>
  <c r="L40" i="29"/>
  <c r="BA40" i="29"/>
  <c r="AZ38" i="29"/>
  <c r="BA39" i="29"/>
  <c r="V41" i="29"/>
  <c r="AT41" i="29" s="1"/>
  <c r="AA45" i="29"/>
  <c r="V46" i="29"/>
  <c r="AC46" i="29" s="1"/>
  <c r="AC48" i="29" s="1"/>
  <c r="Z52" i="29"/>
  <c r="AB50" i="29"/>
  <c r="AV50" i="29" s="1"/>
  <c r="AT50" i="29"/>
  <c r="AA51" i="29"/>
  <c r="AY57" i="29"/>
  <c r="AY58" i="29"/>
  <c r="AP80" i="29"/>
  <c r="I83" i="29"/>
  <c r="I84" i="29"/>
  <c r="AA84" i="29"/>
  <c r="AV85" i="29"/>
  <c r="AA85" i="29"/>
  <c r="AR88" i="29"/>
  <c r="AY88" i="29" s="1"/>
  <c r="AY91" i="29"/>
  <c r="AY99" i="29"/>
  <c r="AB100" i="29"/>
  <c r="AV100" i="29" s="1"/>
  <c r="AV101" i="29"/>
  <c r="AA101" i="29"/>
  <c r="AG101" i="29" s="1"/>
  <c r="AR103" i="29"/>
  <c r="AY103" i="29" s="1"/>
  <c r="AF110" i="29"/>
  <c r="AA119" i="29"/>
  <c r="AR120" i="29"/>
  <c r="AY120" i="29" s="1"/>
  <c r="AA131" i="29"/>
  <c r="AZ135" i="29"/>
  <c r="AZ136" i="29" s="1"/>
  <c r="AA137" i="29"/>
  <c r="AY146" i="29"/>
  <c r="AB149" i="29"/>
  <c r="AA150" i="29"/>
  <c r="AB159" i="29"/>
  <c r="AV159" i="29" s="1"/>
  <c r="AQ164" i="29"/>
  <c r="Q171" i="29"/>
  <c r="AT172" i="29"/>
  <c r="AT174" i="29" s="1"/>
  <c r="AJ187" i="29"/>
  <c r="AP183" i="29"/>
  <c r="AY41" i="30"/>
  <c r="AT58" i="30"/>
  <c r="AC58" i="30"/>
  <c r="AW58" i="30" s="1"/>
  <c r="AA58" i="30"/>
  <c r="BA59" i="30"/>
  <c r="BA61" i="30" s="1"/>
  <c r="AR59" i="30"/>
  <c r="AY59" i="30" s="1"/>
  <c r="AC60" i="30"/>
  <c r="AW60" i="30" s="1"/>
  <c r="AQ92" i="30"/>
  <c r="BA86" i="30"/>
  <c r="AM103" i="30"/>
  <c r="I41" i="31"/>
  <c r="K43" i="31"/>
  <c r="AZ41" i="31"/>
  <c r="AR41" i="31"/>
  <c r="AY41" i="31" s="1"/>
  <c r="I49" i="31"/>
  <c r="K52" i="31"/>
  <c r="AZ49" i="31"/>
  <c r="AR49" i="31"/>
  <c r="AZ51" i="31"/>
  <c r="AR51" i="31"/>
  <c r="AY51" i="31" s="1"/>
  <c r="AW54" i="31"/>
  <c r="AT55" i="31"/>
  <c r="AC55" i="31"/>
  <c r="AB55" i="31"/>
  <c r="AV55" i="31" s="1"/>
  <c r="N22" i="32"/>
  <c r="AY59" i="32"/>
  <c r="AB177" i="29"/>
  <c r="AC178" i="29"/>
  <c r="AW178" i="29" s="1"/>
  <c r="AY182" i="29"/>
  <c r="U100" i="30"/>
  <c r="AF15" i="30"/>
  <c r="AM100" i="30"/>
  <c r="N105" i="30"/>
  <c r="AV21" i="30"/>
  <c r="Q28" i="30"/>
  <c r="AZ28" i="30"/>
  <c r="AQ107" i="30"/>
  <c r="N37" i="30"/>
  <c r="AW38" i="30"/>
  <c r="AT43" i="30"/>
  <c r="N61" i="30"/>
  <c r="AJ103" i="30"/>
  <c r="AX92" i="30"/>
  <c r="AQ99" i="30"/>
  <c r="AW97" i="30"/>
  <c r="J103" i="30"/>
  <c r="AN103" i="30"/>
  <c r="R103" i="30"/>
  <c r="T74" i="31"/>
  <c r="AM74" i="31"/>
  <c r="AU24" i="31"/>
  <c r="AU87" i="31" s="1"/>
  <c r="K57" i="31"/>
  <c r="AZ67" i="31"/>
  <c r="Z73" i="31"/>
  <c r="N314" i="32"/>
  <c r="N13" i="32"/>
  <c r="Y301" i="32"/>
  <c r="AK301" i="32"/>
  <c r="L17" i="32"/>
  <c r="AF22" i="32"/>
  <c r="AX18" i="32"/>
  <c r="AX22" i="32" s="1"/>
  <c r="AZ23" i="32"/>
  <c r="AP27" i="32"/>
  <c r="AY36" i="32"/>
  <c r="AQ39" i="32"/>
  <c r="BA36" i="32"/>
  <c r="BA39" i="32" s="1"/>
  <c r="AA37" i="32"/>
  <c r="AB37" i="32"/>
  <c r="AV37" i="32" s="1"/>
  <c r="N39" i="32"/>
  <c r="AZ43" i="32"/>
  <c r="AY51" i="32"/>
  <c r="AR93" i="32"/>
  <c r="BA93" i="32"/>
  <c r="AF121" i="32"/>
  <c r="AX115" i="32"/>
  <c r="AX121" i="32" s="1"/>
  <c r="AT129" i="32"/>
  <c r="AC129" i="32"/>
  <c r="AW129" i="32" s="1"/>
  <c r="AB129" i="32"/>
  <c r="AZ130" i="32"/>
  <c r="AR130" i="32"/>
  <c r="AA227" i="32"/>
  <c r="AG227" i="32" s="1"/>
  <c r="AC227" i="32"/>
  <c r="AT227" i="32"/>
  <c r="AB227" i="32"/>
  <c r="AT290" i="32"/>
  <c r="AB290" i="32"/>
  <c r="AV290" i="32" s="1"/>
  <c r="AA290" i="32"/>
  <c r="AI304" i="32"/>
  <c r="AQ303" i="32" s="1"/>
  <c r="AV173" i="29"/>
  <c r="AC177" i="29"/>
  <c r="AW177" i="29" s="1"/>
  <c r="V183" i="29"/>
  <c r="AB183" i="29" s="1"/>
  <c r="AV183" i="29" s="1"/>
  <c r="K104" i="30"/>
  <c r="L110" i="30"/>
  <c r="O100" i="30"/>
  <c r="AX16" i="30"/>
  <c r="AX113" i="30" s="1"/>
  <c r="AF19" i="30"/>
  <c r="AX19" i="30" s="1"/>
  <c r="AU111" i="30"/>
  <c r="I21" i="30"/>
  <c r="BA24" i="30"/>
  <c r="BA29" i="30"/>
  <c r="BA112" i="30" s="1"/>
  <c r="AT40" i="30"/>
  <c r="AU45" i="30"/>
  <c r="AQ48" i="30"/>
  <c r="AT53" i="30"/>
  <c r="AP54" i="30"/>
  <c r="V62" i="30"/>
  <c r="AC62" i="30" s="1"/>
  <c r="AP63" i="30"/>
  <c r="AR63" i="30" s="1"/>
  <c r="AY63" i="30" s="1"/>
  <c r="AF85" i="30"/>
  <c r="V86" i="30"/>
  <c r="AQ104" i="30"/>
  <c r="AD105" i="30"/>
  <c r="AD103" i="30" s="1"/>
  <c r="AF102" i="30" s="1"/>
  <c r="U74" i="31"/>
  <c r="AH74" i="31"/>
  <c r="AN74" i="31"/>
  <c r="V23" i="31"/>
  <c r="AP43" i="31"/>
  <c r="AY49" i="31"/>
  <c r="AP52" i="31"/>
  <c r="AW55" i="31"/>
  <c r="AF64" i="31"/>
  <c r="AY65" i="31"/>
  <c r="N67" i="31"/>
  <c r="AQ67" i="31"/>
  <c r="AH77" i="31"/>
  <c r="AN77" i="31"/>
  <c r="AD77" i="31"/>
  <c r="AF76" i="31" s="1"/>
  <c r="J301" i="32"/>
  <c r="S301" i="32"/>
  <c r="AQ27" i="32"/>
  <c r="AY26" i="32"/>
  <c r="V33" i="32"/>
  <c r="Q39" i="32"/>
  <c r="AF45" i="32"/>
  <c r="AX44" i="32"/>
  <c r="AX45" i="32" s="1"/>
  <c r="BA48" i="32"/>
  <c r="BA52" i="32" s="1"/>
  <c r="AQ52" i="32"/>
  <c r="AQ65" i="32"/>
  <c r="BA61" i="32"/>
  <c r="AX72" i="32"/>
  <c r="AR74" i="32"/>
  <c r="AY74" i="32" s="1"/>
  <c r="BA74" i="32"/>
  <c r="BA78" i="32" s="1"/>
  <c r="AT76" i="32"/>
  <c r="AC76" i="32"/>
  <c r="AC90" i="32"/>
  <c r="AB90" i="32"/>
  <c r="Q310" i="32"/>
  <c r="V102" i="32"/>
  <c r="V310" i="32" s="1"/>
  <c r="AT118" i="32"/>
  <c r="AB118" i="32"/>
  <c r="AC118" i="32"/>
  <c r="Q180" i="29"/>
  <c r="AZ182" i="29"/>
  <c r="AA186" i="29"/>
  <c r="AL191" i="29"/>
  <c r="P100" i="30"/>
  <c r="V16" i="30"/>
  <c r="AB16" i="30" s="1"/>
  <c r="BA16" i="30"/>
  <c r="Q17" i="30"/>
  <c r="AQ17" i="30"/>
  <c r="AW26" i="30"/>
  <c r="Z30" i="30"/>
  <c r="AQ30" i="30"/>
  <c r="AB40" i="30"/>
  <c r="AV40" i="30" s="1"/>
  <c r="I41" i="30"/>
  <c r="AA41" i="30"/>
  <c r="AB43" i="30"/>
  <c r="BA54" i="30"/>
  <c r="AW51" i="30"/>
  <c r="AZ52" i="30"/>
  <c r="AB53" i="30"/>
  <c r="AG53" i="30" s="1"/>
  <c r="I87" i="30"/>
  <c r="AR90" i="30"/>
  <c r="AY90" i="30" s="1"/>
  <c r="AY91" i="30"/>
  <c r="O103" i="30"/>
  <c r="P103" i="30"/>
  <c r="Q15" i="31"/>
  <c r="O74" i="31"/>
  <c r="Z19" i="31"/>
  <c r="AR17" i="31"/>
  <c r="AY17" i="31" s="1"/>
  <c r="AP19" i="31"/>
  <c r="AR20" i="31"/>
  <c r="I22" i="31"/>
  <c r="I25" i="31"/>
  <c r="Z32" i="31"/>
  <c r="AA27" i="31"/>
  <c r="AG27" i="31" s="1"/>
  <c r="AS27" i="31" s="1"/>
  <c r="AT27" i="31"/>
  <c r="R77" i="31"/>
  <c r="K85" i="31"/>
  <c r="AZ85" i="31"/>
  <c r="AW47" i="31"/>
  <c r="AZ57" i="31"/>
  <c r="AY55" i="31"/>
  <c r="AP64" i="31"/>
  <c r="AR65" i="31"/>
  <c r="AR66" i="31"/>
  <c r="AR67" i="31" s="1"/>
  <c r="V12" i="32"/>
  <c r="V13" i="32" s="1"/>
  <c r="AR15" i="32"/>
  <c r="AY15" i="32" s="1"/>
  <c r="BA18" i="32"/>
  <c r="BA22" i="32" s="1"/>
  <c r="AQ22" i="32"/>
  <c r="N27" i="32"/>
  <c r="AR23" i="32"/>
  <c r="AR27" i="32" s="1"/>
  <c r="V36" i="32"/>
  <c r="AX43" i="32"/>
  <c r="N45" i="32"/>
  <c r="AZ44" i="32"/>
  <c r="AZ45" i="32" s="1"/>
  <c r="AR44" i="32"/>
  <c r="AR45" i="32" s="1"/>
  <c r="AR48" i="32"/>
  <c r="AR56" i="32"/>
  <c r="AY56" i="32" s="1"/>
  <c r="AZ56" i="32"/>
  <c r="N65" i="32"/>
  <c r="AT68" i="32"/>
  <c r="AA68" i="32"/>
  <c r="AR73" i="32"/>
  <c r="AZ73" i="32"/>
  <c r="AB86" i="32"/>
  <c r="V91" i="32"/>
  <c r="AC86" i="32"/>
  <c r="AT86" i="32"/>
  <c r="AY130" i="32"/>
  <c r="AJ145" i="32"/>
  <c r="AP141" i="32"/>
  <c r="AZ141" i="32" s="1"/>
  <c r="N187" i="29"/>
  <c r="AT181" i="29"/>
  <c r="AT184" i="29"/>
  <c r="AB186" i="29"/>
  <c r="AM191" i="29"/>
  <c r="AR13" i="30"/>
  <c r="AY13" i="30" s="1"/>
  <c r="AJ100" i="30"/>
  <c r="I16" i="30"/>
  <c r="I113" i="30" s="1"/>
  <c r="Z23" i="30"/>
  <c r="AP111" i="30"/>
  <c r="AY33" i="30"/>
  <c r="AT38" i="30"/>
  <c r="AB41" i="30"/>
  <c r="AV41" i="30" s="1"/>
  <c r="AT41" i="30"/>
  <c r="AT50" i="30"/>
  <c r="AV52" i="30"/>
  <c r="AC53" i="30"/>
  <c r="AX61" i="30"/>
  <c r="I64" i="30"/>
  <c r="I65" i="30" s="1"/>
  <c r="K85" i="30"/>
  <c r="BA93" i="30"/>
  <c r="BA99" i="30" s="1"/>
  <c r="I98" i="30"/>
  <c r="Z15" i="31"/>
  <c r="AP84" i="31"/>
  <c r="P74" i="31"/>
  <c r="AZ18" i="31"/>
  <c r="AA20" i="31"/>
  <c r="AG20" i="31" s="1"/>
  <c r="AC27" i="31"/>
  <c r="AF85" i="31"/>
  <c r="V39" i="31"/>
  <c r="AQ43" i="31"/>
  <c r="AY47" i="31"/>
  <c r="Z48" i="31"/>
  <c r="AF57" i="31"/>
  <c r="AW63" i="31"/>
  <c r="V65" i="31"/>
  <c r="AF73" i="31"/>
  <c r="AX68" i="31"/>
  <c r="AJ73" i="31"/>
  <c r="AP69" i="31"/>
  <c r="N73" i="31"/>
  <c r="BA15" i="32"/>
  <c r="K22" i="32"/>
  <c r="AV19" i="32"/>
  <c r="AX27" i="32"/>
  <c r="Q27" i="32"/>
  <c r="Z31" i="32"/>
  <c r="AR38" i="32"/>
  <c r="AY38" i="32" s="1"/>
  <c r="AP43" i="32"/>
  <c r="AR40" i="32"/>
  <c r="AR43" i="32" s="1"/>
  <c r="AF43" i="32"/>
  <c r="BA99" i="32"/>
  <c r="AR99" i="32"/>
  <c r="AR123" i="32"/>
  <c r="AY123" i="32" s="1"/>
  <c r="AZ123" i="32"/>
  <c r="Q131" i="32"/>
  <c r="V127" i="32"/>
  <c r="AR134" i="32"/>
  <c r="AY134" i="32" s="1"/>
  <c r="AZ134" i="32"/>
  <c r="BA175" i="32"/>
  <c r="AR175" i="32"/>
  <c r="AY175" i="32" s="1"/>
  <c r="AY178" i="32"/>
  <c r="AT181" i="32"/>
  <c r="AA181" i="32"/>
  <c r="AF180" i="29"/>
  <c r="AA184" i="29"/>
  <c r="J191" i="29"/>
  <c r="K17" i="30"/>
  <c r="AD100" i="30"/>
  <c r="AT19" i="30"/>
  <c r="AQ111" i="30"/>
  <c r="N30" i="30"/>
  <c r="AR35" i="30"/>
  <c r="AW40" i="30"/>
  <c r="AW41" i="30"/>
  <c r="AF48" i="30"/>
  <c r="AB50" i="30"/>
  <c r="AG50" i="30" s="1"/>
  <c r="AT51" i="30"/>
  <c r="I56" i="30"/>
  <c r="L61" i="30"/>
  <c r="AR64" i="30"/>
  <c r="AY64" i="30" s="1"/>
  <c r="AR73" i="30"/>
  <c r="AY73" i="30" s="1"/>
  <c r="AQ75" i="30"/>
  <c r="AR88" i="30"/>
  <c r="AY88" i="30" s="1"/>
  <c r="AR94" i="30"/>
  <c r="AY94" i="30" s="1"/>
  <c r="AR97" i="30"/>
  <c r="AY97" i="30" s="1"/>
  <c r="K19" i="31"/>
  <c r="AR16" i="31"/>
  <c r="AY16" i="31" s="1"/>
  <c r="AZ17" i="31"/>
  <c r="AB20" i="31"/>
  <c r="AP23" i="31"/>
  <c r="L25" i="31"/>
  <c r="K79" i="31"/>
  <c r="AW27" i="31"/>
  <c r="AP85" i="31"/>
  <c r="Z81" i="31"/>
  <c r="AR44" i="31"/>
  <c r="AF52" i="31"/>
  <c r="BA49" i="31"/>
  <c r="BA52" i="31" s="1"/>
  <c r="Z57" i="31"/>
  <c r="Q64" i="31"/>
  <c r="AX58" i="31"/>
  <c r="AX64" i="31" s="1"/>
  <c r="AA66" i="31"/>
  <c r="BA66" i="31"/>
  <c r="BA67" i="31" s="1"/>
  <c r="AU71" i="31"/>
  <c r="AF305" i="32"/>
  <c r="AW15" i="32"/>
  <c r="AF17" i="32"/>
  <c r="Q22" i="32"/>
  <c r="V18" i="32"/>
  <c r="AA18" i="32" s="1"/>
  <c r="I19" i="32"/>
  <c r="Z27" i="32"/>
  <c r="BA23" i="32"/>
  <c r="AB28" i="32"/>
  <c r="AB29" i="32"/>
  <c r="AV29" i="32" s="1"/>
  <c r="L58" i="32"/>
  <c r="AF58" i="32"/>
  <c r="AZ59" i="32"/>
  <c r="AR59" i="32"/>
  <c r="Q72" i="32"/>
  <c r="V66" i="32"/>
  <c r="AA71" i="32"/>
  <c r="L114" i="32"/>
  <c r="I111" i="32"/>
  <c r="AR162" i="32"/>
  <c r="AY162" i="32" s="1"/>
  <c r="AZ162" i="32"/>
  <c r="L73" i="31"/>
  <c r="Y77" i="31"/>
  <c r="X77" i="31"/>
  <c r="I12" i="32"/>
  <c r="I13" i="32" s="1"/>
  <c r="M301" i="32"/>
  <c r="N305" i="32"/>
  <c r="AU15" i="32"/>
  <c r="N311" i="32"/>
  <c r="I21" i="32"/>
  <c r="AU23" i="32"/>
  <c r="AU27" i="32" s="1"/>
  <c r="AY24" i="32"/>
  <c r="AY28" i="32"/>
  <c r="N31" i="32"/>
  <c r="AZ30" i="32"/>
  <c r="AZ31" i="32" s="1"/>
  <c r="AR30" i="32"/>
  <c r="L35" i="32"/>
  <c r="Z39" i="32"/>
  <c r="AX39" i="32"/>
  <c r="K52" i="32"/>
  <c r="N58" i="32"/>
  <c r="Z72" i="32"/>
  <c r="L85" i="32"/>
  <c r="AW82" i="32"/>
  <c r="AY93" i="32"/>
  <c r="AR96" i="32"/>
  <c r="AY96" i="32" s="1"/>
  <c r="AX307" i="32"/>
  <c r="AP313" i="32"/>
  <c r="AP110" i="32"/>
  <c r="AZ109" i="32"/>
  <c r="AR109" i="32"/>
  <c r="AY109" i="32" s="1"/>
  <c r="N308" i="32"/>
  <c r="AW119" i="32"/>
  <c r="AX132" i="32"/>
  <c r="AF138" i="32"/>
  <c r="AR143" i="32"/>
  <c r="AZ143" i="32"/>
  <c r="I150" i="32"/>
  <c r="I156" i="32"/>
  <c r="BA188" i="32"/>
  <c r="AR188" i="32"/>
  <c r="AZ217" i="32"/>
  <c r="AR217" i="32"/>
  <c r="AQ277" i="32"/>
  <c r="BA271" i="32"/>
  <c r="AC296" i="32"/>
  <c r="AB296" i="32"/>
  <c r="AV296" i="32" s="1"/>
  <c r="AE301" i="32"/>
  <c r="AM301" i="32"/>
  <c r="AY29" i="32"/>
  <c r="AQ35" i="32"/>
  <c r="BA32" i="32"/>
  <c r="BA35" i="32" s="1"/>
  <c r="AU43" i="32"/>
  <c r="AY41" i="32"/>
  <c r="L52" i="32"/>
  <c r="AY55" i="32"/>
  <c r="AZ63" i="32"/>
  <c r="AR63" i="32"/>
  <c r="AY63" i="32" s="1"/>
  <c r="AF78" i="32"/>
  <c r="N85" i="32"/>
  <c r="V80" i="32"/>
  <c r="R85" i="32"/>
  <c r="AW84" i="32"/>
  <c r="AZ88" i="32"/>
  <c r="AR88" i="32"/>
  <c r="AY88" i="32" s="1"/>
  <c r="Q308" i="32"/>
  <c r="AZ119" i="32"/>
  <c r="AR119" i="32"/>
  <c r="AY119" i="32" s="1"/>
  <c r="K125" i="32"/>
  <c r="AV123" i="32"/>
  <c r="BA125" i="32"/>
  <c r="AQ131" i="32"/>
  <c r="K138" i="32"/>
  <c r="AU160" i="32"/>
  <c r="AA160" i="32"/>
  <c r="AU174" i="32"/>
  <c r="AU308" i="32" s="1"/>
  <c r="AA174" i="32"/>
  <c r="AT180" i="32"/>
  <c r="V185" i="32"/>
  <c r="AA180" i="32"/>
  <c r="L189" i="32"/>
  <c r="BA186" i="32"/>
  <c r="BA189" i="32" s="1"/>
  <c r="AR186" i="32"/>
  <c r="AR189" i="32" s="1"/>
  <c r="BA245" i="32"/>
  <c r="AR245" i="32"/>
  <c r="AY245" i="32" s="1"/>
  <c r="Z263" i="32"/>
  <c r="AU257" i="32"/>
  <c r="AA257" i="32"/>
  <c r="AZ293" i="32"/>
  <c r="AR293" i="32"/>
  <c r="AP67" i="31"/>
  <c r="AH301" i="32"/>
  <c r="AN301" i="32"/>
  <c r="K27" i="32"/>
  <c r="AY25" i="32"/>
  <c r="AA30" i="32"/>
  <c r="AR32" i="32"/>
  <c r="AY33" i="32"/>
  <c r="AR34" i="32"/>
  <c r="AY34" i="32" s="1"/>
  <c r="Z43" i="32"/>
  <c r="AY42" i="32"/>
  <c r="AY46" i="32"/>
  <c r="AF48" i="32"/>
  <c r="AX48" i="32" s="1"/>
  <c r="AR50" i="32"/>
  <c r="R306" i="32"/>
  <c r="R304" i="32" s="1"/>
  <c r="Z65" i="32"/>
  <c r="AY62" i="32"/>
  <c r="I63" i="32"/>
  <c r="AP72" i="32"/>
  <c r="AY77" i="32"/>
  <c r="L97" i="32"/>
  <c r="N108" i="32"/>
  <c r="AF114" i="32"/>
  <c r="AW118" i="32"/>
  <c r="AT130" i="32"/>
  <c r="AB130" i="32"/>
  <c r="AV130" i="32" s="1"/>
  <c r="AC130" i="32"/>
  <c r="K151" i="32"/>
  <c r="I148" i="32"/>
  <c r="AF153" i="32"/>
  <c r="AX153" i="32" s="1"/>
  <c r="AA155" i="32"/>
  <c r="AZ172" i="32"/>
  <c r="AC251" i="32"/>
  <c r="AB251" i="32"/>
  <c r="AA251" i="32"/>
  <c r="AY255" i="32"/>
  <c r="AY256" i="32" s="1"/>
  <c r="N256" i="32"/>
  <c r="I281" i="32"/>
  <c r="AZ281" i="32"/>
  <c r="AR281" i="32"/>
  <c r="AT287" i="32"/>
  <c r="AB287" i="32"/>
  <c r="AV287" i="32" s="1"/>
  <c r="AA287" i="32"/>
  <c r="AQ300" i="32"/>
  <c r="BA299" i="32"/>
  <c r="BA300" i="32" s="1"/>
  <c r="AR299" i="32"/>
  <c r="AR52" i="32"/>
  <c r="AR57" i="32"/>
  <c r="AY57" i="32" s="1"/>
  <c r="AZ72" i="32"/>
  <c r="AT69" i="32"/>
  <c r="AA69" i="32"/>
  <c r="AT79" i="32"/>
  <c r="AA79" i="32"/>
  <c r="AA82" i="32"/>
  <c r="BA91" i="32"/>
  <c r="AR87" i="32"/>
  <c r="AZ87" i="32"/>
  <c r="AU89" i="32"/>
  <c r="AA89" i="32"/>
  <c r="AZ97" i="32"/>
  <c r="AU310" i="32"/>
  <c r="I117" i="32"/>
  <c r="AQ125" i="32"/>
  <c r="AT126" i="32"/>
  <c r="AC126" i="32"/>
  <c r="AW126" i="32" s="1"/>
  <c r="AB126" i="32"/>
  <c r="AV126" i="32" s="1"/>
  <c r="BA138" i="32"/>
  <c r="L151" i="32"/>
  <c r="AY163" i="32"/>
  <c r="AA176" i="32"/>
  <c r="AT176" i="32"/>
  <c r="AU184" i="32"/>
  <c r="AA184" i="32"/>
  <c r="AF39" i="32"/>
  <c r="AQ43" i="32"/>
  <c r="AF52" i="32"/>
  <c r="AY48" i="32"/>
  <c r="AP52" i="32"/>
  <c r="BA58" i="32"/>
  <c r="V54" i="32"/>
  <c r="BA65" i="32"/>
  <c r="AR61" i="32"/>
  <c r="AR64" i="32"/>
  <c r="AR70" i="32"/>
  <c r="AY70" i="32" s="1"/>
  <c r="Q85" i="32"/>
  <c r="AT89" i="32"/>
  <c r="AU92" i="32"/>
  <c r="I100" i="32"/>
  <c r="N310" i="32"/>
  <c r="K114" i="32"/>
  <c r="AX114" i="32"/>
  <c r="I149" i="32"/>
  <c r="I151" i="32" s="1"/>
  <c r="Z158" i="32"/>
  <c r="L165" i="32"/>
  <c r="BA159" i="32"/>
  <c r="BA165" i="32" s="1"/>
  <c r="AQ165" i="32"/>
  <c r="AV160" i="32"/>
  <c r="L172" i="32"/>
  <c r="BA172" i="32"/>
  <c r="I170" i="32"/>
  <c r="AZ173" i="32"/>
  <c r="AZ178" i="32"/>
  <c r="AR178" i="32"/>
  <c r="AC187" i="32"/>
  <c r="AW187" i="32" s="1"/>
  <c r="AT187" i="32"/>
  <c r="AZ205" i="32"/>
  <c r="AR205" i="32"/>
  <c r="N253" i="32"/>
  <c r="AX253" i="32"/>
  <c r="AR252" i="32"/>
  <c r="AY252" i="32" s="1"/>
  <c r="AZ252" i="32"/>
  <c r="AC258" i="32"/>
  <c r="AB258" i="32"/>
  <c r="AT258" i="32"/>
  <c r="AA258" i="32"/>
  <c r="AU261" i="32"/>
  <c r="AA261" i="32"/>
  <c r="N270" i="32"/>
  <c r="AF298" i="32"/>
  <c r="AZ297" i="32"/>
  <c r="AR297" i="32"/>
  <c r="AY297" i="32" s="1"/>
  <c r="Q78" i="32"/>
  <c r="N78" i="32"/>
  <c r="Z85" i="32"/>
  <c r="I86" i="32"/>
  <c r="AV90" i="32"/>
  <c r="AX97" i="32"/>
  <c r="AP108" i="32"/>
  <c r="AY99" i="32"/>
  <c r="Z313" i="32"/>
  <c r="AQ114" i="32"/>
  <c r="K308" i="32"/>
  <c r="Z121" i="32"/>
  <c r="Q125" i="32"/>
  <c r="I140" i="32"/>
  <c r="AR152" i="32"/>
  <c r="AY152" i="32" s="1"/>
  <c r="AZ152" i="32"/>
  <c r="AA162" i="32"/>
  <c r="AC162" i="32"/>
  <c r="AW162" i="32" s="1"/>
  <c r="AB162" i="32"/>
  <c r="AY186" i="32"/>
  <c r="AY188" i="32"/>
  <c r="V200" i="32"/>
  <c r="Z206" i="32"/>
  <c r="AX206" i="32"/>
  <c r="AZ204" i="32"/>
  <c r="AR204" i="32"/>
  <c r="AR206" i="32" s="1"/>
  <c r="AP222" i="32"/>
  <c r="Q228" i="32"/>
  <c r="V225" i="32"/>
  <c r="AP246" i="32"/>
  <c r="AR243" i="32"/>
  <c r="AR246" i="32" s="1"/>
  <c r="AZ243" i="32"/>
  <c r="AU254" i="32"/>
  <c r="AU256" i="32" s="1"/>
  <c r="AA268" i="32"/>
  <c r="AT268" i="32"/>
  <c r="N284" i="32"/>
  <c r="AQ298" i="32"/>
  <c r="BA292" i="32"/>
  <c r="I59" i="32"/>
  <c r="I67" i="32"/>
  <c r="I69" i="32"/>
  <c r="V73" i="32"/>
  <c r="AR76" i="32"/>
  <c r="AY76" i="32" s="1"/>
  <c r="I77" i="32"/>
  <c r="N91" i="32"/>
  <c r="AW90" i="32"/>
  <c r="AY95" i="32"/>
  <c r="I98" i="32"/>
  <c r="Z307" i="32"/>
  <c r="Z310" i="32"/>
  <c r="Q114" i="32"/>
  <c r="BA111" i="32"/>
  <c r="BA114" i="32" s="1"/>
  <c r="AQ121" i="32"/>
  <c r="AV118" i="32"/>
  <c r="AF131" i="32"/>
  <c r="AX126" i="32"/>
  <c r="AX131" i="32" s="1"/>
  <c r="N131" i="32"/>
  <c r="AZ127" i="32"/>
  <c r="AR127" i="32"/>
  <c r="AY127" i="32" s="1"/>
  <c r="AW130" i="32"/>
  <c r="AQ138" i="32"/>
  <c r="AV134" i="32"/>
  <c r="I144" i="32"/>
  <c r="L158" i="32"/>
  <c r="I154" i="32"/>
  <c r="Z172" i="32"/>
  <c r="AP172" i="32"/>
  <c r="AZ167" i="32"/>
  <c r="I171" i="32"/>
  <c r="I181" i="32"/>
  <c r="AT183" i="32"/>
  <c r="AA183" i="32"/>
  <c r="AC188" i="32"/>
  <c r="AT188" i="32"/>
  <c r="AP189" i="32"/>
  <c r="AY195" i="32"/>
  <c r="Z200" i="32"/>
  <c r="AX200" i="32"/>
  <c r="AT199" i="32"/>
  <c r="AB199" i="32"/>
  <c r="AB200" i="32" s="1"/>
  <c r="AR199" i="32"/>
  <c r="AW208" i="32"/>
  <c r="AR208" i="32"/>
  <c r="AY208" i="32" s="1"/>
  <c r="AZ208" i="32"/>
  <c r="AZ212" i="32"/>
  <c r="AR212" i="32"/>
  <c r="AP224" i="32"/>
  <c r="AR223" i="32"/>
  <c r="AR224" i="32" s="1"/>
  <c r="AZ223" i="32"/>
  <c r="AZ224" i="32" s="1"/>
  <c r="BA243" i="32"/>
  <c r="BA246" i="32" s="1"/>
  <c r="AQ246" i="32"/>
  <c r="AZ270" i="32"/>
  <c r="AR267" i="32"/>
  <c r="BA267" i="32"/>
  <c r="AZ285" i="32"/>
  <c r="AP291" i="32"/>
  <c r="Q298" i="32"/>
  <c r="AC299" i="32"/>
  <c r="AC300" i="32" s="1"/>
  <c r="AB299" i="32"/>
  <c r="AV129" i="32"/>
  <c r="N151" i="32"/>
  <c r="AW160" i="32"/>
  <c r="AW176" i="32"/>
  <c r="AA178" i="32"/>
  <c r="I180" i="32"/>
  <c r="I192" i="32"/>
  <c r="AF200" i="32"/>
  <c r="K206" i="32"/>
  <c r="AY205" i="32"/>
  <c r="AQ206" i="32"/>
  <c r="AT217" i="32"/>
  <c r="AC217" i="32"/>
  <c r="AG217" i="32" s="1"/>
  <c r="AB217" i="32"/>
  <c r="Q224" i="32"/>
  <c r="V223" i="32"/>
  <c r="AU228" i="32"/>
  <c r="AZ239" i="32"/>
  <c r="AR239" i="32"/>
  <c r="AY239" i="32" s="1"/>
  <c r="AY243" i="32"/>
  <c r="N246" i="32"/>
  <c r="AU244" i="32"/>
  <c r="Z253" i="32"/>
  <c r="AP253" i="32"/>
  <c r="AZ260" i="32"/>
  <c r="AZ263" i="32" s="1"/>
  <c r="L270" i="32"/>
  <c r="AT265" i="32"/>
  <c r="Q277" i="32"/>
  <c r="V271" i="32"/>
  <c r="I294" i="32"/>
  <c r="I295" i="32"/>
  <c r="I299" i="32"/>
  <c r="I300" i="32" s="1"/>
  <c r="L131" i="32"/>
  <c r="I127" i="32"/>
  <c r="I130" i="32"/>
  <c r="AY142" i="32"/>
  <c r="AP147" i="32"/>
  <c r="I159" i="32"/>
  <c r="AP165" i="32"/>
  <c r="I164" i="32"/>
  <c r="I166" i="32"/>
  <c r="AY176" i="32"/>
  <c r="AY177" i="32"/>
  <c r="AF185" i="32"/>
  <c r="BA196" i="32"/>
  <c r="AY193" i="32"/>
  <c r="AY199" i="32"/>
  <c r="L206" i="32"/>
  <c r="AY204" i="32"/>
  <c r="AT208" i="32"/>
  <c r="AB208" i="32"/>
  <c r="AA208" i="32"/>
  <c r="AC212" i="32"/>
  <c r="AW212" i="32" s="1"/>
  <c r="AA212" i="32"/>
  <c r="Z222" i="32"/>
  <c r="AU216" i="32"/>
  <c r="AU222" i="32" s="1"/>
  <c r="AZ222" i="32"/>
  <c r="AX228" i="32"/>
  <c r="AR227" i="32"/>
  <c r="AY227" i="32" s="1"/>
  <c r="AR232" i="32"/>
  <c r="AZ232" i="32"/>
  <c r="AB243" i="32"/>
  <c r="AT243" i="32"/>
  <c r="AC252" i="32"/>
  <c r="AA252" i="32"/>
  <c r="AT252" i="32"/>
  <c r="N263" i="32"/>
  <c r="AU270" i="32"/>
  <c r="AT274" i="32"/>
  <c r="AC274" i="32"/>
  <c r="AU285" i="32"/>
  <c r="Z291" i="32"/>
  <c r="AX298" i="32"/>
  <c r="AC297" i="32"/>
  <c r="AB297" i="32"/>
  <c r="AV297" i="32" s="1"/>
  <c r="N200" i="32"/>
  <c r="AY201" i="32"/>
  <c r="N206" i="32"/>
  <c r="AC214" i="32"/>
  <c r="AW214" i="32" s="1"/>
  <c r="AA214" i="32"/>
  <c r="AR225" i="32"/>
  <c r="AR228" i="32" s="1"/>
  <c r="AD308" i="32"/>
  <c r="AD304" i="32" s="1"/>
  <c r="AF303" i="32" s="1"/>
  <c r="AF231" i="32"/>
  <c r="AU246" i="32"/>
  <c r="AZ253" i="32"/>
  <c r="AR249" i="32"/>
  <c r="AY249" i="32" s="1"/>
  <c r="AW258" i="32"/>
  <c r="AR266" i="32"/>
  <c r="BA266" i="32"/>
  <c r="K284" i="32"/>
  <c r="I283" i="32"/>
  <c r="AX291" i="32"/>
  <c r="AW296" i="32"/>
  <c r="U304" i="32"/>
  <c r="T304" i="32"/>
  <c r="AE304" i="32"/>
  <c r="AC220" i="32"/>
  <c r="AW220" i="32" s="1"/>
  <c r="Z224" i="32"/>
  <c r="L228" i="32"/>
  <c r="BA226" i="32"/>
  <c r="BA228" i="32" s="1"/>
  <c r="AX242" i="32"/>
  <c r="AW238" i="32"/>
  <c r="AU247" i="32"/>
  <c r="BA254" i="32"/>
  <c r="BA256" i="32" s="1"/>
  <c r="AW261" i="32"/>
  <c r="AQ263" i="32"/>
  <c r="AW274" i="32"/>
  <c r="I280" i="32"/>
  <c r="AW299" i="32"/>
  <c r="AW300" i="32" s="1"/>
  <c r="J304" i="32"/>
  <c r="P304" i="32"/>
  <c r="V210" i="32"/>
  <c r="I211" i="32"/>
  <c r="AY217" i="32"/>
  <c r="N228" i="32"/>
  <c r="AV227" i="32"/>
  <c r="N242" i="32"/>
  <c r="AY241" i="32"/>
  <c r="V242" i="32"/>
  <c r="AW251" i="32"/>
  <c r="AU277" i="32"/>
  <c r="I273" i="32"/>
  <c r="AY288" i="32"/>
  <c r="AR288" i="32"/>
  <c r="AN304" i="32"/>
  <c r="AY209" i="32"/>
  <c r="I213" i="32"/>
  <c r="I214" i="32"/>
  <c r="AW227" i="32"/>
  <c r="L235" i="32"/>
  <c r="AW231" i="32"/>
  <c r="Z242" i="32"/>
  <c r="AR240" i="32"/>
  <c r="AV243" i="32"/>
  <c r="I271" i="32"/>
  <c r="N298" i="32"/>
  <c r="AR296" i="32"/>
  <c r="AY296" i="32" s="1"/>
  <c r="W304" i="32"/>
  <c r="X304" i="32"/>
  <c r="AM304" i="32"/>
  <c r="AT14" i="32"/>
  <c r="AB14" i="32"/>
  <c r="V17" i="32"/>
  <c r="AC14" i="32"/>
  <c r="AA14" i="32"/>
  <c r="AU12" i="32"/>
  <c r="AT40" i="32"/>
  <c r="AC40" i="32"/>
  <c r="AB40" i="32"/>
  <c r="V43" i="32"/>
  <c r="AA40" i="32"/>
  <c r="Q312" i="32"/>
  <c r="V50" i="32"/>
  <c r="I53" i="32"/>
  <c r="AT57" i="32"/>
  <c r="AC57" i="32"/>
  <c r="AW57" i="32" s="1"/>
  <c r="AB57" i="32"/>
  <c r="AA57" i="32"/>
  <c r="I62" i="32"/>
  <c r="AZ81" i="32"/>
  <c r="AR81" i="32"/>
  <c r="AY81" i="32" s="1"/>
  <c r="AR90" i="32"/>
  <c r="AZ90" i="32"/>
  <c r="Q13" i="32"/>
  <c r="W301" i="32"/>
  <c r="AI301" i="32"/>
  <c r="AO301" i="32"/>
  <c r="L305" i="32"/>
  <c r="AU17" i="32"/>
  <c r="AY18" i="32"/>
  <c r="AZ18" i="32"/>
  <c r="AZ22" i="32" s="1"/>
  <c r="AP22" i="32"/>
  <c r="AY20" i="32"/>
  <c r="AT23" i="32"/>
  <c r="AC23" i="32"/>
  <c r="AB23" i="32"/>
  <c r="AV23" i="32" s="1"/>
  <c r="V27" i="32"/>
  <c r="AA23" i="32"/>
  <c r="AT25" i="32"/>
  <c r="AC25" i="32"/>
  <c r="AB25" i="32"/>
  <c r="AA25" i="32"/>
  <c r="AR31" i="32"/>
  <c r="AY30" i="32"/>
  <c r="AT46" i="32"/>
  <c r="AC46" i="32"/>
  <c r="AB46" i="32"/>
  <c r="AA46" i="32"/>
  <c r="AC48" i="32"/>
  <c r="AB48" i="32"/>
  <c r="AA48" i="32"/>
  <c r="Q52" i="32"/>
  <c r="V49" i="32"/>
  <c r="V52" i="32" s="1"/>
  <c r="I54" i="32"/>
  <c r="AQ58" i="32"/>
  <c r="AJ65" i="32"/>
  <c r="AP60" i="32"/>
  <c r="AP65" i="32" s="1"/>
  <c r="Q65" i="32"/>
  <c r="K72" i="32"/>
  <c r="AT67" i="32"/>
  <c r="V72" i="32"/>
  <c r="AC67" i="32"/>
  <c r="AB67" i="32"/>
  <c r="AV67" i="32" s="1"/>
  <c r="AA67" i="32"/>
  <c r="AY73" i="32"/>
  <c r="AR78" i="32"/>
  <c r="AA75" i="32"/>
  <c r="AT75" i="32"/>
  <c r="AC75" i="32"/>
  <c r="AB75" i="32"/>
  <c r="AV75" i="32" s="1"/>
  <c r="AQ85" i="32"/>
  <c r="BA79" i="32"/>
  <c r="BA85" i="32" s="1"/>
  <c r="Z91" i="32"/>
  <c r="AU86" i="32"/>
  <c r="AU91" i="32" s="1"/>
  <c r="AC87" i="32"/>
  <c r="AC91" i="32" s="1"/>
  <c r="AB87" i="32"/>
  <c r="AV87" i="32" s="1"/>
  <c r="AA87" i="32"/>
  <c r="AY90" i="32"/>
  <c r="Q108" i="32"/>
  <c r="V98" i="32"/>
  <c r="Z114" i="32"/>
  <c r="K305" i="32"/>
  <c r="K17" i="32"/>
  <c r="AV14" i="32"/>
  <c r="I14" i="32"/>
  <c r="I15" i="32"/>
  <c r="L22" i="32"/>
  <c r="I30" i="32"/>
  <c r="AT42" i="32"/>
  <c r="AC42" i="32"/>
  <c r="AB42" i="32"/>
  <c r="AA42" i="32"/>
  <c r="AU54" i="32"/>
  <c r="AU58" i="32" s="1"/>
  <c r="Z58" i="32"/>
  <c r="AA64" i="32"/>
  <c r="AT64" i="32"/>
  <c r="AC64" i="32"/>
  <c r="AB64" i="32"/>
  <c r="AV64" i="32" s="1"/>
  <c r="I73" i="32"/>
  <c r="L78" i="32"/>
  <c r="AV86" i="32"/>
  <c r="AC104" i="32"/>
  <c r="AW104" i="32" s="1"/>
  <c r="AB104" i="32"/>
  <c r="AA104" i="32"/>
  <c r="AT104" i="32"/>
  <c r="V314" i="32"/>
  <c r="AC12" i="32"/>
  <c r="AP314" i="32"/>
  <c r="AP13" i="32"/>
  <c r="AQ13" i="32"/>
  <c r="N17" i="32"/>
  <c r="AX31" i="32"/>
  <c r="AT32" i="32"/>
  <c r="AC32" i="32"/>
  <c r="AB32" i="32"/>
  <c r="V35" i="32"/>
  <c r="AA32" i="32"/>
  <c r="AT34" i="32"/>
  <c r="AC34" i="32"/>
  <c r="AB34" i="32"/>
  <c r="AV34" i="32" s="1"/>
  <c r="AA34" i="32"/>
  <c r="I36" i="32"/>
  <c r="L39" i="32"/>
  <c r="AV42" i="32"/>
  <c r="AU52" i="32"/>
  <c r="AF312" i="32"/>
  <c r="AX50" i="32"/>
  <c r="AX312" i="32" s="1"/>
  <c r="AP58" i="32"/>
  <c r="AJ306" i="32"/>
  <c r="AJ304" i="32" s="1"/>
  <c r="AP54" i="32"/>
  <c r="AJ58" i="32"/>
  <c r="AU65" i="32"/>
  <c r="AA62" i="32"/>
  <c r="AB62" i="32"/>
  <c r="AV62" i="32" s="1"/>
  <c r="AT62" i="32"/>
  <c r="BA72" i="32"/>
  <c r="AA77" i="32"/>
  <c r="AT77" i="32"/>
  <c r="AC77" i="32"/>
  <c r="AW77" i="32" s="1"/>
  <c r="AB77" i="32"/>
  <c r="AV77" i="32" s="1"/>
  <c r="AC80" i="32"/>
  <c r="AW80" i="32" s="1"/>
  <c r="AA80" i="32"/>
  <c r="AT80" i="32"/>
  <c r="AQ310" i="32"/>
  <c r="AQ108" i="32"/>
  <c r="BA102" i="32"/>
  <c r="BA310" i="32" s="1"/>
  <c r="AR22" i="32"/>
  <c r="AV25" i="32"/>
  <c r="AT41" i="32"/>
  <c r="AC41" i="32"/>
  <c r="AW41" i="32" s="1"/>
  <c r="AB41" i="32"/>
  <c r="AV41" i="32" s="1"/>
  <c r="AA41" i="32"/>
  <c r="AW42" i="32"/>
  <c r="AV46" i="32"/>
  <c r="AV48" i="32"/>
  <c r="AA55" i="32"/>
  <c r="AT55" i="32"/>
  <c r="AC55" i="32"/>
  <c r="AW55" i="32" s="1"/>
  <c r="I65" i="32"/>
  <c r="AT81" i="32"/>
  <c r="AB81" i="32"/>
  <c r="AV81" i="32" s="1"/>
  <c r="AC81" i="32"/>
  <c r="AW81" i="32" s="1"/>
  <c r="AA81" i="32"/>
  <c r="AA85" i="32" s="1"/>
  <c r="AW89" i="32"/>
  <c r="AA12" i="32"/>
  <c r="AR12" i="32"/>
  <c r="AZ12" i="32"/>
  <c r="T301" i="32"/>
  <c r="Z13" i="32"/>
  <c r="AF13" i="32"/>
  <c r="AL301" i="32"/>
  <c r="AT15" i="32"/>
  <c r="AB15" i="32"/>
  <c r="AV15" i="32" s="1"/>
  <c r="AA15" i="32"/>
  <c r="I18" i="32"/>
  <c r="Z22" i="32"/>
  <c r="AU18" i="32"/>
  <c r="AU22" i="32" s="1"/>
  <c r="AY19" i="32"/>
  <c r="I20" i="32"/>
  <c r="AY21" i="32"/>
  <c r="AW23" i="32"/>
  <c r="AT24" i="32"/>
  <c r="AC24" i="32"/>
  <c r="AW24" i="32" s="1"/>
  <c r="AB24" i="32"/>
  <c r="AV24" i="32" s="1"/>
  <c r="AA24" i="32"/>
  <c r="AW25" i="32"/>
  <c r="AT26" i="32"/>
  <c r="AC26" i="32"/>
  <c r="AW26" i="32" s="1"/>
  <c r="AB26" i="32"/>
  <c r="AV26" i="32" s="1"/>
  <c r="AA26" i="32"/>
  <c r="I28" i="32"/>
  <c r="L31" i="32"/>
  <c r="AY37" i="32"/>
  <c r="I38" i="32"/>
  <c r="BA43" i="32"/>
  <c r="AB45" i="32"/>
  <c r="AV44" i="32"/>
  <c r="AV45" i="32" s="1"/>
  <c r="AZ52" i="32"/>
  <c r="AT47" i="32"/>
  <c r="AC47" i="32"/>
  <c r="AB47" i="32"/>
  <c r="AA47" i="32"/>
  <c r="AW48" i="32"/>
  <c r="V58" i="32"/>
  <c r="AT54" i="32"/>
  <c r="AC54" i="32"/>
  <c r="AW54" i="32" s="1"/>
  <c r="AB54" i="32"/>
  <c r="AV54" i="32" s="1"/>
  <c r="AA54" i="32"/>
  <c r="L65" i="32"/>
  <c r="AX59" i="32"/>
  <c r="AX65" i="32" s="1"/>
  <c r="AF65" i="32"/>
  <c r="AB60" i="32"/>
  <c r="AT60" i="32"/>
  <c r="AC60" i="32"/>
  <c r="AA60" i="32"/>
  <c r="AC62" i="32"/>
  <c r="AW62" i="32" s="1"/>
  <c r="AW67" i="32"/>
  <c r="Z78" i="32"/>
  <c r="AX78" i="32"/>
  <c r="AA74" i="32"/>
  <c r="AT74" i="32"/>
  <c r="AC74" i="32"/>
  <c r="AB74" i="32"/>
  <c r="AV74" i="32" s="1"/>
  <c r="AW76" i="32"/>
  <c r="I76" i="32"/>
  <c r="K85" i="32"/>
  <c r="I79" i="32"/>
  <c r="AB80" i="32"/>
  <c r="AV80" i="32" s="1"/>
  <c r="AQ97" i="32"/>
  <c r="AR92" i="32"/>
  <c r="AR97" i="32" s="1"/>
  <c r="BA92" i="32"/>
  <c r="I314" i="32"/>
  <c r="AX12" i="32"/>
  <c r="Q305" i="32"/>
  <c r="Q17" i="32"/>
  <c r="V311" i="32"/>
  <c r="AT16" i="32"/>
  <c r="AB16" i="32"/>
  <c r="AA16" i="32"/>
  <c r="AB31" i="32"/>
  <c r="AV28" i="32"/>
  <c r="AV31" i="32" s="1"/>
  <c r="AU35" i="32"/>
  <c r="I37" i="32"/>
  <c r="AW40" i="32"/>
  <c r="AX52" i="32"/>
  <c r="AA61" i="32"/>
  <c r="AT61" i="32"/>
  <c r="AC61" i="32"/>
  <c r="AB61" i="32"/>
  <c r="AV61" i="32" s="1"/>
  <c r="AA63" i="32"/>
  <c r="AT63" i="32"/>
  <c r="AC63" i="32"/>
  <c r="AB63" i="32"/>
  <c r="AV63" i="32" s="1"/>
  <c r="N72" i="32"/>
  <c r="I71" i="32"/>
  <c r="AZ91" i="32"/>
  <c r="L314" i="32"/>
  <c r="L13" i="32"/>
  <c r="AB12" i="32"/>
  <c r="AT12" i="32"/>
  <c r="BA12" i="32"/>
  <c r="O301" i="32"/>
  <c r="N302" i="32" s="1"/>
  <c r="U301" i="32"/>
  <c r="AQ305" i="32"/>
  <c r="AQ17" i="32"/>
  <c r="AR14" i="32"/>
  <c r="BA14" i="32"/>
  <c r="AC16" i="32"/>
  <c r="AW16" i="32" s="1"/>
  <c r="BA27" i="32"/>
  <c r="AY31" i="32"/>
  <c r="I29" i="32"/>
  <c r="AW32" i="32"/>
  <c r="AT33" i="32"/>
  <c r="AC33" i="32"/>
  <c r="AW33" i="32" s="1"/>
  <c r="AB33" i="32"/>
  <c r="AV33" i="32" s="1"/>
  <c r="AA33" i="32"/>
  <c r="AW34" i="32"/>
  <c r="AR39" i="32"/>
  <c r="I44" i="32"/>
  <c r="L45" i="32"/>
  <c r="AC51" i="32"/>
  <c r="AW51" i="32" s="1"/>
  <c r="AB51" i="32"/>
  <c r="AV51" i="32" s="1"/>
  <c r="AA51" i="32"/>
  <c r="AT51" i="32"/>
  <c r="AB55" i="32"/>
  <c r="AC56" i="32"/>
  <c r="AW56" i="32" s="1"/>
  <c r="AB56" i="32"/>
  <c r="AV56" i="32" s="1"/>
  <c r="AA56" i="32"/>
  <c r="AT56" i="32"/>
  <c r="K58" i="32"/>
  <c r="AV60" i="32"/>
  <c r="AY64" i="32"/>
  <c r="AY67" i="32"/>
  <c r="I68" i="32"/>
  <c r="AT70" i="32"/>
  <c r="AC70" i="32"/>
  <c r="AW70" i="32" s="1"/>
  <c r="AB70" i="32"/>
  <c r="AV70" i="32" s="1"/>
  <c r="AA70" i="32"/>
  <c r="AG70" i="32" s="1"/>
  <c r="AS70" i="32" s="1"/>
  <c r="AZ78" i="32"/>
  <c r="I88" i="32"/>
  <c r="K91" i="32"/>
  <c r="AY92" i="32"/>
  <c r="AY97" i="32" s="1"/>
  <c r="AB93" i="32"/>
  <c r="AV93" i="32" s="1"/>
  <c r="AT93" i="32"/>
  <c r="AC93" i="32"/>
  <c r="AW93" i="32" s="1"/>
  <c r="AA93" i="32"/>
  <c r="AB94" i="32"/>
  <c r="AT94" i="32"/>
  <c r="AC94" i="32"/>
  <c r="AW94" i="32" s="1"/>
  <c r="AA94" i="32"/>
  <c r="AY12" i="32"/>
  <c r="X301" i="32"/>
  <c r="Z305" i="32"/>
  <c r="AP305" i="32"/>
  <c r="I16" i="32"/>
  <c r="Z311" i="32"/>
  <c r="AP311" i="32"/>
  <c r="AC19" i="32"/>
  <c r="AG19" i="32" s="1"/>
  <c r="AS19" i="32" s="1"/>
  <c r="AC20" i="32"/>
  <c r="AW20" i="32" s="1"/>
  <c r="AC21" i="32"/>
  <c r="AG21" i="32" s="1"/>
  <c r="AS21" i="32" s="1"/>
  <c r="I23" i="32"/>
  <c r="I24" i="32"/>
  <c r="I25" i="32"/>
  <c r="I26" i="32"/>
  <c r="AC28" i="32"/>
  <c r="AC29" i="32"/>
  <c r="AW29" i="32" s="1"/>
  <c r="AC30" i="32"/>
  <c r="AG30" i="32" s="1"/>
  <c r="AP31" i="32"/>
  <c r="I32" i="32"/>
  <c r="AV32" i="32"/>
  <c r="I33" i="32"/>
  <c r="I34" i="32"/>
  <c r="AC37" i="32"/>
  <c r="AW37" i="32" s="1"/>
  <c r="AC38" i="32"/>
  <c r="AG38" i="32" s="1"/>
  <c r="AP39" i="32"/>
  <c r="I40" i="32"/>
  <c r="AV40" i="32"/>
  <c r="I41" i="32"/>
  <c r="I42" i="32"/>
  <c r="AC44" i="32"/>
  <c r="AC45" i="32" s="1"/>
  <c r="AP45" i="32"/>
  <c r="I46" i="32"/>
  <c r="I47" i="32"/>
  <c r="Z306" i="32"/>
  <c r="I48" i="32"/>
  <c r="N52" i="32"/>
  <c r="AB53" i="32"/>
  <c r="AR53" i="32"/>
  <c r="AY53" i="32" s="1"/>
  <c r="AX53" i="32"/>
  <c r="AX58" i="32" s="1"/>
  <c r="AV57" i="32"/>
  <c r="I57" i="32"/>
  <c r="R58" i="32"/>
  <c r="R301" i="32" s="1"/>
  <c r="AY61" i="32"/>
  <c r="AU66" i="32"/>
  <c r="AU72" i="32" s="1"/>
  <c r="AB68" i="32"/>
  <c r="AR68" i="32"/>
  <c r="AY68" i="32" s="1"/>
  <c r="AB71" i="32"/>
  <c r="AR71" i="32"/>
  <c r="AY71" i="32" s="1"/>
  <c r="AP78" i="32"/>
  <c r="AB79" i="32"/>
  <c r="AG79" i="32" s="1"/>
  <c r="AR79" i="32"/>
  <c r="AY79" i="32" s="1"/>
  <c r="AT82" i="32"/>
  <c r="AB82" i="32"/>
  <c r="AZ82" i="32"/>
  <c r="AR82" i="32"/>
  <c r="AY82" i="32" s="1"/>
  <c r="AF85" i="32"/>
  <c r="I87" i="32"/>
  <c r="K97" i="32"/>
  <c r="I92" i="32"/>
  <c r="Z108" i="32"/>
  <c r="AU98" i="32"/>
  <c r="AC103" i="32"/>
  <c r="AW103" i="32" s="1"/>
  <c r="AB103" i="32"/>
  <c r="AV103" i="32" s="1"/>
  <c r="AA103" i="32"/>
  <c r="AT103" i="32"/>
  <c r="L308" i="32"/>
  <c r="AZ126" i="32"/>
  <c r="AP131" i="32"/>
  <c r="AR126" i="32"/>
  <c r="AZ129" i="32"/>
  <c r="AR129" i="32"/>
  <c r="AY129" i="32" s="1"/>
  <c r="AU140" i="32"/>
  <c r="AA140" i="32"/>
  <c r="AG140" i="32" s="1"/>
  <c r="AS140" i="32" s="1"/>
  <c r="AC244" i="32"/>
  <c r="AA244" i="32"/>
  <c r="AT244" i="32"/>
  <c r="AB244" i="32"/>
  <c r="K311" i="32"/>
  <c r="AQ311" i="32"/>
  <c r="AT19" i="32"/>
  <c r="AT20" i="32"/>
  <c r="AT21" i="32"/>
  <c r="AT28" i="32"/>
  <c r="AT29" i="32"/>
  <c r="AT30" i="32"/>
  <c r="AT37" i="32"/>
  <c r="AT38" i="32"/>
  <c r="AT44" i="32"/>
  <c r="AT45" i="32" s="1"/>
  <c r="AW46" i="32"/>
  <c r="K306" i="32"/>
  <c r="AQ306" i="32"/>
  <c r="I49" i="32"/>
  <c r="I50" i="32"/>
  <c r="Z312" i="32"/>
  <c r="AP312" i="32"/>
  <c r="I51" i="32"/>
  <c r="AC53" i="32"/>
  <c r="V65" i="32"/>
  <c r="AC59" i="32"/>
  <c r="AW60" i="32"/>
  <c r="AW61" i="32"/>
  <c r="AW64" i="32"/>
  <c r="AC68" i="32"/>
  <c r="AW68" i="32" s="1"/>
  <c r="AC71" i="32"/>
  <c r="AW71" i="32" s="1"/>
  <c r="AU73" i="32"/>
  <c r="AU78" i="32" s="1"/>
  <c r="AW75" i="32"/>
  <c r="AC79" i="32"/>
  <c r="AU80" i="32"/>
  <c r="AU85" i="32" s="1"/>
  <c r="I82" i="32"/>
  <c r="AT83" i="32"/>
  <c r="AB83" i="32"/>
  <c r="AV83" i="32" s="1"/>
  <c r="AZ83" i="32"/>
  <c r="AR83" i="32"/>
  <c r="AY83" i="32" s="1"/>
  <c r="Q91" i="32"/>
  <c r="I93" i="32"/>
  <c r="N97" i="32"/>
  <c r="AV104" i="32"/>
  <c r="AY110" i="32"/>
  <c r="N147" i="32"/>
  <c r="AY146" i="32"/>
  <c r="AY147" i="32" s="1"/>
  <c r="I162" i="32"/>
  <c r="AV162" i="32"/>
  <c r="K165" i="32"/>
  <c r="AX14" i="32"/>
  <c r="L311" i="32"/>
  <c r="AX311" i="32"/>
  <c r="AU28" i="32"/>
  <c r="AU31" i="32" s="1"/>
  <c r="AU36" i="32"/>
  <c r="AU39" i="32" s="1"/>
  <c r="AU44" i="32"/>
  <c r="AU45" i="32" s="1"/>
  <c r="L306" i="32"/>
  <c r="K312" i="32"/>
  <c r="AQ312" i="32"/>
  <c r="AT53" i="32"/>
  <c r="I56" i="32"/>
  <c r="I66" i="32"/>
  <c r="AA76" i="32"/>
  <c r="I80" i="32"/>
  <c r="AT84" i="32"/>
  <c r="AB84" i="32"/>
  <c r="AV84" i="32" s="1"/>
  <c r="AZ84" i="32"/>
  <c r="AR84" i="32"/>
  <c r="AY84" i="32" s="1"/>
  <c r="AW86" i="32"/>
  <c r="L91" i="32"/>
  <c r="AF91" i="32"/>
  <c r="AR89" i="32"/>
  <c r="AY89" i="32" s="1"/>
  <c r="I90" i="32"/>
  <c r="AA90" i="32"/>
  <c r="AG90" i="32" s="1"/>
  <c r="AU97" i="32"/>
  <c r="AV94" i="32"/>
  <c r="I94" i="32"/>
  <c r="BA94" i="32"/>
  <c r="AT96" i="32"/>
  <c r="AB96" i="32"/>
  <c r="AV96" i="32" s="1"/>
  <c r="AF108" i="32"/>
  <c r="AX98" i="32"/>
  <c r="AA99" i="32"/>
  <c r="AC99" i="32"/>
  <c r="AW99" i="32" s="1"/>
  <c r="AC101" i="32"/>
  <c r="AW101" i="32" s="1"/>
  <c r="AB101" i="32"/>
  <c r="AA101" i="32"/>
  <c r="AT101" i="32"/>
  <c r="AC107" i="32"/>
  <c r="AW107" i="32" s="1"/>
  <c r="AB107" i="32"/>
  <c r="AV107" i="32" s="1"/>
  <c r="AA107" i="32"/>
  <c r="AT107" i="32"/>
  <c r="AA115" i="32"/>
  <c r="AT115" i="32"/>
  <c r="AC115" i="32"/>
  <c r="AB115" i="32"/>
  <c r="AV115" i="32" s="1"/>
  <c r="N306" i="32"/>
  <c r="AY47" i="32"/>
  <c r="L312" i="32"/>
  <c r="AW63" i="32"/>
  <c r="AQ72" i="32"/>
  <c r="AW74" i="32"/>
  <c r="AZ80" i="32"/>
  <c r="AR80" i="32"/>
  <c r="AY80" i="32" s="1"/>
  <c r="V85" i="32"/>
  <c r="AP91" i="32"/>
  <c r="AX91" i="32"/>
  <c r="AY87" i="32"/>
  <c r="Q97" i="32"/>
  <c r="AV95" i="32"/>
  <c r="I95" i="32"/>
  <c r="BA96" i="32"/>
  <c r="L108" i="32"/>
  <c r="AZ98" i="32"/>
  <c r="L307" i="32"/>
  <c r="AC106" i="32"/>
  <c r="AW106" i="32" s="1"/>
  <c r="AB106" i="32"/>
  <c r="AV106" i="32" s="1"/>
  <c r="AA106" i="32"/>
  <c r="AT106" i="32"/>
  <c r="Q311" i="32"/>
  <c r="AF311" i="32"/>
  <c r="AA28" i="32"/>
  <c r="AA44" i="32"/>
  <c r="Q306" i="32"/>
  <c r="AF306" i="32"/>
  <c r="N312" i="32"/>
  <c r="AY50" i="32"/>
  <c r="AD52" i="32"/>
  <c r="AV55" i="32"/>
  <c r="I55" i="32"/>
  <c r="AB59" i="32"/>
  <c r="AT59" i="32"/>
  <c r="AT65" i="32" s="1"/>
  <c r="AB66" i="32"/>
  <c r="AR66" i="32"/>
  <c r="AB69" i="32"/>
  <c r="AG69" i="32" s="1"/>
  <c r="AS69" i="32" s="1"/>
  <c r="AR69" i="32"/>
  <c r="AY69" i="32" s="1"/>
  <c r="AB76" i="32"/>
  <c r="AV76" i="32" s="1"/>
  <c r="AC83" i="32"/>
  <c r="AW83" i="32" s="1"/>
  <c r="AA84" i="32"/>
  <c r="AP85" i="32"/>
  <c r="AA86" i="32"/>
  <c r="AY86" i="32"/>
  <c r="AA88" i="32"/>
  <c r="AG88" i="32" s="1"/>
  <c r="AT88" i="32"/>
  <c r="AT91" i="32" s="1"/>
  <c r="AB89" i="32"/>
  <c r="AB91" i="32" s="1"/>
  <c r="AQ91" i="32"/>
  <c r="V92" i="32"/>
  <c r="AC95" i="32"/>
  <c r="AW95" i="32" s="1"/>
  <c r="AT95" i="32"/>
  <c r="I96" i="32"/>
  <c r="AS96" i="32" s="1"/>
  <c r="AA96" i="32"/>
  <c r="AG96" i="32" s="1"/>
  <c r="AF97" i="32"/>
  <c r="AY98" i="32"/>
  <c r="BA108" i="32"/>
  <c r="AB99" i="32"/>
  <c r="AV99" i="32" s="1"/>
  <c r="AV101" i="32"/>
  <c r="AC105" i="32"/>
  <c r="AW105" i="32" s="1"/>
  <c r="AB105" i="32"/>
  <c r="AV105" i="32" s="1"/>
  <c r="AA105" i="32"/>
  <c r="AT105" i="32"/>
  <c r="N138" i="32"/>
  <c r="AC144" i="32"/>
  <c r="AW144" i="32" s="1"/>
  <c r="AB144" i="32"/>
  <c r="AV144" i="32" s="1"/>
  <c r="AA144" i="32"/>
  <c r="AT144" i="32"/>
  <c r="AF307" i="32"/>
  <c r="AU100" i="32"/>
  <c r="AU307" i="32" s="1"/>
  <c r="I101" i="32"/>
  <c r="I102" i="32"/>
  <c r="I103" i="32"/>
  <c r="I104" i="32"/>
  <c r="I105" i="32"/>
  <c r="I106" i="32"/>
  <c r="I107" i="32"/>
  <c r="AR313" i="32"/>
  <c r="AR110" i="32"/>
  <c r="AT111" i="32"/>
  <c r="AC111" i="32"/>
  <c r="AB111" i="32"/>
  <c r="V114" i="32"/>
  <c r="AA111" i="32"/>
  <c r="AU111" i="32"/>
  <c r="AU114" i="32" s="1"/>
  <c r="AZ112" i="32"/>
  <c r="AR112" i="32"/>
  <c r="AY112" i="32" s="1"/>
  <c r="AU118" i="32"/>
  <c r="AU121" i="32" s="1"/>
  <c r="AA118" i="32"/>
  <c r="AG118" i="32" s="1"/>
  <c r="AS118" i="32" s="1"/>
  <c r="AA123" i="32"/>
  <c r="AT123" i="32"/>
  <c r="AC123" i="32"/>
  <c r="AU138" i="32"/>
  <c r="AA134" i="32"/>
  <c r="AT134" i="32"/>
  <c r="AC134" i="32"/>
  <c r="Z151" i="32"/>
  <c r="AU148" i="32"/>
  <c r="AA148" i="32"/>
  <c r="Q165" i="32"/>
  <c r="I169" i="32"/>
  <c r="L179" i="32"/>
  <c r="AJ196" i="32"/>
  <c r="AP192" i="32"/>
  <c r="AC221" i="32"/>
  <c r="AW221" i="32" s="1"/>
  <c r="AB221" i="32"/>
  <c r="AA221" i="32"/>
  <c r="AT221" i="32"/>
  <c r="K313" i="32"/>
  <c r="I109" i="32"/>
  <c r="I114" i="32"/>
  <c r="V125" i="32"/>
  <c r="AA122" i="32"/>
  <c r="AT122" i="32"/>
  <c r="AC122" i="32"/>
  <c r="AC125" i="32" s="1"/>
  <c r="AB122" i="32"/>
  <c r="AX125" i="32"/>
  <c r="I131" i="32"/>
  <c r="AU126" i="32"/>
  <c r="Z131" i="32"/>
  <c r="AA126" i="32"/>
  <c r="AS129" i="32"/>
  <c r="AU129" i="32"/>
  <c r="AU312" i="32" s="1"/>
  <c r="AA129" i="32"/>
  <c r="AG129" i="32" s="1"/>
  <c r="AA133" i="32"/>
  <c r="AT133" i="32"/>
  <c r="AC133" i="32"/>
  <c r="AB133" i="32"/>
  <c r="AV133" i="32" s="1"/>
  <c r="AZ136" i="32"/>
  <c r="AR136" i="32"/>
  <c r="AY136" i="32" s="1"/>
  <c r="AB142" i="32"/>
  <c r="AV142" i="32" s="1"/>
  <c r="AT142" i="32"/>
  <c r="AC142" i="32"/>
  <c r="AW142" i="32" s="1"/>
  <c r="AA142" i="32"/>
  <c r="K179" i="32"/>
  <c r="I173" i="32"/>
  <c r="AC194" i="32"/>
  <c r="AB194" i="32"/>
  <c r="AA194" i="32"/>
  <c r="AT194" i="32"/>
  <c r="V100" i="32"/>
  <c r="AP307" i="32"/>
  <c r="AF310" i="32"/>
  <c r="AX102" i="32"/>
  <c r="AX310" i="32" s="1"/>
  <c r="L313" i="32"/>
  <c r="K110" i="32"/>
  <c r="AT112" i="32"/>
  <c r="AC112" i="32"/>
  <c r="AW112" i="32" s="1"/>
  <c r="AB112" i="32"/>
  <c r="AV112" i="32" s="1"/>
  <c r="AA112" i="32"/>
  <c r="AZ113" i="32"/>
  <c r="AR113" i="32"/>
  <c r="AY113" i="32" s="1"/>
  <c r="N125" i="32"/>
  <c r="AX138" i="32"/>
  <c r="BA145" i="32"/>
  <c r="AU150" i="32"/>
  <c r="AA150" i="32"/>
  <c r="AA153" i="32"/>
  <c r="AT153" i="32"/>
  <c r="AC153" i="32"/>
  <c r="AW153" i="32" s="1"/>
  <c r="AB153" i="32"/>
  <c r="AV153" i="32" s="1"/>
  <c r="AT164" i="32"/>
  <c r="AC164" i="32"/>
  <c r="AW164" i="32" s="1"/>
  <c r="AB164" i="32"/>
  <c r="AV164" i="32" s="1"/>
  <c r="AA164" i="32"/>
  <c r="I184" i="32"/>
  <c r="AV197" i="32"/>
  <c r="I197" i="32"/>
  <c r="K200" i="32"/>
  <c r="AA200" i="32"/>
  <c r="AR230" i="32"/>
  <c r="BA230" i="32"/>
  <c r="AU233" i="32"/>
  <c r="AA233" i="32"/>
  <c r="AQ307" i="32"/>
  <c r="AY104" i="32"/>
  <c r="N313" i="32"/>
  <c r="N110" i="32"/>
  <c r="AF313" i="32"/>
  <c r="AF110" i="32"/>
  <c r="L110" i="32"/>
  <c r="AW115" i="32"/>
  <c r="L121" i="32"/>
  <c r="AF125" i="32"/>
  <c r="AA124" i="32"/>
  <c r="AC124" i="32"/>
  <c r="AB124" i="32"/>
  <c r="AV124" i="32" s="1"/>
  <c r="AA135" i="32"/>
  <c r="AC135" i="32"/>
  <c r="AB135" i="32"/>
  <c r="AV135" i="32" s="1"/>
  <c r="AA137" i="32"/>
  <c r="AT137" i="32"/>
  <c r="AC137" i="32"/>
  <c r="AW137" i="32" s="1"/>
  <c r="Q145" i="32"/>
  <c r="AU145" i="32"/>
  <c r="AZ140" i="32"/>
  <c r="AR140" i="32"/>
  <c r="AY140" i="32" s="1"/>
  <c r="N172" i="32"/>
  <c r="K108" i="32"/>
  <c r="K307" i="32"/>
  <c r="AR101" i="32"/>
  <c r="AZ101" i="32"/>
  <c r="AZ307" i="32" s="1"/>
  <c r="AP310" i="32"/>
  <c r="AR102" i="32"/>
  <c r="AZ102" i="32"/>
  <c r="AR103" i="32"/>
  <c r="AY103" i="32" s="1"/>
  <c r="AZ103" i="32"/>
  <c r="AR104" i="32"/>
  <c r="AZ104" i="32"/>
  <c r="AR105" i="32"/>
  <c r="AZ105" i="32"/>
  <c r="AR106" i="32"/>
  <c r="AY106" i="32" s="1"/>
  <c r="AZ106" i="32"/>
  <c r="AR107" i="32"/>
  <c r="AY107" i="32" s="1"/>
  <c r="AZ107" i="32"/>
  <c r="Q313" i="32"/>
  <c r="V109" i="32"/>
  <c r="AX109" i="32"/>
  <c r="AZ111" i="32"/>
  <c r="AZ114" i="32" s="1"/>
  <c r="AP114" i="32"/>
  <c r="AR111" i="32"/>
  <c r="AR114" i="32" s="1"/>
  <c r="AT113" i="32"/>
  <c r="AC113" i="32"/>
  <c r="AW113" i="32" s="1"/>
  <c r="AB113" i="32"/>
  <c r="AV113" i="32" s="1"/>
  <c r="AA113" i="32"/>
  <c r="N121" i="32"/>
  <c r="AY115" i="32"/>
  <c r="AY116" i="32"/>
  <c r="AZ118" i="32"/>
  <c r="AR118" i="32"/>
  <c r="AY118" i="32" s="1"/>
  <c r="AZ122" i="32"/>
  <c r="AZ125" i="32" s="1"/>
  <c r="AP125" i="32"/>
  <c r="AR122" i="32"/>
  <c r="AZ133" i="32"/>
  <c r="AR133" i="32"/>
  <c r="AY133" i="32" s="1"/>
  <c r="AA136" i="32"/>
  <c r="AT136" i="32"/>
  <c r="AC136" i="32"/>
  <c r="AW136" i="32" s="1"/>
  <c r="AB136" i="32"/>
  <c r="AV136" i="32" s="1"/>
  <c r="AU149" i="32"/>
  <c r="AA149" i="32"/>
  <c r="AC211" i="32"/>
  <c r="AT211" i="32"/>
  <c r="AB211" i="32"/>
  <c r="AV211" i="32" s="1"/>
  <c r="AA211" i="32"/>
  <c r="AG211" i="32" s="1"/>
  <c r="AS211" i="32" s="1"/>
  <c r="AW123" i="32"/>
  <c r="AW134" i="32"/>
  <c r="Z138" i="32"/>
  <c r="Q147" i="32"/>
  <c r="V146" i="32"/>
  <c r="N165" i="32"/>
  <c r="Q172" i="32"/>
  <c r="V166" i="32"/>
  <c r="AZ181" i="32"/>
  <c r="AR181" i="32"/>
  <c r="AY181" i="32" s="1"/>
  <c r="I183" i="32"/>
  <c r="AC218" i="32"/>
  <c r="AB218" i="32"/>
  <c r="AA218" i="32"/>
  <c r="AT218" i="32"/>
  <c r="AT222" i="32" s="1"/>
  <c r="V222" i="32"/>
  <c r="AP235" i="32"/>
  <c r="AZ229" i="32"/>
  <c r="AR229" i="32"/>
  <c r="AW292" i="32"/>
  <c r="I292" i="32"/>
  <c r="L298" i="32"/>
  <c r="AQ110" i="32"/>
  <c r="K121" i="32"/>
  <c r="Q121" i="32"/>
  <c r="V132" i="32"/>
  <c r="Z145" i="32"/>
  <c r="AP145" i="32"/>
  <c r="AZ139" i="32"/>
  <c r="AF145" i="32"/>
  <c r="AX141" i="32"/>
  <c r="AF158" i="32"/>
  <c r="AX152" i="32"/>
  <c r="AX158" i="32" s="1"/>
  <c r="AZ153" i="32"/>
  <c r="AR153" i="32"/>
  <c r="AZ154" i="32"/>
  <c r="AR154" i="32"/>
  <c r="AY154" i="32" s="1"/>
  <c r="AZ155" i="32"/>
  <c r="AR155" i="32"/>
  <c r="AZ156" i="32"/>
  <c r="AR156" i="32"/>
  <c r="AZ157" i="32"/>
  <c r="AR157" i="32"/>
  <c r="AY157" i="32" s="1"/>
  <c r="V165" i="32"/>
  <c r="AB159" i="32"/>
  <c r="AA159" i="32"/>
  <c r="AZ161" i="32"/>
  <c r="AR161" i="32"/>
  <c r="AY161" i="32" s="1"/>
  <c r="AA163" i="32"/>
  <c r="AB167" i="32"/>
  <c r="AV167" i="32" s="1"/>
  <c r="AT167" i="32"/>
  <c r="AC167" i="32"/>
  <c r="AW167" i="32" s="1"/>
  <c r="AB168" i="32"/>
  <c r="AV168" i="32" s="1"/>
  <c r="AT168" i="32"/>
  <c r="AC168" i="32"/>
  <c r="AW168" i="32" s="1"/>
  <c r="AA168" i="32"/>
  <c r="AV174" i="32"/>
  <c r="I174" i="32"/>
  <c r="AQ235" i="32"/>
  <c r="BA229" i="32"/>
  <c r="AR237" i="32"/>
  <c r="AY237" i="32" s="1"/>
  <c r="BA237" i="32"/>
  <c r="BA109" i="32"/>
  <c r="BA115" i="32"/>
  <c r="BA121" i="32" s="1"/>
  <c r="V116" i="32"/>
  <c r="V121" i="32" s="1"/>
  <c r="AA117" i="32"/>
  <c r="AA120" i="32"/>
  <c r="AP121" i="32"/>
  <c r="AW122" i="32"/>
  <c r="BA126" i="32"/>
  <c r="BA131" i="32" s="1"/>
  <c r="AA128" i="32"/>
  <c r="V131" i="32"/>
  <c r="AW133" i="32"/>
  <c r="K145" i="32"/>
  <c r="AA139" i="32"/>
  <c r="AX145" i="32"/>
  <c r="AY143" i="32"/>
  <c r="AZ148" i="32"/>
  <c r="AP151" i="32"/>
  <c r="AR148" i="32"/>
  <c r="AZ149" i="32"/>
  <c r="AR149" i="32"/>
  <c r="AY149" i="32" s="1"/>
  <c r="AZ150" i="32"/>
  <c r="AR150" i="32"/>
  <c r="AY150" i="32" s="1"/>
  <c r="AY155" i="32"/>
  <c r="AY156" i="32"/>
  <c r="AT159" i="32"/>
  <c r="AZ164" i="32"/>
  <c r="AR164" i="32"/>
  <c r="AX166" i="32"/>
  <c r="AX172" i="32" s="1"/>
  <c r="AF172" i="32"/>
  <c r="AB169" i="32"/>
  <c r="AV169" i="32" s="1"/>
  <c r="AT169" i="32"/>
  <c r="AC169" i="32"/>
  <c r="AW169" i="32" s="1"/>
  <c r="AB170" i="32"/>
  <c r="AV170" i="32" s="1"/>
  <c r="AT170" i="32"/>
  <c r="AC170" i="32"/>
  <c r="AW170" i="32" s="1"/>
  <c r="AA170" i="32"/>
  <c r="AA177" i="32"/>
  <c r="AG177" i="32" s="1"/>
  <c r="AT177" i="32"/>
  <c r="AC177" i="32"/>
  <c r="AB177" i="32"/>
  <c r="BA180" i="32"/>
  <c r="BA185" i="32" s="1"/>
  <c r="AQ185" i="32"/>
  <c r="AC202" i="32"/>
  <c r="AB202" i="32"/>
  <c r="AV202" i="32" s="1"/>
  <c r="AA202" i="32"/>
  <c r="AT202" i="32"/>
  <c r="AC203" i="32"/>
  <c r="AW203" i="32" s="1"/>
  <c r="AB203" i="32"/>
  <c r="AV203" i="32" s="1"/>
  <c r="AA203" i="32"/>
  <c r="AT203" i="32"/>
  <c r="V207" i="32"/>
  <c r="Q215" i="32"/>
  <c r="I208" i="32"/>
  <c r="AV208" i="32"/>
  <c r="I212" i="32"/>
  <c r="BA214" i="32"/>
  <c r="BA215" i="32" s="1"/>
  <c r="AR214" i="32"/>
  <c r="AQ253" i="32"/>
  <c r="AR247" i="32"/>
  <c r="BA247" i="32"/>
  <c r="AY100" i="32"/>
  <c r="I115" i="32"/>
  <c r="I116" i="32"/>
  <c r="Z308" i="32"/>
  <c r="AP308" i="32"/>
  <c r="AZ116" i="32"/>
  <c r="AB117" i="32"/>
  <c r="AV117" i="32" s="1"/>
  <c r="AR117" i="32"/>
  <c r="AY117" i="32" s="1"/>
  <c r="AB120" i="32"/>
  <c r="AV120" i="32" s="1"/>
  <c r="AR120" i="32"/>
  <c r="AY120" i="32" s="1"/>
  <c r="AR124" i="32"/>
  <c r="AY124" i="32" s="1"/>
  <c r="L125" i="32"/>
  <c r="AB128" i="32"/>
  <c r="AV128" i="32" s="1"/>
  <c r="AR128" i="32"/>
  <c r="AY128" i="32" s="1"/>
  <c r="K131" i="32"/>
  <c r="AR132" i="32"/>
  <c r="AR135" i="32"/>
  <c r="AY135" i="32" s="1"/>
  <c r="AP138" i="32"/>
  <c r="L145" i="32"/>
  <c r="AB139" i="32"/>
  <c r="AR139" i="32"/>
  <c r="I141" i="32"/>
  <c r="I145" i="32" s="1"/>
  <c r="V141" i="32"/>
  <c r="AZ142" i="32"/>
  <c r="AC143" i="32"/>
  <c r="AW143" i="32" s="1"/>
  <c r="AB143" i="32"/>
  <c r="AG143" i="32" s="1"/>
  <c r="AS143" i="32" s="1"/>
  <c r="AT143" i="32"/>
  <c r="AR144" i="32"/>
  <c r="AQ145" i="32"/>
  <c r="AX146" i="32"/>
  <c r="AX147" i="32" s="1"/>
  <c r="AF147" i="32"/>
  <c r="BA148" i="32"/>
  <c r="BA151" i="32" s="1"/>
  <c r="AQ151" i="32"/>
  <c r="N158" i="32"/>
  <c r="AQ158" i="32"/>
  <c r="AT154" i="32"/>
  <c r="AC154" i="32"/>
  <c r="AW154" i="32" s="1"/>
  <c r="AB154" i="32"/>
  <c r="AV154" i="32" s="1"/>
  <c r="AT155" i="32"/>
  <c r="AC155" i="32"/>
  <c r="AW155" i="32" s="1"/>
  <c r="AB155" i="32"/>
  <c r="AT156" i="32"/>
  <c r="AC156" i="32"/>
  <c r="AW156" i="32" s="1"/>
  <c r="AB156" i="32"/>
  <c r="AV156" i="32" s="1"/>
  <c r="AT157" i="32"/>
  <c r="AC157" i="32"/>
  <c r="AW157" i="32" s="1"/>
  <c r="AB157" i="32"/>
  <c r="AC159" i="32"/>
  <c r="AR160" i="32"/>
  <c r="AY160" i="32" s="1"/>
  <c r="I172" i="32"/>
  <c r="AA167" i="32"/>
  <c r="AB171" i="32"/>
  <c r="AG171" i="32" s="1"/>
  <c r="AS171" i="32" s="1"/>
  <c r="AT171" i="32"/>
  <c r="AC171" i="32"/>
  <c r="AW171" i="32" s="1"/>
  <c r="AR179" i="32"/>
  <c r="AY174" i="32"/>
  <c r="I175" i="32"/>
  <c r="AU190" i="32"/>
  <c r="Z196" i="32"/>
  <c r="AU191" i="32"/>
  <c r="AA191" i="32"/>
  <c r="AF196" i="32"/>
  <c r="AT200" i="32"/>
  <c r="AC204" i="32"/>
  <c r="AB204" i="32"/>
  <c r="AA204" i="32"/>
  <c r="AT204" i="32"/>
  <c r="AC205" i="32"/>
  <c r="AW205" i="32" s="1"/>
  <c r="AB205" i="32"/>
  <c r="AV205" i="32" s="1"/>
  <c r="AA205" i="32"/>
  <c r="AT205" i="32"/>
  <c r="I219" i="32"/>
  <c r="AZ110" i="32"/>
  <c r="AQ308" i="32"/>
  <c r="AC117" i="32"/>
  <c r="AW117" i="32" s="1"/>
  <c r="AA119" i="32"/>
  <c r="AG119" i="32" s="1"/>
  <c r="AS119" i="32" s="1"/>
  <c r="AC120" i="32"/>
  <c r="AW120" i="32" s="1"/>
  <c r="AU122" i="32"/>
  <c r="AU125" i="32" s="1"/>
  <c r="I123" i="32"/>
  <c r="I125" i="32" s="1"/>
  <c r="AW124" i="32"/>
  <c r="AA127" i="32"/>
  <c r="AC128" i="32"/>
  <c r="AW128" i="32" s="1"/>
  <c r="AA130" i="32"/>
  <c r="I134" i="32"/>
  <c r="AW135" i="32"/>
  <c r="I137" i="32"/>
  <c r="N145" i="32"/>
  <c r="AC139" i="32"/>
  <c r="AR141" i="32"/>
  <c r="AY141" i="32" s="1"/>
  <c r="AY144" i="32"/>
  <c r="AT148" i="32"/>
  <c r="AC148" i="32"/>
  <c r="AB148" i="32"/>
  <c r="AV148" i="32" s="1"/>
  <c r="AT149" i="32"/>
  <c r="AC149" i="32"/>
  <c r="AW149" i="32" s="1"/>
  <c r="AB149" i="32"/>
  <c r="AV149" i="32" s="1"/>
  <c r="AT150" i="32"/>
  <c r="AC150" i="32"/>
  <c r="AW150" i="32" s="1"/>
  <c r="AB150" i="32"/>
  <c r="AV150" i="32" s="1"/>
  <c r="V151" i="32"/>
  <c r="Q158" i="32"/>
  <c r="V152" i="32"/>
  <c r="AY153" i="32"/>
  <c r="I165" i="32"/>
  <c r="AF165" i="32"/>
  <c r="AX159" i="32"/>
  <c r="AX165" i="32" s="1"/>
  <c r="AS160" i="32"/>
  <c r="AG160" i="32"/>
  <c r="AT161" i="32"/>
  <c r="AC161" i="32"/>
  <c r="AW161" i="32" s="1"/>
  <c r="AB161" i="32"/>
  <c r="AV161" i="32" s="1"/>
  <c r="AA161" i="32"/>
  <c r="AY164" i="32"/>
  <c r="AA169" i="32"/>
  <c r="AZ182" i="32"/>
  <c r="AR182" i="32"/>
  <c r="AY182" i="32" s="1"/>
  <c r="Q189" i="32"/>
  <c r="V186" i="32"/>
  <c r="K196" i="32"/>
  <c r="AX196" i="32"/>
  <c r="AF206" i="32"/>
  <c r="L246" i="32"/>
  <c r="AF308" i="32"/>
  <c r="AU146" i="32"/>
  <c r="AU147" i="32" s="1"/>
  <c r="AX148" i="32"/>
  <c r="AX151" i="32" s="1"/>
  <c r="Q151" i="32"/>
  <c r="AU152" i="32"/>
  <c r="AU158" i="32" s="1"/>
  <c r="BA152" i="32"/>
  <c r="BA158" i="32" s="1"/>
  <c r="K158" i="32"/>
  <c r="AB163" i="32"/>
  <c r="AV163" i="32" s="1"/>
  <c r="AR166" i="32"/>
  <c r="AR168" i="32"/>
  <c r="AY168" i="32" s="1"/>
  <c r="AR170" i="32"/>
  <c r="AY170" i="32" s="1"/>
  <c r="AC174" i="32"/>
  <c r="AW174" i="32" s="1"/>
  <c r="AC175" i="32"/>
  <c r="AW175" i="32" s="1"/>
  <c r="AV178" i="32"/>
  <c r="AC178" i="32"/>
  <c r="AW178" i="32" s="1"/>
  <c r="AT178" i="32"/>
  <c r="Z185" i="32"/>
  <c r="AU180" i="32"/>
  <c r="AZ183" i="32"/>
  <c r="AR183" i="32"/>
  <c r="AY183" i="32" s="1"/>
  <c r="AB187" i="32"/>
  <c r="AA187" i="32"/>
  <c r="AW188" i="32"/>
  <c r="AC192" i="32"/>
  <c r="AW192" i="32" s="1"/>
  <c r="AB192" i="32"/>
  <c r="AA192" i="32"/>
  <c r="AT192" i="32"/>
  <c r="AQ196" i="32"/>
  <c r="AV198" i="32"/>
  <c r="I198" i="32"/>
  <c r="AZ206" i="32"/>
  <c r="AX215" i="32"/>
  <c r="AY210" i="32"/>
  <c r="AF215" i="32"/>
  <c r="I216" i="32"/>
  <c r="K222" i="32"/>
  <c r="AA222" i="32"/>
  <c r="AX222" i="32"/>
  <c r="AF228" i="32"/>
  <c r="AY225" i="32"/>
  <c r="AT230" i="32"/>
  <c r="AC230" i="32"/>
  <c r="AW230" i="32" s="1"/>
  <c r="AB230" i="32"/>
  <c r="AV230" i="32" s="1"/>
  <c r="AA230" i="32"/>
  <c r="AU238" i="32"/>
  <c r="AU242" i="32" s="1"/>
  <c r="AT241" i="32"/>
  <c r="AC241" i="32"/>
  <c r="AW241" i="32" s="1"/>
  <c r="AB241" i="32"/>
  <c r="AA241" i="32"/>
  <c r="AR269" i="32"/>
  <c r="BA269" i="32"/>
  <c r="I146" i="32"/>
  <c r="AY148" i="32"/>
  <c r="I152" i="32"/>
  <c r="AP158" i="32"/>
  <c r="Z165" i="32"/>
  <c r="AU159" i="32"/>
  <c r="AU165" i="32" s="1"/>
  <c r="AC163" i="32"/>
  <c r="AW163" i="32" s="1"/>
  <c r="N179" i="32"/>
  <c r="AF179" i="32"/>
  <c r="K185" i="32"/>
  <c r="AZ184" i="32"/>
  <c r="AR184" i="32"/>
  <c r="AY184" i="32" s="1"/>
  <c r="AX186" i="32"/>
  <c r="AX189" i="32" s="1"/>
  <c r="AF189" i="32"/>
  <c r="AY189" i="32"/>
  <c r="AP196" i="32"/>
  <c r="AZ190" i="32"/>
  <c r="AR190" i="32"/>
  <c r="AY190" i="32" s="1"/>
  <c r="AV192" i="32"/>
  <c r="AV194" i="32"/>
  <c r="BA206" i="32"/>
  <c r="K215" i="32"/>
  <c r="AP215" i="32"/>
  <c r="AZ207" i="32"/>
  <c r="AR207" i="32"/>
  <c r="AR215" i="32" s="1"/>
  <c r="AA210" i="32"/>
  <c r="AT210" i="32"/>
  <c r="AF222" i="32"/>
  <c r="AG220" i="32"/>
  <c r="AA226" i="32"/>
  <c r="AT226" i="32"/>
  <c r="AC226" i="32"/>
  <c r="AB226" i="32"/>
  <c r="AT229" i="32"/>
  <c r="AC229" i="32"/>
  <c r="V235" i="32"/>
  <c r="AB229" i="32"/>
  <c r="AA229" i="32"/>
  <c r="AB237" i="32"/>
  <c r="AB242" i="32" s="1"/>
  <c r="AC237" i="32"/>
  <c r="AW237" i="32" s="1"/>
  <c r="AT237" i="32"/>
  <c r="AA237" i="32"/>
  <c r="AV238" i="32"/>
  <c r="I238" i="32"/>
  <c r="AY240" i="32"/>
  <c r="V247" i="32"/>
  <c r="Q253" i="32"/>
  <c r="AC255" i="32"/>
  <c r="AW255" i="32" s="1"/>
  <c r="AT255" i="32"/>
  <c r="AB255" i="32"/>
  <c r="AA255" i="32"/>
  <c r="AC262" i="32"/>
  <c r="AB262" i="32"/>
  <c r="AV262" i="32" s="1"/>
  <c r="AT262" i="32"/>
  <c r="AA262" i="32"/>
  <c r="K172" i="32"/>
  <c r="AQ172" i="32"/>
  <c r="Q179" i="32"/>
  <c r="V173" i="32"/>
  <c r="AX179" i="32"/>
  <c r="AV177" i="32"/>
  <c r="AZ189" i="32"/>
  <c r="AB188" i="32"/>
  <c r="AV188" i="32" s="1"/>
  <c r="AA188" i="32"/>
  <c r="Q196" i="32"/>
  <c r="AZ191" i="32"/>
  <c r="AR191" i="32"/>
  <c r="AY191" i="32" s="1"/>
  <c r="AC193" i="32"/>
  <c r="AW193" i="32" s="1"/>
  <c r="AB193" i="32"/>
  <c r="AV193" i="32" s="1"/>
  <c r="AA193" i="32"/>
  <c r="AW194" i="32"/>
  <c r="AC195" i="32"/>
  <c r="AW195" i="32" s="1"/>
  <c r="AB195" i="32"/>
  <c r="AV195" i="32" s="1"/>
  <c r="AA195" i="32"/>
  <c r="BA197" i="32"/>
  <c r="BA200" i="32" s="1"/>
  <c r="AQ200" i="32"/>
  <c r="AY198" i="32"/>
  <c r="AV199" i="32"/>
  <c r="I199" i="32"/>
  <c r="Q206" i="32"/>
  <c r="AV204" i="32"/>
  <c r="AW211" i="32"/>
  <c r="AC213" i="32"/>
  <c r="AW213" i="32" s="1"/>
  <c r="AT213" i="32"/>
  <c r="AB213" i="32"/>
  <c r="AV213" i="32" s="1"/>
  <c r="AA213" i="32"/>
  <c r="Z215" i="32"/>
  <c r="N222" i="32"/>
  <c r="BA219" i="32"/>
  <c r="AR219" i="32"/>
  <c r="AY219" i="32" s="1"/>
  <c r="I223" i="32"/>
  <c r="K224" i="32"/>
  <c r="Z235" i="32"/>
  <c r="AU229" i="32"/>
  <c r="AU235" i="32" s="1"/>
  <c r="I231" i="32"/>
  <c r="I232" i="32"/>
  <c r="AG236" i="32"/>
  <c r="AC245" i="32"/>
  <c r="AA245" i="32"/>
  <c r="AT245" i="32"/>
  <c r="AB245" i="32"/>
  <c r="AC248" i="32"/>
  <c r="AW248" i="32" s="1"/>
  <c r="AT248" i="32"/>
  <c r="AB248" i="32"/>
  <c r="AA248" i="32"/>
  <c r="AC249" i="32"/>
  <c r="AW249" i="32" s="1"/>
  <c r="AA249" i="32"/>
  <c r="AT249" i="32"/>
  <c r="AB249" i="32"/>
  <c r="L263" i="32"/>
  <c r="AW257" i="32"/>
  <c r="BA259" i="32"/>
  <c r="AR259" i="32"/>
  <c r="AV261" i="32"/>
  <c r="I261" i="32"/>
  <c r="AC272" i="32"/>
  <c r="AB272" i="32"/>
  <c r="AT272" i="32"/>
  <c r="AA272" i="32"/>
  <c r="AC273" i="32"/>
  <c r="AW273" i="32" s="1"/>
  <c r="AT273" i="32"/>
  <c r="AB273" i="32"/>
  <c r="AV273" i="32" s="1"/>
  <c r="AA273" i="32"/>
  <c r="AR159" i="32"/>
  <c r="AR167" i="32"/>
  <c r="AY167" i="32" s="1"/>
  <c r="AR169" i="32"/>
  <c r="AY169" i="32" s="1"/>
  <c r="AR171" i="32"/>
  <c r="AY171" i="32" s="1"/>
  <c r="BA179" i="32"/>
  <c r="AY173" i="32"/>
  <c r="AB176" i="32"/>
  <c r="AV176" i="32" s="1"/>
  <c r="AW177" i="32"/>
  <c r="AG178" i="32"/>
  <c r="AQ179" i="32"/>
  <c r="AY180" i="32"/>
  <c r="AZ180" i="32"/>
  <c r="AP185" i="32"/>
  <c r="AR180" i="32"/>
  <c r="AA182" i="32"/>
  <c r="N189" i="32"/>
  <c r="AV187" i="32"/>
  <c r="AT193" i="32"/>
  <c r="AT195" i="32"/>
  <c r="AR197" i="32"/>
  <c r="AR200" i="32" s="1"/>
  <c r="V201" i="32"/>
  <c r="AW202" i="32"/>
  <c r="AW204" i="32"/>
  <c r="AA209" i="32"/>
  <c r="Q222" i="32"/>
  <c r="BA216" i="32"/>
  <c r="BA222" i="32" s="1"/>
  <c r="AQ222" i="32"/>
  <c r="AR216" i="32"/>
  <c r="L222" i="32"/>
  <c r="AW218" i="32"/>
  <c r="L224" i="32"/>
  <c r="AC234" i="32"/>
  <c r="AW234" i="32" s="1"/>
  <c r="AB234" i="32"/>
  <c r="AA234" i="32"/>
  <c r="AV236" i="32"/>
  <c r="I236" i="32"/>
  <c r="K242" i="32"/>
  <c r="AV252" i="32"/>
  <c r="I252" i="32"/>
  <c r="I267" i="32"/>
  <c r="AC271" i="32"/>
  <c r="V277" i="32"/>
  <c r="AT271" i="32"/>
  <c r="AB271" i="32"/>
  <c r="AA271" i="32"/>
  <c r="AU173" i="32"/>
  <c r="AB180" i="32"/>
  <c r="AX180" i="32"/>
  <c r="AX185" i="32" s="1"/>
  <c r="AB181" i="32"/>
  <c r="AV181" i="32" s="1"/>
  <c r="AB182" i="32"/>
  <c r="AV182" i="32" s="1"/>
  <c r="AB183" i="32"/>
  <c r="AV183" i="32" s="1"/>
  <c r="AB184" i="32"/>
  <c r="AU186" i="32"/>
  <c r="AU189" i="32" s="1"/>
  <c r="AB190" i="32"/>
  <c r="AB191" i="32"/>
  <c r="AV191" i="32" s="1"/>
  <c r="I193" i="32"/>
  <c r="I194" i="32"/>
  <c r="I195" i="32"/>
  <c r="AC197" i="32"/>
  <c r="AG197" i="32" s="1"/>
  <c r="AC198" i="32"/>
  <c r="AC199" i="32"/>
  <c r="AW199" i="32" s="1"/>
  <c r="AP200" i="32"/>
  <c r="I201" i="32"/>
  <c r="I202" i="32"/>
  <c r="I203" i="32"/>
  <c r="I204" i="32"/>
  <c r="I205" i="32"/>
  <c r="AB209" i="32"/>
  <c r="AV209" i="32" s="1"/>
  <c r="AB212" i="32"/>
  <c r="AT212" i="32"/>
  <c r="AB214" i="32"/>
  <c r="AT214" i="32"/>
  <c r="AB216" i="32"/>
  <c r="AY216" i="32"/>
  <c r="AB219" i="32"/>
  <c r="AY223" i="32"/>
  <c r="AY224" i="32" s="1"/>
  <c r="V224" i="32"/>
  <c r="AC225" i="32"/>
  <c r="AC228" i="32" s="1"/>
  <c r="AY226" i="32"/>
  <c r="K235" i="32"/>
  <c r="I230" i="32"/>
  <c r="AB231" i="32"/>
  <c r="AY232" i="32"/>
  <c r="AV234" i="32"/>
  <c r="L242" i="32"/>
  <c r="AT240" i="32"/>
  <c r="AC240" i="32"/>
  <c r="BA240" i="32"/>
  <c r="Q242" i="32"/>
  <c r="Q246" i="32"/>
  <c r="AZ246" i="32"/>
  <c r="I250" i="32"/>
  <c r="AW252" i="32"/>
  <c r="AB252" i="32"/>
  <c r="AG252" i="32" s="1"/>
  <c r="Q263" i="32"/>
  <c r="AY259" i="32"/>
  <c r="AF270" i="32"/>
  <c r="AX284" i="32"/>
  <c r="AR279" i="32"/>
  <c r="AZ279" i="32"/>
  <c r="AT289" i="32"/>
  <c r="AC289" i="32"/>
  <c r="AW289" i="32" s="1"/>
  <c r="AB289" i="32"/>
  <c r="AA289" i="32"/>
  <c r="I176" i="32"/>
  <c r="I177" i="32"/>
  <c r="AS177" i="32" s="1"/>
  <c r="I178" i="32"/>
  <c r="AC180" i="32"/>
  <c r="AC181" i="32"/>
  <c r="AW181" i="32" s="1"/>
  <c r="AC182" i="32"/>
  <c r="AW182" i="32" s="1"/>
  <c r="AC183" i="32"/>
  <c r="AW183" i="32" s="1"/>
  <c r="AC184" i="32"/>
  <c r="AW184" i="32" s="1"/>
  <c r="I186" i="32"/>
  <c r="I187" i="32"/>
  <c r="I188" i="32"/>
  <c r="AC190" i="32"/>
  <c r="AC191" i="32"/>
  <c r="AW191" i="32" s="1"/>
  <c r="V196" i="32"/>
  <c r="I207" i="32"/>
  <c r="AC209" i="32"/>
  <c r="AW209" i="32" s="1"/>
  <c r="I210" i="32"/>
  <c r="AY212" i="32"/>
  <c r="AY214" i="32"/>
  <c r="AQ215" i="32"/>
  <c r="AC216" i="32"/>
  <c r="AV218" i="32"/>
  <c r="I218" i="32"/>
  <c r="AC219" i="32"/>
  <c r="AW219" i="32" s="1"/>
  <c r="AV221" i="32"/>
  <c r="I221" i="32"/>
  <c r="AV226" i="32"/>
  <c r="AC232" i="32"/>
  <c r="AW232" i="32" s="1"/>
  <c r="AB232" i="32"/>
  <c r="AV232" i="32" s="1"/>
  <c r="AT232" i="32"/>
  <c r="AR233" i="32"/>
  <c r="AT239" i="32"/>
  <c r="AC239" i="32"/>
  <c r="AW239" i="32" s="1"/>
  <c r="AV241" i="32"/>
  <c r="I241" i="32"/>
  <c r="AF242" i="32"/>
  <c r="AC243" i="32"/>
  <c r="AA243" i="32"/>
  <c r="V246" i="32"/>
  <c r="AV245" i="32"/>
  <c r="BA251" i="32"/>
  <c r="AR251" i="32"/>
  <c r="AY251" i="32" s="1"/>
  <c r="Q256" i="32"/>
  <c r="AV258" i="32"/>
  <c r="I258" i="32"/>
  <c r="AC259" i="32"/>
  <c r="AB259" i="32"/>
  <c r="AV259" i="32" s="1"/>
  <c r="AT259" i="32"/>
  <c r="AA259" i="32"/>
  <c r="K270" i="32"/>
  <c r="I264" i="32"/>
  <c r="AC269" i="32"/>
  <c r="AW269" i="32" s="1"/>
  <c r="AB269" i="32"/>
  <c r="AV269" i="32" s="1"/>
  <c r="AA269" i="32"/>
  <c r="AT269" i="32"/>
  <c r="K277" i="32"/>
  <c r="AR282" i="32"/>
  <c r="AY282" i="32" s="1"/>
  <c r="BA282" i="32"/>
  <c r="AU197" i="32"/>
  <c r="AU200" i="32" s="1"/>
  <c r="AW226" i="32"/>
  <c r="AY229" i="32"/>
  <c r="AY230" i="32"/>
  <c r="AF235" i="32"/>
  <c r="AX231" i="32"/>
  <c r="AY233" i="32"/>
  <c r="AR236" i="32"/>
  <c r="AQ242" i="32"/>
  <c r="BA236" i="32"/>
  <c r="AV237" i="32"/>
  <c r="I237" i="32"/>
  <c r="AA238" i="32"/>
  <c r="AG238" i="32" s="1"/>
  <c r="AT238" i="32"/>
  <c r="AP238" i="32"/>
  <c r="AP242" i="32" s="1"/>
  <c r="AJ242" i="32"/>
  <c r="AV240" i="32"/>
  <c r="I240" i="32"/>
  <c r="AV244" i="32"/>
  <c r="AV246" i="32" s="1"/>
  <c r="AW245" i="32"/>
  <c r="I247" i="32"/>
  <c r="K253" i="32"/>
  <c r="AF253" i="32"/>
  <c r="AY248" i="32"/>
  <c r="BA248" i="32"/>
  <c r="AR248" i="32"/>
  <c r="AY250" i="32"/>
  <c r="V254" i="32"/>
  <c r="AF256" i="32"/>
  <c r="AC267" i="32"/>
  <c r="AW267" i="32" s="1"/>
  <c r="AB267" i="32"/>
  <c r="AT267" i="32"/>
  <c r="L284" i="32"/>
  <c r="I278" i="32"/>
  <c r="L215" i="32"/>
  <c r="AG208" i="32"/>
  <c r="AV217" i="32"/>
  <c r="I217" i="32"/>
  <c r="AV220" i="32"/>
  <c r="I220" i="32"/>
  <c r="V228" i="32"/>
  <c r="AA225" i="32"/>
  <c r="Q235" i="32"/>
  <c r="AR231" i="32"/>
  <c r="AY231" i="32" s="1"/>
  <c r="AG232" i="32"/>
  <c r="AC233" i="32"/>
  <c r="AW233" i="32" s="1"/>
  <c r="AB233" i="32"/>
  <c r="AV233" i="32" s="1"/>
  <c r="AT233" i="32"/>
  <c r="AR234" i="32"/>
  <c r="AY234" i="32" s="1"/>
  <c r="AV239" i="32"/>
  <c r="I239" i="32"/>
  <c r="AB246" i="32"/>
  <c r="AW244" i="32"/>
  <c r="AU253" i="32"/>
  <c r="AC250" i="32"/>
  <c r="AW250" i="32" s="1"/>
  <c r="AT250" i="32"/>
  <c r="AB250" i="32"/>
  <c r="AG250" i="32" s="1"/>
  <c r="AG251" i="32"/>
  <c r="AV257" i="32"/>
  <c r="I257" i="32"/>
  <c r="K263" i="32"/>
  <c r="AG257" i="32"/>
  <c r="AT263" i="32"/>
  <c r="AW262" i="32"/>
  <c r="BA262" i="32"/>
  <c r="AR262" i="32"/>
  <c r="AY262" i="32" s="1"/>
  <c r="AC266" i="32"/>
  <c r="AW266" i="32" s="1"/>
  <c r="AB266" i="32"/>
  <c r="AA266" i="32"/>
  <c r="AT266" i="32"/>
  <c r="I275" i="32"/>
  <c r="AR280" i="32"/>
  <c r="AY280" i="32" s="1"/>
  <c r="BA280" i="32"/>
  <c r="AQ291" i="32"/>
  <c r="AR285" i="32"/>
  <c r="BA285" i="32"/>
  <c r="AB300" i="32"/>
  <c r="AV299" i="32"/>
  <c r="AV300" i="32" s="1"/>
  <c r="I225" i="32"/>
  <c r="I226" i="32"/>
  <c r="I227" i="32"/>
  <c r="I243" i="32"/>
  <c r="I244" i="32"/>
  <c r="I245" i="32"/>
  <c r="L253" i="32"/>
  <c r="AV248" i="32"/>
  <c r="I248" i="32"/>
  <c r="AY257" i="32"/>
  <c r="AF263" i="32"/>
  <c r="AY258" i="32"/>
  <c r="I260" i="32"/>
  <c r="AB260" i="32"/>
  <c r="AG260" i="32" s="1"/>
  <c r="AY261" i="32"/>
  <c r="AX270" i="32"/>
  <c r="BA265" i="32"/>
  <c r="BA270" i="32" s="1"/>
  <c r="BA268" i="32"/>
  <c r="AY279" i="32"/>
  <c r="AC280" i="32"/>
  <c r="AA280" i="32"/>
  <c r="AB280" i="32"/>
  <c r="AV280" i="32" s="1"/>
  <c r="AF291" i="32"/>
  <c r="AW297" i="32"/>
  <c r="I297" i="32"/>
  <c r="AD235" i="32"/>
  <c r="AY247" i="32"/>
  <c r="AV249" i="32"/>
  <c r="I249" i="32"/>
  <c r="I254" i="32"/>
  <c r="AC265" i="32"/>
  <c r="AW265" i="32" s="1"/>
  <c r="AB265" i="32"/>
  <c r="AG265" i="32" s="1"/>
  <c r="AV266" i="32"/>
  <c r="I266" i="32"/>
  <c r="AY267" i="32"/>
  <c r="AC268" i="32"/>
  <c r="AW268" i="32" s="1"/>
  <c r="AB268" i="32"/>
  <c r="AG268" i="32" s="1"/>
  <c r="I269" i="32"/>
  <c r="AZ273" i="32"/>
  <c r="AR273" i="32"/>
  <c r="AY273" i="32" s="1"/>
  <c r="BA275" i="32"/>
  <c r="AR275" i="32"/>
  <c r="AY275" i="32" s="1"/>
  <c r="AC281" i="32"/>
  <c r="AW281" i="32" s="1"/>
  <c r="AT281" i="32"/>
  <c r="AB281" i="32"/>
  <c r="AV281" i="32" s="1"/>
  <c r="AA281" i="32"/>
  <c r="AC283" i="32"/>
  <c r="AW283" i="32" s="1"/>
  <c r="AT283" i="32"/>
  <c r="AB283" i="32"/>
  <c r="AV283" i="32" s="1"/>
  <c r="AA283" i="32"/>
  <c r="Q291" i="32"/>
  <c r="V285" i="32"/>
  <c r="AV255" i="32"/>
  <c r="I255" i="32"/>
  <c r="AX263" i="32"/>
  <c r="I259" i="32"/>
  <c r="AY260" i="32"/>
  <c r="I262" i="32"/>
  <c r="Q270" i="32"/>
  <c r="AP277" i="32"/>
  <c r="AZ271" i="32"/>
  <c r="AZ277" i="32" s="1"/>
  <c r="AR271" i="32"/>
  <c r="I272" i="32"/>
  <c r="AV272" i="32"/>
  <c r="AT275" i="32"/>
  <c r="AC275" i="32"/>
  <c r="AB275" i="32"/>
  <c r="AG275" i="32" s="1"/>
  <c r="L277" i="32"/>
  <c r="AF284" i="32"/>
  <c r="AV251" i="32"/>
  <c r="I251" i="32"/>
  <c r="AG258" i="32"/>
  <c r="AG261" i="32"/>
  <c r="V264" i="32"/>
  <c r="AQ270" i="32"/>
  <c r="AR264" i="32"/>
  <c r="AR270" i="32" s="1"/>
  <c r="I265" i="32"/>
  <c r="AY266" i="32"/>
  <c r="I268" i="32"/>
  <c r="AY269" i="32"/>
  <c r="AW272" i="32"/>
  <c r="AX277" i="32"/>
  <c r="AY274" i="32"/>
  <c r="N277" i="32"/>
  <c r="AB276" i="32"/>
  <c r="AV276" i="32" s="1"/>
  <c r="AT276" i="32"/>
  <c r="AC276" i="32"/>
  <c r="AW276" i="32" s="1"/>
  <c r="AA276" i="32"/>
  <c r="I282" i="32"/>
  <c r="BA287" i="32"/>
  <c r="AR287" i="32"/>
  <c r="AY287" i="32" s="1"/>
  <c r="Z300" i="32"/>
  <c r="AU299" i="32"/>
  <c r="AR300" i="32"/>
  <c r="AY299" i="32"/>
  <c r="AY300" i="32" s="1"/>
  <c r="AY272" i="32"/>
  <c r="AW275" i="32"/>
  <c r="AY278" i="32"/>
  <c r="AC282" i="32"/>
  <c r="AW282" i="32" s="1"/>
  <c r="AA282" i="32"/>
  <c r="AT282" i="32"/>
  <c r="AW288" i="32"/>
  <c r="AZ294" i="32"/>
  <c r="AR294" i="32"/>
  <c r="AY294" i="32" s="1"/>
  <c r="AZ295" i="32"/>
  <c r="AR295" i="32"/>
  <c r="AY295" i="32" s="1"/>
  <c r="O304" i="32"/>
  <c r="Q284" i="32"/>
  <c r="V278" i="32"/>
  <c r="BA278" i="32"/>
  <c r="BA284" i="32" s="1"/>
  <c r="AC279" i="32"/>
  <c r="AW279" i="32" s="1"/>
  <c r="AT279" i="32"/>
  <c r="AB279" i="32"/>
  <c r="AV279" i="32" s="1"/>
  <c r="AZ283" i="32"/>
  <c r="AZ284" i="32" s="1"/>
  <c r="AR283" i="32"/>
  <c r="AY283" i="32" s="1"/>
  <c r="I285" i="32"/>
  <c r="K291" i="32"/>
  <c r="I287" i="32"/>
  <c r="AW293" i="32"/>
  <c r="I293" i="32"/>
  <c r="I276" i="32"/>
  <c r="BA276" i="32"/>
  <c r="BA277" i="32" s="1"/>
  <c r="Z284" i="32"/>
  <c r="AW280" i="32"/>
  <c r="AY281" i="32"/>
  <c r="AQ284" i="32"/>
  <c r="AB288" i="32"/>
  <c r="AV288" i="32" s="1"/>
  <c r="AA288" i="32"/>
  <c r="AR290" i="32"/>
  <c r="AY290" i="32" s="1"/>
  <c r="L291" i="32"/>
  <c r="AU298" i="32"/>
  <c r="AY293" i="32"/>
  <c r="AY271" i="32"/>
  <c r="AF277" i="32"/>
  <c r="AV274" i="32"/>
  <c r="I274" i="32"/>
  <c r="AA274" i="32"/>
  <c r="AG274" i="32" s="1"/>
  <c r="AU278" i="32"/>
  <c r="AU284" i="32" s="1"/>
  <c r="AA279" i="32"/>
  <c r="AY285" i="32"/>
  <c r="N291" i="32"/>
  <c r="AZ291" i="32"/>
  <c r="AT286" i="32"/>
  <c r="AC286" i="32"/>
  <c r="AW286" i="32" s="1"/>
  <c r="AB286" i="32"/>
  <c r="AV286" i="32" s="1"/>
  <c r="AA286" i="32"/>
  <c r="AT288" i="32"/>
  <c r="I290" i="32"/>
  <c r="Z298" i="32"/>
  <c r="BA298" i="32"/>
  <c r="AA294" i="32"/>
  <c r="AT294" i="32"/>
  <c r="AC294" i="32"/>
  <c r="AB294" i="32"/>
  <c r="AV294" i="32" s="1"/>
  <c r="AA295" i="32"/>
  <c r="AT295" i="32"/>
  <c r="AB295" i="32"/>
  <c r="AV295" i="32" s="1"/>
  <c r="AC295" i="32"/>
  <c r="S304" i="32"/>
  <c r="AU291" i="32"/>
  <c r="I286" i="32"/>
  <c r="AC287" i="32"/>
  <c r="AW287" i="32" s="1"/>
  <c r="AV289" i="32"/>
  <c r="I289" i="32"/>
  <c r="AC290" i="32"/>
  <c r="AW290" i="32" s="1"/>
  <c r="I296" i="32"/>
  <c r="AH304" i="32"/>
  <c r="AP284" i="32"/>
  <c r="AR286" i="32"/>
  <c r="AY286" i="32" s="1"/>
  <c r="AR289" i="32"/>
  <c r="AY289" i="32" s="1"/>
  <c r="AZ292" i="32"/>
  <c r="AP298" i="32"/>
  <c r="AR292" i="32"/>
  <c r="AY292" i="32" s="1"/>
  <c r="AW294" i="32"/>
  <c r="AA297" i="32"/>
  <c r="AG297" i="32" s="1"/>
  <c r="AT297" i="32"/>
  <c r="L300" i="32"/>
  <c r="Y304" i="32"/>
  <c r="Z303" i="32" s="1"/>
  <c r="I288" i="32"/>
  <c r="V298" i="32"/>
  <c r="AA292" i="32"/>
  <c r="AT292" i="32"/>
  <c r="AB292" i="32"/>
  <c r="AW295" i="32"/>
  <c r="AT299" i="32"/>
  <c r="AT300" i="32" s="1"/>
  <c r="V300" i="32"/>
  <c r="AA299" i="32"/>
  <c r="AA293" i="32"/>
  <c r="AG293" i="32" s="1"/>
  <c r="AT293" i="32"/>
  <c r="AA296" i="32"/>
  <c r="AG296" i="32" s="1"/>
  <c r="AT296" i="32"/>
  <c r="AC17" i="31"/>
  <c r="AW17" i="31" s="1"/>
  <c r="AB17" i="31"/>
  <c r="AV17" i="31" s="1"/>
  <c r="AA17" i="31"/>
  <c r="AC29" i="31"/>
  <c r="AT29" i="31"/>
  <c r="AB29" i="31"/>
  <c r="AV29" i="31" s="1"/>
  <c r="AA29" i="31"/>
  <c r="AC31" i="31"/>
  <c r="AT31" i="31"/>
  <c r="AB31" i="31"/>
  <c r="AV31" i="31" s="1"/>
  <c r="AA31" i="31"/>
  <c r="K78" i="31"/>
  <c r="I12" i="31"/>
  <c r="K15" i="31"/>
  <c r="AX15" i="31"/>
  <c r="AU84" i="31"/>
  <c r="J74" i="31"/>
  <c r="Q19" i="31"/>
  <c r="V16" i="31"/>
  <c r="AZ19" i="31"/>
  <c r="I20" i="31"/>
  <c r="AV20" i="31"/>
  <c r="K23" i="31"/>
  <c r="AT13" i="31"/>
  <c r="AC13" i="31"/>
  <c r="AW13" i="31" s="1"/>
  <c r="AB13" i="31"/>
  <c r="AF87" i="31"/>
  <c r="AX24" i="31"/>
  <c r="AF25" i="31"/>
  <c r="AQ78" i="31"/>
  <c r="BA12" i="31"/>
  <c r="AQ15" i="31"/>
  <c r="K84" i="31"/>
  <c r="I14" i="31"/>
  <c r="AX84" i="31"/>
  <c r="AX16" i="31"/>
  <c r="AX19" i="31" s="1"/>
  <c r="AF19" i="31"/>
  <c r="N87" i="31"/>
  <c r="N25" i="31"/>
  <c r="AA13" i="31"/>
  <c r="AY18" i="31"/>
  <c r="AQ23" i="31"/>
  <c r="V28" i="31"/>
  <c r="Q32" i="31"/>
  <c r="AW29" i="31"/>
  <c r="AW31" i="31"/>
  <c r="AV13" i="31"/>
  <c r="I13" i="31"/>
  <c r="AQ84" i="31"/>
  <c r="BA14" i="31"/>
  <c r="BA19" i="31"/>
  <c r="AT17" i="31"/>
  <c r="AC18" i="31"/>
  <c r="AW18" i="31" s="1"/>
  <c r="AB18" i="31"/>
  <c r="AV18" i="31" s="1"/>
  <c r="AA18" i="31"/>
  <c r="L79" i="31"/>
  <c r="L32" i="31"/>
  <c r="AB34" i="31"/>
  <c r="AA34" i="31"/>
  <c r="AT34" i="31"/>
  <c r="AC34" i="31"/>
  <c r="AB35" i="31"/>
  <c r="AV35" i="31" s="1"/>
  <c r="AA35" i="31"/>
  <c r="AT35" i="31"/>
  <c r="AC35" i="31"/>
  <c r="AW35" i="31" s="1"/>
  <c r="AB36" i="31"/>
  <c r="AA36" i="31"/>
  <c r="AT36" i="31"/>
  <c r="AC36" i="31"/>
  <c r="AB37" i="31"/>
  <c r="AA37" i="31"/>
  <c r="AT37" i="31"/>
  <c r="AC37" i="31"/>
  <c r="AT53" i="31"/>
  <c r="AC53" i="31"/>
  <c r="AB53" i="31"/>
  <c r="AA53" i="31"/>
  <c r="L78" i="31"/>
  <c r="AR12" i="31"/>
  <c r="AR13" i="31"/>
  <c r="AY13" i="31" s="1"/>
  <c r="L84" i="31"/>
  <c r="AR14" i="31"/>
  <c r="W74" i="31"/>
  <c r="AI74" i="31"/>
  <c r="AO74" i="31"/>
  <c r="AU16" i="31"/>
  <c r="AU19" i="31" s="1"/>
  <c r="N19" i="31"/>
  <c r="AC20" i="31"/>
  <c r="I21" i="31"/>
  <c r="AA21" i="31"/>
  <c r="AR21" i="31"/>
  <c r="AY21" i="31" s="1"/>
  <c r="AW22" i="31"/>
  <c r="Q87" i="31"/>
  <c r="Q25" i="31"/>
  <c r="AQ25" i="31"/>
  <c r="N79" i="31"/>
  <c r="AF79" i="31"/>
  <c r="L85" i="31"/>
  <c r="AB30" i="31"/>
  <c r="K32" i="31"/>
  <c r="AV34" i="31"/>
  <c r="AV36" i="31"/>
  <c r="AV37" i="31"/>
  <c r="K48" i="31"/>
  <c r="AA59" i="31"/>
  <c r="AG59" i="31" s="1"/>
  <c r="AB59" i="31"/>
  <c r="AV59" i="31" s="1"/>
  <c r="AT59" i="31"/>
  <c r="BA63" i="31"/>
  <c r="AQ64" i="31"/>
  <c r="AR63" i="31"/>
  <c r="AY63" i="31" s="1"/>
  <c r="Z64" i="31"/>
  <c r="AA62" i="31"/>
  <c r="AB62" i="31"/>
  <c r="AT62" i="31"/>
  <c r="N78" i="31"/>
  <c r="AY12" i="31"/>
  <c r="N84" i="31"/>
  <c r="AY14" i="31"/>
  <c r="X74" i="31"/>
  <c r="AD74" i="31"/>
  <c r="AP15" i="31"/>
  <c r="N23" i="31"/>
  <c r="AF23" i="31"/>
  <c r="AB21" i="31"/>
  <c r="AB23" i="31" s="1"/>
  <c r="AZ21" i="31"/>
  <c r="AZ23" i="31" s="1"/>
  <c r="V87" i="31"/>
  <c r="AB24" i="31"/>
  <c r="AV24" i="31" s="1"/>
  <c r="AP87" i="31"/>
  <c r="AR24" i="31"/>
  <c r="AY24" i="31" s="1"/>
  <c r="Q79" i="31"/>
  <c r="V26" i="31"/>
  <c r="AP79" i="31"/>
  <c r="AU85" i="31"/>
  <c r="AF32" i="31"/>
  <c r="AW34" i="31"/>
  <c r="AW36" i="31"/>
  <c r="AW37" i="31"/>
  <c r="V43" i="31"/>
  <c r="AA41" i="31"/>
  <c r="AT41" i="31"/>
  <c r="AT43" i="31" s="1"/>
  <c r="AC41" i="31"/>
  <c r="AB41" i="31"/>
  <c r="AC48" i="31"/>
  <c r="AT45" i="31"/>
  <c r="AC45" i="31"/>
  <c r="AB45" i="31"/>
  <c r="AV45" i="31" s="1"/>
  <c r="AA45" i="31"/>
  <c r="AC62" i="31"/>
  <c r="AZ69" i="31"/>
  <c r="AP73" i="31"/>
  <c r="AR69" i="31"/>
  <c r="AY69" i="31" s="1"/>
  <c r="U77" i="31"/>
  <c r="AM77" i="31"/>
  <c r="Q78" i="31"/>
  <c r="AF78" i="31"/>
  <c r="AZ12" i="31"/>
  <c r="Q84" i="31"/>
  <c r="AF84" i="31"/>
  <c r="AZ14" i="31"/>
  <c r="M74" i="31"/>
  <c r="S74" i="31"/>
  <c r="Y74" i="31"/>
  <c r="AE74" i="31"/>
  <c r="AK74" i="31"/>
  <c r="AC21" i="31"/>
  <c r="AW21" i="31" s="1"/>
  <c r="AT21" i="31"/>
  <c r="AT23" i="31" s="1"/>
  <c r="AA22" i="31"/>
  <c r="AG22" i="31" s="1"/>
  <c r="AS22" i="31" s="1"/>
  <c r="AR22" i="31"/>
  <c r="AY22" i="31" s="1"/>
  <c r="Z25" i="31"/>
  <c r="Z79" i="31"/>
  <c r="AU26" i="31"/>
  <c r="AQ79" i="31"/>
  <c r="BA26" i="31"/>
  <c r="AX79" i="31"/>
  <c r="AJ79" i="31"/>
  <c r="AJ77" i="31" s="1"/>
  <c r="AJ32" i="31"/>
  <c r="AR29" i="31"/>
  <c r="Q85" i="31"/>
  <c r="AG30" i="31"/>
  <c r="AV30" i="31"/>
  <c r="AR31" i="31"/>
  <c r="L86" i="31"/>
  <c r="L40" i="31"/>
  <c r="Z43" i="31"/>
  <c r="AU43" i="31"/>
  <c r="N81" i="31"/>
  <c r="AY44" i="31"/>
  <c r="BA81" i="31"/>
  <c r="AW51" i="31"/>
  <c r="I51" i="31"/>
  <c r="I52" i="31" s="1"/>
  <c r="AW53" i="31"/>
  <c r="I54" i="31"/>
  <c r="BA64" i="31"/>
  <c r="AT69" i="31"/>
  <c r="AB69" i="31"/>
  <c r="AV69" i="31" s="1"/>
  <c r="AC69" i="31"/>
  <c r="AA69" i="31"/>
  <c r="V12" i="31"/>
  <c r="AU12" i="31"/>
  <c r="V14" i="31"/>
  <c r="N15" i="31"/>
  <c r="AF15" i="31"/>
  <c r="AL74" i="31"/>
  <c r="Z23" i="31"/>
  <c r="AU20" i="31"/>
  <c r="AU23" i="31" s="1"/>
  <c r="AX20" i="31"/>
  <c r="AX23" i="31" s="1"/>
  <c r="K87" i="31"/>
  <c r="K25" i="31"/>
  <c r="AA24" i="31"/>
  <c r="AZ24" i="31"/>
  <c r="AT25" i="31"/>
  <c r="I26" i="31"/>
  <c r="AR26" i="31"/>
  <c r="AP28" i="31"/>
  <c r="AP32" i="31" s="1"/>
  <c r="V85" i="31"/>
  <c r="AC30" i="31"/>
  <c r="AY33" i="31"/>
  <c r="AY38" i="31" s="1"/>
  <c r="N86" i="31"/>
  <c r="AY39" i="31"/>
  <c r="I43" i="31"/>
  <c r="Q52" i="31"/>
  <c r="V49" i="31"/>
  <c r="N57" i="31"/>
  <c r="AU64" i="31"/>
  <c r="I62" i="31"/>
  <c r="AW62" i="31"/>
  <c r="Z78" i="31"/>
  <c r="Z84" i="31"/>
  <c r="N75" i="31"/>
  <c r="AR23" i="31"/>
  <c r="AY20" i="31"/>
  <c r="AC87" i="31"/>
  <c r="BA87" i="31"/>
  <c r="BA25" i="31"/>
  <c r="AY29" i="31"/>
  <c r="I30" i="31"/>
  <c r="Z85" i="31"/>
  <c r="AQ85" i="31"/>
  <c r="AX30" i="31"/>
  <c r="AX85" i="31" s="1"/>
  <c r="AY31" i="31"/>
  <c r="AQ32" i="31"/>
  <c r="V33" i="31"/>
  <c r="AF38" i="31"/>
  <c r="BA86" i="31"/>
  <c r="BA40" i="31"/>
  <c r="Q43" i="31"/>
  <c r="AW45" i="31"/>
  <c r="I46" i="31"/>
  <c r="N48" i="31"/>
  <c r="AU52" i="31"/>
  <c r="AA51" i="31"/>
  <c r="AB51" i="31"/>
  <c r="AV51" i="31" s="1"/>
  <c r="AT51" i="31"/>
  <c r="Z52" i="31"/>
  <c r="AY54" i="31"/>
  <c r="AT56" i="31"/>
  <c r="AC56" i="31"/>
  <c r="AW56" i="31" s="1"/>
  <c r="AB56" i="31"/>
  <c r="AV56" i="31" s="1"/>
  <c r="AA56" i="31"/>
  <c r="V57" i="31"/>
  <c r="AW59" i="31"/>
  <c r="I59" i="31"/>
  <c r="AS59" i="31" s="1"/>
  <c r="AA60" i="31"/>
  <c r="AG60" i="31" s="1"/>
  <c r="AS60" i="31" s="1"/>
  <c r="AT60" i="31"/>
  <c r="AC60" i="31"/>
  <c r="AC81" i="31" s="1"/>
  <c r="AB60" i="31"/>
  <c r="AV60" i="31" s="1"/>
  <c r="AC65" i="31"/>
  <c r="AC67" i="31" s="1"/>
  <c r="V67" i="31"/>
  <c r="AB65" i="31"/>
  <c r="AT65" i="31"/>
  <c r="AA65" i="31"/>
  <c r="N85" i="31"/>
  <c r="AY30" i="31"/>
  <c r="R32" i="31"/>
  <c r="R74" i="31" s="1"/>
  <c r="I33" i="31"/>
  <c r="I34" i="31"/>
  <c r="I35" i="31"/>
  <c r="I36" i="31"/>
  <c r="I37" i="31"/>
  <c r="AU39" i="31"/>
  <c r="AB42" i="31"/>
  <c r="AV42" i="31" s="1"/>
  <c r="AR42" i="31"/>
  <c r="AF43" i="31"/>
  <c r="AU44" i="31"/>
  <c r="AB46" i="31"/>
  <c r="AV46" i="31" s="1"/>
  <c r="AR46" i="31"/>
  <c r="AY46" i="31" s="1"/>
  <c r="AB50" i="31"/>
  <c r="AV50" i="31" s="1"/>
  <c r="AR50" i="31"/>
  <c r="N52" i="31"/>
  <c r="I53" i="31"/>
  <c r="AB54" i="31"/>
  <c r="AG54" i="31" s="1"/>
  <c r="AR54" i="31"/>
  <c r="AB58" i="31"/>
  <c r="AR58" i="31"/>
  <c r="AB61" i="31"/>
  <c r="AV61" i="31" s="1"/>
  <c r="AR61" i="31"/>
  <c r="AY61" i="31" s="1"/>
  <c r="I63" i="31"/>
  <c r="AA63" i="31"/>
  <c r="I66" i="31"/>
  <c r="AB66" i="31"/>
  <c r="AG66" i="31" s="1"/>
  <c r="AT66" i="31"/>
  <c r="AX73" i="31"/>
  <c r="AB70" i="31"/>
  <c r="AV70" i="31" s="1"/>
  <c r="O77" i="31"/>
  <c r="N76" i="31" s="1"/>
  <c r="V86" i="31"/>
  <c r="AT39" i="31"/>
  <c r="V40" i="31"/>
  <c r="AC42" i="31"/>
  <c r="AW42" i="31" s="1"/>
  <c r="AZ42" i="31"/>
  <c r="V81" i="31"/>
  <c r="AT44" i="31"/>
  <c r="AV44" i="31"/>
  <c r="V48" i="31"/>
  <c r="AX49" i="31"/>
  <c r="AX52" i="31" s="1"/>
  <c r="AC50" i="31"/>
  <c r="AW50" i="31" s="1"/>
  <c r="AZ50" i="31"/>
  <c r="AZ52" i="31" s="1"/>
  <c r="AQ57" i="31"/>
  <c r="L57" i="31"/>
  <c r="AP57" i="31"/>
  <c r="L64" i="31"/>
  <c r="AC58" i="31"/>
  <c r="AW58" i="31" s="1"/>
  <c r="AZ58" i="31"/>
  <c r="AZ64" i="31" s="1"/>
  <c r="AC61" i="31"/>
  <c r="AW61" i="31" s="1"/>
  <c r="AB63" i="31"/>
  <c r="AV63" i="31" s="1"/>
  <c r="AT63" i="31"/>
  <c r="V64" i="31"/>
  <c r="AV65" i="31"/>
  <c r="I65" i="31"/>
  <c r="K67" i="31"/>
  <c r="Q73" i="31"/>
  <c r="AW70" i="31"/>
  <c r="I70" i="31"/>
  <c r="I39" i="31"/>
  <c r="AP86" i="31"/>
  <c r="AZ39" i="31"/>
  <c r="K40" i="31"/>
  <c r="I44" i="31"/>
  <c r="AZ81" i="31"/>
  <c r="AW44" i="31"/>
  <c r="AR45" i="31"/>
  <c r="AR81" i="31" s="1"/>
  <c r="AR53" i="31"/>
  <c r="AU54" i="31"/>
  <c r="AU57" i="31" s="1"/>
  <c r="AR56" i="31"/>
  <c r="AY56" i="31" s="1"/>
  <c r="L67" i="31"/>
  <c r="V68" i="31"/>
  <c r="AQ73" i="31"/>
  <c r="BA68" i="31"/>
  <c r="BA73" i="31" s="1"/>
  <c r="AR68" i="31"/>
  <c r="AY70" i="31"/>
  <c r="AQ86" i="31"/>
  <c r="AQ40" i="31"/>
  <c r="AX40" i="31"/>
  <c r="AW41" i="31"/>
  <c r="AZ43" i="31"/>
  <c r="K81" i="31"/>
  <c r="AA44" i="31"/>
  <c r="AQ81" i="31"/>
  <c r="AQ48" i="31"/>
  <c r="AX81" i="31"/>
  <c r="AA47" i="31"/>
  <c r="AP48" i="31"/>
  <c r="AX48" i="31"/>
  <c r="BA53" i="31"/>
  <c r="BA57" i="31" s="1"/>
  <c r="AA55" i="31"/>
  <c r="AG55" i="31" s="1"/>
  <c r="AS55" i="31" s="1"/>
  <c r="AZ70" i="31"/>
  <c r="AZ73" i="31" s="1"/>
  <c r="AR70" i="31"/>
  <c r="AR40" i="31"/>
  <c r="AA42" i="31"/>
  <c r="AG42" i="31" s="1"/>
  <c r="AS42" i="31" s="1"/>
  <c r="L81" i="31"/>
  <c r="AB81" i="31"/>
  <c r="AA50" i="31"/>
  <c r="AG50" i="31" s="1"/>
  <c r="AS50" i="31" s="1"/>
  <c r="L52" i="31"/>
  <c r="AA58" i="31"/>
  <c r="AA61" i="31"/>
  <c r="AG61" i="31" s="1"/>
  <c r="AS61" i="31" s="1"/>
  <c r="AT70" i="31"/>
  <c r="AA70" i="31"/>
  <c r="AG70" i="31" s="1"/>
  <c r="AP81" i="31"/>
  <c r="AP77" i="31" s="1"/>
  <c r="Q81" i="31"/>
  <c r="AF81" i="31"/>
  <c r="AV62" i="31"/>
  <c r="AY66" i="31"/>
  <c r="AY67" i="31" s="1"/>
  <c r="I68" i="31"/>
  <c r="K73" i="31"/>
  <c r="AW71" i="31"/>
  <c r="AY68" i="31"/>
  <c r="AU73" i="31"/>
  <c r="AW69" i="31"/>
  <c r="AT72" i="31"/>
  <c r="AB72" i="31"/>
  <c r="AV72" i="31" s="1"/>
  <c r="AA72" i="31"/>
  <c r="AT71" i="31"/>
  <c r="AB71" i="31"/>
  <c r="AV71" i="31" s="1"/>
  <c r="AA71" i="31"/>
  <c r="AG71" i="31" s="1"/>
  <c r="AS71" i="31" s="1"/>
  <c r="AR71" i="31"/>
  <c r="AY71" i="31" s="1"/>
  <c r="AR72" i="31"/>
  <c r="AY72" i="31" s="1"/>
  <c r="AX44" i="30"/>
  <c r="AB113" i="30"/>
  <c r="AB17" i="30"/>
  <c r="AV16" i="30"/>
  <c r="BA28" i="30"/>
  <c r="AY12" i="30"/>
  <c r="AT25" i="30"/>
  <c r="AC25" i="30"/>
  <c r="AW25" i="30" s="1"/>
  <c r="AB25" i="30"/>
  <c r="AA25" i="30"/>
  <c r="AB33" i="30"/>
  <c r="AV33" i="30" s="1"/>
  <c r="AT33" i="30"/>
  <c r="AC33" i="30"/>
  <c r="AW33" i="30" s="1"/>
  <c r="AA33" i="30"/>
  <c r="AB47" i="30"/>
  <c r="AV47" i="30" s="1"/>
  <c r="AA47" i="30"/>
  <c r="AC47" i="30"/>
  <c r="AW47" i="30" s="1"/>
  <c r="AT47" i="30"/>
  <c r="AC27" i="30"/>
  <c r="AW27" i="30" s="1"/>
  <c r="AB27" i="30"/>
  <c r="AA27" i="30"/>
  <c r="AG27" i="30" s="1"/>
  <c r="AT27" i="30"/>
  <c r="AB35" i="30"/>
  <c r="AV35" i="30" s="1"/>
  <c r="AT35" i="30"/>
  <c r="AC35" i="30"/>
  <c r="AW35" i="30" s="1"/>
  <c r="AA35" i="30"/>
  <c r="AV42" i="30"/>
  <c r="AB56" i="30"/>
  <c r="AV56" i="30" s="1"/>
  <c r="AT56" i="30"/>
  <c r="AC56" i="30"/>
  <c r="AW56" i="30" s="1"/>
  <c r="AA56" i="30"/>
  <c r="AG56" i="30" s="1"/>
  <c r="AY24" i="30"/>
  <c r="AX37" i="30"/>
  <c r="AW43" i="30"/>
  <c r="AU110" i="30"/>
  <c r="AU62" i="30"/>
  <c r="AU65" i="30" s="1"/>
  <c r="Q85" i="30"/>
  <c r="V82" i="30"/>
  <c r="AZ86" i="30"/>
  <c r="AP92" i="30"/>
  <c r="AR86" i="30"/>
  <c r="V110" i="30"/>
  <c r="AT14" i="30"/>
  <c r="AN100" i="30"/>
  <c r="AX17" i="30"/>
  <c r="AF23" i="30"/>
  <c r="V24" i="30"/>
  <c r="L112" i="30"/>
  <c r="L30" i="30"/>
  <c r="BA30" i="30"/>
  <c r="AY35" i="30"/>
  <c r="N44" i="30"/>
  <c r="AT42" i="30"/>
  <c r="AC42" i="30"/>
  <c r="AW42" i="30" s="1"/>
  <c r="L44" i="30"/>
  <c r="AP44" i="30"/>
  <c r="AS56" i="30"/>
  <c r="AB74" i="30"/>
  <c r="AV74" i="30" s="1"/>
  <c r="AA74" i="30"/>
  <c r="AC74" i="30"/>
  <c r="AW74" i="30" s="1"/>
  <c r="AT74" i="30"/>
  <c r="AP75" i="30"/>
  <c r="AA77" i="30"/>
  <c r="AZ78" i="30"/>
  <c r="AR78" i="30"/>
  <c r="L104" i="30"/>
  <c r="Z110" i="30"/>
  <c r="AP110" i="30"/>
  <c r="AZ14" i="30"/>
  <c r="K15" i="30"/>
  <c r="W100" i="30"/>
  <c r="AI100" i="30"/>
  <c r="AO100" i="30"/>
  <c r="AR16" i="30"/>
  <c r="AY16" i="30" s="1"/>
  <c r="AF17" i="30"/>
  <c r="AU18" i="30"/>
  <c r="I19" i="30"/>
  <c r="K111" i="30"/>
  <c r="AR20" i="30"/>
  <c r="AZ20" i="30"/>
  <c r="AA22" i="30"/>
  <c r="AR22" i="30"/>
  <c r="N23" i="30"/>
  <c r="AR25" i="30"/>
  <c r="AR28" i="30" s="1"/>
  <c r="AT26" i="30"/>
  <c r="AQ28" i="30"/>
  <c r="AU29" i="30"/>
  <c r="K37" i="30"/>
  <c r="I31" i="30"/>
  <c r="AA31" i="30"/>
  <c r="N107" i="30"/>
  <c r="I33" i="30"/>
  <c r="I34" i="30"/>
  <c r="AA34" i="30"/>
  <c r="AZ35" i="30"/>
  <c r="AP37" i="30"/>
  <c r="AA40" i="30"/>
  <c r="AZ40" i="30"/>
  <c r="AZ44" i="30" s="1"/>
  <c r="AR42" i="30"/>
  <c r="AY42" i="30" s="1"/>
  <c r="AV43" i="30"/>
  <c r="I43" i="30"/>
  <c r="K54" i="30"/>
  <c r="I49" i="30"/>
  <c r="AF54" i="30"/>
  <c r="AX49" i="30"/>
  <c r="AX54" i="30" s="1"/>
  <c r="AZ49" i="30"/>
  <c r="AZ54" i="30" s="1"/>
  <c r="I68" i="30"/>
  <c r="AY72" i="30"/>
  <c r="AB73" i="30"/>
  <c r="AV73" i="30" s="1"/>
  <c r="AA73" i="30"/>
  <c r="AC73" i="30"/>
  <c r="AW73" i="30" s="1"/>
  <c r="AW76" i="30"/>
  <c r="AT98" i="30"/>
  <c r="AA98" i="30"/>
  <c r="AC98" i="30"/>
  <c r="AB98" i="30"/>
  <c r="AV98" i="30" s="1"/>
  <c r="AZ12" i="30"/>
  <c r="V113" i="30"/>
  <c r="V17" i="30"/>
  <c r="AA16" i="30"/>
  <c r="AP17" i="30"/>
  <c r="L105" i="30"/>
  <c r="L23" i="30"/>
  <c r="V111" i="30"/>
  <c r="AC20" i="30"/>
  <c r="K44" i="30"/>
  <c r="AT52" i="30"/>
  <c r="AC52" i="30"/>
  <c r="AW52" i="30" s="1"/>
  <c r="AA52" i="30"/>
  <c r="AZ67" i="30"/>
  <c r="AR67" i="30"/>
  <c r="AY67" i="30" s="1"/>
  <c r="L92" i="30"/>
  <c r="I86" i="30"/>
  <c r="AX111" i="30"/>
  <c r="AV25" i="30"/>
  <c r="I25" i="30"/>
  <c r="L107" i="30"/>
  <c r="BA32" i="30"/>
  <c r="AZ33" i="30"/>
  <c r="AZ37" i="30" s="1"/>
  <c r="AF44" i="30"/>
  <c r="N104" i="30"/>
  <c r="BA12" i="30"/>
  <c r="K110" i="30"/>
  <c r="AA14" i="30"/>
  <c r="AQ110" i="30"/>
  <c r="AX110" i="30"/>
  <c r="L15" i="30"/>
  <c r="R100" i="30"/>
  <c r="X100" i="30"/>
  <c r="AP15" i="30"/>
  <c r="AX15" i="30"/>
  <c r="L113" i="30"/>
  <c r="AW16" i="30"/>
  <c r="AC16" i="30"/>
  <c r="AZ16" i="30"/>
  <c r="Z17" i="30"/>
  <c r="AT18" i="30"/>
  <c r="AV18" i="30"/>
  <c r="AA19" i="30"/>
  <c r="L111" i="30"/>
  <c r="AB20" i="30"/>
  <c r="AG20" i="30" s="1"/>
  <c r="AT20" i="30"/>
  <c r="BA20" i="30"/>
  <c r="BA111" i="30" s="1"/>
  <c r="AW21" i="30"/>
  <c r="AB22" i="30"/>
  <c r="AV22" i="30" s="1"/>
  <c r="AT22" i="30"/>
  <c r="I24" i="30"/>
  <c r="AX24" i="30"/>
  <c r="AX28" i="30" s="1"/>
  <c r="AV27" i="30"/>
  <c r="I27" i="30"/>
  <c r="L28" i="30"/>
  <c r="Q30" i="30"/>
  <c r="L37" i="30"/>
  <c r="AB31" i="30"/>
  <c r="AY31" i="30"/>
  <c r="Q107" i="30"/>
  <c r="AF107" i="30"/>
  <c r="AX32" i="30"/>
  <c r="AU107" i="30"/>
  <c r="AC34" i="30"/>
  <c r="AW34" i="30" s="1"/>
  <c r="AT34" i="30"/>
  <c r="AA36" i="30"/>
  <c r="AQ37" i="30"/>
  <c r="Z44" i="30"/>
  <c r="AU38" i="30"/>
  <c r="AU44" i="30" s="1"/>
  <c r="BA38" i="30"/>
  <c r="BA44" i="30" s="1"/>
  <c r="AQ44" i="30"/>
  <c r="V39" i="30"/>
  <c r="Q44" i="30"/>
  <c r="AG41" i="30"/>
  <c r="AS41" i="30" s="1"/>
  <c r="AA42" i="30"/>
  <c r="I50" i="30"/>
  <c r="AV50" i="30"/>
  <c r="AU61" i="30"/>
  <c r="AR56" i="30"/>
  <c r="AZ56" i="30"/>
  <c r="I57" i="30"/>
  <c r="AZ58" i="30"/>
  <c r="AR58" i="30"/>
  <c r="AY58" i="30" s="1"/>
  <c r="AC63" i="30"/>
  <c r="AW63" i="30" s="1"/>
  <c r="V65" i="30"/>
  <c r="AT63" i="30"/>
  <c r="AB63" i="30"/>
  <c r="AV63" i="30" s="1"/>
  <c r="AA63" i="30"/>
  <c r="AZ63" i="30"/>
  <c r="AT70" i="30"/>
  <c r="AB70" i="30"/>
  <c r="AV70" i="30" s="1"/>
  <c r="AC70" i="30"/>
  <c r="AW70" i="30" s="1"/>
  <c r="AA70" i="30"/>
  <c r="AP71" i="30"/>
  <c r="AZ72" i="30"/>
  <c r="K81" i="30"/>
  <c r="I76" i="30"/>
  <c r="AY78" i="30"/>
  <c r="I79" i="30"/>
  <c r="Q104" i="30"/>
  <c r="AU12" i="30"/>
  <c r="I13" i="30"/>
  <c r="AS13" i="30" s="1"/>
  <c r="AB14" i="30"/>
  <c r="AR14" i="30"/>
  <c r="AT16" i="30"/>
  <c r="N17" i="30"/>
  <c r="I18" i="30"/>
  <c r="Z105" i="30"/>
  <c r="AP105" i="30"/>
  <c r="AP23" i="30"/>
  <c r="AZ18" i="30"/>
  <c r="AW18" i="30"/>
  <c r="AB19" i="30"/>
  <c r="AF111" i="30"/>
  <c r="AY22" i="30"/>
  <c r="V23" i="30"/>
  <c r="V29" i="30"/>
  <c r="AP112" i="30"/>
  <c r="AP30" i="30"/>
  <c r="K30" i="30"/>
  <c r="AC31" i="30"/>
  <c r="V32" i="30"/>
  <c r="V37" i="30" s="1"/>
  <c r="AC36" i="30"/>
  <c r="AW36" i="30" s="1"/>
  <c r="AT36" i="30"/>
  <c r="I38" i="30"/>
  <c r="AA38" i="30"/>
  <c r="AR38" i="30"/>
  <c r="AR39" i="30"/>
  <c r="AY39" i="30" s="1"/>
  <c r="AB42" i="30"/>
  <c r="AZ43" i="30"/>
  <c r="AR43" i="30"/>
  <c r="AY43" i="30" s="1"/>
  <c r="Q48" i="30"/>
  <c r="AR45" i="30"/>
  <c r="AP48" i="30"/>
  <c r="AZ45" i="30"/>
  <c r="BA48" i="30"/>
  <c r="N54" i="30"/>
  <c r="AY49" i="30"/>
  <c r="L54" i="30"/>
  <c r="AW50" i="30"/>
  <c r="AR51" i="30"/>
  <c r="AY51" i="30" s="1"/>
  <c r="I53" i="30"/>
  <c r="AV53" i="30"/>
  <c r="I55" i="30"/>
  <c r="K61" i="30"/>
  <c r="I60" i="30"/>
  <c r="AA64" i="30"/>
  <c r="Z71" i="30"/>
  <c r="AU66" i="30"/>
  <c r="AU71" i="30" s="1"/>
  <c r="AT78" i="30"/>
  <c r="AB78" i="30"/>
  <c r="AC78" i="30"/>
  <c r="AW78" i="30" s="1"/>
  <c r="AA78" i="30"/>
  <c r="V81" i="30"/>
  <c r="AY18" i="30"/>
  <c r="AZ30" i="30"/>
  <c r="AU37" i="30"/>
  <c r="K107" i="30"/>
  <c r="I32" i="30"/>
  <c r="AR47" i="30"/>
  <c r="AY47" i="30" s="1"/>
  <c r="AZ47" i="30"/>
  <c r="AH100" i="30"/>
  <c r="Z111" i="30"/>
  <c r="V12" i="30"/>
  <c r="AA13" i="30"/>
  <c r="AG13" i="30" s="1"/>
  <c r="N110" i="30"/>
  <c r="AC14" i="30"/>
  <c r="BA14" i="30"/>
  <c r="N15" i="30"/>
  <c r="T100" i="30"/>
  <c r="Z15" i="30"/>
  <c r="AL100" i="30"/>
  <c r="AU16" i="30"/>
  <c r="I17" i="30"/>
  <c r="K105" i="30"/>
  <c r="K103" i="30" s="1"/>
  <c r="AA18" i="30"/>
  <c r="AQ105" i="30"/>
  <c r="AQ103" i="30" s="1"/>
  <c r="AR19" i="30"/>
  <c r="Q111" i="30"/>
  <c r="AA21" i="30"/>
  <c r="AG21" i="30" s="1"/>
  <c r="AS21" i="30" s="1"/>
  <c r="AR21" i="30"/>
  <c r="AY21" i="30" s="1"/>
  <c r="Q23" i="30"/>
  <c r="AC23" i="30"/>
  <c r="AQ23" i="30"/>
  <c r="AX23" i="30"/>
  <c r="AV26" i="30"/>
  <c r="I26" i="30"/>
  <c r="I29" i="30"/>
  <c r="AR30" i="30"/>
  <c r="Q37" i="30"/>
  <c r="AF37" i="30"/>
  <c r="BA37" i="30"/>
  <c r="I40" i="30"/>
  <c r="AA43" i="30"/>
  <c r="AG43" i="30" s="1"/>
  <c r="V45" i="30"/>
  <c r="I46" i="30"/>
  <c r="AA46" i="30"/>
  <c r="AT46" i="30"/>
  <c r="V49" i="30"/>
  <c r="Q54" i="30"/>
  <c r="AR50" i="30"/>
  <c r="AY50" i="30" s="1"/>
  <c r="AA51" i="30"/>
  <c r="AG51" i="30" s="1"/>
  <c r="AS51" i="30" s="1"/>
  <c r="AY52" i="30"/>
  <c r="AW53" i="30"/>
  <c r="I58" i="30"/>
  <c r="I110" i="30" s="1"/>
  <c r="AT59" i="30"/>
  <c r="AC59" i="30"/>
  <c r="AB59" i="30"/>
  <c r="AV59" i="30" s="1"/>
  <c r="AA59" i="30"/>
  <c r="AX72" i="30"/>
  <c r="AX75" i="30" s="1"/>
  <c r="AF75" i="30"/>
  <c r="N85" i="30"/>
  <c r="I93" i="30"/>
  <c r="L99" i="30"/>
  <c r="AF104" i="30"/>
  <c r="Q110" i="30"/>
  <c r="AF110" i="30"/>
  <c r="M100" i="30"/>
  <c r="S100" i="30"/>
  <c r="Y100" i="30"/>
  <c r="AE100" i="30"/>
  <c r="AF101" i="30" s="1"/>
  <c r="AK100" i="30"/>
  <c r="Q105" i="30"/>
  <c r="AF105" i="30"/>
  <c r="N111" i="30"/>
  <c r="AY20" i="30"/>
  <c r="AY29" i="30"/>
  <c r="Z107" i="30"/>
  <c r="AP107" i="30"/>
  <c r="AR32" i="30"/>
  <c r="AR34" i="30"/>
  <c r="AY34" i="30" s="1"/>
  <c r="AR36" i="30"/>
  <c r="AY36" i="30" s="1"/>
  <c r="Z54" i="30"/>
  <c r="AU49" i="30"/>
  <c r="AU54" i="30" s="1"/>
  <c r="AQ54" i="30"/>
  <c r="AY56" i="30"/>
  <c r="AB58" i="30"/>
  <c r="AV58" i="30" s="1"/>
  <c r="AF61" i="30"/>
  <c r="AW62" i="30"/>
  <c r="AF65" i="30"/>
  <c r="AC64" i="30"/>
  <c r="AW64" i="30" s="1"/>
  <c r="K71" i="30"/>
  <c r="AT67" i="30"/>
  <c r="AB67" i="30"/>
  <c r="AA67" i="30"/>
  <c r="AG67" i="30" s="1"/>
  <c r="I69" i="30"/>
  <c r="I70" i="30"/>
  <c r="AZ73" i="30"/>
  <c r="N81" i="30"/>
  <c r="AZ76" i="30"/>
  <c r="AR76" i="30"/>
  <c r="AV78" i="30"/>
  <c r="AZ79" i="30"/>
  <c r="AR79" i="30"/>
  <c r="AY79" i="30" s="1"/>
  <c r="I84" i="30"/>
  <c r="I85" i="30" s="1"/>
  <c r="AV84" i="30"/>
  <c r="BA92" i="30"/>
  <c r="AA89" i="30"/>
  <c r="AT89" i="30"/>
  <c r="AB89" i="30"/>
  <c r="AV89" i="30" s="1"/>
  <c r="AC89" i="30"/>
  <c r="AW89" i="30" s="1"/>
  <c r="K48" i="30"/>
  <c r="I59" i="30"/>
  <c r="N65" i="30"/>
  <c r="AX65" i="30"/>
  <c r="AF71" i="30"/>
  <c r="AX66" i="30"/>
  <c r="AX71" i="30" s="1"/>
  <c r="AT68" i="30"/>
  <c r="AB68" i="30"/>
  <c r="AV68" i="30" s="1"/>
  <c r="AZ69" i="30"/>
  <c r="AR69" i="30"/>
  <c r="AY69" i="30" s="1"/>
  <c r="Q75" i="30"/>
  <c r="V72" i="30"/>
  <c r="AT76" i="30"/>
  <c r="AB76" i="30"/>
  <c r="AV76" i="30" s="1"/>
  <c r="BA76" i="30"/>
  <c r="BA81" i="30" s="1"/>
  <c r="AQ81" i="30"/>
  <c r="AT79" i="30"/>
  <c r="AB79" i="30"/>
  <c r="AV79" i="30" s="1"/>
  <c r="N92" i="30"/>
  <c r="AY87" i="30"/>
  <c r="AT93" i="30"/>
  <c r="V99" i="30"/>
  <c r="AA93" i="30"/>
  <c r="AB93" i="30"/>
  <c r="V61" i="30"/>
  <c r="AB55" i="30"/>
  <c r="AT57" i="30"/>
  <c r="AB57" i="30"/>
  <c r="AV57" i="30" s="1"/>
  <c r="AZ57" i="30"/>
  <c r="AR57" i="30"/>
  <c r="AY57" i="30" s="1"/>
  <c r="AW59" i="30"/>
  <c r="AT60" i="30"/>
  <c r="AB60" i="30"/>
  <c r="AV60" i="30" s="1"/>
  <c r="AZ60" i="30"/>
  <c r="AZ61" i="30" s="1"/>
  <c r="AR60" i="30"/>
  <c r="AY60" i="30" s="1"/>
  <c r="AZ62" i="30"/>
  <c r="AP65" i="30"/>
  <c r="AR62" i="30"/>
  <c r="AZ64" i="30"/>
  <c r="N71" i="30"/>
  <c r="AZ66" i="30"/>
  <c r="AR66" i="30"/>
  <c r="AY66" i="30"/>
  <c r="Z75" i="30"/>
  <c r="AU72" i="30"/>
  <c r="AU75" i="30" s="1"/>
  <c r="AZ77" i="30"/>
  <c r="AR77" i="30"/>
  <c r="AY77" i="30" s="1"/>
  <c r="AZ80" i="30"/>
  <c r="AR80" i="30"/>
  <c r="AY80" i="30" s="1"/>
  <c r="AX85" i="30"/>
  <c r="AA83" i="30"/>
  <c r="AB83" i="30"/>
  <c r="AV83" i="30" s="1"/>
  <c r="AT83" i="30"/>
  <c r="V92" i="30"/>
  <c r="AA86" i="30"/>
  <c r="AT86" i="30"/>
  <c r="AB86" i="30"/>
  <c r="AC86" i="30"/>
  <c r="AW86" i="30" s="1"/>
  <c r="AZ96" i="30"/>
  <c r="AR96" i="30"/>
  <c r="AY96" i="30" s="1"/>
  <c r="AU48" i="30"/>
  <c r="Z61" i="30"/>
  <c r="AQ61" i="30"/>
  <c r="AP61" i="30"/>
  <c r="AT62" i="30"/>
  <c r="AT65" i="30" s="1"/>
  <c r="AA62" i="30"/>
  <c r="AB62" i="30"/>
  <c r="AV67" i="30"/>
  <c r="I67" i="30"/>
  <c r="AA68" i="30"/>
  <c r="AG68" i="30" s="1"/>
  <c r="AT69" i="30"/>
  <c r="AB69" i="30"/>
  <c r="AV69" i="30" s="1"/>
  <c r="AA69" i="30"/>
  <c r="I75" i="30"/>
  <c r="AZ74" i="30"/>
  <c r="AA76" i="30"/>
  <c r="AT77" i="30"/>
  <c r="AB77" i="30"/>
  <c r="AV77" i="30" s="1"/>
  <c r="AA79" i="30"/>
  <c r="AT80" i="30"/>
  <c r="AB80" i="30"/>
  <c r="AV80" i="30" s="1"/>
  <c r="AP81" i="30"/>
  <c r="AT84" i="30"/>
  <c r="AC84" i="30"/>
  <c r="AW84" i="30" s="1"/>
  <c r="BA84" i="30"/>
  <c r="BA85" i="30" s="1"/>
  <c r="AR84" i="30"/>
  <c r="AY84" i="30" s="1"/>
  <c r="Z92" i="30"/>
  <c r="AU86" i="30"/>
  <c r="AU92" i="30" s="1"/>
  <c r="AZ89" i="30"/>
  <c r="AR89" i="30"/>
  <c r="AY89" i="30" s="1"/>
  <c r="AC93" i="30"/>
  <c r="AW93" i="30" s="1"/>
  <c r="AX99" i="30"/>
  <c r="K65" i="30"/>
  <c r="BA65" i="30"/>
  <c r="V66" i="30"/>
  <c r="Q71" i="30"/>
  <c r="BA66" i="30"/>
  <c r="BA71" i="30" s="1"/>
  <c r="AQ71" i="30"/>
  <c r="AZ68" i="30"/>
  <c r="AR68" i="30"/>
  <c r="AY68" i="30" s="1"/>
  <c r="AZ70" i="30"/>
  <c r="AR70" i="30"/>
  <c r="AY70" i="30" s="1"/>
  <c r="N75" i="30"/>
  <c r="BA75" i="30"/>
  <c r="Z81" i="30"/>
  <c r="AU76" i="30"/>
  <c r="AU81" i="30" s="1"/>
  <c r="Z85" i="30"/>
  <c r="AU82" i="30"/>
  <c r="AU85" i="30" s="1"/>
  <c r="AW91" i="30"/>
  <c r="I91" i="30"/>
  <c r="Z99" i="30"/>
  <c r="AU99" i="30"/>
  <c r="AT95" i="30"/>
  <c r="AA95" i="30"/>
  <c r="AC95" i="30"/>
  <c r="AW95" i="30" s="1"/>
  <c r="AW96" i="30"/>
  <c r="I96" i="30"/>
  <c r="M103" i="30"/>
  <c r="N102" i="30"/>
  <c r="AR82" i="30"/>
  <c r="AY82" i="30" s="1"/>
  <c r="AZ82" i="30"/>
  <c r="AW88" i="30"/>
  <c r="I88" i="30"/>
  <c r="AY93" i="30"/>
  <c r="AZ93" i="30"/>
  <c r="AP99" i="30"/>
  <c r="AR93" i="30"/>
  <c r="AT96" i="30"/>
  <c r="AA96" i="30"/>
  <c r="AB96" i="30"/>
  <c r="AV96" i="30" s="1"/>
  <c r="S103" i="30"/>
  <c r="Y103" i="30"/>
  <c r="Z102" i="30" s="1"/>
  <c r="AK103" i="30"/>
  <c r="AX76" i="30"/>
  <c r="AX81" i="30" s="1"/>
  <c r="Q81" i="30"/>
  <c r="AA87" i="30"/>
  <c r="AT87" i="30"/>
  <c r="AA90" i="30"/>
  <c r="AT90" i="30"/>
  <c r="AQ85" i="30"/>
  <c r="AA88" i="30"/>
  <c r="AG88" i="30" s="1"/>
  <c r="AT88" i="30"/>
  <c r="AA91" i="30"/>
  <c r="AG91" i="30" s="1"/>
  <c r="AT91" i="30"/>
  <c r="AW98" i="30"/>
  <c r="AP83" i="30"/>
  <c r="AP104" i="30" s="1"/>
  <c r="AP103" i="30" s="1"/>
  <c r="AC87" i="30"/>
  <c r="AW87" i="30" s="1"/>
  <c r="AC90" i="30"/>
  <c r="AW90" i="30" s="1"/>
  <c r="AT94" i="30"/>
  <c r="AA94" i="30"/>
  <c r="AG94" i="30" s="1"/>
  <c r="AS94" i="30" s="1"/>
  <c r="AT97" i="30"/>
  <c r="AA97" i="30"/>
  <c r="AG97" i="30" s="1"/>
  <c r="AS97" i="30" s="1"/>
  <c r="K192" i="29"/>
  <c r="K16" i="29"/>
  <c r="I14" i="29"/>
  <c r="AR22" i="29"/>
  <c r="BA22" i="29"/>
  <c r="BA42" i="29"/>
  <c r="BA44" i="29" s="1"/>
  <c r="AR42" i="29"/>
  <c r="AY42" i="29" s="1"/>
  <c r="AE188" i="29"/>
  <c r="AQ198" i="29"/>
  <c r="AR15" i="29"/>
  <c r="BA15" i="29"/>
  <c r="AF19" i="29"/>
  <c r="AX17" i="29"/>
  <c r="AX19" i="29" s="1"/>
  <c r="AR20" i="29"/>
  <c r="AY20" i="29" s="1"/>
  <c r="BA20" i="29"/>
  <c r="AQ23" i="29"/>
  <c r="AB21" i="29"/>
  <c r="AC21" i="29"/>
  <c r="AW21" i="29" s="1"/>
  <c r="AT21" i="29"/>
  <c r="AB22" i="29"/>
  <c r="AT22" i="29"/>
  <c r="AC22" i="29"/>
  <c r="AW22" i="29" s="1"/>
  <c r="AF26" i="29"/>
  <c r="AX24" i="29"/>
  <c r="AX26" i="29" s="1"/>
  <c r="AR27" i="29"/>
  <c r="BA27" i="29"/>
  <c r="BA29" i="29" s="1"/>
  <c r="AQ29" i="29"/>
  <c r="AR28" i="29"/>
  <c r="AY28" i="29" s="1"/>
  <c r="BA28" i="29"/>
  <c r="V30" i="29"/>
  <c r="Q33" i="29"/>
  <c r="AZ33" i="29"/>
  <c r="AC38" i="29"/>
  <c r="AW38" i="29" s="1"/>
  <c r="AB38" i="29"/>
  <c r="AV38" i="29" s="1"/>
  <c r="AA38" i="29"/>
  <c r="AQ48" i="29"/>
  <c r="BA45" i="29"/>
  <c r="BA48" i="29" s="1"/>
  <c r="AR45" i="29"/>
  <c r="AJ192" i="29"/>
  <c r="AJ48" i="29"/>
  <c r="AP46" i="29"/>
  <c r="AP192" i="29" s="1"/>
  <c r="AY50" i="29"/>
  <c r="AR21" i="29"/>
  <c r="BA21" i="29"/>
  <c r="K36" i="29"/>
  <c r="I34" i="29"/>
  <c r="AA39" i="29"/>
  <c r="AT39" i="29"/>
  <c r="AC39" i="29"/>
  <c r="AW39" i="29" s="1"/>
  <c r="AB39" i="29"/>
  <c r="M188" i="29"/>
  <c r="F15" i="47" s="1"/>
  <c r="AQ192" i="29"/>
  <c r="AR14" i="29"/>
  <c r="BA14" i="29"/>
  <c r="AQ16" i="29"/>
  <c r="AB28" i="29"/>
  <c r="AG28" i="29" s="1"/>
  <c r="AC28" i="29"/>
  <c r="AW28" i="29" s="1"/>
  <c r="AT28" i="29"/>
  <c r="AR34" i="29"/>
  <c r="AY34" i="29" s="1"/>
  <c r="BA34" i="29"/>
  <c r="BA36" i="29" s="1"/>
  <c r="AQ36" i="29"/>
  <c r="AR35" i="29"/>
  <c r="AY35" i="29" s="1"/>
  <c r="BA35" i="29"/>
  <c r="V37" i="29"/>
  <c r="Q40" i="29"/>
  <c r="AZ40" i="29"/>
  <c r="AC42" i="29"/>
  <c r="AW42" i="29" s="1"/>
  <c r="AT42" i="29"/>
  <c r="AT44" i="29" s="1"/>
  <c r="AB42" i="29"/>
  <c r="AV42" i="29" s="1"/>
  <c r="AA42" i="29"/>
  <c r="AV45" i="29"/>
  <c r="I45" i="29"/>
  <c r="K48" i="29"/>
  <c r="AT47" i="29"/>
  <c r="AC47" i="29"/>
  <c r="AW47" i="29" s="1"/>
  <c r="AB47" i="29"/>
  <c r="AA47" i="29"/>
  <c r="Q52" i="29"/>
  <c r="Q201" i="29"/>
  <c r="V12" i="29"/>
  <c r="Q13" i="29"/>
  <c r="AZ201" i="29"/>
  <c r="AZ13" i="29"/>
  <c r="AF33" i="29"/>
  <c r="AX30" i="29"/>
  <c r="AX33" i="29" s="1"/>
  <c r="AC35" i="29"/>
  <c r="AW35" i="29" s="1"/>
  <c r="AB35" i="29"/>
  <c r="AV35" i="29" s="1"/>
  <c r="AT35" i="29"/>
  <c r="AU40" i="29"/>
  <c r="AV39" i="29"/>
  <c r="AT46" i="29"/>
  <c r="AT48" i="29" s="1"/>
  <c r="V52" i="29"/>
  <c r="AA49" i="29"/>
  <c r="AB49" i="29"/>
  <c r="AT49" i="29"/>
  <c r="AT52" i="29" s="1"/>
  <c r="AC49" i="29"/>
  <c r="AC52" i="29" s="1"/>
  <c r="AY21" i="29"/>
  <c r="AC18" i="29"/>
  <c r="AW18" i="29" s="1"/>
  <c r="AB18" i="29"/>
  <c r="AV18" i="29" s="1"/>
  <c r="AA18" i="29"/>
  <c r="AV22" i="29"/>
  <c r="I22" i="29"/>
  <c r="AF44" i="29"/>
  <c r="AV47" i="29"/>
  <c r="AV54" i="29"/>
  <c r="AY22" i="29"/>
  <c r="AC31" i="29"/>
  <c r="AW31" i="29" s="1"/>
  <c r="AB31" i="29"/>
  <c r="AV31" i="29" s="1"/>
  <c r="AA31" i="29"/>
  <c r="I35" i="29"/>
  <c r="I21" i="29"/>
  <c r="AC25" i="29"/>
  <c r="AW25" i="29" s="1"/>
  <c r="AB25" i="29"/>
  <c r="AV25" i="29" s="1"/>
  <c r="AA25" i="29"/>
  <c r="AF201" i="29"/>
  <c r="AF13" i="29"/>
  <c r="AX12" i="29"/>
  <c r="Y188" i="29"/>
  <c r="AK188" i="29"/>
  <c r="K198" i="29"/>
  <c r="I15" i="29"/>
  <c r="V17" i="29"/>
  <c r="Q19" i="29"/>
  <c r="AZ19" i="29"/>
  <c r="K23" i="29"/>
  <c r="I20" i="29"/>
  <c r="AX23" i="29"/>
  <c r="V24" i="29"/>
  <c r="Q26" i="29"/>
  <c r="AZ26" i="29"/>
  <c r="K29" i="29"/>
  <c r="I27" i="29"/>
  <c r="AV28" i="29"/>
  <c r="I28" i="29"/>
  <c r="BA33" i="29"/>
  <c r="AY31" i="29"/>
  <c r="AT31" i="29"/>
  <c r="AC32" i="29"/>
  <c r="AW32" i="29" s="1"/>
  <c r="AB32" i="29"/>
  <c r="AV32" i="29" s="1"/>
  <c r="AA32" i="29"/>
  <c r="AA35" i="29"/>
  <c r="Z44" i="29"/>
  <c r="AT53" i="29"/>
  <c r="AC53" i="29"/>
  <c r="AB53" i="29"/>
  <c r="I56" i="29"/>
  <c r="I19" i="29"/>
  <c r="Q192" i="29"/>
  <c r="AF198" i="29"/>
  <c r="AU46" i="29"/>
  <c r="AU48" i="29" s="1"/>
  <c r="AW50" i="29"/>
  <c r="I50" i="29"/>
  <c r="AR59" i="29"/>
  <c r="AC58" i="29"/>
  <c r="AT58" i="29"/>
  <c r="Z63" i="29"/>
  <c r="AU60" i="29"/>
  <c r="AU63" i="29" s="1"/>
  <c r="AX64" i="29"/>
  <c r="AX67" i="29" s="1"/>
  <c r="AF67" i="29"/>
  <c r="AY67" i="29"/>
  <c r="AB65" i="29"/>
  <c r="AV65" i="29" s="1"/>
  <c r="AA65" i="29"/>
  <c r="I68" i="29"/>
  <c r="K71" i="29"/>
  <c r="I69" i="29"/>
  <c r="I79" i="29"/>
  <c r="AV79" i="29"/>
  <c r="AZ105" i="29"/>
  <c r="AP110" i="29"/>
  <c r="AR105" i="29"/>
  <c r="V129" i="29"/>
  <c r="Q134" i="29"/>
  <c r="I13" i="29"/>
  <c r="U188" i="29"/>
  <c r="AY15" i="29"/>
  <c r="J188" i="29"/>
  <c r="AN188" i="29"/>
  <c r="AF192" i="29"/>
  <c r="Q198" i="29"/>
  <c r="AR12" i="29"/>
  <c r="K13" i="29"/>
  <c r="Q189" i="29"/>
  <c r="AI188" i="29"/>
  <c r="AO188" i="29"/>
  <c r="BA13" i="29"/>
  <c r="V14" i="29"/>
  <c r="AU14" i="29"/>
  <c r="V15" i="29"/>
  <c r="AF16" i="29"/>
  <c r="AR17" i="29"/>
  <c r="AR19" i="29" s="1"/>
  <c r="V20" i="29"/>
  <c r="AU20" i="29"/>
  <c r="AU23" i="29" s="1"/>
  <c r="N23" i="29"/>
  <c r="AF23" i="29"/>
  <c r="AR24" i="29"/>
  <c r="AR26" i="29" s="1"/>
  <c r="V27" i="29"/>
  <c r="AF29" i="29"/>
  <c r="AR30" i="29"/>
  <c r="AR33" i="29" s="1"/>
  <c r="V34" i="29"/>
  <c r="N36" i="29"/>
  <c r="AF36" i="29"/>
  <c r="AR37" i="29"/>
  <c r="AR40" i="29" s="1"/>
  <c r="AA41" i="29"/>
  <c r="AR41" i="29"/>
  <c r="AY41" i="29" s="1"/>
  <c r="AZ41" i="29"/>
  <c r="AZ44" i="29" s="1"/>
  <c r="AB43" i="29"/>
  <c r="AV43" i="29" s="1"/>
  <c r="I44" i="29"/>
  <c r="AQ44" i="29"/>
  <c r="AW49" i="29"/>
  <c r="I49" i="29"/>
  <c r="AF52" i="29"/>
  <c r="AX49" i="29"/>
  <c r="AX52" i="29" s="1"/>
  <c r="AG51" i="29"/>
  <c r="AZ54" i="29"/>
  <c r="AR54" i="29"/>
  <c r="AY54" i="29" s="1"/>
  <c r="V55" i="29"/>
  <c r="AB56" i="29"/>
  <c r="AC57" i="29"/>
  <c r="AW57" i="29" s="1"/>
  <c r="AT57" i="29"/>
  <c r="AT59" i="29" s="1"/>
  <c r="AW58" i="29"/>
  <c r="I58" i="29"/>
  <c r="L59" i="29"/>
  <c r="K63" i="29"/>
  <c r="AA60" i="29"/>
  <c r="AZ67" i="29"/>
  <c r="Z71" i="29"/>
  <c r="AZ74" i="29"/>
  <c r="AR74" i="29"/>
  <c r="BA89" i="29"/>
  <c r="BA92" i="29" s="1"/>
  <c r="AR89" i="29"/>
  <c r="AY89" i="29" s="1"/>
  <c r="AU54" i="29"/>
  <c r="AU198" i="29" s="1"/>
  <c r="AX56" i="29"/>
  <c r="AX59" i="29" s="1"/>
  <c r="AT62" i="29"/>
  <c r="AC62" i="29"/>
  <c r="AW62" i="29" s="1"/>
  <c r="AB62" i="29"/>
  <c r="AV62" i="29" s="1"/>
  <c r="N192" i="29"/>
  <c r="P188" i="29"/>
  <c r="AH188" i="29"/>
  <c r="AY12" i="29"/>
  <c r="X188" i="29"/>
  <c r="Z189" i="29" s="1"/>
  <c r="AD188" i="29"/>
  <c r="AF189" i="29" s="1"/>
  <c r="AP13" i="29"/>
  <c r="Z192" i="29"/>
  <c r="Z198" i="29"/>
  <c r="AP198" i="29"/>
  <c r="AQ40" i="29"/>
  <c r="L44" i="29"/>
  <c r="AB41" i="29"/>
  <c r="AZ47" i="29"/>
  <c r="AR47" i="29"/>
  <c r="AY47" i="29" s="1"/>
  <c r="N52" i="29"/>
  <c r="AY49" i="29"/>
  <c r="AY52" i="29" s="1"/>
  <c r="AG50" i="29"/>
  <c r="AZ53" i="29"/>
  <c r="AP55" i="29"/>
  <c r="AR53" i="29"/>
  <c r="AR55" i="29" s="1"/>
  <c r="BA53" i="29"/>
  <c r="BA55" i="29" s="1"/>
  <c r="AT54" i="29"/>
  <c r="AC54" i="29"/>
  <c r="AW54" i="29" s="1"/>
  <c r="AB54" i="29"/>
  <c r="AC56" i="29"/>
  <c r="I57" i="29"/>
  <c r="AZ62" i="29"/>
  <c r="AR62" i="29"/>
  <c r="AY62" i="29" s="1"/>
  <c r="N67" i="29"/>
  <c r="AC65" i="29"/>
  <c r="AT65" i="29"/>
  <c r="AJ71" i="29"/>
  <c r="AP69" i="29"/>
  <c r="AP71" i="29" s="1"/>
  <c r="AV72" i="29"/>
  <c r="Q80" i="29"/>
  <c r="V76" i="29"/>
  <c r="N104" i="29"/>
  <c r="AZ61" i="29"/>
  <c r="AR61" i="29"/>
  <c r="AY61" i="29" s="1"/>
  <c r="Q67" i="29"/>
  <c r="V64" i="29"/>
  <c r="AV90" i="29"/>
  <c r="I90" i="29"/>
  <c r="AU12" i="29"/>
  <c r="T188" i="29"/>
  <c r="Z13" i="29"/>
  <c r="AL188" i="29"/>
  <c r="L192" i="29"/>
  <c r="AX14" i="29"/>
  <c r="AX15" i="29"/>
  <c r="AX198" i="29" s="1"/>
  <c r="Q16" i="29"/>
  <c r="AU17" i="29"/>
  <c r="AU19" i="29" s="1"/>
  <c r="AU24" i="29"/>
  <c r="AU26" i="29" s="1"/>
  <c r="AU30" i="29"/>
  <c r="AU33" i="29" s="1"/>
  <c r="I47" i="29"/>
  <c r="AR52" i="29"/>
  <c r="I53" i="29"/>
  <c r="AA54" i="29"/>
  <c r="AG54" i="29" s="1"/>
  <c r="AS54" i="29" s="1"/>
  <c r="N59" i="29"/>
  <c r="AY56" i="29"/>
  <c r="AZ60" i="29"/>
  <c r="AZ63" i="29" s="1"/>
  <c r="AP63" i="29"/>
  <c r="AR60" i="29"/>
  <c r="AR63" i="29" s="1"/>
  <c r="I62" i="29"/>
  <c r="I63" i="29" s="1"/>
  <c r="AW65" i="29"/>
  <c r="AT71" i="29"/>
  <c r="AT70" i="29"/>
  <c r="AC70" i="29"/>
  <c r="AW70" i="29" s="1"/>
  <c r="AB70" i="29"/>
  <c r="AV70" i="29" s="1"/>
  <c r="AA70" i="29"/>
  <c r="AA73" i="29"/>
  <c r="AT73" i="29"/>
  <c r="AC73" i="29"/>
  <c r="AW73" i="29" s="1"/>
  <c r="V74" i="29"/>
  <c r="Q75" i="29"/>
  <c r="AZ82" i="29"/>
  <c r="AR82" i="29"/>
  <c r="AT95" i="29"/>
  <c r="AC95" i="29"/>
  <c r="AW95" i="29" s="1"/>
  <c r="AB95" i="29"/>
  <c r="AV95" i="29" s="1"/>
  <c r="AA95" i="29"/>
  <c r="AT108" i="29"/>
  <c r="AC108" i="29"/>
  <c r="AB108" i="29"/>
  <c r="AV108" i="29" s="1"/>
  <c r="AA108" i="29"/>
  <c r="AB66" i="29"/>
  <c r="AV66" i="29" s="1"/>
  <c r="AA66" i="29"/>
  <c r="AQ71" i="29"/>
  <c r="BA68" i="29"/>
  <c r="BA71" i="29" s="1"/>
  <c r="L75" i="29"/>
  <c r="AY74" i="29"/>
  <c r="AB78" i="29"/>
  <c r="AV78" i="29" s="1"/>
  <c r="AT78" i="29"/>
  <c r="AC78" i="29"/>
  <c r="AW78" i="29" s="1"/>
  <c r="AA78" i="29"/>
  <c r="N189" i="29"/>
  <c r="AM188" i="29"/>
  <c r="AC41" i="29"/>
  <c r="V44" i="29"/>
  <c r="AC43" i="29"/>
  <c r="AW43" i="29" s="1"/>
  <c r="AA43" i="29"/>
  <c r="AW51" i="29"/>
  <c r="I51" i="29"/>
  <c r="AS51" i="29" s="1"/>
  <c r="L52" i="29"/>
  <c r="AA53" i="29"/>
  <c r="AV53" i="29"/>
  <c r="V59" i="29"/>
  <c r="AA56" i="29"/>
  <c r="AZ59" i="29"/>
  <c r="AB58" i="29"/>
  <c r="AV58" i="29" s="1"/>
  <c r="Q59" i="29"/>
  <c r="AT60" i="29"/>
  <c r="AC60" i="29"/>
  <c r="AB60" i="29"/>
  <c r="AQ63" i="29"/>
  <c r="AA62" i="29"/>
  <c r="AC66" i="29"/>
  <c r="AW66" i="29" s="1"/>
  <c r="AT66" i="29"/>
  <c r="AU71" i="29"/>
  <c r="AA72" i="29"/>
  <c r="V75" i="29"/>
  <c r="AT72" i="29"/>
  <c r="AC72" i="29"/>
  <c r="AR75" i="29"/>
  <c r="I77" i="29"/>
  <c r="I80" i="29" s="1"/>
  <c r="AV77" i="29"/>
  <c r="AY81" i="29"/>
  <c r="AU49" i="29"/>
  <c r="AU52" i="29" s="1"/>
  <c r="AU56" i="29"/>
  <c r="AU59" i="29" s="1"/>
  <c r="AU64" i="29"/>
  <c r="AU67" i="29" s="1"/>
  <c r="AB68" i="29"/>
  <c r="AR68" i="29"/>
  <c r="AY68" i="29" s="1"/>
  <c r="AA69" i="29"/>
  <c r="I70" i="29"/>
  <c r="N75" i="29"/>
  <c r="AY72" i="29"/>
  <c r="AR76" i="29"/>
  <c r="AC77" i="29"/>
  <c r="AW77" i="29" s="1"/>
  <c r="AT77" i="29"/>
  <c r="AR78" i="29"/>
  <c r="AY78" i="29" s="1"/>
  <c r="AC79" i="29"/>
  <c r="AW79" i="29" s="1"/>
  <c r="AT79" i="29"/>
  <c r="K193" i="29"/>
  <c r="I82" i="29"/>
  <c r="AT83" i="29"/>
  <c r="AC83" i="29"/>
  <c r="AW83" i="29" s="1"/>
  <c r="AP199" i="29"/>
  <c r="AZ84" i="29"/>
  <c r="I85" i="29"/>
  <c r="AR85" i="29"/>
  <c r="K86" i="29"/>
  <c r="AR92" i="29"/>
  <c r="K92" i="29"/>
  <c r="AV89" i="29"/>
  <c r="I89" i="29"/>
  <c r="AG89" i="29"/>
  <c r="AT94" i="29"/>
  <c r="AC94" i="29"/>
  <c r="AB94" i="29"/>
  <c r="AV94" i="29" s="1"/>
  <c r="AA94" i="29"/>
  <c r="AZ97" i="29"/>
  <c r="AR97" i="29"/>
  <c r="AY97" i="29" s="1"/>
  <c r="AT107" i="29"/>
  <c r="AC107" i="29"/>
  <c r="AB107" i="29"/>
  <c r="AV107" i="29" s="1"/>
  <c r="AA107" i="29"/>
  <c r="N116" i="29"/>
  <c r="I119" i="29"/>
  <c r="L144" i="29"/>
  <c r="R48" i="29"/>
  <c r="R188" i="29" s="1"/>
  <c r="I64" i="29"/>
  <c r="I65" i="29"/>
  <c r="I66" i="29"/>
  <c r="AC68" i="29"/>
  <c r="AB69" i="29"/>
  <c r="AV69" i="29" s="1"/>
  <c r="V71" i="29"/>
  <c r="AF75" i="29"/>
  <c r="AZ72" i="29"/>
  <c r="AZ75" i="29" s="1"/>
  <c r="AU77" i="29"/>
  <c r="L193" i="29"/>
  <c r="L86" i="29"/>
  <c r="AB82" i="29"/>
  <c r="AV82" i="29" s="1"/>
  <c r="AQ199" i="29"/>
  <c r="BA84" i="29"/>
  <c r="AT93" i="29"/>
  <c r="AC93" i="29"/>
  <c r="AB93" i="29"/>
  <c r="V98" i="29"/>
  <c r="AA93" i="29"/>
  <c r="AZ96" i="29"/>
  <c r="AR96" i="29"/>
  <c r="AR104" i="29"/>
  <c r="AT106" i="29"/>
  <c r="AC106" i="29"/>
  <c r="AW106" i="29" s="1"/>
  <c r="AB106" i="29"/>
  <c r="AV106" i="29" s="1"/>
  <c r="AA106" i="29"/>
  <c r="AZ109" i="29"/>
  <c r="AR109" i="29"/>
  <c r="AY109" i="29" s="1"/>
  <c r="V116" i="29"/>
  <c r="AG120" i="29"/>
  <c r="BA121" i="29"/>
  <c r="AR121" i="29"/>
  <c r="AY121" i="29" s="1"/>
  <c r="AZ68" i="29"/>
  <c r="AC69" i="29"/>
  <c r="AW69" i="29" s="1"/>
  <c r="AU72" i="29"/>
  <c r="AU75" i="29" s="1"/>
  <c r="BA72" i="29"/>
  <c r="BA75" i="29" s="1"/>
  <c r="AV73" i="29"/>
  <c r="K80" i="29"/>
  <c r="AZ76" i="29"/>
  <c r="AZ78" i="29"/>
  <c r="N193" i="29"/>
  <c r="N86" i="29"/>
  <c r="AF193" i="29"/>
  <c r="AF86" i="29"/>
  <c r="AY82" i="29"/>
  <c r="AA83" i="29"/>
  <c r="AR83" i="29"/>
  <c r="AY83" i="29" s="1"/>
  <c r="Z199" i="29"/>
  <c r="AU84" i="29"/>
  <c r="AU199" i="29" s="1"/>
  <c r="AR84" i="29"/>
  <c r="AY84" i="29" s="1"/>
  <c r="AX87" i="29"/>
  <c r="AX92" i="29" s="1"/>
  <c r="AF92" i="29"/>
  <c r="AW89" i="29"/>
  <c r="Z98" i="29"/>
  <c r="AU93" i="29"/>
  <c r="AU98" i="29" s="1"/>
  <c r="AZ95" i="29"/>
  <c r="AR95" i="29"/>
  <c r="BA104" i="29"/>
  <c r="AT105" i="29"/>
  <c r="AC105" i="29"/>
  <c r="AW105" i="29" s="1"/>
  <c r="AB105" i="29"/>
  <c r="V110" i="29"/>
  <c r="AA105" i="29"/>
  <c r="AZ108" i="29"/>
  <c r="AR108" i="29"/>
  <c r="AY108" i="29" s="1"/>
  <c r="AU111" i="29"/>
  <c r="AU116" i="29" s="1"/>
  <c r="Z116" i="29"/>
  <c r="N122" i="29"/>
  <c r="AY117" i="29"/>
  <c r="AW117" i="29"/>
  <c r="AT118" i="29"/>
  <c r="AC118" i="29"/>
  <c r="AW118" i="29" s="1"/>
  <c r="AB118" i="29"/>
  <c r="AV118" i="29" s="1"/>
  <c r="AA118" i="29"/>
  <c r="I126" i="29"/>
  <c r="AA127" i="29"/>
  <c r="I72" i="29"/>
  <c r="BA80" i="29"/>
  <c r="AR77" i="29"/>
  <c r="AY77" i="29" s="1"/>
  <c r="AR79" i="29"/>
  <c r="AY79" i="29" s="1"/>
  <c r="AF80" i="29"/>
  <c r="Q193" i="29"/>
  <c r="V81" i="29"/>
  <c r="AP86" i="29"/>
  <c r="AX86" i="29"/>
  <c r="K199" i="29"/>
  <c r="AV84" i="29"/>
  <c r="AY85" i="29"/>
  <c r="N92" i="29"/>
  <c r="AV91" i="29"/>
  <c r="I91" i="29"/>
  <c r="AG91" i="29"/>
  <c r="AZ94" i="29"/>
  <c r="AR94" i="29"/>
  <c r="AY94" i="29" s="1"/>
  <c r="AY96" i="29"/>
  <c r="AT97" i="29"/>
  <c r="AC97" i="29"/>
  <c r="AW97" i="29" s="1"/>
  <c r="AB97" i="29"/>
  <c r="AV97" i="29" s="1"/>
  <c r="AA97" i="29"/>
  <c r="AG97" i="29" s="1"/>
  <c r="AS97" i="29" s="1"/>
  <c r="AG103" i="29"/>
  <c r="Z110" i="29"/>
  <c r="AU105" i="29"/>
  <c r="AU110" i="29" s="1"/>
  <c r="AZ107" i="29"/>
  <c r="AR107" i="29"/>
  <c r="AY107" i="29" s="1"/>
  <c r="AW108" i="29"/>
  <c r="AV112" i="29"/>
  <c r="BA119" i="29"/>
  <c r="AR119" i="29"/>
  <c r="AY119" i="29" s="1"/>
  <c r="AZ139" i="29"/>
  <c r="AR139" i="29"/>
  <c r="AP144" i="29"/>
  <c r="AU80" i="29"/>
  <c r="Z193" i="29"/>
  <c r="Z86" i="29"/>
  <c r="AU81" i="29"/>
  <c r="AQ193" i="29"/>
  <c r="AQ86" i="29"/>
  <c r="BA81" i="29"/>
  <c r="AJ193" i="29"/>
  <c r="AJ86" i="29"/>
  <c r="Q86" i="29"/>
  <c r="AY87" i="29"/>
  <c r="AY92" i="29" s="1"/>
  <c r="V88" i="29"/>
  <c r="AZ93" i="29"/>
  <c r="AP98" i="29"/>
  <c r="AR93" i="29"/>
  <c r="AY93" i="29" s="1"/>
  <c r="AW94" i="29"/>
  <c r="AY95" i="29"/>
  <c r="AT96" i="29"/>
  <c r="AC96" i="29"/>
  <c r="AW96" i="29" s="1"/>
  <c r="AB96" i="29"/>
  <c r="AV96" i="29" s="1"/>
  <c r="AA96" i="29"/>
  <c r="I98" i="29"/>
  <c r="AZ106" i="29"/>
  <c r="AR106" i="29"/>
  <c r="AY106" i="29" s="1"/>
  <c r="AW107" i="29"/>
  <c r="AT109" i="29"/>
  <c r="AC109" i="29"/>
  <c r="AW109" i="29" s="1"/>
  <c r="AB109" i="29"/>
  <c r="AV109" i="29" s="1"/>
  <c r="AA109" i="29"/>
  <c r="AF116" i="29"/>
  <c r="AC114" i="29"/>
  <c r="AW114" i="29" s="1"/>
  <c r="AT114" i="29"/>
  <c r="AB114" i="29"/>
  <c r="AV114" i="29" s="1"/>
  <c r="AA114" i="29"/>
  <c r="V200" i="29"/>
  <c r="AC135" i="29"/>
  <c r="AB135" i="29"/>
  <c r="V136" i="29"/>
  <c r="AA135" i="29"/>
  <c r="AT135" i="29"/>
  <c r="AR153" i="29"/>
  <c r="AY153" i="29" s="1"/>
  <c r="AZ153" i="29"/>
  <c r="AU157" i="29"/>
  <c r="AA157" i="29"/>
  <c r="R193" i="29"/>
  <c r="R191" i="29" s="1"/>
  <c r="N199" i="29"/>
  <c r="AC84" i="29"/>
  <c r="AG84" i="29" s="1"/>
  <c r="AS84" i="29" s="1"/>
  <c r="AC85" i="29"/>
  <c r="AW85" i="29" s="1"/>
  <c r="R86" i="29"/>
  <c r="I87" i="29"/>
  <c r="AZ90" i="29"/>
  <c r="AZ92" i="29" s="1"/>
  <c r="AZ91" i="29"/>
  <c r="AZ99" i="29"/>
  <c r="AZ100" i="29"/>
  <c r="AZ101" i="29"/>
  <c r="AZ102" i="29"/>
  <c r="AZ103" i="29"/>
  <c r="AQ104" i="29"/>
  <c r="I111" i="29"/>
  <c r="AA111" i="29"/>
  <c r="AR111" i="29"/>
  <c r="AY111" i="29" s="1"/>
  <c r="AC112" i="29"/>
  <c r="AR114" i="29"/>
  <c r="AV115" i="29"/>
  <c r="Q116" i="29"/>
  <c r="AF122" i="29"/>
  <c r="AT117" i="29"/>
  <c r="BA117" i="29"/>
  <c r="AB119" i="29"/>
  <c r="AV119" i="29" s="1"/>
  <c r="BA120" i="29"/>
  <c r="AA121" i="29"/>
  <c r="AG121" i="29" s="1"/>
  <c r="Q128" i="29"/>
  <c r="AP128" i="29"/>
  <c r="AR123" i="29"/>
  <c r="AZ123" i="29"/>
  <c r="AR124" i="29"/>
  <c r="AY124" i="29" s="1"/>
  <c r="AZ124" i="29"/>
  <c r="AC125" i="29"/>
  <c r="AW125" i="29" s="1"/>
  <c r="AB125" i="29"/>
  <c r="AG125" i="29" s="1"/>
  <c r="AS125" i="29" s="1"/>
  <c r="AT125" i="29"/>
  <c r="AR126" i="29"/>
  <c r="AY130" i="29"/>
  <c r="AV131" i="29"/>
  <c r="I131" i="29"/>
  <c r="I133" i="29"/>
  <c r="AX138" i="29"/>
  <c r="AX144" i="29" s="1"/>
  <c r="AF144" i="29"/>
  <c r="I161" i="29"/>
  <c r="AY167" i="29"/>
  <c r="AR167" i="29"/>
  <c r="AZ167" i="29"/>
  <c r="I179" i="29"/>
  <c r="Q199" i="29"/>
  <c r="AF199" i="29"/>
  <c r="AU88" i="29"/>
  <c r="AU92" i="29" s="1"/>
  <c r="AX93" i="29"/>
  <c r="AX98" i="29" s="1"/>
  <c r="Q98" i="29"/>
  <c r="AU99" i="29"/>
  <c r="AU104" i="29" s="1"/>
  <c r="AX105" i="29"/>
  <c r="AX110" i="29" s="1"/>
  <c r="Q110" i="29"/>
  <c r="AB111" i="29"/>
  <c r="AT112" i="29"/>
  <c r="AT116" i="29" s="1"/>
  <c r="I118" i="29"/>
  <c r="AC119" i="29"/>
  <c r="AW119" i="29" s="1"/>
  <c r="AV121" i="29"/>
  <c r="I121" i="29"/>
  <c r="AQ122" i="29"/>
  <c r="AC123" i="29"/>
  <c r="AB123" i="29"/>
  <c r="AQ128" i="29"/>
  <c r="BA123" i="29"/>
  <c r="BA128" i="29" s="1"/>
  <c r="AC124" i="29"/>
  <c r="AW124" i="29" s="1"/>
  <c r="AB124" i="29"/>
  <c r="AV124" i="29" s="1"/>
  <c r="AY126" i="29"/>
  <c r="AA130" i="29"/>
  <c r="AT130" i="29"/>
  <c r="AZ130" i="29"/>
  <c r="AZ134" i="29" s="1"/>
  <c r="AP134" i="29"/>
  <c r="AF200" i="29"/>
  <c r="AX135" i="29"/>
  <c r="AU200" i="29"/>
  <c r="AU136" i="29"/>
  <c r="AA139" i="29"/>
  <c r="AT139" i="29"/>
  <c r="AC139" i="29"/>
  <c r="AW139" i="29" s="1"/>
  <c r="AB139" i="29"/>
  <c r="AV139" i="29" s="1"/>
  <c r="AB151" i="29"/>
  <c r="I147" i="29"/>
  <c r="AC154" i="29"/>
  <c r="AB154" i="29"/>
  <c r="AV154" i="29" s="1"/>
  <c r="AA154" i="29"/>
  <c r="AF155" i="29"/>
  <c r="K164" i="29"/>
  <c r="AU165" i="29"/>
  <c r="AU171" i="29" s="1"/>
  <c r="AU166" i="29"/>
  <c r="I178" i="29"/>
  <c r="AV178" i="29"/>
  <c r="AV185" i="29"/>
  <c r="I185" i="29"/>
  <c r="V199" i="29"/>
  <c r="I99" i="29"/>
  <c r="I100" i="29"/>
  <c r="I101" i="29"/>
  <c r="I102" i="29"/>
  <c r="I103" i="29"/>
  <c r="AY105" i="29"/>
  <c r="I112" i="29"/>
  <c r="AY114" i="29"/>
  <c r="Z128" i="29"/>
  <c r="I124" i="29"/>
  <c r="AC126" i="29"/>
  <c r="AW126" i="29" s="1"/>
  <c r="AB126" i="29"/>
  <c r="AV126" i="29" s="1"/>
  <c r="AT126" i="29"/>
  <c r="AZ127" i="29"/>
  <c r="AR127" i="29"/>
  <c r="AX129" i="29"/>
  <c r="AX134" i="29" s="1"/>
  <c r="AF134" i="29"/>
  <c r="AY131" i="29"/>
  <c r="AY133" i="29"/>
  <c r="AZ200" i="29"/>
  <c r="BA144" i="29"/>
  <c r="AW141" i="29"/>
  <c r="I141" i="29"/>
  <c r="N144" i="29"/>
  <c r="AC151" i="29"/>
  <c r="AU155" i="29"/>
  <c r="AC153" i="29"/>
  <c r="AW153" i="29" s="1"/>
  <c r="AB153" i="29"/>
  <c r="AV153" i="29" s="1"/>
  <c r="AA153" i="29"/>
  <c r="AT153" i="29"/>
  <c r="I163" i="29"/>
  <c r="AV163" i="29"/>
  <c r="AB165" i="29"/>
  <c r="AA165" i="29"/>
  <c r="AC165" i="29"/>
  <c r="AT165" i="29"/>
  <c r="I177" i="29"/>
  <c r="AV177" i="29"/>
  <c r="AV117" i="29"/>
  <c r="I117" i="29"/>
  <c r="AA122" i="29"/>
  <c r="AX122" i="29"/>
  <c r="AV120" i="29"/>
  <c r="I120" i="29"/>
  <c r="AS120" i="29" s="1"/>
  <c r="K122" i="29"/>
  <c r="K128" i="29"/>
  <c r="AU128" i="29"/>
  <c r="AY127" i="29"/>
  <c r="AV132" i="29"/>
  <c r="I132" i="29"/>
  <c r="BA200" i="29"/>
  <c r="BA136" i="29"/>
  <c r="Z144" i="29"/>
  <c r="AB138" i="29"/>
  <c r="AA138" i="29"/>
  <c r="AT138" i="29"/>
  <c r="AS146" i="29"/>
  <c r="BA150" i="29"/>
  <c r="AR150" i="29"/>
  <c r="AY150" i="29" s="1"/>
  <c r="AR173" i="29"/>
  <c r="AR174" i="29" s="1"/>
  <c r="AZ173" i="29"/>
  <c r="AP116" i="29"/>
  <c r="AW111" i="29"/>
  <c r="AP112" i="29"/>
  <c r="AF128" i="29"/>
  <c r="AX123" i="29"/>
  <c r="AX128" i="29" s="1"/>
  <c r="AV123" i="29"/>
  <c r="AR125" i="29"/>
  <c r="AY125" i="29" s="1"/>
  <c r="AA126" i="29"/>
  <c r="AC127" i="29"/>
  <c r="AW127" i="29" s="1"/>
  <c r="AB127" i="29"/>
  <c r="AV127" i="29" s="1"/>
  <c r="AT127" i="29"/>
  <c r="AR134" i="29"/>
  <c r="K134" i="29"/>
  <c r="Q136" i="29"/>
  <c r="Q200" i="29"/>
  <c r="K144" i="29"/>
  <c r="AV137" i="29"/>
  <c r="I137" i="29"/>
  <c r="AA144" i="29"/>
  <c r="AY139" i="29"/>
  <c r="AA141" i="29"/>
  <c r="AB141" i="29"/>
  <c r="AV141" i="29" s="1"/>
  <c r="AT141" i="29"/>
  <c r="AB143" i="29"/>
  <c r="AV143" i="29" s="1"/>
  <c r="AA143" i="29"/>
  <c r="AT143" i="29"/>
  <c r="AC143" i="29"/>
  <c r="AQ144" i="29"/>
  <c r="AZ145" i="29"/>
  <c r="AZ151" i="29" s="1"/>
  <c r="AP151" i="29"/>
  <c r="AR145" i="29"/>
  <c r="AY145" i="29" s="1"/>
  <c r="AY151" i="29" s="1"/>
  <c r="N160" i="29"/>
  <c r="AY156" i="29"/>
  <c r="BA129" i="29"/>
  <c r="BA134" i="29" s="1"/>
  <c r="AC131" i="29"/>
  <c r="AG131" i="29" s="1"/>
  <c r="AC132" i="29"/>
  <c r="AW132" i="29" s="1"/>
  <c r="AC133" i="29"/>
  <c r="AW133" i="29" s="1"/>
  <c r="AJ134" i="29"/>
  <c r="I135" i="29"/>
  <c r="AC137" i="29"/>
  <c r="AG137" i="29" s="1"/>
  <c r="AV138" i="29"/>
  <c r="AC140" i="29"/>
  <c r="AW140" i="29" s="1"/>
  <c r="AW142" i="29"/>
  <c r="I145" i="29"/>
  <c r="Z151" i="29"/>
  <c r="AU145" i="29"/>
  <c r="AU151" i="29" s="1"/>
  <c r="BA145" i="29"/>
  <c r="AQ151" i="29"/>
  <c r="AV150" i="29"/>
  <c r="I150" i="29"/>
  <c r="AG150" i="29"/>
  <c r="K151" i="29"/>
  <c r="AP155" i="29"/>
  <c r="AR152" i="29"/>
  <c r="AR155" i="29" s="1"/>
  <c r="BA155" i="29"/>
  <c r="Z155" i="29"/>
  <c r="AT158" i="29"/>
  <c r="AC158" i="29"/>
  <c r="AW158" i="29" s="1"/>
  <c r="AB158" i="29"/>
  <c r="AV158" i="29" s="1"/>
  <c r="AA158" i="29"/>
  <c r="AQ160" i="29"/>
  <c r="AR163" i="29"/>
  <c r="AY163" i="29" s="1"/>
  <c r="AZ163" i="29"/>
  <c r="Z174" i="29"/>
  <c r="AU172" i="29"/>
  <c r="AU174" i="29" s="1"/>
  <c r="I176" i="29"/>
  <c r="AV176" i="29"/>
  <c r="AC183" i="29"/>
  <c r="AW183" i="29" s="1"/>
  <c r="I129" i="29"/>
  <c r="I130" i="29"/>
  <c r="AQ134" i="29"/>
  <c r="AW135" i="29"/>
  <c r="Q144" i="29"/>
  <c r="AR138" i="29"/>
  <c r="AY138" i="29" s="1"/>
  <c r="AW143" i="29"/>
  <c r="AA145" i="29"/>
  <c r="AV149" i="29"/>
  <c r="I149" i="29"/>
  <c r="AG149" i="29"/>
  <c r="AR149" i="29"/>
  <c r="AY149" i="29" s="1"/>
  <c r="Q155" i="29"/>
  <c r="AW154" i="29"/>
  <c r="AZ154" i="29"/>
  <c r="I162" i="29"/>
  <c r="AG162" i="29"/>
  <c r="AP164" i="29"/>
  <c r="AF195" i="29"/>
  <c r="AX166" i="29"/>
  <c r="AX195" i="29" s="1"/>
  <c r="AB168" i="29"/>
  <c r="AA168" i="29"/>
  <c r="AC168" i="29"/>
  <c r="AW168" i="29" s="1"/>
  <c r="AR170" i="29"/>
  <c r="AY170" i="29" s="1"/>
  <c r="AZ170" i="29"/>
  <c r="AA172" i="29"/>
  <c r="AW176" i="29"/>
  <c r="AU130" i="29"/>
  <c r="AU134" i="29" s="1"/>
  <c r="V144" i="29"/>
  <c r="AU137" i="29"/>
  <c r="AU144" i="29" s="1"/>
  <c r="AG146" i="29"/>
  <c r="AV148" i="29"/>
  <c r="I148" i="29"/>
  <c r="AG148" i="29"/>
  <c r="AC152" i="29"/>
  <c r="AC155" i="29" s="1"/>
  <c r="AB152" i="29"/>
  <c r="V155" i="29"/>
  <c r="AA152" i="29"/>
  <c r="AT152" i="29"/>
  <c r="I156" i="29"/>
  <c r="K160" i="29"/>
  <c r="AP160" i="29"/>
  <c r="I159" i="29"/>
  <c r="BA165" i="29"/>
  <c r="BA171" i="29" s="1"/>
  <c r="AQ171" i="29"/>
  <c r="K180" i="29"/>
  <c r="I175" i="29"/>
  <c r="I195" i="29" s="1"/>
  <c r="AY135" i="29"/>
  <c r="L136" i="29"/>
  <c r="AA140" i="29"/>
  <c r="AB142" i="29"/>
  <c r="AV142" i="29" s="1"/>
  <c r="AA142" i="29"/>
  <c r="N151" i="29"/>
  <c r="AV147" i="29"/>
  <c r="I155" i="29"/>
  <c r="L160" i="29"/>
  <c r="AF160" i="29"/>
  <c r="AX156" i="29"/>
  <c r="AX160" i="29" s="1"/>
  <c r="AZ158" i="29"/>
  <c r="AR158" i="29"/>
  <c r="AY158" i="29" s="1"/>
  <c r="Z164" i="29"/>
  <c r="AU161" i="29"/>
  <c r="AU164" i="29" s="1"/>
  <c r="AX181" i="29"/>
  <c r="AX187" i="29" s="1"/>
  <c r="AF187" i="29"/>
  <c r="Q160" i="29"/>
  <c r="V156" i="29"/>
  <c r="AC157" i="29"/>
  <c r="AW157" i="29" s="1"/>
  <c r="AF164" i="29"/>
  <c r="AX161" i="29"/>
  <c r="AX164" i="29" s="1"/>
  <c r="AR162" i="29"/>
  <c r="AY162" i="29" s="1"/>
  <c r="N195" i="29"/>
  <c r="AP195" i="29"/>
  <c r="AR166" i="29"/>
  <c r="AZ166" i="29"/>
  <c r="AB167" i="29"/>
  <c r="AV167" i="29" s="1"/>
  <c r="AA167" i="29"/>
  <c r="AG167" i="29" s="1"/>
  <c r="AS167" i="29" s="1"/>
  <c r="AT167" i="29"/>
  <c r="AV168" i="29"/>
  <c r="AR169" i="29"/>
  <c r="AY169" i="29" s="1"/>
  <c r="AZ169" i="29"/>
  <c r="AB170" i="29"/>
  <c r="AA170" i="29"/>
  <c r="AG170" i="29" s="1"/>
  <c r="AT170" i="29"/>
  <c r="AF174" i="29"/>
  <c r="AX172" i="29"/>
  <c r="AX174" i="29" s="1"/>
  <c r="I173" i="29"/>
  <c r="I174" i="29" s="1"/>
  <c r="AG173" i="29"/>
  <c r="BA175" i="29"/>
  <c r="BA180" i="29" s="1"/>
  <c r="AQ180" i="29"/>
  <c r="BA185" i="29"/>
  <c r="AR185" i="29"/>
  <c r="AY185" i="29" s="1"/>
  <c r="Z160" i="29"/>
  <c r="AU156" i="29"/>
  <c r="BA160" i="29"/>
  <c r="N164" i="29"/>
  <c r="AR161" i="29"/>
  <c r="AR164" i="29" s="1"/>
  <c r="AX165" i="29"/>
  <c r="AF171" i="29"/>
  <c r="AQ195" i="29"/>
  <c r="AS170" i="29"/>
  <c r="AG186" i="29"/>
  <c r="AG159" i="29"/>
  <c r="V161" i="29"/>
  <c r="Q164" i="29"/>
  <c r="AZ164" i="29"/>
  <c r="AG163" i="29"/>
  <c r="N171" i="29"/>
  <c r="AR165" i="29"/>
  <c r="AY165" i="29" s="1"/>
  <c r="AP171" i="29"/>
  <c r="AZ165" i="29"/>
  <c r="AR168" i="29"/>
  <c r="AY168" i="29" s="1"/>
  <c r="AZ168" i="29"/>
  <c r="AB169" i="29"/>
  <c r="AV169" i="29" s="1"/>
  <c r="AA169" i="29"/>
  <c r="AT169" i="29"/>
  <c r="AV170" i="29"/>
  <c r="Z180" i="29"/>
  <c r="AU175" i="29"/>
  <c r="AU180" i="29" s="1"/>
  <c r="AA179" i="29"/>
  <c r="AB182" i="29"/>
  <c r="AV182" i="29" s="1"/>
  <c r="AA182" i="29"/>
  <c r="AG182" i="29" s="1"/>
  <c r="AS182" i="29" s="1"/>
  <c r="AT182" i="29"/>
  <c r="AV186" i="29"/>
  <c r="I186" i="29"/>
  <c r="AS186" i="29" s="1"/>
  <c r="X191" i="29"/>
  <c r="AB172" i="29"/>
  <c r="AB174" i="29" s="1"/>
  <c r="AU181" i="29"/>
  <c r="AU187" i="29" s="1"/>
  <c r="Z187" i="29"/>
  <c r="BA184" i="29"/>
  <c r="AR184" i="29"/>
  <c r="AY172" i="29"/>
  <c r="AP174" i="29"/>
  <c r="V174" i="29"/>
  <c r="AQ174" i="29"/>
  <c r="AR179" i="29"/>
  <c r="AY179" i="29" s="1"/>
  <c r="AZ179" i="29"/>
  <c r="AZ180" i="29" s="1"/>
  <c r="AP187" i="29"/>
  <c r="AR181" i="29"/>
  <c r="AG184" i="29"/>
  <c r="AC185" i="29"/>
  <c r="AW185" i="29" s="1"/>
  <c r="AT185" i="29"/>
  <c r="AA185" i="29"/>
  <c r="AG185" i="29" s="1"/>
  <c r="BA186" i="29"/>
  <c r="AR186" i="29"/>
  <c r="AY186" i="29" s="1"/>
  <c r="U191" i="29"/>
  <c r="K195" i="29"/>
  <c r="BA174" i="29"/>
  <c r="AZ172" i="29"/>
  <c r="Q174" i="29"/>
  <c r="AY175" i="29"/>
  <c r="L187" i="29"/>
  <c r="AW182" i="29"/>
  <c r="AV184" i="29"/>
  <c r="I184" i="29"/>
  <c r="K187" i="29"/>
  <c r="AT186" i="29"/>
  <c r="Z190" i="29"/>
  <c r="L195" i="29"/>
  <c r="N174" i="29"/>
  <c r="AR175" i="29"/>
  <c r="AA176" i="29"/>
  <c r="AG176" i="29" s="1"/>
  <c r="AR176" i="29"/>
  <c r="AY176" i="29" s="1"/>
  <c r="AA177" i="29"/>
  <c r="AG177" i="29" s="1"/>
  <c r="AR177" i="29"/>
  <c r="AY177" i="29" s="1"/>
  <c r="AA178" i="29"/>
  <c r="AG178" i="29" s="1"/>
  <c r="AR178" i="29"/>
  <c r="AY178" i="29" s="1"/>
  <c r="AP180" i="29"/>
  <c r="AD191" i="29"/>
  <c r="AF190" i="29" s="1"/>
  <c r="AX180" i="29"/>
  <c r="AB179" i="29"/>
  <c r="AV179" i="29" s="1"/>
  <c r="AT179" i="29"/>
  <c r="AB181" i="29"/>
  <c r="AA181" i="29"/>
  <c r="AY184" i="29"/>
  <c r="Q187" i="29"/>
  <c r="AW181" i="29"/>
  <c r="AW187" i="29" s="1"/>
  <c r="V175" i="29"/>
  <c r="AR102" i="30" l="1"/>
  <c r="AY19" i="31"/>
  <c r="AJ188" i="29"/>
  <c r="AS57" i="29"/>
  <c r="V39" i="32"/>
  <c r="AB36" i="32"/>
  <c r="AS162" i="29"/>
  <c r="AS149" i="29"/>
  <c r="AT183" i="29"/>
  <c r="AT187" i="29" s="1"/>
  <c r="AT144" i="29"/>
  <c r="V171" i="29"/>
  <c r="AY134" i="29"/>
  <c r="AZ155" i="29"/>
  <c r="AC98" i="29"/>
  <c r="AA82" i="29"/>
  <c r="AC87" i="29"/>
  <c r="AW87" i="29" s="1"/>
  <c r="AR86" i="29"/>
  <c r="AG73" i="29"/>
  <c r="AS73" i="29" s="1"/>
  <c r="AG45" i="29"/>
  <c r="AG21" i="29"/>
  <c r="AZ65" i="30"/>
  <c r="AZ81" i="30"/>
  <c r="AQ100" i="30"/>
  <c r="AR23" i="30"/>
  <c r="AC110" i="30"/>
  <c r="AG60" i="30"/>
  <c r="AS60" i="30" s="1"/>
  <c r="AB23" i="30"/>
  <c r="AG40" i="30"/>
  <c r="AG33" i="30"/>
  <c r="AG47" i="31"/>
  <c r="AS47" i="31" s="1"/>
  <c r="AS70" i="31"/>
  <c r="AS36" i="31"/>
  <c r="Z74" i="31"/>
  <c r="BA85" i="31"/>
  <c r="AG36" i="31"/>
  <c r="BA84" i="31"/>
  <c r="AR19" i="31"/>
  <c r="AC298" i="32"/>
  <c r="AG287" i="32"/>
  <c r="AS287" i="32" s="1"/>
  <c r="AS266" i="32"/>
  <c r="AR263" i="32"/>
  <c r="AU179" i="32"/>
  <c r="AT196" i="32"/>
  <c r="AG249" i="32"/>
  <c r="AS249" i="32" s="1"/>
  <c r="AG188" i="32"/>
  <c r="AS188" i="32" s="1"/>
  <c r="AG130" i="32"/>
  <c r="AS130" i="32" s="1"/>
  <c r="AG162" i="32"/>
  <c r="AG128" i="32"/>
  <c r="AS128" i="32" s="1"/>
  <c r="AR311" i="32"/>
  <c r="AT102" i="32"/>
  <c r="AZ131" i="32"/>
  <c r="AA58" i="32"/>
  <c r="AG42" i="32"/>
  <c r="AS42" i="32" s="1"/>
  <c r="AY206" i="32"/>
  <c r="AT225" i="32"/>
  <c r="AB225" i="32"/>
  <c r="AV225" i="32" s="1"/>
  <c r="AY40" i="32"/>
  <c r="AY43" i="32" s="1"/>
  <c r="AT66" i="32"/>
  <c r="AT72" i="32" s="1"/>
  <c r="AC66" i="32"/>
  <c r="AW66" i="32" s="1"/>
  <c r="AA66" i="32"/>
  <c r="AR75" i="30"/>
  <c r="AZ27" i="32"/>
  <c r="AC55" i="30"/>
  <c r="AW55" i="30" s="1"/>
  <c r="AA55" i="30"/>
  <c r="AG55" i="30" s="1"/>
  <c r="AT55" i="30"/>
  <c r="AG100" i="29"/>
  <c r="AS100" i="29" s="1"/>
  <c r="AY71" i="30"/>
  <c r="Z103" i="30"/>
  <c r="AS33" i="30"/>
  <c r="AT78" i="32"/>
  <c r="AT73" i="32"/>
  <c r="AC73" i="32"/>
  <c r="AW73" i="32" s="1"/>
  <c r="AW78" i="32" s="1"/>
  <c r="V22" i="32"/>
  <c r="AB18" i="32"/>
  <c r="AV172" i="29"/>
  <c r="AV174" i="29" s="1"/>
  <c r="AG147" i="29"/>
  <c r="AA183" i="29"/>
  <c r="AG183" i="29" s="1"/>
  <c r="AS183" i="29" s="1"/>
  <c r="AG153" i="29"/>
  <c r="AS153" i="29" s="1"/>
  <c r="AS178" i="29"/>
  <c r="AG113" i="29"/>
  <c r="AS113" i="29" s="1"/>
  <c r="AS91" i="29"/>
  <c r="AG119" i="29"/>
  <c r="AT87" i="29"/>
  <c r="AT63" i="29"/>
  <c r="AZ86" i="29"/>
  <c r="AC59" i="29"/>
  <c r="AZ198" i="29"/>
  <c r="N188" i="29"/>
  <c r="AA46" i="29"/>
  <c r="AA48" i="29" s="1"/>
  <c r="AS88" i="30"/>
  <c r="AW92" i="30"/>
  <c r="AX105" i="30"/>
  <c r="AS53" i="30"/>
  <c r="AS50" i="30"/>
  <c r="N103" i="30"/>
  <c r="AY75" i="30"/>
  <c r="AR64" i="31"/>
  <c r="AR52" i="31"/>
  <c r="AR43" i="31"/>
  <c r="AS62" i="31"/>
  <c r="L74" i="31"/>
  <c r="AG62" i="31"/>
  <c r="AA23" i="31"/>
  <c r="AQ75" i="31"/>
  <c r="AG13" i="31"/>
  <c r="AS276" i="32"/>
  <c r="N303" i="32"/>
  <c r="AY253" i="32"/>
  <c r="AV250" i="32"/>
  <c r="AR165" i="32"/>
  <c r="AZ215" i="32"/>
  <c r="AY228" i="32"/>
  <c r="AW131" i="32"/>
  <c r="AG205" i="32"/>
  <c r="AG157" i="32"/>
  <c r="AS157" i="32" s="1"/>
  <c r="AG155" i="32"/>
  <c r="AS155" i="32" s="1"/>
  <c r="AR108" i="32"/>
  <c r="AB73" i="32"/>
  <c r="AV73" i="32" s="1"/>
  <c r="AV78" i="32" s="1"/>
  <c r="AB65" i="32"/>
  <c r="AF304" i="32"/>
  <c r="AZ85" i="32"/>
  <c r="AT58" i="32"/>
  <c r="AA102" i="32"/>
  <c r="AT85" i="32"/>
  <c r="AR35" i="32"/>
  <c r="AZ183" i="29"/>
  <c r="AZ187" i="29" s="1"/>
  <c r="AR183" i="29"/>
  <c r="AY183" i="29" s="1"/>
  <c r="AC130" i="29"/>
  <c r="AW130" i="29" s="1"/>
  <c r="AB130" i="29"/>
  <c r="AV130" i="29" s="1"/>
  <c r="AT99" i="29"/>
  <c r="AT104" i="29" s="1"/>
  <c r="AC99" i="29"/>
  <c r="AB99" i="29"/>
  <c r="AA99" i="29"/>
  <c r="V104" i="29"/>
  <c r="AG182" i="32"/>
  <c r="AS182" i="32" s="1"/>
  <c r="AG66" i="32"/>
  <c r="AS66" i="32" s="1"/>
  <c r="AU263" i="32"/>
  <c r="AW87" i="31"/>
  <c r="AW25" i="31"/>
  <c r="I187" i="29"/>
  <c r="V187" i="29"/>
  <c r="AT166" i="29"/>
  <c r="AU160" i="29"/>
  <c r="AZ160" i="29"/>
  <c r="AV151" i="29"/>
  <c r="AS150" i="29"/>
  <c r="AY173" i="29"/>
  <c r="AW131" i="29"/>
  <c r="AB122" i="29"/>
  <c r="AR80" i="29"/>
  <c r="AB71" i="29"/>
  <c r="AA87" i="29"/>
  <c r="AB61" i="29"/>
  <c r="AV61" i="29" s="1"/>
  <c r="AG57" i="29"/>
  <c r="V48" i="29"/>
  <c r="AQ188" i="29"/>
  <c r="AY37" i="29"/>
  <c r="AY40" i="29" s="1"/>
  <c r="AP102" i="30"/>
  <c r="Q100" i="30"/>
  <c r="AG70" i="30"/>
  <c r="AR54" i="30"/>
  <c r="AR57" i="31"/>
  <c r="AV66" i="31"/>
  <c r="AV67" i="31" s="1"/>
  <c r="AT64" i="31"/>
  <c r="AJ74" i="31"/>
  <c r="AP75" i="31" s="1"/>
  <c r="AG276" i="32"/>
  <c r="AS227" i="32"/>
  <c r="AG266" i="32"/>
  <c r="AS239" i="32"/>
  <c r="AV228" i="32"/>
  <c r="AS178" i="32"/>
  <c r="AS252" i="32"/>
  <c r="AW217" i="32"/>
  <c r="AZ185" i="32"/>
  <c r="AY179" i="32"/>
  <c r="AG248" i="32"/>
  <c r="AS248" i="32" s="1"/>
  <c r="AB228" i="32"/>
  <c r="AY197" i="32"/>
  <c r="AU185" i="32"/>
  <c r="AZ165" i="32"/>
  <c r="AZ145" i="32"/>
  <c r="AZ235" i="32"/>
  <c r="AG136" i="32"/>
  <c r="AS136" i="32" s="1"/>
  <c r="AG105" i="32"/>
  <c r="AS105" i="32" s="1"/>
  <c r="N304" i="32"/>
  <c r="AA73" i="32"/>
  <c r="AA78" i="32" s="1"/>
  <c r="AB102" i="32"/>
  <c r="AG102" i="32" s="1"/>
  <c r="AG310" i="32" s="1"/>
  <c r="AS82" i="32"/>
  <c r="AG82" i="32"/>
  <c r="AG71" i="32"/>
  <c r="AC18" i="32"/>
  <c r="AW18" i="32" s="1"/>
  <c r="AW22" i="32" s="1"/>
  <c r="AG61" i="32"/>
  <c r="AS61" i="32" s="1"/>
  <c r="AJ301" i="32"/>
  <c r="AP302" i="32" s="1"/>
  <c r="AC223" i="32"/>
  <c r="AT223" i="32"/>
  <c r="AT224" i="32" s="1"/>
  <c r="AA223" i="32"/>
  <c r="AB223" i="32"/>
  <c r="AZ179" i="32"/>
  <c r="AZ313" i="32"/>
  <c r="AC39" i="31"/>
  <c r="AB39" i="31"/>
  <c r="AA39" i="31"/>
  <c r="AY44" i="32"/>
  <c r="AY45" i="32" s="1"/>
  <c r="AY23" i="32"/>
  <c r="AY27" i="32" s="1"/>
  <c r="N101" i="30"/>
  <c r="AG90" i="29"/>
  <c r="AS90" i="29" s="1"/>
  <c r="AG179" i="29"/>
  <c r="BA187" i="29"/>
  <c r="AT199" i="29"/>
  <c r="AG87" i="30"/>
  <c r="AS87" i="30" s="1"/>
  <c r="BA113" i="30"/>
  <c r="BA17" i="30"/>
  <c r="AY174" i="29"/>
  <c r="AA166" i="29"/>
  <c r="AB144" i="29"/>
  <c r="AS102" i="29"/>
  <c r="AS121" i="29"/>
  <c r="AC82" i="29"/>
  <c r="AW82" i="29" s="1"/>
  <c r="AC61" i="29"/>
  <c r="AW61" i="29" s="1"/>
  <c r="AY59" i="29"/>
  <c r="L188" i="29"/>
  <c r="AY44" i="29"/>
  <c r="AB46" i="29"/>
  <c r="AR99" i="30"/>
  <c r="AG69" i="30"/>
  <c r="AT61" i="30"/>
  <c r="AY61" i="30"/>
  <c r="AR37" i="30"/>
  <c r="AC61" i="30"/>
  <c r="AG46" i="30"/>
  <c r="AS40" i="30"/>
  <c r="AS26" i="30"/>
  <c r="AG34" i="30"/>
  <c r="N74" i="31"/>
  <c r="Q74" i="31"/>
  <c r="AU25" i="31"/>
  <c r="AY298" i="32"/>
  <c r="AP303" i="32"/>
  <c r="AG259" i="32"/>
  <c r="AS205" i="32"/>
  <c r="AG167" i="32"/>
  <c r="AS167" i="32" s="1"/>
  <c r="AR138" i="32"/>
  <c r="AZ158" i="32"/>
  <c r="BA311" i="32"/>
  <c r="V78" i="32"/>
  <c r="AC102" i="32"/>
  <c r="AT36" i="32"/>
  <c r="AC36" i="32"/>
  <c r="AC39" i="32" s="1"/>
  <c r="AW87" i="32"/>
  <c r="AW91" i="32" s="1"/>
  <c r="AG51" i="32"/>
  <c r="AG87" i="32"/>
  <c r="AY78" i="32"/>
  <c r="AT185" i="32"/>
  <c r="AY32" i="32"/>
  <c r="AY35" i="32" s="1"/>
  <c r="AW173" i="29"/>
  <c r="AW174" i="29" s="1"/>
  <c r="AG102" i="29"/>
  <c r="AB166" i="29"/>
  <c r="AV166" i="29" s="1"/>
  <c r="AY161" i="29"/>
  <c r="AY164" i="29" s="1"/>
  <c r="AG142" i="29"/>
  <c r="AS142" i="29" s="1"/>
  <c r="AY144" i="29"/>
  <c r="AA128" i="29"/>
  <c r="AR144" i="29"/>
  <c r="AS131" i="29"/>
  <c r="AZ80" i="29"/>
  <c r="AT61" i="29"/>
  <c r="N191" i="29"/>
  <c r="AA61" i="29"/>
  <c r="AS50" i="29"/>
  <c r="AY36" i="29"/>
  <c r="AG39" i="29"/>
  <c r="AS39" i="29" s="1"/>
  <c r="AV81" i="30"/>
  <c r="AR44" i="30"/>
  <c r="AG42" i="30"/>
  <c r="AS42" i="30" s="1"/>
  <c r="AG22" i="30"/>
  <c r="AS22" i="30" s="1"/>
  <c r="AF100" i="30"/>
  <c r="AG47" i="30"/>
  <c r="AS47" i="30" s="1"/>
  <c r="AV19" i="30"/>
  <c r="AW65" i="31"/>
  <c r="AW67" i="31" s="1"/>
  <c r="AT85" i="31"/>
  <c r="AC25" i="31"/>
  <c r="AG35" i="31"/>
  <c r="AS35" i="31" s="1"/>
  <c r="AG269" i="32"/>
  <c r="AW225" i="32"/>
  <c r="AW228" i="32" s="1"/>
  <c r="AB196" i="32"/>
  <c r="AG239" i="32"/>
  <c r="AG242" i="32" s="1"/>
  <c r="AT228" i="32"/>
  <c r="AA196" i="32"/>
  <c r="AR158" i="32"/>
  <c r="AZ138" i="32"/>
  <c r="AR310" i="32"/>
  <c r="AG153" i="32"/>
  <c r="AS153" i="32" s="1"/>
  <c r="AG134" i="32"/>
  <c r="AS134" i="32" s="1"/>
  <c r="I108" i="32"/>
  <c r="AG84" i="32"/>
  <c r="AS84" i="32" s="1"/>
  <c r="AR72" i="32"/>
  <c r="AA36" i="32"/>
  <c r="AG36" i="32" s="1"/>
  <c r="AG39" i="32" s="1"/>
  <c r="AG106" i="32"/>
  <c r="AS106" i="32" s="1"/>
  <c r="AS51" i="32"/>
  <c r="AT18" i="32"/>
  <c r="AS87" i="32"/>
  <c r="AG68" i="32"/>
  <c r="AV43" i="32"/>
  <c r="AV79" i="32"/>
  <c r="AV85" i="32" s="1"/>
  <c r="AY39" i="32"/>
  <c r="AG41" i="32"/>
  <c r="AS41" i="32" s="1"/>
  <c r="AB210" i="32"/>
  <c r="AV210" i="32" s="1"/>
  <c r="AC210" i="32"/>
  <c r="AW210" i="32" s="1"/>
  <c r="AY246" i="32"/>
  <c r="Z76" i="31"/>
  <c r="AT127" i="32"/>
  <c r="AT131" i="32" s="1"/>
  <c r="AB127" i="32"/>
  <c r="AV127" i="32" s="1"/>
  <c r="AV131" i="32" s="1"/>
  <c r="AC127" i="32"/>
  <c r="AW127" i="32" s="1"/>
  <c r="AG115" i="29"/>
  <c r="AS115" i="29" s="1"/>
  <c r="AT151" i="29"/>
  <c r="AG299" i="32"/>
  <c r="AA300" i="32"/>
  <c r="AA298" i="32"/>
  <c r="AG292" i="32"/>
  <c r="AZ298" i="32"/>
  <c r="AS296" i="32"/>
  <c r="AG295" i="32"/>
  <c r="AS295" i="32" s="1"/>
  <c r="AG286" i="32"/>
  <c r="AY291" i="32"/>
  <c r="AS274" i="32"/>
  <c r="AS293" i="32"/>
  <c r="AV268" i="32"/>
  <c r="AC264" i="32"/>
  <c r="AB264" i="32"/>
  <c r="V270" i="32"/>
  <c r="AA264" i="32"/>
  <c r="AT264" i="32"/>
  <c r="AT270" i="32" s="1"/>
  <c r="AV260" i="32"/>
  <c r="AV263" i="32" s="1"/>
  <c r="AR291" i="32"/>
  <c r="AV275" i="32"/>
  <c r="I263" i="32"/>
  <c r="AS257" i="32"/>
  <c r="AA228" i="32"/>
  <c r="AG225" i="32"/>
  <c r="AS225" i="32" s="1"/>
  <c r="AG267" i="32"/>
  <c r="AZ238" i="32"/>
  <c r="AZ242" i="32" s="1"/>
  <c r="AR238" i="32"/>
  <c r="AY238" i="32" s="1"/>
  <c r="AY235" i="32"/>
  <c r="AA246" i="32"/>
  <c r="AG243" i="32"/>
  <c r="AS243" i="32" s="1"/>
  <c r="AS250" i="32"/>
  <c r="AG240" i="32"/>
  <c r="AS240" i="32" s="1"/>
  <c r="AW240" i="32"/>
  <c r="I235" i="32"/>
  <c r="AZ311" i="32"/>
  <c r="AG290" i="32"/>
  <c r="I291" i="32"/>
  <c r="I228" i="32"/>
  <c r="BA308" i="32"/>
  <c r="AC246" i="32"/>
  <c r="AW243" i="32"/>
  <c r="AW246" i="32" s="1"/>
  <c r="AC222" i="32"/>
  <c r="AW216" i="32"/>
  <c r="AW222" i="32" s="1"/>
  <c r="I215" i="32"/>
  <c r="AC185" i="32"/>
  <c r="AW180" i="32"/>
  <c r="AW185" i="32" s="1"/>
  <c r="AG180" i="32"/>
  <c r="AG219" i="32"/>
  <c r="AV219" i="32"/>
  <c r="AV212" i="32"/>
  <c r="AG212" i="32"/>
  <c r="AS212" i="32" s="1"/>
  <c r="AV184" i="32"/>
  <c r="AG184" i="32"/>
  <c r="AS267" i="32"/>
  <c r="AT242" i="32"/>
  <c r="V305" i="32"/>
  <c r="AS290" i="32"/>
  <c r="AG279" i="32"/>
  <c r="AS279" i="32" s="1"/>
  <c r="AS265" i="32"/>
  <c r="AG280" i="32"/>
  <c r="AS280" i="32" s="1"/>
  <c r="I284" i="32"/>
  <c r="I189" i="32"/>
  <c r="AZ312" i="32"/>
  <c r="N301" i="32"/>
  <c r="AG288" i="32"/>
  <c r="AS288" i="32" s="1"/>
  <c r="AC278" i="32"/>
  <c r="AA278" i="32"/>
  <c r="AB278" i="32"/>
  <c r="AT278" i="32"/>
  <c r="AT284" i="32" s="1"/>
  <c r="V284" i="32"/>
  <c r="AU300" i="32"/>
  <c r="AU313" i="32"/>
  <c r="AV265" i="32"/>
  <c r="I277" i="32"/>
  <c r="AY264" i="32"/>
  <c r="AY270" i="32" s="1"/>
  <c r="AR284" i="32"/>
  <c r="AX235" i="32"/>
  <c r="AX308" i="32"/>
  <c r="AB263" i="32"/>
  <c r="AG216" i="32"/>
  <c r="I196" i="32"/>
  <c r="K301" i="32"/>
  <c r="AB298" i="32"/>
  <c r="AV292" i="32"/>
  <c r="AV298" i="32" s="1"/>
  <c r="AR298" i="32"/>
  <c r="AG294" i="32"/>
  <c r="AS294" i="32" s="1"/>
  <c r="AY277" i="32"/>
  <c r="AY284" i="32"/>
  <c r="AS251" i="32"/>
  <c r="I246" i="32"/>
  <c r="AA263" i="32"/>
  <c r="AC254" i="32"/>
  <c r="V256" i="32"/>
  <c r="AT254" i="32"/>
  <c r="AT256" i="32" s="1"/>
  <c r="AB254" i="32"/>
  <c r="AA254" i="32"/>
  <c r="AC263" i="32"/>
  <c r="AW259" i="32"/>
  <c r="AY158" i="32"/>
  <c r="AT298" i="32"/>
  <c r="AS286" i="32"/>
  <c r="AS259" i="32"/>
  <c r="I270" i="32"/>
  <c r="AW242" i="32"/>
  <c r="AV231" i="32"/>
  <c r="AG231" i="32"/>
  <c r="AV214" i="32"/>
  <c r="AG214" i="32"/>
  <c r="AS214" i="32" s="1"/>
  <c r="AW198" i="32"/>
  <c r="AG198" i="32"/>
  <c r="AR312" i="32"/>
  <c r="AD301" i="32"/>
  <c r="AF302" i="32" s="1"/>
  <c r="BA312" i="32"/>
  <c r="AY85" i="32"/>
  <c r="AS261" i="32"/>
  <c r="AW263" i="32"/>
  <c r="AG245" i="32"/>
  <c r="AS245" i="32" s="1"/>
  <c r="I224" i="32"/>
  <c r="AV229" i="32"/>
  <c r="AV235" i="32" s="1"/>
  <c r="AB235" i="32"/>
  <c r="AG176" i="32"/>
  <c r="AS176" i="32" s="1"/>
  <c r="AC151" i="32"/>
  <c r="AW148" i="32"/>
  <c r="AW151" i="32" s="1"/>
  <c r="AS219" i="32"/>
  <c r="AZ308" i="32"/>
  <c r="AT207" i="32"/>
  <c r="AT215" i="32" s="1"/>
  <c r="AC207" i="32"/>
  <c r="AB207" i="32"/>
  <c r="AA207" i="32"/>
  <c r="V215" i="32"/>
  <c r="AG202" i="32"/>
  <c r="AT165" i="32"/>
  <c r="I138" i="32"/>
  <c r="AW125" i="32"/>
  <c r="AY111" i="32"/>
  <c r="AY114" i="32" s="1"/>
  <c r="AG124" i="32"/>
  <c r="AS124" i="32" s="1"/>
  <c r="AY101" i="32"/>
  <c r="AY307" i="32" s="1"/>
  <c r="AC100" i="32"/>
  <c r="V307" i="32"/>
  <c r="AA100" i="32"/>
  <c r="AB100" i="32"/>
  <c r="AT100" i="32"/>
  <c r="AT307" i="32" s="1"/>
  <c r="AG122" i="32"/>
  <c r="AA125" i="32"/>
  <c r="AA114" i="32"/>
  <c r="AG111" i="32"/>
  <c r="I310" i="32"/>
  <c r="AA31" i="32"/>
  <c r="AG28" i="32"/>
  <c r="AS28" i="32" s="1"/>
  <c r="AY313" i="32"/>
  <c r="AC85" i="32"/>
  <c r="AW79" i="32"/>
  <c r="AW85" i="32" s="1"/>
  <c r="AV66" i="32"/>
  <c r="I312" i="32"/>
  <c r="AV27" i="32"/>
  <c r="AS88" i="32"/>
  <c r="AV68" i="32"/>
  <c r="I45" i="32"/>
  <c r="BA305" i="32"/>
  <c r="BA17" i="32"/>
  <c r="BA314" i="32"/>
  <c r="BA13" i="32"/>
  <c r="BA97" i="32"/>
  <c r="AG74" i="32"/>
  <c r="AS74" i="32" s="1"/>
  <c r="AW27" i="32"/>
  <c r="AR314" i="32"/>
  <c r="AR13" i="32"/>
  <c r="AB35" i="32"/>
  <c r="AG37" i="32"/>
  <c r="K304" i="32"/>
  <c r="AG75" i="32"/>
  <c r="AS75" i="32" s="1"/>
  <c r="AG67" i="32"/>
  <c r="AS67" i="32" s="1"/>
  <c r="AC49" i="32"/>
  <c r="AW49" i="32" s="1"/>
  <c r="AB49" i="32"/>
  <c r="AV49" i="32" s="1"/>
  <c r="AA49" i="32"/>
  <c r="AT49" i="32"/>
  <c r="AG46" i="32"/>
  <c r="AG25" i="32"/>
  <c r="AS25" i="32" s="1"/>
  <c r="AQ302" i="32"/>
  <c r="AA43" i="32"/>
  <c r="AG40" i="32"/>
  <c r="AU311" i="32"/>
  <c r="AT17" i="32"/>
  <c r="AG283" i="32"/>
  <c r="AS283" i="32" s="1"/>
  <c r="AS269" i="32"/>
  <c r="AS260" i="32"/>
  <c r="BA291" i="32"/>
  <c r="AS275" i="32"/>
  <c r="AS217" i="32"/>
  <c r="AR242" i="32"/>
  <c r="AS258" i="32"/>
  <c r="AC196" i="32"/>
  <c r="AW190" i="32"/>
  <c r="AW196" i="32" s="1"/>
  <c r="AY222" i="32"/>
  <c r="I206" i="32"/>
  <c r="AA277" i="32"/>
  <c r="AG271" i="32"/>
  <c r="AV267" i="32"/>
  <c r="AR222" i="32"/>
  <c r="AY207" i="32"/>
  <c r="AY215" i="32" s="1"/>
  <c r="AR185" i="32"/>
  <c r="AG272" i="32"/>
  <c r="AS272" i="32" s="1"/>
  <c r="V179" i="32"/>
  <c r="AT173" i="32"/>
  <c r="AT179" i="32" s="1"/>
  <c r="AC173" i="32"/>
  <c r="AA173" i="32"/>
  <c r="AB173" i="32"/>
  <c r="AG237" i="32"/>
  <c r="AS237" i="32" s="1"/>
  <c r="AG226" i="32"/>
  <c r="AS226" i="32" s="1"/>
  <c r="I158" i="32"/>
  <c r="AG192" i="32"/>
  <c r="AS192" i="32" s="1"/>
  <c r="AB152" i="32"/>
  <c r="AA152" i="32"/>
  <c r="V158" i="32"/>
  <c r="AC152" i="32"/>
  <c r="AT152" i="32"/>
  <c r="AT158" i="32" s="1"/>
  <c r="AT151" i="32"/>
  <c r="AU196" i="32"/>
  <c r="AC141" i="32"/>
  <c r="AW141" i="32" s="1"/>
  <c r="AT141" i="32"/>
  <c r="AT145" i="32" s="1"/>
  <c r="AB141" i="32"/>
  <c r="AV141" i="32" s="1"/>
  <c r="V145" i="32"/>
  <c r="AA141" i="32"/>
  <c r="BA253" i="32"/>
  <c r="AZ151" i="32"/>
  <c r="BA313" i="32"/>
  <c r="BA110" i="32"/>
  <c r="BA235" i="32"/>
  <c r="V138" i="32"/>
  <c r="AA132" i="32"/>
  <c r="AC132" i="32"/>
  <c r="AB132" i="32"/>
  <c r="AT132" i="32"/>
  <c r="AT138" i="32" s="1"/>
  <c r="I298" i="32"/>
  <c r="AS292" i="32"/>
  <c r="AG183" i="32"/>
  <c r="AG174" i="32"/>
  <c r="AS174" i="32" s="1"/>
  <c r="AY159" i="32"/>
  <c r="AY165" i="32" s="1"/>
  <c r="AB146" i="32"/>
  <c r="V147" i="32"/>
  <c r="AA146" i="32"/>
  <c r="AC146" i="32"/>
  <c r="AT146" i="32"/>
  <c r="AT147" i="32" s="1"/>
  <c r="AG154" i="32"/>
  <c r="AS154" i="32" s="1"/>
  <c r="AX313" i="32"/>
  <c r="AX110" i="32"/>
  <c r="AG164" i="32"/>
  <c r="AS164" i="32" s="1"/>
  <c r="AV143" i="32"/>
  <c r="AG112" i="32"/>
  <c r="AS112" i="32" s="1"/>
  <c r="AR192" i="32"/>
  <c r="AY192" i="32" s="1"/>
  <c r="AY196" i="32" s="1"/>
  <c r="AZ192" i="32"/>
  <c r="AZ196" i="32" s="1"/>
  <c r="AG156" i="32"/>
  <c r="AS156" i="32" s="1"/>
  <c r="AG123" i="32"/>
  <c r="AS123" i="32" s="1"/>
  <c r="AR121" i="32"/>
  <c r="AY91" i="32"/>
  <c r="AB78" i="32"/>
  <c r="AA22" i="32"/>
  <c r="AG99" i="32"/>
  <c r="AS99" i="32" s="1"/>
  <c r="I72" i="32"/>
  <c r="AX306" i="32"/>
  <c r="AS162" i="32"/>
  <c r="AT246" i="32"/>
  <c r="AV59" i="32"/>
  <c r="AV65" i="32" s="1"/>
  <c r="I306" i="32"/>
  <c r="I27" i="32"/>
  <c r="AG94" i="32"/>
  <c r="AS94" i="32" s="1"/>
  <c r="AS68" i="32"/>
  <c r="AW44" i="32"/>
  <c r="AW45" i="32" s="1"/>
  <c r="AR305" i="32"/>
  <c r="AY14" i="32"/>
  <c r="AR17" i="32"/>
  <c r="AT314" i="32"/>
  <c r="AT13" i="32"/>
  <c r="AV71" i="32"/>
  <c r="AA65" i="32"/>
  <c r="AW43" i="32"/>
  <c r="AG20" i="32"/>
  <c r="AG54" i="32"/>
  <c r="AS54" i="32" s="1"/>
  <c r="I31" i="32"/>
  <c r="I22" i="32"/>
  <c r="AF301" i="32"/>
  <c r="AA314" i="32"/>
  <c r="AA13" i="32"/>
  <c r="AG12" i="32"/>
  <c r="AW21" i="32"/>
  <c r="I307" i="32"/>
  <c r="AC35" i="32"/>
  <c r="AC314" i="32"/>
  <c r="AW12" i="32"/>
  <c r="AC13" i="32"/>
  <c r="AS30" i="32"/>
  <c r="AS15" i="32"/>
  <c r="AB27" i="32"/>
  <c r="AY22" i="32"/>
  <c r="Z302" i="32"/>
  <c r="Q302" i="32"/>
  <c r="AR91" i="32"/>
  <c r="I58" i="32"/>
  <c r="AG289" i="32"/>
  <c r="AS289" i="32" s="1"/>
  <c r="AB222" i="32"/>
  <c r="AB277" i="32"/>
  <c r="AV271" i="32"/>
  <c r="AV277" i="32" s="1"/>
  <c r="I242" i="32"/>
  <c r="AS236" i="32"/>
  <c r="AS232" i="32"/>
  <c r="AA185" i="32"/>
  <c r="AC247" i="32"/>
  <c r="AT247" i="32"/>
  <c r="AT253" i="32" s="1"/>
  <c r="AB247" i="32"/>
  <c r="V253" i="32"/>
  <c r="AA247" i="32"/>
  <c r="AC235" i="32"/>
  <c r="AW229" i="32"/>
  <c r="AW235" i="32" s="1"/>
  <c r="AY151" i="32"/>
  <c r="AG241" i="32"/>
  <c r="AS198" i="32"/>
  <c r="AG190" i="32"/>
  <c r="AG204" i="32"/>
  <c r="AS204" i="32" s="1"/>
  <c r="AR253" i="32"/>
  <c r="AG203" i="32"/>
  <c r="AS203" i="32" s="1"/>
  <c r="AG120" i="32"/>
  <c r="AS120" i="32" s="1"/>
  <c r="AW298" i="32"/>
  <c r="AG218" i="32"/>
  <c r="AS218" i="32" s="1"/>
  <c r="AV171" i="32"/>
  <c r="AR125" i="32"/>
  <c r="AY122" i="32"/>
  <c r="AY125" i="32" s="1"/>
  <c r="AY308" i="32"/>
  <c r="V313" i="32"/>
  <c r="V110" i="32"/>
  <c r="AT109" i="32"/>
  <c r="AC109" i="32"/>
  <c r="AB109" i="32"/>
  <c r="AA109" i="32"/>
  <c r="AZ310" i="32"/>
  <c r="AR307" i="32"/>
  <c r="AG137" i="32"/>
  <c r="AS137" i="32" s="1"/>
  <c r="AG233" i="32"/>
  <c r="AS233" i="32" s="1"/>
  <c r="AG194" i="32"/>
  <c r="AS194" i="32" s="1"/>
  <c r="AR308" i="32"/>
  <c r="AC242" i="32"/>
  <c r="AB114" i="32"/>
  <c r="AV111" i="32"/>
  <c r="AV114" i="32" s="1"/>
  <c r="AB92" i="32"/>
  <c r="V97" i="32"/>
  <c r="AT92" i="32"/>
  <c r="AT97" i="32" s="1"/>
  <c r="AC92" i="32"/>
  <c r="AA92" i="32"/>
  <c r="AG86" i="32"/>
  <c r="AA91" i="32"/>
  <c r="AS55" i="32"/>
  <c r="AV157" i="32"/>
  <c r="AG115" i="32"/>
  <c r="AX108" i="32"/>
  <c r="AT310" i="32"/>
  <c r="AC58" i="32"/>
  <c r="AW53" i="32"/>
  <c r="AW58" i="32" s="1"/>
  <c r="AT39" i="32"/>
  <c r="AG244" i="32"/>
  <c r="AS244" i="32" s="1"/>
  <c r="AG59" i="32"/>
  <c r="AB58" i="32"/>
  <c r="AS46" i="32"/>
  <c r="I52" i="32"/>
  <c r="AS40" i="32"/>
  <c r="I43" i="32"/>
  <c r="AC31" i="32"/>
  <c r="I311" i="32"/>
  <c r="AU306" i="32"/>
  <c r="AB314" i="32"/>
  <c r="AV12" i="32"/>
  <c r="AB13" i="32"/>
  <c r="AS71" i="32"/>
  <c r="AG63" i="32"/>
  <c r="AS63" i="32" s="1"/>
  <c r="AS37" i="32"/>
  <c r="AW19" i="32"/>
  <c r="Q304" i="32"/>
  <c r="V303" i="32" s="1"/>
  <c r="V306" i="32"/>
  <c r="AS38" i="32"/>
  <c r="AW28" i="32"/>
  <c r="AG24" i="32"/>
  <c r="AS24" i="32" s="1"/>
  <c r="AS20" i="32"/>
  <c r="Z301" i="32"/>
  <c r="AG55" i="32"/>
  <c r="AG95" i="32"/>
  <c r="AS95" i="32" s="1"/>
  <c r="AG62" i="32"/>
  <c r="AS62" i="32" s="1"/>
  <c r="AT35" i="32"/>
  <c r="AG64" i="32"/>
  <c r="AS64" i="32" s="1"/>
  <c r="AW30" i="32"/>
  <c r="AG48" i="32"/>
  <c r="AC27" i="32"/>
  <c r="Q301" i="32"/>
  <c r="AG83" i="32"/>
  <c r="AS83" i="32" s="1"/>
  <c r="AG57" i="32"/>
  <c r="AV53" i="32"/>
  <c r="AV58" i="32" s="1"/>
  <c r="AB43" i="32"/>
  <c r="AA17" i="32"/>
  <c r="AG14" i="32"/>
  <c r="AS14" i="32" s="1"/>
  <c r="AT277" i="32"/>
  <c r="AV242" i="32"/>
  <c r="AG273" i="32"/>
  <c r="AS273" i="32" s="1"/>
  <c r="BA263" i="32"/>
  <c r="AG213" i="32"/>
  <c r="AS213" i="32" s="1"/>
  <c r="AG193" i="32"/>
  <c r="AS193" i="32" s="1"/>
  <c r="AG255" i="32"/>
  <c r="AS255" i="32" s="1"/>
  <c r="AT235" i="32"/>
  <c r="AR172" i="32"/>
  <c r="AV190" i="32"/>
  <c r="AV196" i="32" s="1"/>
  <c r="AG161" i="32"/>
  <c r="AS161" i="32" s="1"/>
  <c r="AG191" i="32"/>
  <c r="AS191" i="32" s="1"/>
  <c r="AC165" i="32"/>
  <c r="AW159" i="32"/>
  <c r="AW165" i="32" s="1"/>
  <c r="AR145" i="32"/>
  <c r="I308" i="32"/>
  <c r="AG117" i="32"/>
  <c r="AS117" i="32" s="1"/>
  <c r="AG168" i="32"/>
  <c r="AS168" i="32" s="1"/>
  <c r="AA165" i="32"/>
  <c r="AG159" i="32"/>
  <c r="AR235" i="32"/>
  <c r="AS183" i="32"/>
  <c r="I185" i="32"/>
  <c r="AY121" i="32"/>
  <c r="AC131" i="32"/>
  <c r="AY105" i="32"/>
  <c r="AS184" i="32"/>
  <c r="AB131" i="32"/>
  <c r="AG133" i="32"/>
  <c r="AS133" i="32" s="1"/>
  <c r="AG126" i="32"/>
  <c r="AA131" i="32"/>
  <c r="AB125" i="32"/>
  <c r="AV122" i="32"/>
  <c r="AV125" i="32" s="1"/>
  <c r="AC114" i="32"/>
  <c r="AW111" i="32"/>
  <c r="AW114" i="32" s="1"/>
  <c r="AY132" i="32"/>
  <c r="AY138" i="32" s="1"/>
  <c r="AZ108" i="32"/>
  <c r="AG101" i="32"/>
  <c r="AS101" i="32" s="1"/>
  <c r="AA310" i="32"/>
  <c r="AT22" i="32"/>
  <c r="AU108" i="32"/>
  <c r="AV35" i="32"/>
  <c r="AY314" i="32"/>
  <c r="AY13" i="32"/>
  <c r="AW35" i="32"/>
  <c r="AQ304" i="32"/>
  <c r="L301" i="32"/>
  <c r="AA311" i="32"/>
  <c r="AG16" i="32"/>
  <c r="AS16" i="32" s="1"/>
  <c r="AX314" i="32"/>
  <c r="AX13" i="32"/>
  <c r="AW38" i="32"/>
  <c r="AG26" i="32"/>
  <c r="AS26" i="32" s="1"/>
  <c r="AG15" i="32"/>
  <c r="AG81" i="32"/>
  <c r="AS81" i="32" s="1"/>
  <c r="AW72" i="32"/>
  <c r="I39" i="32"/>
  <c r="AG29" i="32"/>
  <c r="AS29" i="32" s="1"/>
  <c r="AQ301" i="32"/>
  <c r="AV91" i="32"/>
  <c r="I78" i="32"/>
  <c r="I305" i="32"/>
  <c r="I17" i="32"/>
  <c r="AZ60" i="32"/>
  <c r="AZ65" i="32" s="1"/>
  <c r="AR60" i="32"/>
  <c r="AT27" i="32"/>
  <c r="AU305" i="32"/>
  <c r="V312" i="32"/>
  <c r="AC50" i="32"/>
  <c r="AB50" i="32"/>
  <c r="AA50" i="32"/>
  <c r="AT50" i="32"/>
  <c r="AT312" i="32" s="1"/>
  <c r="AC43" i="32"/>
  <c r="AU314" i="32"/>
  <c r="AU13" i="32"/>
  <c r="AC17" i="32"/>
  <c r="AW14" i="32"/>
  <c r="AG234" i="32"/>
  <c r="AS234" i="32" s="1"/>
  <c r="AC201" i="32"/>
  <c r="AB201" i="32"/>
  <c r="V206" i="32"/>
  <c r="AA201" i="32"/>
  <c r="AT201" i="32"/>
  <c r="AT206" i="32" s="1"/>
  <c r="AY185" i="32"/>
  <c r="AG181" i="32"/>
  <c r="AS181" i="32" s="1"/>
  <c r="I147" i="32"/>
  <c r="I222" i="32"/>
  <c r="AS216" i="32"/>
  <c r="AY200" i="32"/>
  <c r="AV151" i="32"/>
  <c r="AC145" i="32"/>
  <c r="AW139" i="32"/>
  <c r="AW145" i="32" s="1"/>
  <c r="AB145" i="32"/>
  <c r="AV139" i="32"/>
  <c r="AS115" i="32"/>
  <c r="I121" i="32"/>
  <c r="AS208" i="32"/>
  <c r="AG175" i="32"/>
  <c r="AS175" i="32" s="1"/>
  <c r="AA145" i="32"/>
  <c r="AG139" i="32"/>
  <c r="AG163" i="32"/>
  <c r="AS163" i="32" s="1"/>
  <c r="AB165" i="32"/>
  <c r="AB166" i="32"/>
  <c r="AT166" i="32"/>
  <c r="AT172" i="32" s="1"/>
  <c r="AC166" i="32"/>
  <c r="AA166" i="32"/>
  <c r="V172" i="32"/>
  <c r="AY166" i="32"/>
  <c r="AY172" i="32" s="1"/>
  <c r="AZ121" i="32"/>
  <c r="I200" i="32"/>
  <c r="AS197" i="32"/>
  <c r="AY139" i="32"/>
  <c r="AY145" i="32" s="1"/>
  <c r="AG221" i="32"/>
  <c r="AS221" i="32" s="1"/>
  <c r="AG148" i="32"/>
  <c r="AA151" i="32"/>
  <c r="AT114" i="32"/>
  <c r="AA45" i="32"/>
  <c r="AG44" i="32"/>
  <c r="AG45" i="32" s="1"/>
  <c r="AG89" i="32"/>
  <c r="AS89" i="32" s="1"/>
  <c r="AG107" i="32"/>
  <c r="AS107" i="32" s="1"/>
  <c r="AG76" i="32"/>
  <c r="AS76" i="32" s="1"/>
  <c r="AX305" i="32"/>
  <c r="AX17" i="32"/>
  <c r="AV69" i="32"/>
  <c r="AY126" i="32"/>
  <c r="AY131" i="32" s="1"/>
  <c r="AR131" i="32"/>
  <c r="AR85" i="32"/>
  <c r="AS57" i="32"/>
  <c r="AS48" i="32"/>
  <c r="I35" i="32"/>
  <c r="Z304" i="32"/>
  <c r="AV89" i="32"/>
  <c r="AY52" i="32"/>
  <c r="AC311" i="32"/>
  <c r="AY66" i="32"/>
  <c r="AY72" i="32" s="1"/>
  <c r="AB311" i="32"/>
  <c r="I91" i="32"/>
  <c r="AG47" i="32"/>
  <c r="AC72" i="32"/>
  <c r="AA35" i="32"/>
  <c r="AG32" i="32"/>
  <c r="V108" i="32"/>
  <c r="AA98" i="32"/>
  <c r="AC98" i="32"/>
  <c r="AB98" i="32"/>
  <c r="AT98" i="32"/>
  <c r="L304" i="32"/>
  <c r="AT43" i="32"/>
  <c r="AG282" i="32"/>
  <c r="AS282" i="32" s="1"/>
  <c r="AS268" i="32"/>
  <c r="AR277" i="32"/>
  <c r="AB285" i="32"/>
  <c r="V291" i="32"/>
  <c r="AC285" i="32"/>
  <c r="AT285" i="32"/>
  <c r="AT291" i="32" s="1"/>
  <c r="AA285" i="32"/>
  <c r="AG281" i="32"/>
  <c r="AS281" i="32" s="1"/>
  <c r="I256" i="32"/>
  <c r="AS297" i="32"/>
  <c r="AY263" i="32"/>
  <c r="AS220" i="32"/>
  <c r="I253" i="32"/>
  <c r="BA242" i="32"/>
  <c r="AS241" i="32"/>
  <c r="AY236" i="32"/>
  <c r="AY242" i="32" s="1"/>
  <c r="AS202" i="32"/>
  <c r="AC200" i="32"/>
  <c r="AB185" i="32"/>
  <c r="AV180" i="32"/>
  <c r="AC277" i="32"/>
  <c r="AW271" i="32"/>
  <c r="AW277" i="32" s="1"/>
  <c r="AG209" i="32"/>
  <c r="AS209" i="32" s="1"/>
  <c r="AA242" i="32"/>
  <c r="AS231" i="32"/>
  <c r="AG199" i="32"/>
  <c r="AS199" i="32" s="1"/>
  <c r="AG195" i="32"/>
  <c r="AS195" i="32" s="1"/>
  <c r="AG262" i="32"/>
  <c r="AS262" i="32" s="1"/>
  <c r="AS238" i="32"/>
  <c r="AG229" i="32"/>
  <c r="AA235" i="32"/>
  <c r="AG230" i="32"/>
  <c r="AS230" i="32" s="1"/>
  <c r="AV216" i="32"/>
  <c r="AV222" i="32" s="1"/>
  <c r="AG187" i="32"/>
  <c r="AS187" i="32" s="1"/>
  <c r="AV159" i="32"/>
  <c r="AV165" i="32" s="1"/>
  <c r="AW197" i="32"/>
  <c r="AW200" i="32" s="1"/>
  <c r="AB186" i="32"/>
  <c r="V189" i="32"/>
  <c r="AA186" i="32"/>
  <c r="AT186" i="32"/>
  <c r="AT189" i="32" s="1"/>
  <c r="AC186" i="32"/>
  <c r="AG169" i="32"/>
  <c r="AS169" i="32" s="1"/>
  <c r="AB151" i="32"/>
  <c r="AY102" i="32"/>
  <c r="AY310" i="32" s="1"/>
  <c r="AG170" i="32"/>
  <c r="AS170" i="32" s="1"/>
  <c r="AR151" i="32"/>
  <c r="V308" i="32"/>
  <c r="AT116" i="32"/>
  <c r="AT308" i="32" s="1"/>
  <c r="AA116" i="32"/>
  <c r="AC116" i="32"/>
  <c r="AB116" i="32"/>
  <c r="AG149" i="32"/>
  <c r="AS149" i="32" s="1"/>
  <c r="AG113" i="32"/>
  <c r="AS113" i="32" s="1"/>
  <c r="AV155" i="32"/>
  <c r="AG135" i="32"/>
  <c r="AS135" i="32" s="1"/>
  <c r="AV200" i="32"/>
  <c r="AG150" i="32"/>
  <c r="AS150" i="32" s="1"/>
  <c r="I179" i="32"/>
  <c r="AG142" i="32"/>
  <c r="AS142" i="32" s="1"/>
  <c r="AU131" i="32"/>
  <c r="AT125" i="32"/>
  <c r="I313" i="32"/>
  <c r="I110" i="32"/>
  <c r="AU151" i="32"/>
  <c r="AG144" i="32"/>
  <c r="AS144" i="32" s="1"/>
  <c r="AB72" i="32"/>
  <c r="AY312" i="32"/>
  <c r="AA39" i="32"/>
  <c r="AZ305" i="32"/>
  <c r="AC121" i="32"/>
  <c r="AS90" i="32"/>
  <c r="AG73" i="32"/>
  <c r="AC310" i="32"/>
  <c r="AW102" i="32"/>
  <c r="AW310" i="32" s="1"/>
  <c r="AC65" i="32"/>
  <c r="AW59" i="32"/>
  <c r="AW65" i="32" s="1"/>
  <c r="AT31" i="32"/>
  <c r="AG103" i="32"/>
  <c r="AS103" i="32" s="1"/>
  <c r="I97" i="32"/>
  <c r="AB85" i="32"/>
  <c r="AP306" i="32"/>
  <c r="AP304" i="32" s="1"/>
  <c r="AR303" i="32" s="1"/>
  <c r="AG93" i="32"/>
  <c r="AS93" i="32" s="1"/>
  <c r="AG56" i="32"/>
  <c r="AS56" i="32" s="1"/>
  <c r="AG33" i="32"/>
  <c r="AS33" i="32" s="1"/>
  <c r="AV16" i="32"/>
  <c r="AV17" i="32" s="1"/>
  <c r="AT311" i="32"/>
  <c r="AV82" i="32"/>
  <c r="I85" i="32"/>
  <c r="AS79" i="32"/>
  <c r="AG60" i="32"/>
  <c r="AS60" i="32" s="1"/>
  <c r="AZ314" i="32"/>
  <c r="AZ13" i="32"/>
  <c r="AG80" i="32"/>
  <c r="AG77" i="32"/>
  <c r="AS77" i="32" s="1"/>
  <c r="AZ54" i="32"/>
  <c r="AR54" i="32"/>
  <c r="BA306" i="32"/>
  <c r="AG34" i="32"/>
  <c r="AS34" i="32" s="1"/>
  <c r="AP301" i="32"/>
  <c r="AG104" i="32"/>
  <c r="AS104" i="32" s="1"/>
  <c r="AG53" i="32"/>
  <c r="AG58" i="32" s="1"/>
  <c r="AA72" i="32"/>
  <c r="AW47" i="32"/>
  <c r="AA27" i="32"/>
  <c r="AG23" i="32"/>
  <c r="AG27" i="32" s="1"/>
  <c r="AV47" i="32"/>
  <c r="AB17" i="32"/>
  <c r="W75" i="31"/>
  <c r="V75" i="31"/>
  <c r="AV87" i="31"/>
  <c r="AV25" i="31"/>
  <c r="AG72" i="31"/>
  <c r="AS72" i="31" s="1"/>
  <c r="AA64" i="31"/>
  <c r="AG58" i="31"/>
  <c r="AW60" i="31"/>
  <c r="AW64" i="31" s="1"/>
  <c r="AY53" i="31"/>
  <c r="AY57" i="31" s="1"/>
  <c r="AC64" i="31"/>
  <c r="AV81" i="31"/>
  <c r="AV48" i="31"/>
  <c r="AG63" i="31"/>
  <c r="AB64" i="31"/>
  <c r="AV58" i="31"/>
  <c r="AV64" i="31" s="1"/>
  <c r="AY23" i="31"/>
  <c r="Z77" i="31"/>
  <c r="AZ28" i="31"/>
  <c r="AR28" i="31"/>
  <c r="AY28" i="31" s="1"/>
  <c r="AA87" i="31"/>
  <c r="AA25" i="31"/>
  <c r="AG24" i="31"/>
  <c r="AV54" i="31"/>
  <c r="AP76" i="31"/>
  <c r="AA85" i="31"/>
  <c r="AC43" i="31"/>
  <c r="AR87" i="31"/>
  <c r="AR25" i="31"/>
  <c r="AB48" i="31"/>
  <c r="Q75" i="31"/>
  <c r="Z75" i="31"/>
  <c r="AA57" i="31"/>
  <c r="AG53" i="31"/>
  <c r="AS53" i="31" s="1"/>
  <c r="AS57" i="31" s="1"/>
  <c r="AQ74" i="31"/>
  <c r="I23" i="31"/>
  <c r="AS20" i="31"/>
  <c r="K77" i="31"/>
  <c r="AG29" i="31"/>
  <c r="AS29" i="31" s="1"/>
  <c r="V73" i="31"/>
  <c r="AC68" i="31"/>
  <c r="AA68" i="31"/>
  <c r="AB68" i="31"/>
  <c r="AT68" i="31"/>
  <c r="AT73" i="31" s="1"/>
  <c r="AT81" i="31"/>
  <c r="AT48" i="31"/>
  <c r="AS63" i="31"/>
  <c r="AA67" i="31"/>
  <c r="AG65" i="31"/>
  <c r="AG67" i="31" s="1"/>
  <c r="AG56" i="31"/>
  <c r="AS56" i="31" s="1"/>
  <c r="AG46" i="31"/>
  <c r="AS46" i="31" s="1"/>
  <c r="V52" i="31"/>
  <c r="AA49" i="31"/>
  <c r="AT49" i="31"/>
  <c r="AT52" i="31" s="1"/>
  <c r="AC49" i="31"/>
  <c r="AB49" i="31"/>
  <c r="AY86" i="31"/>
  <c r="AY40" i="31"/>
  <c r="AR79" i="31"/>
  <c r="AY26" i="31"/>
  <c r="AR32" i="31"/>
  <c r="AF74" i="31"/>
  <c r="AS54" i="31"/>
  <c r="AV85" i="31"/>
  <c r="AX32" i="31"/>
  <c r="AB85" i="31"/>
  <c r="AC23" i="31"/>
  <c r="AW20" i="31"/>
  <c r="AW23" i="31" s="1"/>
  <c r="AR84" i="31"/>
  <c r="AB57" i="31"/>
  <c r="AV53" i="31"/>
  <c r="AV57" i="31" s="1"/>
  <c r="AG37" i="31"/>
  <c r="AG34" i="31"/>
  <c r="AS34" i="31" s="1"/>
  <c r="AG18" i="31"/>
  <c r="AS18" i="31" s="1"/>
  <c r="BA78" i="31"/>
  <c r="BA15" i="31"/>
  <c r="AV21" i="31"/>
  <c r="I73" i="31"/>
  <c r="AZ86" i="31"/>
  <c r="AZ40" i="31"/>
  <c r="AU86" i="31"/>
  <c r="AU40" i="31"/>
  <c r="I38" i="31"/>
  <c r="AT67" i="31"/>
  <c r="I79" i="31"/>
  <c r="I32" i="31"/>
  <c r="AR85" i="31"/>
  <c r="AW57" i="31"/>
  <c r="AZ78" i="31"/>
  <c r="AZ15" i="31"/>
  <c r="AA43" i="31"/>
  <c r="AG41" i="31"/>
  <c r="AB87" i="31"/>
  <c r="AB25" i="31"/>
  <c r="AP74" i="31"/>
  <c r="AC57" i="31"/>
  <c r="AQ77" i="31"/>
  <c r="AR76" i="31" s="1"/>
  <c r="AC16" i="31"/>
  <c r="AB16" i="31"/>
  <c r="V19" i="31"/>
  <c r="AA16" i="31"/>
  <c r="AT16" i="31"/>
  <c r="AT19" i="31" s="1"/>
  <c r="AX78" i="31"/>
  <c r="AG31" i="31"/>
  <c r="AS31" i="31" s="1"/>
  <c r="AG17" i="31"/>
  <c r="AS17" i="31" s="1"/>
  <c r="AR48" i="31"/>
  <c r="AW43" i="31"/>
  <c r="AW81" i="31"/>
  <c r="AW48" i="31"/>
  <c r="AT86" i="31"/>
  <c r="AT40" i="31"/>
  <c r="I57" i="31"/>
  <c r="AU81" i="31"/>
  <c r="AU48" i="31"/>
  <c r="AS37" i="31"/>
  <c r="AB67" i="31"/>
  <c r="AG51" i="31"/>
  <c r="AS51" i="31" s="1"/>
  <c r="AB33" i="31"/>
  <c r="V38" i="31"/>
  <c r="AA33" i="31"/>
  <c r="AT33" i="31"/>
  <c r="AT38" i="31" s="1"/>
  <c r="AC33" i="31"/>
  <c r="V84" i="31"/>
  <c r="AT14" i="31"/>
  <c r="AT84" i="31" s="1"/>
  <c r="AC14" i="31"/>
  <c r="AB14" i="31"/>
  <c r="AA14" i="31"/>
  <c r="AG69" i="31"/>
  <c r="AS69" i="31" s="1"/>
  <c r="BA79" i="31"/>
  <c r="BA32" i="31"/>
  <c r="AF77" i="31"/>
  <c r="AY45" i="31"/>
  <c r="AY48" i="31" s="1"/>
  <c r="AY58" i="31"/>
  <c r="AY64" i="31" s="1"/>
  <c r="AT57" i="31"/>
  <c r="AY87" i="31"/>
  <c r="AY25" i="31"/>
  <c r="I84" i="31"/>
  <c r="K74" i="31"/>
  <c r="AR73" i="31"/>
  <c r="I86" i="31"/>
  <c r="I40" i="31"/>
  <c r="AS65" i="31"/>
  <c r="AS67" i="31" s="1"/>
  <c r="I67" i="31"/>
  <c r="AS66" i="31"/>
  <c r="AY85" i="31"/>
  <c r="AY50" i="31"/>
  <c r="AY52" i="31" s="1"/>
  <c r="I85" i="31"/>
  <c r="AS30" i="31"/>
  <c r="AC85" i="31"/>
  <c r="AW30" i="31"/>
  <c r="AW85" i="31" s="1"/>
  <c r="AZ87" i="31"/>
  <c r="AZ25" i="31"/>
  <c r="AU78" i="31"/>
  <c r="AU15" i="31"/>
  <c r="AY42" i="31"/>
  <c r="AY84" i="31" s="1"/>
  <c r="Q77" i="31"/>
  <c r="V76" i="31" s="1"/>
  <c r="AG45" i="31"/>
  <c r="AS45" i="31" s="1"/>
  <c r="V79" i="31"/>
  <c r="AB26" i="31"/>
  <c r="V32" i="31"/>
  <c r="AA26" i="31"/>
  <c r="AC26" i="31"/>
  <c r="AT26" i="31"/>
  <c r="AF75" i="31"/>
  <c r="AY15" i="31"/>
  <c r="AR78" i="31"/>
  <c r="AR15" i="31"/>
  <c r="AS13" i="31"/>
  <c r="I78" i="31"/>
  <c r="I15" i="31"/>
  <c r="AY73" i="31"/>
  <c r="AA81" i="31"/>
  <c r="AG44" i="31"/>
  <c r="AS44" i="31" s="1"/>
  <c r="AA48" i="31"/>
  <c r="I81" i="31"/>
  <c r="I48" i="31"/>
  <c r="I64" i="31"/>
  <c r="V78" i="31"/>
  <c r="AT12" i="31"/>
  <c r="AC12" i="31"/>
  <c r="AB12" i="31"/>
  <c r="V15" i="31"/>
  <c r="AA12" i="31"/>
  <c r="AU79" i="31"/>
  <c r="AU32" i="31"/>
  <c r="AZ84" i="31"/>
  <c r="AB43" i="31"/>
  <c r="AV41" i="31"/>
  <c r="AV43" i="31" s="1"/>
  <c r="N77" i="31"/>
  <c r="AG21" i="31"/>
  <c r="AS21" i="31" s="1"/>
  <c r="L77" i="31"/>
  <c r="AB28" i="31"/>
  <c r="AV28" i="31" s="1"/>
  <c r="AA28" i="31"/>
  <c r="AT28" i="31"/>
  <c r="AC28" i="31"/>
  <c r="AW28" i="31" s="1"/>
  <c r="AX87" i="31"/>
  <c r="AX25" i="31"/>
  <c r="AV23" i="31"/>
  <c r="AS20" i="30"/>
  <c r="AY113" i="30"/>
  <c r="AY17" i="30"/>
  <c r="W101" i="30"/>
  <c r="V101" i="30"/>
  <c r="AZ113" i="30"/>
  <c r="AZ17" i="30"/>
  <c r="AA110" i="30"/>
  <c r="AG14" i="30"/>
  <c r="I54" i="30"/>
  <c r="AU112" i="30"/>
  <c r="AU30" i="30"/>
  <c r="K100" i="30"/>
  <c r="AG84" i="30"/>
  <c r="AG77" i="30"/>
  <c r="AS77" i="30" s="1"/>
  <c r="AG58" i="30"/>
  <c r="AR83" i="30"/>
  <c r="AY83" i="30" s="1"/>
  <c r="AY85" i="30" s="1"/>
  <c r="AZ83" i="30"/>
  <c r="AZ85" i="30" s="1"/>
  <c r="AG96" i="30"/>
  <c r="AS96" i="30" s="1"/>
  <c r="AZ99" i="30"/>
  <c r="AP85" i="30"/>
  <c r="AP100" i="30" s="1"/>
  <c r="AR101" i="30" s="1"/>
  <c r="AG95" i="30"/>
  <c r="AS95" i="30" s="1"/>
  <c r="AC99" i="30"/>
  <c r="AS67" i="30"/>
  <c r="AG86" i="30"/>
  <c r="AS86" i="30" s="1"/>
  <c r="AA92" i="30"/>
  <c r="AG93" i="30"/>
  <c r="AA99" i="30"/>
  <c r="AW65" i="30"/>
  <c r="AG59" i="30"/>
  <c r="AW61" i="30"/>
  <c r="AP101" i="30"/>
  <c r="I107" i="30"/>
  <c r="AG78" i="30"/>
  <c r="AS78" i="30" s="1"/>
  <c r="AG64" i="30"/>
  <c r="AS64" i="30" s="1"/>
  <c r="AA61" i="30"/>
  <c r="AZ48" i="30"/>
  <c r="I105" i="30"/>
  <c r="I23" i="30"/>
  <c r="AU104" i="30"/>
  <c r="AU15" i="30"/>
  <c r="AG57" i="30"/>
  <c r="AG61" i="30" s="1"/>
  <c r="AS27" i="30"/>
  <c r="AG19" i="30"/>
  <c r="AS19" i="30" s="1"/>
  <c r="BA107" i="30"/>
  <c r="I92" i="30"/>
  <c r="AC111" i="30"/>
  <c r="AW20" i="30"/>
  <c r="AW111" i="30" s="1"/>
  <c r="AA113" i="30"/>
  <c r="AG16" i="30"/>
  <c r="AA17" i="30"/>
  <c r="AW81" i="30"/>
  <c r="AS68" i="30"/>
  <c r="AZ111" i="30"/>
  <c r="AW14" i="30"/>
  <c r="AW110" i="30" s="1"/>
  <c r="AG80" i="30"/>
  <c r="AS80" i="30" s="1"/>
  <c r="AC65" i="30"/>
  <c r="AZ92" i="30"/>
  <c r="AZ107" i="30"/>
  <c r="AY25" i="30"/>
  <c r="AY28" i="30" s="1"/>
  <c r="AG35" i="30"/>
  <c r="AS35" i="30" s="1"/>
  <c r="AY99" i="30"/>
  <c r="AR65" i="30"/>
  <c r="AY62" i="30"/>
  <c r="AY65" i="30" s="1"/>
  <c r="AB61" i="30"/>
  <c r="AS46" i="30"/>
  <c r="AA23" i="30"/>
  <c r="AG18" i="30"/>
  <c r="Z100" i="30"/>
  <c r="Q103" i="30"/>
  <c r="V102" i="30" s="1"/>
  <c r="AS76" i="30"/>
  <c r="I81" i="30"/>
  <c r="AB37" i="30"/>
  <c r="AC113" i="30"/>
  <c r="AC17" i="30"/>
  <c r="BA104" i="30"/>
  <c r="BA15" i="30"/>
  <c r="AG52" i="30"/>
  <c r="AS52" i="30" s="1"/>
  <c r="AC81" i="30"/>
  <c r="AS43" i="30"/>
  <c r="AG31" i="30"/>
  <c r="AS31" i="30" s="1"/>
  <c r="AR111" i="30"/>
  <c r="AR113" i="30"/>
  <c r="AR17" i="30"/>
  <c r="AZ110" i="30"/>
  <c r="AT110" i="30"/>
  <c r="AB82" i="30"/>
  <c r="V85" i="30"/>
  <c r="AA82" i="30"/>
  <c r="AT82" i="30"/>
  <c r="AT85" i="30" s="1"/>
  <c r="AC82" i="30"/>
  <c r="BA23" i="30"/>
  <c r="AA111" i="30"/>
  <c r="AV113" i="30"/>
  <c r="AV17" i="30"/>
  <c r="AB66" i="30"/>
  <c r="V71" i="30"/>
  <c r="AC66" i="30"/>
  <c r="AA66" i="30"/>
  <c r="AT66" i="30"/>
  <c r="AT71" i="30" s="1"/>
  <c r="AB65" i="30"/>
  <c r="AV62" i="30"/>
  <c r="AV65" i="30" s="1"/>
  <c r="AT99" i="30"/>
  <c r="AG89" i="30"/>
  <c r="AS89" i="30" s="1"/>
  <c r="AS70" i="30"/>
  <c r="AY112" i="30"/>
  <c r="AY30" i="30"/>
  <c r="AF103" i="30"/>
  <c r="AT49" i="30"/>
  <c r="AT54" i="30" s="1"/>
  <c r="AC49" i="30"/>
  <c r="AA49" i="30"/>
  <c r="V54" i="30"/>
  <c r="AB49" i="30"/>
  <c r="AB45" i="30"/>
  <c r="AA45" i="30"/>
  <c r="V48" i="30"/>
  <c r="AC45" i="30"/>
  <c r="AT45" i="30"/>
  <c r="AT48" i="30" s="1"/>
  <c r="AV55" i="30"/>
  <c r="AV61" i="30" s="1"/>
  <c r="AR48" i="30"/>
  <c r="V107" i="30"/>
  <c r="AA32" i="30"/>
  <c r="AA37" i="30" s="1"/>
  <c r="AT32" i="30"/>
  <c r="AC32" i="30"/>
  <c r="AC37" i="30" s="1"/>
  <c r="AB32" i="30"/>
  <c r="V112" i="30"/>
  <c r="AC29" i="30"/>
  <c r="AA29" i="30"/>
  <c r="V30" i="30"/>
  <c r="AT29" i="30"/>
  <c r="AB29" i="30"/>
  <c r="AZ105" i="30"/>
  <c r="AZ23" i="30"/>
  <c r="AT113" i="30"/>
  <c r="AT17" i="30"/>
  <c r="AX107" i="30"/>
  <c r="AT105" i="30"/>
  <c r="AT23" i="30"/>
  <c r="AW113" i="30"/>
  <c r="AW17" i="30"/>
  <c r="L100" i="30"/>
  <c r="I111" i="30"/>
  <c r="AR105" i="30"/>
  <c r="I37" i="30"/>
  <c r="I104" i="30"/>
  <c r="AB72" i="30"/>
  <c r="V75" i="30"/>
  <c r="AA72" i="30"/>
  <c r="AC72" i="30"/>
  <c r="AT72" i="30"/>
  <c r="AT75" i="30" s="1"/>
  <c r="AG62" i="30"/>
  <c r="AA65" i="30"/>
  <c r="AC92" i="30"/>
  <c r="AR71" i="30"/>
  <c r="AY111" i="30"/>
  <c r="N100" i="30"/>
  <c r="V104" i="30"/>
  <c r="V103" i="30" s="1"/>
  <c r="AA102" i="30" s="1"/>
  <c r="AT12" i="30"/>
  <c r="AC12" i="30"/>
  <c r="AA12" i="30"/>
  <c r="AB12" i="30"/>
  <c r="V15" i="30"/>
  <c r="AS55" i="30"/>
  <c r="I61" i="30"/>
  <c r="AY54" i="30"/>
  <c r="AW31" i="30"/>
  <c r="AR110" i="30"/>
  <c r="AY14" i="30"/>
  <c r="AY110" i="30" s="1"/>
  <c r="AZ75" i="30"/>
  <c r="AT39" i="30"/>
  <c r="AT44" i="30" s="1"/>
  <c r="AC39" i="30"/>
  <c r="AA39" i="30"/>
  <c r="AB39" i="30"/>
  <c r="V44" i="30"/>
  <c r="I28" i="30"/>
  <c r="AT111" i="30"/>
  <c r="V105" i="30"/>
  <c r="BA105" i="30"/>
  <c r="I15" i="30"/>
  <c r="AG98" i="30"/>
  <c r="AS98" i="30" s="1"/>
  <c r="AG73" i="30"/>
  <c r="AS73" i="30" s="1"/>
  <c r="AV31" i="30"/>
  <c r="AQ101" i="30"/>
  <c r="AG74" i="30"/>
  <c r="AS74" i="30" s="1"/>
  <c r="AC24" i="30"/>
  <c r="AT24" i="30"/>
  <c r="AT28" i="30" s="1"/>
  <c r="AB24" i="30"/>
  <c r="AA24" i="30"/>
  <c r="V28" i="30"/>
  <c r="AX104" i="30"/>
  <c r="AX103" i="30" s="1"/>
  <c r="AR15" i="30"/>
  <c r="AG25" i="30"/>
  <c r="AS25" i="30" s="1"/>
  <c r="AG76" i="30"/>
  <c r="AA81" i="30"/>
  <c r="AT92" i="30"/>
  <c r="AB99" i="30"/>
  <c r="AV93" i="30"/>
  <c r="AV99" i="30" s="1"/>
  <c r="AS84" i="30"/>
  <c r="AR107" i="30"/>
  <c r="AY32" i="30"/>
  <c r="AY107" i="30" s="1"/>
  <c r="AW99" i="30"/>
  <c r="I112" i="30"/>
  <c r="I30" i="30"/>
  <c r="I44" i="30"/>
  <c r="AG79" i="30"/>
  <c r="AS79" i="30" s="1"/>
  <c r="AG90" i="30"/>
  <c r="AS90" i="30" s="1"/>
  <c r="AB81" i="30"/>
  <c r="AS59" i="30"/>
  <c r="AS69" i="30"/>
  <c r="AS91" i="30"/>
  <c r="AB92" i="30"/>
  <c r="AV86" i="30"/>
  <c r="AV92" i="30" s="1"/>
  <c r="AG83" i="30"/>
  <c r="AS83" i="30" s="1"/>
  <c r="AZ71" i="30"/>
  <c r="AT81" i="30"/>
  <c r="AR81" i="30"/>
  <c r="AY76" i="30"/>
  <c r="AY81" i="30" s="1"/>
  <c r="I99" i="30"/>
  <c r="AS93" i="30"/>
  <c r="I71" i="30"/>
  <c r="AS58" i="30"/>
  <c r="AY19" i="30"/>
  <c r="AU113" i="30"/>
  <c r="AU17" i="30"/>
  <c r="BA110" i="30"/>
  <c r="AG38" i="30"/>
  <c r="AA44" i="30"/>
  <c r="AB110" i="30"/>
  <c r="AV14" i="30"/>
  <c r="AV110" i="30" s="1"/>
  <c r="AG63" i="30"/>
  <c r="AS63" i="30" s="1"/>
  <c r="AR61" i="30"/>
  <c r="AY45" i="30"/>
  <c r="AY48" i="30" s="1"/>
  <c r="AY38" i="30"/>
  <c r="AY44" i="30" s="1"/>
  <c r="AG36" i="30"/>
  <c r="AS36" i="30" s="1"/>
  <c r="AB111" i="30"/>
  <c r="AV20" i="30"/>
  <c r="AV111" i="30" s="1"/>
  <c r="AX100" i="30"/>
  <c r="AZ15" i="30"/>
  <c r="AS34" i="30"/>
  <c r="AU105" i="30"/>
  <c r="AU23" i="30"/>
  <c r="Z101" i="30"/>
  <c r="Q101" i="30"/>
  <c r="L103" i="30"/>
  <c r="I102" i="30" s="1"/>
  <c r="I48" i="30"/>
  <c r="AR92" i="30"/>
  <c r="AY86" i="30"/>
  <c r="AY92" i="30" s="1"/>
  <c r="AR104" i="30"/>
  <c r="AY199" i="29"/>
  <c r="AA171" i="29"/>
  <c r="AG165" i="29"/>
  <c r="AY110" i="29"/>
  <c r="I29" i="29"/>
  <c r="AY45" i="29"/>
  <c r="AS184" i="29"/>
  <c r="AT155" i="29"/>
  <c r="AS148" i="29"/>
  <c r="AW152" i="29"/>
  <c r="AW155" i="29" s="1"/>
  <c r="AA195" i="29"/>
  <c r="AG166" i="29"/>
  <c r="AR160" i="29"/>
  <c r="AS173" i="29"/>
  <c r="I180" i="29"/>
  <c r="AA155" i="29"/>
  <c r="AG152" i="29"/>
  <c r="I134" i="29"/>
  <c r="AS176" i="29"/>
  <c r="AC144" i="29"/>
  <c r="AR151" i="29"/>
  <c r="AG143" i="29"/>
  <c r="AS143" i="29" s="1"/>
  <c r="AZ112" i="29"/>
  <c r="AZ116" i="29" s="1"/>
  <c r="AR112" i="29"/>
  <c r="AY112" i="29" s="1"/>
  <c r="AY116" i="29" s="1"/>
  <c r="AG138" i="29"/>
  <c r="AS138" i="29" s="1"/>
  <c r="AG132" i="29"/>
  <c r="AV122" i="29"/>
  <c r="AT171" i="29"/>
  <c r="AS163" i="29"/>
  <c r="AS101" i="29"/>
  <c r="AS185" i="29"/>
  <c r="AS147" i="29"/>
  <c r="AG139" i="29"/>
  <c r="AS139" i="29" s="1"/>
  <c r="AV125" i="29"/>
  <c r="AV128" i="29" s="1"/>
  <c r="AC128" i="29"/>
  <c r="AW123" i="29"/>
  <c r="AW128" i="29" s="1"/>
  <c r="AP193" i="29"/>
  <c r="I164" i="29"/>
  <c r="AZ128" i="29"/>
  <c r="I116" i="29"/>
  <c r="AZ104" i="29"/>
  <c r="AB200" i="29"/>
  <c r="AB136" i="29"/>
  <c r="AV135" i="29"/>
  <c r="AG114" i="29"/>
  <c r="AS114" i="29" s="1"/>
  <c r="AG109" i="29"/>
  <c r="AS109" i="29" s="1"/>
  <c r="AZ98" i="29"/>
  <c r="AU193" i="29"/>
  <c r="AU86" i="29"/>
  <c r="AG127" i="29"/>
  <c r="AS127" i="29" s="1"/>
  <c r="AG118" i="29"/>
  <c r="AG122" i="29" s="1"/>
  <c r="AY122" i="29"/>
  <c r="AC110" i="29"/>
  <c r="AG83" i="29"/>
  <c r="AS83" i="29" s="1"/>
  <c r="AG93" i="29"/>
  <c r="AA98" i="29"/>
  <c r="AG85" i="29"/>
  <c r="AS89" i="29"/>
  <c r="AG82" i="29"/>
  <c r="AS82" i="29" s="1"/>
  <c r="AG87" i="29"/>
  <c r="AG62" i="29"/>
  <c r="AG53" i="29"/>
  <c r="AG55" i="29" s="1"/>
  <c r="AA55" i="29"/>
  <c r="AT74" i="29"/>
  <c r="AT75" i="29" s="1"/>
  <c r="AC74" i="29"/>
  <c r="AW74" i="29" s="1"/>
  <c r="AB74" i="29"/>
  <c r="AA74" i="29"/>
  <c r="AX192" i="29"/>
  <c r="AX16" i="29"/>
  <c r="AU201" i="29"/>
  <c r="AU13" i="29"/>
  <c r="AY76" i="29"/>
  <c r="AY80" i="29" s="1"/>
  <c r="AB59" i="29"/>
  <c r="AV56" i="29"/>
  <c r="AV59" i="29" s="1"/>
  <c r="AA44" i="29"/>
  <c r="AG41" i="29"/>
  <c r="AB20" i="29"/>
  <c r="AT20" i="29"/>
  <c r="AT23" i="29" s="1"/>
  <c r="AC20" i="29"/>
  <c r="AA20" i="29"/>
  <c r="V23" i="29"/>
  <c r="AR201" i="29"/>
  <c r="AR13" i="29"/>
  <c r="I71" i="29"/>
  <c r="AB55" i="29"/>
  <c r="AG35" i="29"/>
  <c r="AS35" i="29" s="1"/>
  <c r="AV21" i="29"/>
  <c r="AG46" i="29"/>
  <c r="AS46" i="29" s="1"/>
  <c r="Q188" i="29"/>
  <c r="AS45" i="29"/>
  <c r="I48" i="29"/>
  <c r="BA192" i="29"/>
  <c r="BA16" i="29"/>
  <c r="AG38" i="29"/>
  <c r="AS38" i="29" s="1"/>
  <c r="AR23" i="29"/>
  <c r="AR198" i="29"/>
  <c r="AA156" i="29"/>
  <c r="V160" i="29"/>
  <c r="AT156" i="29"/>
  <c r="AT160" i="29" s="1"/>
  <c r="AC156" i="29"/>
  <c r="AB156" i="29"/>
  <c r="AY200" i="29"/>
  <c r="AY136" i="29"/>
  <c r="AY160" i="29"/>
  <c r="I144" i="29"/>
  <c r="AS137" i="29"/>
  <c r="AP191" i="29"/>
  <c r="AB52" i="29"/>
  <c r="AV49" i="29"/>
  <c r="AV52" i="29" s="1"/>
  <c r="AR180" i="29"/>
  <c r="AB161" i="29"/>
  <c r="V164" i="29"/>
  <c r="AC161" i="29"/>
  <c r="AA161" i="29"/>
  <c r="AT161" i="29"/>
  <c r="AT164" i="29" s="1"/>
  <c r="AG181" i="29"/>
  <c r="AA187" i="29"/>
  <c r="AG169" i="29"/>
  <c r="AS169" i="29" s="1"/>
  <c r="AZ195" i="29"/>
  <c r="BA195" i="29"/>
  <c r="AG140" i="29"/>
  <c r="AS140" i="29" s="1"/>
  <c r="AS159" i="29"/>
  <c r="AG172" i="29"/>
  <c r="AA174" i="29"/>
  <c r="AG168" i="29"/>
  <c r="AS168" i="29" s="1"/>
  <c r="I151" i="29"/>
  <c r="I200" i="29"/>
  <c r="I136" i="29"/>
  <c r="AG126" i="29"/>
  <c r="AS126" i="29" s="1"/>
  <c r="AS199" i="29" s="1"/>
  <c r="AS132" i="29"/>
  <c r="AG124" i="29"/>
  <c r="AS124" i="29" s="1"/>
  <c r="AS179" i="29"/>
  <c r="AT128" i="29"/>
  <c r="AR128" i="29"/>
  <c r="BA122" i="29"/>
  <c r="AC199" i="29"/>
  <c r="AC200" i="29"/>
  <c r="AC136" i="29"/>
  <c r="AA88" i="29"/>
  <c r="AT88" i="29"/>
  <c r="AC88" i="29"/>
  <c r="AW88" i="29" s="1"/>
  <c r="AW92" i="29" s="1"/>
  <c r="AB88" i="29"/>
  <c r="AV88" i="29" s="1"/>
  <c r="AV92" i="29" s="1"/>
  <c r="AX193" i="29"/>
  <c r="AT110" i="29"/>
  <c r="BA199" i="29"/>
  <c r="AC71" i="29"/>
  <c r="AW68" i="29"/>
  <c r="AW71" i="29" s="1"/>
  <c r="I128" i="29"/>
  <c r="AG94" i="29"/>
  <c r="AS94" i="29" s="1"/>
  <c r="AS85" i="29"/>
  <c r="AG69" i="29"/>
  <c r="AS69" i="29" s="1"/>
  <c r="AG77" i="29"/>
  <c r="AG95" i="29"/>
  <c r="AS95" i="29" s="1"/>
  <c r="I199" i="29"/>
  <c r="L191" i="29"/>
  <c r="AB44" i="29"/>
  <c r="AV41" i="29"/>
  <c r="AV44" i="29" s="1"/>
  <c r="AP189" i="29"/>
  <c r="AY60" i="29"/>
  <c r="AY63" i="29" s="1"/>
  <c r="AC27" i="29"/>
  <c r="AB27" i="29"/>
  <c r="AT27" i="29"/>
  <c r="AT29" i="29" s="1"/>
  <c r="AA27" i="29"/>
  <c r="V29" i="29"/>
  <c r="AZ110" i="29"/>
  <c r="AV68" i="29"/>
  <c r="AV71" i="29" s="1"/>
  <c r="AC55" i="29"/>
  <c r="AW53" i="29"/>
  <c r="AW55" i="29" s="1"/>
  <c r="AG32" i="29"/>
  <c r="AS32" i="29" s="1"/>
  <c r="AS28" i="29"/>
  <c r="AY17" i="29"/>
  <c r="AY19" i="29" s="1"/>
  <c r="AG22" i="29"/>
  <c r="AS22" i="29" s="1"/>
  <c r="V201" i="29"/>
  <c r="AC12" i="29"/>
  <c r="AB12" i="29"/>
  <c r="V13" i="29"/>
  <c r="AA12" i="29"/>
  <c r="AT12" i="29"/>
  <c r="AY14" i="29"/>
  <c r="AR16" i="29"/>
  <c r="AJ191" i="29"/>
  <c r="AP190" i="29" s="1"/>
  <c r="AC30" i="29"/>
  <c r="AB30" i="29"/>
  <c r="V33" i="29"/>
  <c r="AA30" i="29"/>
  <c r="AT30" i="29"/>
  <c r="AT33" i="29" s="1"/>
  <c r="AY27" i="29"/>
  <c r="AY29" i="29" s="1"/>
  <c r="AR29" i="29"/>
  <c r="AY23" i="29"/>
  <c r="AY180" i="29"/>
  <c r="AR187" i="29"/>
  <c r="AY181" i="29"/>
  <c r="AY187" i="29" s="1"/>
  <c r="AZ171" i="29"/>
  <c r="AW200" i="29"/>
  <c r="AW136" i="29"/>
  <c r="AS77" i="29"/>
  <c r="AX201" i="29"/>
  <c r="AX13" i="29"/>
  <c r="AT175" i="29"/>
  <c r="AT180" i="29" s="1"/>
  <c r="AA175" i="29"/>
  <c r="AB175" i="29"/>
  <c r="AB195" i="29" s="1"/>
  <c r="V180" i="29"/>
  <c r="AC175" i="29"/>
  <c r="AB187" i="29"/>
  <c r="AV181" i="29"/>
  <c r="AV187" i="29" s="1"/>
  <c r="V195" i="29"/>
  <c r="AX171" i="29"/>
  <c r="AR195" i="29"/>
  <c r="AY166" i="29"/>
  <c r="AY195" i="29" s="1"/>
  <c r="AB155" i="29"/>
  <c r="AV152" i="29"/>
  <c r="AV155" i="29" s="1"/>
  <c r="AG158" i="29"/>
  <c r="AS158" i="29" s="1"/>
  <c r="AS177" i="29"/>
  <c r="AC171" i="29"/>
  <c r="AW165" i="29"/>
  <c r="AW171" i="29" s="1"/>
  <c r="AS112" i="29"/>
  <c r="AG154" i="29"/>
  <c r="AS154" i="29" s="1"/>
  <c r="AB116" i="29"/>
  <c r="AV111" i="29"/>
  <c r="AV116" i="29" s="1"/>
  <c r="AT122" i="29"/>
  <c r="AC116" i="29"/>
  <c r="AV199" i="29"/>
  <c r="AG112" i="29"/>
  <c r="AR199" i="29"/>
  <c r="AG106" i="29"/>
  <c r="AS106" i="29" s="1"/>
  <c r="AB98" i="29"/>
  <c r="AV93" i="29"/>
  <c r="AV98" i="29" s="1"/>
  <c r="AW137" i="29"/>
  <c r="AW144" i="29" s="1"/>
  <c r="AZ199" i="29"/>
  <c r="AR71" i="29"/>
  <c r="AW93" i="29"/>
  <c r="AW98" i="29" s="1"/>
  <c r="AG72" i="29"/>
  <c r="AA75" i="29"/>
  <c r="AW41" i="29"/>
  <c r="AW44" i="29" s="1"/>
  <c r="AC44" i="29"/>
  <c r="AG66" i="29"/>
  <c r="AS66" i="29" s="1"/>
  <c r="AG108" i="29"/>
  <c r="AS108" i="29" s="1"/>
  <c r="I52" i="29"/>
  <c r="AQ189" i="29"/>
  <c r="AF191" i="29"/>
  <c r="AG58" i="29"/>
  <c r="AS58" i="29" s="1"/>
  <c r="AG65" i="29"/>
  <c r="Q191" i="29"/>
  <c r="V190" i="29" s="1"/>
  <c r="AT55" i="29"/>
  <c r="AC24" i="29"/>
  <c r="AB24" i="29"/>
  <c r="V26" i="29"/>
  <c r="AA24" i="29"/>
  <c r="AT24" i="29"/>
  <c r="AT26" i="29" s="1"/>
  <c r="AG25" i="29"/>
  <c r="AS25" i="29" s="1"/>
  <c r="AY24" i="29"/>
  <c r="AY26" i="29" s="1"/>
  <c r="AY30" i="29"/>
  <c r="AY33" i="29" s="1"/>
  <c r="AG42" i="29"/>
  <c r="AS42" i="29" s="1"/>
  <c r="AQ191" i="29"/>
  <c r="AW46" i="29"/>
  <c r="AW48" i="29" s="1"/>
  <c r="I192" i="29"/>
  <c r="I16" i="29"/>
  <c r="I104" i="29"/>
  <c r="I92" i="29"/>
  <c r="AT200" i="29"/>
  <c r="AT136" i="29"/>
  <c r="BA193" i="29"/>
  <c r="BA86" i="29"/>
  <c r="BA188" i="29" s="1"/>
  <c r="V193" i="29"/>
  <c r="V86" i="29"/>
  <c r="AT81" i="29"/>
  <c r="AC81" i="29"/>
  <c r="AB81" i="29"/>
  <c r="AA81" i="29"/>
  <c r="I75" i="29"/>
  <c r="AS72" i="29"/>
  <c r="AG105" i="29"/>
  <c r="AA110" i="29"/>
  <c r="AS65" i="29"/>
  <c r="AC92" i="29"/>
  <c r="I55" i="29"/>
  <c r="AB64" i="29"/>
  <c r="V67" i="29"/>
  <c r="AA64" i="29"/>
  <c r="AT64" i="29"/>
  <c r="AT67" i="29" s="1"/>
  <c r="AC64" i="29"/>
  <c r="AW52" i="29"/>
  <c r="V198" i="29"/>
  <c r="AB15" i="29"/>
  <c r="AT15" i="29"/>
  <c r="AC15" i="29"/>
  <c r="AA15" i="29"/>
  <c r="AC17" i="29"/>
  <c r="AB17" i="29"/>
  <c r="V19" i="29"/>
  <c r="AA17" i="29"/>
  <c r="AT17" i="29"/>
  <c r="AT19" i="29" s="1"/>
  <c r="I160" i="29"/>
  <c r="AA151" i="29"/>
  <c r="AG145" i="29"/>
  <c r="AG151" i="29" s="1"/>
  <c r="AY152" i="29"/>
  <c r="AY155" i="29" s="1"/>
  <c r="BA151" i="29"/>
  <c r="AG141" i="29"/>
  <c r="AS141" i="29" s="1"/>
  <c r="AV144" i="29"/>
  <c r="AB171" i="29"/>
  <c r="AV165" i="29"/>
  <c r="AV171" i="29" s="1"/>
  <c r="AS103" i="29"/>
  <c r="AY98" i="29"/>
  <c r="AU195" i="29"/>
  <c r="AG157" i="29"/>
  <c r="AS157" i="29" s="1"/>
  <c r="AA200" i="29"/>
  <c r="AA136" i="29"/>
  <c r="AG135" i="29"/>
  <c r="AW112" i="29"/>
  <c r="AW116" i="29" s="1"/>
  <c r="AG96" i="29"/>
  <c r="AS96" i="29" s="1"/>
  <c r="AR98" i="29"/>
  <c r="AW84" i="29"/>
  <c r="AW199" i="29" s="1"/>
  <c r="AA199" i="29"/>
  <c r="AY123" i="29"/>
  <c r="AY128" i="29" s="1"/>
  <c r="AC122" i="29"/>
  <c r="AT98" i="29"/>
  <c r="I67" i="29"/>
  <c r="AS119" i="29"/>
  <c r="AG107" i="29"/>
  <c r="AS107" i="29" s="1"/>
  <c r="AY75" i="29"/>
  <c r="AC63" i="29"/>
  <c r="AW60" i="29"/>
  <c r="AW63" i="29" s="1"/>
  <c r="AG70" i="29"/>
  <c r="AS70" i="29" s="1"/>
  <c r="AS62" i="29"/>
  <c r="AZ69" i="29"/>
  <c r="AZ71" i="29" s="1"/>
  <c r="AR69" i="29"/>
  <c r="AY69" i="29" s="1"/>
  <c r="AY71" i="29" s="1"/>
  <c r="Z191" i="29"/>
  <c r="I86" i="29"/>
  <c r="AV60" i="29"/>
  <c r="AY53" i="29"/>
  <c r="AY55" i="29" s="1"/>
  <c r="AC34" i="29"/>
  <c r="AB34" i="29"/>
  <c r="AT34" i="29"/>
  <c r="AT36" i="29" s="1"/>
  <c r="AA34" i="29"/>
  <c r="V36" i="29"/>
  <c r="AU192" i="29"/>
  <c r="AU16" i="29"/>
  <c r="AB129" i="29"/>
  <c r="AA129" i="29"/>
  <c r="AC129" i="29"/>
  <c r="V134" i="29"/>
  <c r="AT129" i="29"/>
  <c r="AT134" i="29" s="1"/>
  <c r="AG68" i="29"/>
  <c r="AS68" i="29" s="1"/>
  <c r="I59" i="29"/>
  <c r="I23" i="29"/>
  <c r="I198" i="29"/>
  <c r="AF188" i="29"/>
  <c r="AU55" i="29"/>
  <c r="AA52" i="29"/>
  <c r="AG49" i="29"/>
  <c r="AG52" i="29" s="1"/>
  <c r="I36" i="29"/>
  <c r="AW110" i="29"/>
  <c r="AY193" i="29"/>
  <c r="AY86" i="29"/>
  <c r="AA59" i="29"/>
  <c r="AG56" i="29"/>
  <c r="Z188" i="29"/>
  <c r="AR122" i="29"/>
  <c r="AZ174" i="29"/>
  <c r="AR171" i="29"/>
  <c r="AC187" i="29"/>
  <c r="I122" i="29"/>
  <c r="AS117" i="29"/>
  <c r="AX200" i="29"/>
  <c r="AX136" i="29"/>
  <c r="AB128" i="29"/>
  <c r="AG123" i="29"/>
  <c r="AG133" i="29"/>
  <c r="AS133" i="29" s="1"/>
  <c r="AG111" i="29"/>
  <c r="AG116" i="29" s="1"/>
  <c r="AA116" i="29"/>
  <c r="AB199" i="29"/>
  <c r="AW122" i="29"/>
  <c r="AB110" i="29"/>
  <c r="AV105" i="29"/>
  <c r="AV110" i="29" s="1"/>
  <c r="V92" i="29"/>
  <c r="AR193" i="29"/>
  <c r="AV55" i="29"/>
  <c r="AG43" i="29"/>
  <c r="AS43" i="29" s="1"/>
  <c r="AG78" i="29"/>
  <c r="AS78" i="29" s="1"/>
  <c r="AW72" i="29"/>
  <c r="AS47" i="29"/>
  <c r="AB76" i="29"/>
  <c r="AT76" i="29"/>
  <c r="AT80" i="29" s="1"/>
  <c r="AC76" i="29"/>
  <c r="AA76" i="29"/>
  <c r="V80" i="29"/>
  <c r="AZ55" i="29"/>
  <c r="AY201" i="29"/>
  <c r="AY13" i="29"/>
  <c r="I193" i="29"/>
  <c r="AA63" i="29"/>
  <c r="AG60" i="29"/>
  <c r="AR44" i="29"/>
  <c r="V192" i="29"/>
  <c r="AB14" i="29"/>
  <c r="AT14" i="29"/>
  <c r="AC14" i="29"/>
  <c r="AA14" i="29"/>
  <c r="V16" i="29"/>
  <c r="K188" i="29"/>
  <c r="I189" i="29" s="1"/>
  <c r="AY198" i="29"/>
  <c r="AR110" i="29"/>
  <c r="AS79" i="29"/>
  <c r="AW56" i="29"/>
  <c r="AW59" i="29" s="1"/>
  <c r="AS21" i="29"/>
  <c r="AG31" i="29"/>
  <c r="AS31" i="29" s="1"/>
  <c r="AG18" i="29"/>
  <c r="AS18" i="29" s="1"/>
  <c r="AG47" i="29"/>
  <c r="V40" i="29"/>
  <c r="AC37" i="29"/>
  <c r="AB37" i="29"/>
  <c r="AA37" i="29"/>
  <c r="AT37" i="29"/>
  <c r="AT40" i="29" s="1"/>
  <c r="AR36" i="29"/>
  <c r="AZ46" i="29"/>
  <c r="AZ48" i="29" s="1"/>
  <c r="AP48" i="29"/>
  <c r="AP188" i="29" s="1"/>
  <c r="AR189" i="29" s="1"/>
  <c r="AR46" i="29"/>
  <c r="AY46" i="29" s="1"/>
  <c r="BA23" i="29"/>
  <c r="BA198" i="29"/>
  <c r="K191" i="29"/>
  <c r="AA86" i="31" l="1"/>
  <c r="AA40" i="31"/>
  <c r="AG39" i="31"/>
  <c r="AG59" i="29"/>
  <c r="I191" i="29"/>
  <c r="AW23" i="30"/>
  <c r="AX74" i="31"/>
  <c r="AR75" i="31"/>
  <c r="AR302" i="32"/>
  <c r="AG85" i="32"/>
  <c r="AC22" i="32"/>
  <c r="AB305" i="32"/>
  <c r="AT52" i="32"/>
  <c r="AX304" i="32"/>
  <c r="AW31" i="32"/>
  <c r="AW311" i="32"/>
  <c r="AY311" i="32"/>
  <c r="AB40" i="31"/>
  <c r="AV39" i="31"/>
  <c r="AB86" i="31"/>
  <c r="AG127" i="32"/>
  <c r="AS127" i="32" s="1"/>
  <c r="I188" i="29"/>
  <c r="B15" i="47" s="1"/>
  <c r="AG223" i="32"/>
  <c r="AA224" i="32"/>
  <c r="AS118" i="29"/>
  <c r="AT198" i="29"/>
  <c r="AG61" i="29"/>
  <c r="AS61" i="29" s="1"/>
  <c r="I190" i="29"/>
  <c r="AG48" i="29"/>
  <c r="AR190" i="29"/>
  <c r="AV23" i="30"/>
  <c r="V77" i="31"/>
  <c r="AA76" i="31" s="1"/>
  <c r="AR77" i="31"/>
  <c r="I75" i="31"/>
  <c r="AV185" i="32"/>
  <c r="AT108" i="32"/>
  <c r="AT301" i="32" s="1"/>
  <c r="AR196" i="32"/>
  <c r="AU301" i="32"/>
  <c r="AX301" i="32"/>
  <c r="AG43" i="32"/>
  <c r="AA52" i="32"/>
  <c r="AB48" i="29"/>
  <c r="AV46" i="29"/>
  <c r="AV48" i="29" s="1"/>
  <c r="AC86" i="31"/>
  <c r="AC40" i="31"/>
  <c r="AW39" i="31"/>
  <c r="AC224" i="32"/>
  <c r="AW223" i="32"/>
  <c r="AW224" i="32" s="1"/>
  <c r="AB63" i="29"/>
  <c r="V301" i="32"/>
  <c r="AA302" i="32" s="1"/>
  <c r="AU191" i="29"/>
  <c r="AG199" i="29"/>
  <c r="AY105" i="30"/>
  <c r="AV311" i="32"/>
  <c r="AG18" i="32"/>
  <c r="AS18" i="32" s="1"/>
  <c r="AG200" i="32"/>
  <c r="AG210" i="32"/>
  <c r="AS210" i="32" s="1"/>
  <c r="AA104" i="29"/>
  <c r="AG99" i="29"/>
  <c r="AG130" i="29"/>
  <c r="AS130" i="29" s="1"/>
  <c r="AS122" i="29"/>
  <c r="AG57" i="31"/>
  <c r="AV63" i="29"/>
  <c r="AZ193" i="29"/>
  <c r="AT92" i="29"/>
  <c r="AU188" i="29"/>
  <c r="AZ104" i="30"/>
  <c r="AZ103" i="30" s="1"/>
  <c r="AY78" i="31"/>
  <c r="AU77" i="31"/>
  <c r="AU304" i="32"/>
  <c r="AS43" i="32"/>
  <c r="AC306" i="32"/>
  <c r="AC78" i="32"/>
  <c r="AB104" i="29"/>
  <c r="AV99" i="29"/>
  <c r="AV104" i="29" s="1"/>
  <c r="AB22" i="32"/>
  <c r="AV18" i="32"/>
  <c r="AV22" i="32" s="1"/>
  <c r="AB39" i="32"/>
  <c r="AV36" i="32"/>
  <c r="AV39" i="32" s="1"/>
  <c r="AR192" i="29"/>
  <c r="AY15" i="30"/>
  <c r="AS57" i="30"/>
  <c r="AG28" i="31"/>
  <c r="AS28" i="31" s="1"/>
  <c r="I77" i="31"/>
  <c r="AA305" i="32"/>
  <c r="AW36" i="32"/>
  <c r="AW39" i="32" s="1"/>
  <c r="AV145" i="32"/>
  <c r="AB224" i="32"/>
  <c r="AV223" i="32"/>
  <c r="AV224" i="32" s="1"/>
  <c r="AB310" i="32"/>
  <c r="AV102" i="32"/>
  <c r="AV310" i="32" s="1"/>
  <c r="AC104" i="29"/>
  <c r="AW99" i="29"/>
  <c r="AW104" i="29" s="1"/>
  <c r="AS17" i="32"/>
  <c r="AB308" i="32"/>
  <c r="AV116" i="32"/>
  <c r="AA189" i="32"/>
  <c r="AG186" i="32"/>
  <c r="AG263" i="32"/>
  <c r="AG166" i="32"/>
  <c r="AA172" i="32"/>
  <c r="AS139" i="32"/>
  <c r="AS222" i="32"/>
  <c r="AC206" i="32"/>
  <c r="AW201" i="32"/>
  <c r="AW206" i="32" s="1"/>
  <c r="W302" i="32"/>
  <c r="V302" i="32"/>
  <c r="AS80" i="32"/>
  <c r="AS85" i="32" s="1"/>
  <c r="AB97" i="32"/>
  <c r="AV92" i="32"/>
  <c r="AV97" i="32" s="1"/>
  <c r="AA313" i="32"/>
  <c r="AA110" i="32"/>
  <c r="AG109" i="32"/>
  <c r="AS22" i="32"/>
  <c r="AS72" i="32"/>
  <c r="AG22" i="32"/>
  <c r="AB138" i="32"/>
  <c r="AV132" i="32"/>
  <c r="AV138" i="32" s="1"/>
  <c r="AW152" i="32"/>
  <c r="AW158" i="32" s="1"/>
  <c r="AC158" i="32"/>
  <c r="AB307" i="32"/>
  <c r="AV100" i="32"/>
  <c r="AV307" i="32" s="1"/>
  <c r="AC256" i="32"/>
  <c r="AW254" i="32"/>
  <c r="AW256" i="32" s="1"/>
  <c r="AC284" i="32"/>
  <c r="AW278" i="32"/>
  <c r="AW284" i="32" s="1"/>
  <c r="AC312" i="32"/>
  <c r="AW50" i="32"/>
  <c r="AW312" i="32" s="1"/>
  <c r="AZ306" i="32"/>
  <c r="AZ58" i="32"/>
  <c r="AC308" i="32"/>
  <c r="AW116" i="32"/>
  <c r="AA291" i="32"/>
  <c r="AG285" i="32"/>
  <c r="AB108" i="32"/>
  <c r="AV98" i="32"/>
  <c r="AS200" i="32"/>
  <c r="AC172" i="32"/>
  <c r="AW166" i="32"/>
  <c r="AW172" i="32" s="1"/>
  <c r="I301" i="32"/>
  <c r="AG91" i="32"/>
  <c r="AS86" i="32"/>
  <c r="AS91" i="32" s="1"/>
  <c r="AB313" i="32"/>
  <c r="AB110" i="32"/>
  <c r="AV109" i="32"/>
  <c r="AG196" i="32"/>
  <c r="AS190" i="32"/>
  <c r="AS196" i="32" s="1"/>
  <c r="AA253" i="32"/>
  <c r="AG247" i="32"/>
  <c r="AG314" i="32"/>
  <c r="AG13" i="32"/>
  <c r="AS12" i="32"/>
  <c r="AS31" i="32"/>
  <c r="AY305" i="32"/>
  <c r="AY17" i="32"/>
  <c r="AS23" i="32"/>
  <c r="AS27" i="32" s="1"/>
  <c r="AC138" i="32"/>
  <c r="AW132" i="32"/>
  <c r="AW138" i="32" s="1"/>
  <c r="AG277" i="32"/>
  <c r="AS271" i="32"/>
  <c r="AS277" i="32" s="1"/>
  <c r="I303" i="32"/>
  <c r="BA304" i="32"/>
  <c r="AG114" i="32"/>
  <c r="AS111" i="32"/>
  <c r="AS114" i="32" s="1"/>
  <c r="AA307" i="32"/>
  <c r="AG100" i="32"/>
  <c r="AG222" i="32"/>
  <c r="AG185" i="32"/>
  <c r="AS180" i="32"/>
  <c r="AS185" i="32" s="1"/>
  <c r="AS228" i="32"/>
  <c r="AS263" i="32"/>
  <c r="AZ304" i="32"/>
  <c r="AY303" i="32" s="1"/>
  <c r="AA308" i="32"/>
  <c r="AG116" i="32"/>
  <c r="AG121" i="32" s="1"/>
  <c r="AB189" i="32"/>
  <c r="AV186" i="32"/>
  <c r="AV189" i="32" s="1"/>
  <c r="AC108" i="32"/>
  <c r="AW98" i="32"/>
  <c r="AW305" i="32" s="1"/>
  <c r="AG35" i="32"/>
  <c r="AA306" i="32"/>
  <c r="AA304" i="32" s="1"/>
  <c r="AS32" i="32"/>
  <c r="AS35" i="32" s="1"/>
  <c r="AB121" i="32"/>
  <c r="AW17" i="32"/>
  <c r="I304" i="32"/>
  <c r="AS36" i="32"/>
  <c r="AS39" i="32" s="1"/>
  <c r="AG165" i="32"/>
  <c r="AS159" i="32"/>
  <c r="AS165" i="32" s="1"/>
  <c r="AA121" i="32"/>
  <c r="AA97" i="32"/>
  <c r="AG92" i="32"/>
  <c r="AG306" i="32" s="1"/>
  <c r="AC313" i="32"/>
  <c r="AC110" i="32"/>
  <c r="AW109" i="32"/>
  <c r="AS242" i="32"/>
  <c r="AW314" i="32"/>
  <c r="AW13" i="32"/>
  <c r="AR304" i="32"/>
  <c r="AC147" i="32"/>
  <c r="AW146" i="32"/>
  <c r="AW147" i="32" s="1"/>
  <c r="AA138" i="32"/>
  <c r="AG132" i="32"/>
  <c r="AG152" i="32"/>
  <c r="AA158" i="32"/>
  <c r="AG49" i="32"/>
  <c r="AS49" i="32" s="1"/>
  <c r="AS44" i="32"/>
  <c r="AS45" i="32" s="1"/>
  <c r="AG207" i="32"/>
  <c r="AA215" i="32"/>
  <c r="AA256" i="32"/>
  <c r="AG254" i="32"/>
  <c r="V304" i="32"/>
  <c r="AA303" i="32" s="1"/>
  <c r="AA270" i="32"/>
  <c r="AG264" i="32"/>
  <c r="AG298" i="32"/>
  <c r="AB291" i="32"/>
  <c r="AV285" i="32"/>
  <c r="AV291" i="32" s="1"/>
  <c r="AB206" i="32"/>
  <c r="AV201" i="32"/>
  <c r="AV206" i="32" s="1"/>
  <c r="AY54" i="32"/>
  <c r="AR306" i="32"/>
  <c r="AC291" i="32"/>
  <c r="AW285" i="32"/>
  <c r="AW291" i="32" s="1"/>
  <c r="AA108" i="32"/>
  <c r="AG98" i="32"/>
  <c r="AG151" i="32"/>
  <c r="AS148" i="32"/>
  <c r="AS151" i="32" s="1"/>
  <c r="AB172" i="32"/>
  <c r="AV166" i="32"/>
  <c r="AV172" i="32" s="1"/>
  <c r="AA206" i="32"/>
  <c r="AG201" i="32"/>
  <c r="AA312" i="32"/>
  <c r="AG50" i="32"/>
  <c r="AC52" i="32"/>
  <c r="AC301" i="32" s="1"/>
  <c r="AG131" i="32"/>
  <c r="AS126" i="32"/>
  <c r="AS131" i="32" s="1"/>
  <c r="AC97" i="32"/>
  <c r="AW92" i="32"/>
  <c r="AW97" i="32" s="1"/>
  <c r="AT313" i="32"/>
  <c r="AT110" i="32"/>
  <c r="AB253" i="32"/>
  <c r="AV247" i="32"/>
  <c r="AV253" i="32" s="1"/>
  <c r="AS53" i="32"/>
  <c r="AS58" i="32" s="1"/>
  <c r="AT306" i="32"/>
  <c r="AS47" i="32"/>
  <c r="AA147" i="32"/>
  <c r="AG146" i="32"/>
  <c r="AS298" i="32"/>
  <c r="AB158" i="32"/>
  <c r="AV152" i="32"/>
  <c r="AV158" i="32" s="1"/>
  <c r="AB179" i="32"/>
  <c r="AV173" i="32"/>
  <c r="AV179" i="32" s="1"/>
  <c r="AG31" i="32"/>
  <c r="AC307" i="32"/>
  <c r="AW100" i="32"/>
  <c r="AW307" i="32" s="1"/>
  <c r="AB215" i="32"/>
  <c r="AV207" i="32"/>
  <c r="AV215" i="32" s="1"/>
  <c r="AB256" i="32"/>
  <c r="AV254" i="32"/>
  <c r="AV256" i="32" s="1"/>
  <c r="AS246" i="32"/>
  <c r="AG72" i="32"/>
  <c r="AB306" i="32"/>
  <c r="AZ301" i="32"/>
  <c r="AY302" i="32" s="1"/>
  <c r="AG78" i="32"/>
  <c r="AC189" i="32"/>
  <c r="AW186" i="32"/>
  <c r="AW189" i="32" s="1"/>
  <c r="AG235" i="32"/>
  <c r="AS229" i="32"/>
  <c r="AS235" i="32" s="1"/>
  <c r="AC305" i="32"/>
  <c r="AC304" i="32" s="1"/>
  <c r="AB312" i="32"/>
  <c r="AV50" i="32"/>
  <c r="AV312" i="32" s="1"/>
  <c r="AY60" i="32"/>
  <c r="AY65" i="32" s="1"/>
  <c r="AR65" i="32"/>
  <c r="AS73" i="32"/>
  <c r="AS78" i="32" s="1"/>
  <c r="AV314" i="32"/>
  <c r="AV13" i="32"/>
  <c r="AG65" i="32"/>
  <c r="AS59" i="32"/>
  <c r="AS65" i="32" s="1"/>
  <c r="AB52" i="32"/>
  <c r="AT121" i="32"/>
  <c r="AG141" i="32"/>
  <c r="AS141" i="32" s="1"/>
  <c r="AA179" i="32"/>
  <c r="AG173" i="32"/>
  <c r="AT305" i="32"/>
  <c r="BA301" i="32"/>
  <c r="AV72" i="32"/>
  <c r="AG125" i="32"/>
  <c r="AS122" i="32"/>
  <c r="AS125" i="32" s="1"/>
  <c r="AC215" i="32"/>
  <c r="AW207" i="32"/>
  <c r="AW215" i="32" s="1"/>
  <c r="AB284" i="32"/>
  <c r="AV278" i="32"/>
  <c r="AV284" i="32" s="1"/>
  <c r="AB270" i="32"/>
  <c r="AV264" i="32"/>
  <c r="AV270" i="32" s="1"/>
  <c r="AG17" i="32"/>
  <c r="AW247" i="32"/>
  <c r="AW253" i="32" s="1"/>
  <c r="AC253" i="32"/>
  <c r="AR58" i="32"/>
  <c r="AR301" i="32" s="1"/>
  <c r="AY108" i="32"/>
  <c r="AB147" i="32"/>
  <c r="AV146" i="32"/>
  <c r="AV147" i="32" s="1"/>
  <c r="AC179" i="32"/>
  <c r="AW173" i="32"/>
  <c r="AW179" i="32" s="1"/>
  <c r="AG52" i="32"/>
  <c r="AS102" i="32"/>
  <c r="AS310" i="32" s="1"/>
  <c r="I302" i="32"/>
  <c r="AA284" i="32"/>
  <c r="AG278" i="32"/>
  <c r="AG246" i="32"/>
  <c r="AG228" i="32"/>
  <c r="AC270" i="32"/>
  <c r="AW264" i="32"/>
  <c r="AW270" i="32" s="1"/>
  <c r="AG300" i="32"/>
  <c r="AS299" i="32"/>
  <c r="AS300" i="32" s="1"/>
  <c r="AS81" i="31"/>
  <c r="AS48" i="31"/>
  <c r="AT79" i="31"/>
  <c r="AT32" i="31"/>
  <c r="V74" i="31"/>
  <c r="AA75" i="31" s="1"/>
  <c r="AR74" i="31"/>
  <c r="AC79" i="31"/>
  <c r="AC32" i="31"/>
  <c r="AW26" i="31"/>
  <c r="AC84" i="31"/>
  <c r="AW14" i="31"/>
  <c r="AW84" i="31" s="1"/>
  <c r="AX77" i="31"/>
  <c r="AG43" i="31"/>
  <c r="AS41" i="31"/>
  <c r="AS43" i="31" s="1"/>
  <c r="AY81" i="31"/>
  <c r="AG23" i="31"/>
  <c r="AY79" i="31"/>
  <c r="AY32" i="31"/>
  <c r="AY74" i="31" s="1"/>
  <c r="AB78" i="31"/>
  <c r="AB15" i="31"/>
  <c r="AV12" i="31"/>
  <c r="AA79" i="31"/>
  <c r="AG26" i="31"/>
  <c r="AA32" i="31"/>
  <c r="AB38" i="31"/>
  <c r="AV33" i="31"/>
  <c r="AV38" i="31" s="1"/>
  <c r="AA52" i="31"/>
  <c r="AG49" i="31"/>
  <c r="I76" i="31"/>
  <c r="AY43" i="31"/>
  <c r="AC78" i="31"/>
  <c r="AC15" i="31"/>
  <c r="AW12" i="31"/>
  <c r="I74" i="31"/>
  <c r="AU74" i="31"/>
  <c r="AS85" i="31"/>
  <c r="AA19" i="31"/>
  <c r="AG16" i="31"/>
  <c r="BA74" i="31"/>
  <c r="AB73" i="31"/>
  <c r="AV68" i="31"/>
  <c r="AV73" i="31" s="1"/>
  <c r="AS23" i="31"/>
  <c r="AT78" i="31"/>
  <c r="AT77" i="31" s="1"/>
  <c r="AT15" i="31"/>
  <c r="AT74" i="31" s="1"/>
  <c r="AB79" i="31"/>
  <c r="AB32" i="31"/>
  <c r="AV26" i="31"/>
  <c r="AC38" i="31"/>
  <c r="AW33" i="31"/>
  <c r="AW38" i="31" s="1"/>
  <c r="BA77" i="31"/>
  <c r="AA73" i="31"/>
  <c r="AG68" i="31"/>
  <c r="AZ32" i="31"/>
  <c r="AZ74" i="31" s="1"/>
  <c r="AY75" i="31" s="1"/>
  <c r="AZ79" i="31"/>
  <c r="AZ77" i="31" s="1"/>
  <c r="AY76" i="31" s="1"/>
  <c r="AG81" i="31"/>
  <c r="AG48" i="31"/>
  <c r="AA84" i="31"/>
  <c r="AG14" i="31"/>
  <c r="AB19" i="31"/>
  <c r="AV16" i="31"/>
  <c r="AV19" i="31" s="1"/>
  <c r="AG85" i="31"/>
  <c r="AB52" i="31"/>
  <c r="AV49" i="31"/>
  <c r="AV52" i="31" s="1"/>
  <c r="AC73" i="31"/>
  <c r="AW68" i="31"/>
  <c r="AW73" i="31" s="1"/>
  <c r="AG64" i="31"/>
  <c r="AS58" i="31"/>
  <c r="AS64" i="31" s="1"/>
  <c r="AA78" i="31"/>
  <c r="AA15" i="31"/>
  <c r="AG12" i="31"/>
  <c r="AB84" i="31"/>
  <c r="AV14" i="31"/>
  <c r="AV84" i="31" s="1"/>
  <c r="AA38" i="31"/>
  <c r="AG33" i="31"/>
  <c r="AC19" i="31"/>
  <c r="AW16" i="31"/>
  <c r="AW19" i="31" s="1"/>
  <c r="AC52" i="31"/>
  <c r="AW49" i="31"/>
  <c r="AW52" i="31" s="1"/>
  <c r="AG87" i="31"/>
  <c r="AG25" i="31"/>
  <c r="AS24" i="31"/>
  <c r="AB48" i="30"/>
  <c r="AV45" i="30"/>
  <c r="AV48" i="30" s="1"/>
  <c r="AB71" i="30"/>
  <c r="AV66" i="30"/>
  <c r="AV71" i="30" s="1"/>
  <c r="AG99" i="30"/>
  <c r="AY37" i="30"/>
  <c r="AY104" i="30"/>
  <c r="AY103" i="30" s="1"/>
  <c r="AZ100" i="30"/>
  <c r="AG44" i="30"/>
  <c r="AS38" i="30"/>
  <c r="AG81" i="30"/>
  <c r="AB28" i="30"/>
  <c r="AV24" i="30"/>
  <c r="AB105" i="30"/>
  <c r="AV37" i="30"/>
  <c r="AG39" i="30"/>
  <c r="AS39" i="30" s="1"/>
  <c r="V100" i="30"/>
  <c r="AA101" i="30" s="1"/>
  <c r="AR85" i="30"/>
  <c r="AB112" i="30"/>
  <c r="AB30" i="30"/>
  <c r="AV29" i="30"/>
  <c r="AB107" i="30"/>
  <c r="AV32" i="30"/>
  <c r="AV49" i="30"/>
  <c r="AV54" i="30" s="1"/>
  <c r="AB54" i="30"/>
  <c r="AG82" i="30"/>
  <c r="AA85" i="30"/>
  <c r="AG110" i="30"/>
  <c r="AS14" i="30"/>
  <c r="AS110" i="30" s="1"/>
  <c r="AA28" i="30"/>
  <c r="AG24" i="30"/>
  <c r="AR103" i="30"/>
  <c r="AS99" i="30"/>
  <c r="AW39" i="30"/>
  <c r="AW44" i="30" s="1"/>
  <c r="AC44" i="30"/>
  <c r="AB104" i="30"/>
  <c r="AB15" i="30"/>
  <c r="AV12" i="30"/>
  <c r="AT112" i="30"/>
  <c r="AT30" i="30"/>
  <c r="AC107" i="30"/>
  <c r="AW32" i="30"/>
  <c r="BA100" i="30"/>
  <c r="AU100" i="30"/>
  <c r="AG92" i="30"/>
  <c r="I101" i="30"/>
  <c r="AY23" i="30"/>
  <c r="AB44" i="30"/>
  <c r="AV39" i="30"/>
  <c r="AV44" i="30" s="1"/>
  <c r="AB75" i="30"/>
  <c r="AV72" i="30"/>
  <c r="AV75" i="30" s="1"/>
  <c r="AR100" i="30"/>
  <c r="AC28" i="30"/>
  <c r="AC105" i="30"/>
  <c r="AW24" i="30"/>
  <c r="AA104" i="30"/>
  <c r="AG12" i="30"/>
  <c r="AA15" i="30"/>
  <c r="AC75" i="30"/>
  <c r="AW72" i="30"/>
  <c r="AW75" i="30" s="1"/>
  <c r="I103" i="30"/>
  <c r="AT107" i="30"/>
  <c r="AT37" i="30"/>
  <c r="AC48" i="30"/>
  <c r="AW45" i="30"/>
  <c r="AW48" i="30" s="1"/>
  <c r="AG49" i="30"/>
  <c r="AA54" i="30"/>
  <c r="AG66" i="30"/>
  <c r="AA71" i="30"/>
  <c r="AB85" i="30"/>
  <c r="AV82" i="30"/>
  <c r="AV85" i="30" s="1"/>
  <c r="BA103" i="30"/>
  <c r="AY102" i="30" s="1"/>
  <c r="AG23" i="30"/>
  <c r="AS92" i="30"/>
  <c r="AU103" i="30"/>
  <c r="AY100" i="30"/>
  <c r="AS61" i="30"/>
  <c r="AG65" i="30"/>
  <c r="AS62" i="30"/>
  <c r="AS65" i="30" s="1"/>
  <c r="I100" i="30"/>
  <c r="AC104" i="30"/>
  <c r="AW12" i="30"/>
  <c r="AC15" i="30"/>
  <c r="AG72" i="30"/>
  <c r="AA75" i="30"/>
  <c r="AA112" i="30"/>
  <c r="AG29" i="30"/>
  <c r="AA30" i="30"/>
  <c r="AA107" i="30"/>
  <c r="AG32" i="30"/>
  <c r="AW49" i="30"/>
  <c r="AW54" i="30" s="1"/>
  <c r="AC54" i="30"/>
  <c r="AC71" i="30"/>
  <c r="AW66" i="30"/>
  <c r="AW71" i="30" s="1"/>
  <c r="AG37" i="30"/>
  <c r="AS81" i="30"/>
  <c r="AG113" i="30"/>
  <c r="AG17" i="30"/>
  <c r="AS16" i="30"/>
  <c r="AS18" i="30"/>
  <c r="AS111" i="30"/>
  <c r="AT104" i="30"/>
  <c r="AT15" i="30"/>
  <c r="AC112" i="30"/>
  <c r="AC30" i="30"/>
  <c r="AW29" i="30"/>
  <c r="AA48" i="30"/>
  <c r="AG45" i="30"/>
  <c r="AC85" i="30"/>
  <c r="AW82" i="30"/>
  <c r="AW85" i="30" s="1"/>
  <c r="AA105" i="30"/>
  <c r="AG111" i="30"/>
  <c r="AZ188" i="29"/>
  <c r="AY189" i="29" s="1"/>
  <c r="AB192" i="29"/>
  <c r="AB16" i="29"/>
  <c r="AV14" i="29"/>
  <c r="AC80" i="29"/>
  <c r="AW76" i="29"/>
  <c r="AW80" i="29" s="1"/>
  <c r="AG200" i="29"/>
  <c r="AG136" i="29"/>
  <c r="AB19" i="29"/>
  <c r="AV17" i="29"/>
  <c r="AV19" i="29" s="1"/>
  <c r="AB67" i="29"/>
  <c r="AV64" i="29"/>
  <c r="AV67" i="29" s="1"/>
  <c r="AG44" i="29"/>
  <c r="AS41" i="29"/>
  <c r="AS44" i="29" s="1"/>
  <c r="AV136" i="29"/>
  <c r="AV200" i="29"/>
  <c r="AA40" i="29"/>
  <c r="AG37" i="29"/>
  <c r="V191" i="29"/>
  <c r="AA190" i="29" s="1"/>
  <c r="AW129" i="29"/>
  <c r="AW134" i="29" s="1"/>
  <c r="AC134" i="29"/>
  <c r="AC19" i="29"/>
  <c r="AW17" i="29"/>
  <c r="AW19" i="29" s="1"/>
  <c r="AG110" i="29"/>
  <c r="AS105" i="29"/>
  <c r="AS110" i="29" s="1"/>
  <c r="AT193" i="29"/>
  <c r="AT86" i="29"/>
  <c r="AB26" i="29"/>
  <c r="AV24" i="29"/>
  <c r="AV26" i="29" s="1"/>
  <c r="AX188" i="29"/>
  <c r="AQ15" i="47" s="1"/>
  <c r="V188" i="29"/>
  <c r="AA189" i="29" s="1"/>
  <c r="AB29" i="29"/>
  <c r="AV27" i="29"/>
  <c r="AV29" i="29" s="1"/>
  <c r="AG88" i="29"/>
  <c r="AS88" i="29" s="1"/>
  <c r="AG144" i="29"/>
  <c r="AG161" i="29"/>
  <c r="AA164" i="29"/>
  <c r="AG156" i="29"/>
  <c r="AA160" i="29"/>
  <c r="AA92" i="29"/>
  <c r="AG98" i="29"/>
  <c r="AS93" i="29"/>
  <c r="AS98" i="29" s="1"/>
  <c r="AA192" i="29"/>
  <c r="AA16" i="29"/>
  <c r="AG14" i="29"/>
  <c r="AG63" i="29"/>
  <c r="AS60" i="29"/>
  <c r="AS63" i="29" s="1"/>
  <c r="AC193" i="29"/>
  <c r="AC86" i="29"/>
  <c r="AW81" i="29"/>
  <c r="AA201" i="29"/>
  <c r="AG12" i="29"/>
  <c r="AA13" i="29"/>
  <c r="BA191" i="29"/>
  <c r="AB40" i="29"/>
  <c r="AV37" i="29"/>
  <c r="AV40" i="29" s="1"/>
  <c r="AB80" i="29"/>
  <c r="AV76" i="29"/>
  <c r="AV80" i="29" s="1"/>
  <c r="AC75" i="29"/>
  <c r="AG128" i="29"/>
  <c r="AS123" i="29"/>
  <c r="AS128" i="29" s="1"/>
  <c r="AS56" i="29"/>
  <c r="AS59" i="29" s="1"/>
  <c r="AA134" i="29"/>
  <c r="AG129" i="29"/>
  <c r="AA36" i="29"/>
  <c r="AG34" i="29"/>
  <c r="AA198" i="29"/>
  <c r="AG15" i="29"/>
  <c r="AC67" i="29"/>
  <c r="AW64" i="29"/>
  <c r="AW67" i="29" s="1"/>
  <c r="AS53" i="29"/>
  <c r="AS55" i="29" s="1"/>
  <c r="AS87" i="29"/>
  <c r="AC26" i="29"/>
  <c r="AW24" i="29"/>
  <c r="AW26" i="29" s="1"/>
  <c r="AC180" i="29"/>
  <c r="AW175" i="29"/>
  <c r="AC195" i="29"/>
  <c r="AA33" i="29"/>
  <c r="AG30" i="29"/>
  <c r="AY192" i="29"/>
  <c r="AY191" i="29" s="1"/>
  <c r="AY16" i="29"/>
  <c r="AB201" i="29"/>
  <c r="AV12" i="29"/>
  <c r="AB13" i="29"/>
  <c r="AC29" i="29"/>
  <c r="AW27" i="29"/>
  <c r="AW29" i="29" s="1"/>
  <c r="AC164" i="29"/>
  <c r="AW161" i="29"/>
  <c r="AW164" i="29" s="1"/>
  <c r="AS48" i="29"/>
  <c r="AA23" i="29"/>
  <c r="AG20" i="29"/>
  <c r="AG155" i="29"/>
  <c r="AS152" i="29"/>
  <c r="AS155" i="29" s="1"/>
  <c r="AS166" i="29"/>
  <c r="AT195" i="29"/>
  <c r="AY171" i="29"/>
  <c r="AB134" i="29"/>
  <c r="AV129" i="29"/>
  <c r="AV134" i="29" s="1"/>
  <c r="AX191" i="29"/>
  <c r="AC192" i="29"/>
  <c r="AC16" i="29"/>
  <c r="AW14" i="29"/>
  <c r="AW75" i="29"/>
  <c r="AG71" i="29"/>
  <c r="AB36" i="29"/>
  <c r="AV34" i="29"/>
  <c r="AV36" i="29" s="1"/>
  <c r="AR116" i="29"/>
  <c r="AG17" i="29"/>
  <c r="AA19" i="29"/>
  <c r="AS49" i="29"/>
  <c r="AS52" i="29" s="1"/>
  <c r="AB180" i="29"/>
  <c r="AV175" i="29"/>
  <c r="AV30" i="29"/>
  <c r="AV33" i="29" s="1"/>
  <c r="AB33" i="29"/>
  <c r="AB164" i="29"/>
  <c r="AV161" i="29"/>
  <c r="AV164" i="29" s="1"/>
  <c r="AS144" i="29"/>
  <c r="AC160" i="29"/>
  <c r="AW156" i="29"/>
  <c r="AW160" i="29" s="1"/>
  <c r="AG74" i="29"/>
  <c r="AS74" i="29" s="1"/>
  <c r="AS75" i="29" s="1"/>
  <c r="AY48" i="29"/>
  <c r="AG171" i="29"/>
  <c r="AS165" i="29"/>
  <c r="AS171" i="29" s="1"/>
  <c r="AC40" i="29"/>
  <c r="AW37" i="29"/>
  <c r="AW40" i="29" s="1"/>
  <c r="AC198" i="29"/>
  <c r="AW15" i="29"/>
  <c r="AW198" i="29" s="1"/>
  <c r="AR191" i="29"/>
  <c r="AC201" i="29"/>
  <c r="AW12" i="29"/>
  <c r="AC13" i="29"/>
  <c r="AS135" i="29"/>
  <c r="AG174" i="29"/>
  <c r="AS172" i="29"/>
  <c r="AS174" i="29" s="1"/>
  <c r="AB160" i="29"/>
  <c r="AV156" i="29"/>
  <c r="AV160" i="29" s="1"/>
  <c r="V189" i="29"/>
  <c r="W189" i="29"/>
  <c r="AS71" i="29"/>
  <c r="AC23" i="29"/>
  <c r="AW20" i="29"/>
  <c r="AW23" i="29" s="1"/>
  <c r="AA67" i="29"/>
  <c r="AG64" i="29"/>
  <c r="AA193" i="29"/>
  <c r="AG81" i="29"/>
  <c r="AA86" i="29"/>
  <c r="AT192" i="29"/>
  <c r="AT16" i="29"/>
  <c r="AG76" i="29"/>
  <c r="AA80" i="29"/>
  <c r="AC36" i="29"/>
  <c r="AW34" i="29"/>
  <c r="AW36" i="29" s="1"/>
  <c r="AB198" i="29"/>
  <c r="AV15" i="29"/>
  <c r="AB193" i="29"/>
  <c r="AB86" i="29"/>
  <c r="AV81" i="29"/>
  <c r="AA26" i="29"/>
  <c r="AG24" i="29"/>
  <c r="AG175" i="29"/>
  <c r="AA180" i="29"/>
  <c r="AC33" i="29"/>
  <c r="AW30" i="29"/>
  <c r="AW33" i="29" s="1"/>
  <c r="AT201" i="29"/>
  <c r="AT13" i="29"/>
  <c r="AZ192" i="29"/>
  <c r="AZ191" i="29" s="1"/>
  <c r="AY190" i="29" s="1"/>
  <c r="AA29" i="29"/>
  <c r="AG27" i="29"/>
  <c r="AB92" i="29"/>
  <c r="AS145" i="29"/>
  <c r="AS151" i="29" s="1"/>
  <c r="AG187" i="29"/>
  <c r="AS181" i="29"/>
  <c r="AS187" i="29" s="1"/>
  <c r="AB23" i="29"/>
  <c r="AV20" i="29"/>
  <c r="AV23" i="29" s="1"/>
  <c r="AV74" i="29"/>
  <c r="AV75" i="29" s="1"/>
  <c r="AB75" i="29"/>
  <c r="AS111" i="29"/>
  <c r="AS116" i="29" s="1"/>
  <c r="AR48" i="29"/>
  <c r="AR188" i="29" s="1"/>
  <c r="AT103" i="30" l="1"/>
  <c r="AG105" i="30"/>
  <c r="AB100" i="30"/>
  <c r="AC77" i="31"/>
  <c r="AB304" i="32"/>
  <c r="AS99" i="29"/>
  <c r="AS104" i="29" s="1"/>
  <c r="AG104" i="29"/>
  <c r="AG224" i="32"/>
  <c r="AS223" i="32"/>
  <c r="AS224" i="32" s="1"/>
  <c r="AC100" i="30"/>
  <c r="AB103" i="30"/>
  <c r="AA74" i="31"/>
  <c r="AB301" i="32"/>
  <c r="AG311" i="32"/>
  <c r="AW86" i="31"/>
  <c r="AW40" i="31"/>
  <c r="AY188" i="29"/>
  <c r="AV107" i="30"/>
  <c r="AY77" i="31"/>
  <c r="AG305" i="32"/>
  <c r="AG86" i="31"/>
  <c r="AG40" i="31"/>
  <c r="AS39" i="31"/>
  <c r="AA301" i="32"/>
  <c r="AG302" i="32" s="1"/>
  <c r="AG303" i="32"/>
  <c r="AT188" i="29"/>
  <c r="AV86" i="31"/>
  <c r="AV40" i="31"/>
  <c r="AT304" i="32"/>
  <c r="AW306" i="32"/>
  <c r="AW304" i="32" s="1"/>
  <c r="AW313" i="32"/>
  <c r="AW110" i="32"/>
  <c r="AW52" i="32"/>
  <c r="AG256" i="32"/>
  <c r="AS254" i="32"/>
  <c r="AS256" i="32" s="1"/>
  <c r="AG307" i="32"/>
  <c r="AG304" i="32" s="1"/>
  <c r="AS100" i="32"/>
  <c r="AS307" i="32" s="1"/>
  <c r="AG253" i="32"/>
  <c r="AS247" i="32"/>
  <c r="AS253" i="32" s="1"/>
  <c r="AW308" i="32"/>
  <c r="AW121" i="32"/>
  <c r="AG189" i="32"/>
  <c r="AS186" i="32"/>
  <c r="AS189" i="32" s="1"/>
  <c r="AG312" i="32"/>
  <c r="AS50" i="32"/>
  <c r="AS312" i="32" s="1"/>
  <c r="AG158" i="32"/>
  <c r="AS152" i="32"/>
  <c r="AS158" i="32" s="1"/>
  <c r="AS145" i="32"/>
  <c r="AG179" i="32"/>
  <c r="AS173" i="32"/>
  <c r="AS179" i="32" s="1"/>
  <c r="AY58" i="32"/>
  <c r="AY301" i="32" s="1"/>
  <c r="AY306" i="32"/>
  <c r="AY304" i="32" s="1"/>
  <c r="AG138" i="32"/>
  <c r="AS132" i="32"/>
  <c r="AS138" i="32" s="1"/>
  <c r="AG97" i="32"/>
  <c r="AS92" i="32"/>
  <c r="AS97" i="32" s="1"/>
  <c r="AG308" i="32"/>
  <c r="AS116" i="32"/>
  <c r="AS314" i="32"/>
  <c r="AS13" i="32"/>
  <c r="AV108" i="32"/>
  <c r="AV305" i="32"/>
  <c r="AG313" i="32"/>
  <c r="AG110" i="32"/>
  <c r="AS109" i="32"/>
  <c r="AG145" i="32"/>
  <c r="AV308" i="32"/>
  <c r="AV121" i="32"/>
  <c r="AG284" i="32"/>
  <c r="AS278" i="32"/>
  <c r="AS284" i="32" s="1"/>
  <c r="AG147" i="32"/>
  <c r="AS146" i="32"/>
  <c r="AS147" i="32" s="1"/>
  <c r="AG206" i="32"/>
  <c r="AS201" i="32"/>
  <c r="AS206" i="32" s="1"/>
  <c r="AG108" i="32"/>
  <c r="AS98" i="32"/>
  <c r="AG270" i="32"/>
  <c r="AS264" i="32"/>
  <c r="AS270" i="32" s="1"/>
  <c r="AG215" i="32"/>
  <c r="AS207" i="32"/>
  <c r="AS215" i="32" s="1"/>
  <c r="AW108" i="32"/>
  <c r="AV313" i="32"/>
  <c r="AV110" i="32"/>
  <c r="AG291" i="32"/>
  <c r="AS285" i="32"/>
  <c r="AS291" i="32" s="1"/>
  <c r="AV306" i="32"/>
  <c r="AG172" i="32"/>
  <c r="AS166" i="32"/>
  <c r="AS172" i="32" s="1"/>
  <c r="AS311" i="32"/>
  <c r="AV52" i="32"/>
  <c r="AG73" i="31"/>
  <c r="AS68" i="31"/>
  <c r="AS73" i="31" s="1"/>
  <c r="AG38" i="31"/>
  <c r="AS33" i="31"/>
  <c r="AS38" i="31" s="1"/>
  <c r="AV79" i="31"/>
  <c r="AV32" i="31"/>
  <c r="AB77" i="31"/>
  <c r="AG79" i="31"/>
  <c r="AG32" i="31"/>
  <c r="AS26" i="31"/>
  <c r="AG15" i="31"/>
  <c r="AG78" i="31"/>
  <c r="AS12" i="31"/>
  <c r="AG84" i="31"/>
  <c r="AS14" i="31"/>
  <c r="AS84" i="31" s="1"/>
  <c r="AG52" i="31"/>
  <c r="AS49" i="31"/>
  <c r="AS52" i="31" s="1"/>
  <c r="AS87" i="31"/>
  <c r="AS25" i="31"/>
  <c r="AS16" i="31"/>
  <c r="AS19" i="31" s="1"/>
  <c r="AG19" i="31"/>
  <c r="AW78" i="31"/>
  <c r="AW15" i="31"/>
  <c r="AW74" i="31" s="1"/>
  <c r="AV78" i="31"/>
  <c r="AV15" i="31"/>
  <c r="AV74" i="31" s="1"/>
  <c r="AS75" i="31" s="1"/>
  <c r="AW79" i="31"/>
  <c r="AW32" i="31"/>
  <c r="AA77" i="31"/>
  <c r="AC74" i="31"/>
  <c r="AB74" i="31"/>
  <c r="AG75" i="31" s="1"/>
  <c r="AC103" i="30"/>
  <c r="AA100" i="30"/>
  <c r="AG101" i="30" s="1"/>
  <c r="AT100" i="30"/>
  <c r="AG104" i="30"/>
  <c r="AG15" i="30"/>
  <c r="AS12" i="30"/>
  <c r="AS44" i="30"/>
  <c r="AG107" i="30"/>
  <c r="AS32" i="30"/>
  <c r="AG71" i="30"/>
  <c r="AS66" i="30"/>
  <c r="AS71" i="30" s="1"/>
  <c r="AA103" i="30"/>
  <c r="AV104" i="30"/>
  <c r="AV15" i="30"/>
  <c r="AV112" i="30"/>
  <c r="AV30" i="30"/>
  <c r="AW28" i="30"/>
  <c r="AW105" i="30"/>
  <c r="AG85" i="30"/>
  <c r="AS82" i="30"/>
  <c r="AS85" i="30" s="1"/>
  <c r="AY101" i="30"/>
  <c r="AS23" i="30"/>
  <c r="AG54" i="30"/>
  <c r="AS49" i="30"/>
  <c r="AS54" i="30" s="1"/>
  <c r="AG48" i="30"/>
  <c r="AS45" i="30"/>
  <c r="AS48" i="30" s="1"/>
  <c r="AG75" i="30"/>
  <c r="AS72" i="30"/>
  <c r="AS75" i="30" s="1"/>
  <c r="AW112" i="30"/>
  <c r="AW30" i="30"/>
  <c r="AW107" i="30"/>
  <c r="AG28" i="30"/>
  <c r="AS24" i="30"/>
  <c r="AS28" i="30" s="1"/>
  <c r="AV28" i="30"/>
  <c r="AV105" i="30"/>
  <c r="AS113" i="30"/>
  <c r="AS17" i="30"/>
  <c r="AG112" i="30"/>
  <c r="AG30" i="30"/>
  <c r="AS29" i="30"/>
  <c r="AW104" i="30"/>
  <c r="AW15" i="30"/>
  <c r="AW37" i="30"/>
  <c r="AG67" i="29"/>
  <c r="AS64" i="29"/>
  <c r="AS67" i="29" s="1"/>
  <c r="AG19" i="29"/>
  <c r="AS17" i="29"/>
  <c r="AS19" i="29" s="1"/>
  <c r="AW192" i="29"/>
  <c r="AW16" i="29"/>
  <c r="AG23" i="29"/>
  <c r="AS20" i="29"/>
  <c r="AS23" i="29" s="1"/>
  <c r="AG33" i="29"/>
  <c r="AS30" i="29"/>
  <c r="AS33" i="29" s="1"/>
  <c r="AG198" i="29"/>
  <c r="AS15" i="29"/>
  <c r="AS198" i="29" s="1"/>
  <c r="AG192" i="29"/>
  <c r="AG16" i="29"/>
  <c r="AS14" i="29"/>
  <c r="AG26" i="29"/>
  <c r="AS24" i="29"/>
  <c r="AS26" i="29" s="1"/>
  <c r="AV198" i="29"/>
  <c r="AW201" i="29"/>
  <c r="AW13" i="29"/>
  <c r="AB188" i="29"/>
  <c r="AS92" i="29"/>
  <c r="AW193" i="29"/>
  <c r="AW86" i="29"/>
  <c r="AG160" i="29"/>
  <c r="AS156" i="29"/>
  <c r="AS160" i="29" s="1"/>
  <c r="AV192" i="29"/>
  <c r="AV16" i="29"/>
  <c r="AG201" i="29"/>
  <c r="AG13" i="29"/>
  <c r="AS12" i="29"/>
  <c r="AG180" i="29"/>
  <c r="AS175" i="29"/>
  <c r="AS180" i="29" s="1"/>
  <c r="AG80" i="29"/>
  <c r="AS76" i="29"/>
  <c r="AS80" i="29" s="1"/>
  <c r="AC188" i="29"/>
  <c r="AT191" i="29"/>
  <c r="AV201" i="29"/>
  <c r="AV13" i="29"/>
  <c r="AG36" i="29"/>
  <c r="AS34" i="29"/>
  <c r="AS36" i="29" s="1"/>
  <c r="AG92" i="29"/>
  <c r="AA191" i="29"/>
  <c r="AV180" i="29"/>
  <c r="AV195" i="29"/>
  <c r="AG195" i="29"/>
  <c r="AG164" i="29"/>
  <c r="AS161" i="29"/>
  <c r="AS164" i="29" s="1"/>
  <c r="AB191" i="29"/>
  <c r="AS200" i="29"/>
  <c r="AS136" i="29"/>
  <c r="AC191" i="29"/>
  <c r="AW180" i="29"/>
  <c r="AW195" i="29"/>
  <c r="AG29" i="29"/>
  <c r="AS27" i="29"/>
  <c r="AS29" i="29" s="1"/>
  <c r="AV193" i="29"/>
  <c r="AV86" i="29"/>
  <c r="AG193" i="29"/>
  <c r="AG86" i="29"/>
  <c r="AS81" i="29"/>
  <c r="AG134" i="29"/>
  <c r="AS129" i="29"/>
  <c r="AS134" i="29" s="1"/>
  <c r="AA188" i="29"/>
  <c r="AG75" i="29"/>
  <c r="AG40" i="29"/>
  <c r="AS37" i="29"/>
  <c r="AS40" i="29" s="1"/>
  <c r="AG301" i="32" l="1"/>
  <c r="AS108" i="32"/>
  <c r="AS86" i="31"/>
  <c r="AS40" i="31"/>
  <c r="AV100" i="30"/>
  <c r="AW301" i="32"/>
  <c r="AS305" i="32"/>
  <c r="AG102" i="30"/>
  <c r="AV77" i="31"/>
  <c r="AG189" i="29"/>
  <c r="AV301" i="32"/>
  <c r="AS308" i="32"/>
  <c r="AS121" i="32"/>
  <c r="AS306" i="32"/>
  <c r="AV304" i="32"/>
  <c r="AS303" i="32" s="1"/>
  <c r="AS52" i="32"/>
  <c r="AS313" i="32"/>
  <c r="AS110" i="32"/>
  <c r="AS79" i="31"/>
  <c r="AS32" i="31"/>
  <c r="AS78" i="31"/>
  <c r="AS15" i="31"/>
  <c r="AG76" i="31"/>
  <c r="AW77" i="31"/>
  <c r="AS76" i="31" s="1"/>
  <c r="AG77" i="31"/>
  <c r="AG74" i="31"/>
  <c r="AG103" i="30"/>
  <c r="AW100" i="30"/>
  <c r="AS101" i="30" s="1"/>
  <c r="AV103" i="30"/>
  <c r="AW103" i="30"/>
  <c r="AS112" i="30"/>
  <c r="AS30" i="30"/>
  <c r="AS104" i="30"/>
  <c r="AS15" i="30"/>
  <c r="AS105" i="30"/>
  <c r="AG100" i="30"/>
  <c r="AS107" i="30"/>
  <c r="AS37" i="30"/>
  <c r="AV188" i="29"/>
  <c r="AW191" i="29"/>
  <c r="AV191" i="29"/>
  <c r="AS193" i="29"/>
  <c r="AS86" i="29"/>
  <c r="AG190" i="29"/>
  <c r="AS195" i="29"/>
  <c r="AW188" i="29"/>
  <c r="AS192" i="29"/>
  <c r="AS16" i="29"/>
  <c r="AS190" i="29"/>
  <c r="AS201" i="29"/>
  <c r="AS13" i="29"/>
  <c r="AG188" i="29"/>
  <c r="AG191" i="29"/>
  <c r="AS102" i="30" l="1"/>
  <c r="AS302" i="32"/>
  <c r="AS100" i="30"/>
  <c r="AS74" i="31"/>
  <c r="AS301" i="32"/>
  <c r="AS77" i="31"/>
  <c r="AS304" i="32"/>
  <c r="AS103" i="30"/>
  <c r="AS191" i="29"/>
  <c r="AS188" i="29"/>
  <c r="AL15" i="47" s="1"/>
  <c r="AS189" i="29"/>
  <c r="AJ462" i="43" l="1"/>
  <c r="AJ458" i="43"/>
  <c r="AJ455" i="43"/>
  <c r="AJ448" i="43"/>
  <c r="AJ441" i="43"/>
  <c r="AJ434" i="43"/>
  <c r="AJ427" i="43"/>
  <c r="AJ420" i="43"/>
  <c r="AJ413" i="43"/>
  <c r="AJ406" i="43"/>
  <c r="AJ399" i="43"/>
  <c r="AJ392" i="43"/>
  <c r="AJ388" i="43"/>
  <c r="AJ382" i="43"/>
  <c r="AJ375" i="43"/>
  <c r="AJ373" i="43"/>
  <c r="AJ369" i="43"/>
  <c r="AJ362" i="43"/>
  <c r="AJ357" i="43"/>
  <c r="AJ350" i="43"/>
  <c r="AJ344" i="43"/>
  <c r="AJ335" i="43"/>
  <c r="AJ332" i="43"/>
  <c r="AJ328" i="43"/>
  <c r="AJ324" i="43"/>
  <c r="AJ322" i="43"/>
  <c r="AJ316" i="43"/>
  <c r="AJ312" i="43"/>
  <c r="AJ305" i="43"/>
  <c r="AJ298" i="43"/>
  <c r="AJ296" i="43"/>
  <c r="AJ288" i="43"/>
  <c r="AJ283" i="43"/>
  <c r="AJ276" i="43"/>
  <c r="AJ272" i="43"/>
  <c r="AJ266" i="43"/>
  <c r="AJ262" i="43"/>
  <c r="AJ258" i="43"/>
  <c r="AJ256" i="43"/>
  <c r="AJ249" i="43"/>
  <c r="AJ243" i="43"/>
  <c r="AJ237" i="43"/>
  <c r="AJ231" i="43"/>
  <c r="AJ225" i="43"/>
  <c r="AJ219" i="43"/>
  <c r="AJ213" i="43"/>
  <c r="AJ206" i="43"/>
  <c r="AJ200" i="43"/>
  <c r="AJ194" i="43"/>
  <c r="AJ187" i="43"/>
  <c r="AJ180" i="43"/>
  <c r="AJ174" i="43"/>
  <c r="AJ168" i="43"/>
  <c r="AJ162" i="43"/>
  <c r="AJ157" i="43"/>
  <c r="AJ151" i="43"/>
  <c r="AJ145" i="43"/>
  <c r="AJ139" i="43"/>
  <c r="AJ132" i="43"/>
  <c r="AJ125" i="43"/>
  <c r="AJ120" i="43"/>
  <c r="AJ116" i="43"/>
  <c r="AJ113" i="43"/>
  <c r="AJ109" i="43"/>
  <c r="AJ105" i="43"/>
  <c r="AJ102" i="43"/>
  <c r="AJ98" i="43"/>
  <c r="AJ94" i="43"/>
  <c r="AJ90" i="43"/>
  <c r="AJ86" i="43"/>
  <c r="AJ82" i="43"/>
  <c r="AJ79" i="43"/>
  <c r="AJ75" i="43"/>
  <c r="AJ70" i="43"/>
  <c r="AJ67" i="43"/>
  <c r="AJ63" i="43"/>
  <c r="AJ59" i="43"/>
  <c r="AJ55" i="43"/>
  <c r="AJ52" i="43"/>
  <c r="AJ49" i="43"/>
  <c r="AJ46" i="43"/>
  <c r="AJ42" i="43"/>
  <c r="AJ39" i="43"/>
  <c r="AJ35" i="43"/>
  <c r="AJ31" i="43"/>
  <c r="AJ27" i="43"/>
  <c r="AJ22" i="43"/>
  <c r="AJ18" i="43"/>
  <c r="AJ13" i="43"/>
  <c r="AD462" i="43"/>
  <c r="AD458" i="43"/>
  <c r="AD455" i="43"/>
  <c r="AD448" i="43"/>
  <c r="AD441" i="43"/>
  <c r="AD434" i="43"/>
  <c r="AD427" i="43"/>
  <c r="AD420" i="43"/>
  <c r="AD413" i="43"/>
  <c r="AD406" i="43"/>
  <c r="AD399" i="43"/>
  <c r="AD392" i="43"/>
  <c r="AD388" i="43"/>
  <c r="AD382" i="43"/>
  <c r="AD375" i="43"/>
  <c r="AD373" i="43"/>
  <c r="AD369" i="43"/>
  <c r="AD362" i="43"/>
  <c r="AD357" i="43"/>
  <c r="AD350" i="43"/>
  <c r="AD344" i="43"/>
  <c r="AD335" i="43"/>
  <c r="AD332" i="43"/>
  <c r="AD328" i="43"/>
  <c r="AD324" i="43"/>
  <c r="AD322" i="43"/>
  <c r="AD316" i="43"/>
  <c r="AD312" i="43"/>
  <c r="AD305" i="43"/>
  <c r="AD298" i="43"/>
  <c r="AD296" i="43"/>
  <c r="AD288" i="43"/>
  <c r="AD283" i="43"/>
  <c r="AD276" i="43"/>
  <c r="AD272" i="43"/>
  <c r="AD266" i="43"/>
  <c r="AD262" i="43"/>
  <c r="AD258" i="43"/>
  <c r="AD256" i="43"/>
  <c r="AD249" i="43"/>
  <c r="AD243" i="43"/>
  <c r="AD237" i="43"/>
  <c r="AD231" i="43"/>
  <c r="AD225" i="43"/>
  <c r="AD219" i="43"/>
  <c r="AD213" i="43"/>
  <c r="AD206" i="43"/>
  <c r="AD200" i="43"/>
  <c r="AD194" i="43"/>
  <c r="AD187" i="43"/>
  <c r="AD180" i="43"/>
  <c r="AD174" i="43"/>
  <c r="AD168" i="43"/>
  <c r="AD162" i="43"/>
  <c r="AD157" i="43"/>
  <c r="AD151" i="43"/>
  <c r="AD145" i="43"/>
  <c r="AD139" i="43"/>
  <c r="AD132" i="43"/>
  <c r="AD125" i="43"/>
  <c r="AD120" i="43"/>
  <c r="AD116" i="43"/>
  <c r="AD113" i="43"/>
  <c r="AD109" i="43"/>
  <c r="AD105" i="43"/>
  <c r="AD102" i="43"/>
  <c r="AD98" i="43"/>
  <c r="AD94" i="43"/>
  <c r="AD90" i="43"/>
  <c r="AD86" i="43"/>
  <c r="AD82" i="43"/>
  <c r="AD79" i="43"/>
  <c r="AD75" i="43"/>
  <c r="AD70" i="43"/>
  <c r="AD67" i="43"/>
  <c r="AD63" i="43"/>
  <c r="AD59" i="43"/>
  <c r="AD55" i="43"/>
  <c r="AD52" i="43"/>
  <c r="AD49" i="43"/>
  <c r="AD46" i="43"/>
  <c r="AD42" i="43"/>
  <c r="AD39" i="43"/>
  <c r="AD35" i="43"/>
  <c r="AD31" i="43"/>
  <c r="AD27" i="43"/>
  <c r="AD22" i="43"/>
  <c r="AD18" i="43"/>
  <c r="AD13" i="43"/>
  <c r="R462" i="43"/>
  <c r="R458" i="43"/>
  <c r="R455" i="43"/>
  <c r="R448" i="43"/>
  <c r="R441" i="43"/>
  <c r="R434" i="43"/>
  <c r="R427" i="43"/>
  <c r="R420" i="43"/>
  <c r="R413" i="43"/>
  <c r="R406" i="43"/>
  <c r="R399" i="43"/>
  <c r="R392" i="43"/>
  <c r="R388" i="43"/>
  <c r="R382" i="43"/>
  <c r="R375" i="43"/>
  <c r="R373" i="43"/>
  <c r="R369" i="43"/>
  <c r="R362" i="43"/>
  <c r="R357" i="43"/>
  <c r="R350" i="43"/>
  <c r="R344" i="43"/>
  <c r="R335" i="43"/>
  <c r="R332" i="43"/>
  <c r="R328" i="43"/>
  <c r="R324" i="43"/>
  <c r="R322" i="43"/>
  <c r="R316" i="43"/>
  <c r="R312" i="43"/>
  <c r="R305" i="43"/>
  <c r="R298" i="43"/>
  <c r="R296" i="43"/>
  <c r="R288" i="43"/>
  <c r="R283" i="43"/>
  <c r="R276" i="43"/>
  <c r="R272" i="43"/>
  <c r="R266" i="43"/>
  <c r="R262" i="43"/>
  <c r="R258" i="43"/>
  <c r="R256" i="43"/>
  <c r="R249" i="43"/>
  <c r="R243" i="43"/>
  <c r="R237" i="43"/>
  <c r="R231" i="43"/>
  <c r="R225" i="43"/>
  <c r="R219" i="43"/>
  <c r="R213" i="43"/>
  <c r="R206" i="43"/>
  <c r="R200" i="43"/>
  <c r="R194" i="43"/>
  <c r="R187" i="43"/>
  <c r="R180" i="43"/>
  <c r="R174" i="43"/>
  <c r="R168" i="43"/>
  <c r="R162" i="43"/>
  <c r="R157" i="43"/>
  <c r="R151" i="43"/>
  <c r="R145" i="43"/>
  <c r="R139" i="43"/>
  <c r="R132" i="43"/>
  <c r="R125" i="43"/>
  <c r="R120" i="43"/>
  <c r="R116" i="43"/>
  <c r="R113" i="43"/>
  <c r="R109" i="43"/>
  <c r="R105" i="43"/>
  <c r="R102" i="43"/>
  <c r="R98" i="43"/>
  <c r="R94" i="43"/>
  <c r="R90" i="43"/>
  <c r="R86" i="43"/>
  <c r="R82" i="43"/>
  <c r="R79" i="43"/>
  <c r="R75" i="43"/>
  <c r="R70" i="43"/>
  <c r="R67" i="43"/>
  <c r="R63" i="43"/>
  <c r="R59" i="43"/>
  <c r="R55" i="43"/>
  <c r="R52" i="43"/>
  <c r="R49" i="43"/>
  <c r="R46" i="43"/>
  <c r="R42" i="43"/>
  <c r="R39" i="43"/>
  <c r="R35" i="43"/>
  <c r="R31" i="43"/>
  <c r="R27" i="43"/>
  <c r="R22" i="43"/>
  <c r="R18" i="43"/>
  <c r="R13" i="43"/>
  <c r="AJ130" i="44"/>
  <c r="AJ124" i="44"/>
  <c r="AJ115" i="44"/>
  <c r="AJ113" i="44"/>
  <c r="AJ107" i="44"/>
  <c r="AJ105" i="44"/>
  <c r="AJ101" i="44"/>
  <c r="AJ95" i="44"/>
  <c r="AJ91" i="44"/>
  <c r="AJ84" i="44"/>
  <c r="AJ77" i="44"/>
  <c r="AJ70" i="44"/>
  <c r="AJ63" i="44"/>
  <c r="AJ56" i="44"/>
  <c r="AJ49" i="44"/>
  <c r="AJ42" i="44"/>
  <c r="AJ35" i="44"/>
  <c r="AJ28" i="44"/>
  <c r="AJ19" i="44"/>
  <c r="AJ13" i="44"/>
  <c r="AD130" i="44"/>
  <c r="AD124" i="44"/>
  <c r="AD115" i="44"/>
  <c r="AD113" i="44"/>
  <c r="AD107" i="44"/>
  <c r="AD105" i="44"/>
  <c r="AD101" i="44"/>
  <c r="AD95" i="44"/>
  <c r="AD91" i="44"/>
  <c r="AD84" i="44"/>
  <c r="AD77" i="44"/>
  <c r="AD70" i="44"/>
  <c r="AD63" i="44"/>
  <c r="AD56" i="44"/>
  <c r="AD49" i="44"/>
  <c r="AD42" i="44"/>
  <c r="AD35" i="44"/>
  <c r="AD28" i="44"/>
  <c r="AD19" i="44"/>
  <c r="AD13" i="44"/>
  <c r="R130" i="44"/>
  <c r="R124" i="44"/>
  <c r="R115" i="44"/>
  <c r="R113" i="44"/>
  <c r="R107" i="44"/>
  <c r="R105" i="44"/>
  <c r="R101" i="44"/>
  <c r="R95" i="44"/>
  <c r="R91" i="44"/>
  <c r="R84" i="44"/>
  <c r="R77" i="44"/>
  <c r="R70" i="44"/>
  <c r="R63" i="44"/>
  <c r="R56" i="44"/>
  <c r="R49" i="44"/>
  <c r="R42" i="44"/>
  <c r="R35" i="44"/>
  <c r="R28" i="44"/>
  <c r="R19" i="44"/>
  <c r="R13" i="44"/>
  <c r="AI130" i="44" l="1"/>
  <c r="AH130" i="44"/>
  <c r="AI124" i="44"/>
  <c r="AH124" i="44"/>
  <c r="AI115" i="44"/>
  <c r="AH115" i="44"/>
  <c r="AI113" i="44"/>
  <c r="AH113" i="44"/>
  <c r="AI107" i="44"/>
  <c r="AH107" i="44"/>
  <c r="AI105" i="44"/>
  <c r="AH105" i="44"/>
  <c r="AI101" i="44"/>
  <c r="AH101" i="44"/>
  <c r="AI95" i="44"/>
  <c r="AH95" i="44"/>
  <c r="AI91" i="44"/>
  <c r="AH91" i="44"/>
  <c r="AI84" i="44"/>
  <c r="AH84" i="44"/>
  <c r="AI77" i="44"/>
  <c r="AH77" i="44"/>
  <c r="AI70" i="44"/>
  <c r="AH70" i="44"/>
  <c r="AI63" i="44"/>
  <c r="AH63" i="44"/>
  <c r="AI56" i="44"/>
  <c r="AH56" i="44"/>
  <c r="AI49" i="44"/>
  <c r="AH49" i="44"/>
  <c r="AI42" i="44"/>
  <c r="AH42" i="44"/>
  <c r="AI35" i="44"/>
  <c r="AH35" i="44"/>
  <c r="AI28" i="44"/>
  <c r="AH28" i="44"/>
  <c r="AI19" i="44"/>
  <c r="AH19" i="44"/>
  <c r="AI13" i="44"/>
  <c r="AH13" i="44"/>
  <c r="W130" i="44"/>
  <c r="W124" i="44"/>
  <c r="W115" i="44"/>
  <c r="W113" i="44"/>
  <c r="W107" i="44"/>
  <c r="W105" i="44"/>
  <c r="W101" i="44"/>
  <c r="W95" i="44"/>
  <c r="W91" i="44"/>
  <c r="W84" i="44"/>
  <c r="W77" i="44"/>
  <c r="W70" i="44"/>
  <c r="W63" i="44"/>
  <c r="W56" i="44"/>
  <c r="W49" i="44"/>
  <c r="W42" i="44"/>
  <c r="W35" i="44"/>
  <c r="W28" i="44"/>
  <c r="W19" i="44"/>
  <c r="W13" i="44"/>
  <c r="AI462" i="43"/>
  <c r="AH462" i="43"/>
  <c r="AI458" i="43"/>
  <c r="AH458" i="43"/>
  <c r="AI455" i="43"/>
  <c r="AH455" i="43"/>
  <c r="AI448" i="43"/>
  <c r="AH448" i="43"/>
  <c r="AI441" i="43"/>
  <c r="AH441" i="43"/>
  <c r="AI434" i="43"/>
  <c r="AH434" i="43"/>
  <c r="AI427" i="43"/>
  <c r="AH427" i="43"/>
  <c r="AI420" i="43"/>
  <c r="AH420" i="43"/>
  <c r="AI413" i="43"/>
  <c r="AH413" i="43"/>
  <c r="AI406" i="43"/>
  <c r="AH406" i="43"/>
  <c r="AI399" i="43"/>
  <c r="AH399" i="43"/>
  <c r="AI392" i="43"/>
  <c r="AH392" i="43"/>
  <c r="AI388" i="43"/>
  <c r="AH388" i="43"/>
  <c r="AI382" i="43"/>
  <c r="AH382" i="43"/>
  <c r="AI375" i="43"/>
  <c r="AH375" i="43"/>
  <c r="AI373" i="43"/>
  <c r="AH373" i="43"/>
  <c r="AI369" i="43"/>
  <c r="AH369" i="43"/>
  <c r="AI362" i="43"/>
  <c r="AH362" i="43"/>
  <c r="AI357" i="43"/>
  <c r="AH357" i="43"/>
  <c r="AI350" i="43"/>
  <c r="AH350" i="43"/>
  <c r="AI344" i="43"/>
  <c r="AH344" i="43"/>
  <c r="AI335" i="43"/>
  <c r="AH335" i="43"/>
  <c r="AI332" i="43"/>
  <c r="AH332" i="43"/>
  <c r="AI328" i="43"/>
  <c r="AH328" i="43"/>
  <c r="AI324" i="43"/>
  <c r="AH324" i="43"/>
  <c r="AI322" i="43"/>
  <c r="AH322" i="43"/>
  <c r="AI316" i="43"/>
  <c r="AH316" i="43"/>
  <c r="AI312" i="43"/>
  <c r="AH312" i="43"/>
  <c r="AI305" i="43"/>
  <c r="AH305" i="43"/>
  <c r="AI298" i="43"/>
  <c r="AH298" i="43"/>
  <c r="AI296" i="43"/>
  <c r="AH296" i="43"/>
  <c r="AI288" i="43"/>
  <c r="AH288" i="43"/>
  <c r="AI283" i="43"/>
  <c r="AH283" i="43"/>
  <c r="AI276" i="43"/>
  <c r="AH276" i="43"/>
  <c r="AI272" i="43"/>
  <c r="AH272" i="43"/>
  <c r="AI266" i="43"/>
  <c r="AH266" i="43"/>
  <c r="AI262" i="43"/>
  <c r="AH262" i="43"/>
  <c r="AI258" i="43"/>
  <c r="AH258" i="43"/>
  <c r="AI256" i="43"/>
  <c r="AH256" i="43"/>
  <c r="AI249" i="43"/>
  <c r="AH249" i="43"/>
  <c r="AI243" i="43"/>
  <c r="AH243" i="43"/>
  <c r="AI237" i="43"/>
  <c r="AH237" i="43"/>
  <c r="AI231" i="43"/>
  <c r="AH231" i="43"/>
  <c r="AI225" i="43"/>
  <c r="AH225" i="43"/>
  <c r="AI219" i="43"/>
  <c r="AH219" i="43"/>
  <c r="AI213" i="43"/>
  <c r="AH213" i="43"/>
  <c r="AI206" i="43"/>
  <c r="AH206" i="43"/>
  <c r="AI200" i="43"/>
  <c r="AH200" i="43"/>
  <c r="AI194" i="43"/>
  <c r="AH194" i="43"/>
  <c r="AI187" i="43"/>
  <c r="AH187" i="43"/>
  <c r="AI180" i="43"/>
  <c r="AH180" i="43"/>
  <c r="AI174" i="43"/>
  <c r="AH174" i="43"/>
  <c r="AI168" i="43"/>
  <c r="AH168" i="43"/>
  <c r="AI162" i="43"/>
  <c r="AH162" i="43"/>
  <c r="AI157" i="43"/>
  <c r="AH157" i="43"/>
  <c r="AI151" i="43"/>
  <c r="AH151" i="43"/>
  <c r="AI145" i="43"/>
  <c r="AH145" i="43"/>
  <c r="AI139" i="43"/>
  <c r="AH139" i="43"/>
  <c r="AI132" i="43"/>
  <c r="AH132" i="43"/>
  <c r="AI125" i="43"/>
  <c r="AH125" i="43"/>
  <c r="AI120" i="43"/>
  <c r="AH120" i="43"/>
  <c r="AI116" i="43"/>
  <c r="AH116" i="43"/>
  <c r="AI113" i="43"/>
  <c r="AH113" i="43"/>
  <c r="AI109" i="43"/>
  <c r="AH109" i="43"/>
  <c r="AI105" i="43"/>
  <c r="AH105" i="43"/>
  <c r="AI102" i="43"/>
  <c r="AH102" i="43"/>
  <c r="AI98" i="43"/>
  <c r="AH98" i="43"/>
  <c r="AI94" i="43"/>
  <c r="AH94" i="43"/>
  <c r="AI90" i="43"/>
  <c r="AH90" i="43"/>
  <c r="AI86" i="43"/>
  <c r="AH86" i="43"/>
  <c r="AI82" i="43"/>
  <c r="AH82" i="43"/>
  <c r="AI79" i="43"/>
  <c r="AH79" i="43"/>
  <c r="AI75" i="43"/>
  <c r="AH75" i="43"/>
  <c r="AI70" i="43"/>
  <c r="AH70" i="43"/>
  <c r="AI67" i="43"/>
  <c r="AH67" i="43"/>
  <c r="AI63" i="43"/>
  <c r="AH63" i="43"/>
  <c r="AI59" i="43"/>
  <c r="AH59" i="43"/>
  <c r="AI55" i="43"/>
  <c r="AH55" i="43"/>
  <c r="AI52" i="43"/>
  <c r="AH52" i="43"/>
  <c r="AI49" i="43"/>
  <c r="AH49" i="43"/>
  <c r="AI46" i="43"/>
  <c r="AH46" i="43"/>
  <c r="AI42" i="43"/>
  <c r="AH42" i="43"/>
  <c r="AI39" i="43"/>
  <c r="AH39" i="43"/>
  <c r="AI35" i="43"/>
  <c r="AH35" i="43"/>
  <c r="AI31" i="43"/>
  <c r="AH31" i="43"/>
  <c r="AI27" i="43"/>
  <c r="AH27" i="43"/>
  <c r="AI22" i="43"/>
  <c r="AH22" i="43"/>
  <c r="AI18" i="43"/>
  <c r="AH18" i="43"/>
  <c r="AI13" i="43"/>
  <c r="AH13" i="43"/>
  <c r="Y462" i="43"/>
  <c r="X462" i="43"/>
  <c r="W462" i="43"/>
  <c r="Y458" i="43"/>
  <c r="X458" i="43"/>
  <c r="W458" i="43"/>
  <c r="Y455" i="43"/>
  <c r="X455" i="43"/>
  <c r="W455" i="43"/>
  <c r="Y448" i="43"/>
  <c r="X448" i="43"/>
  <c r="W448" i="43"/>
  <c r="Y441" i="43"/>
  <c r="X441" i="43"/>
  <c r="W441" i="43"/>
  <c r="Y434" i="43"/>
  <c r="X434" i="43"/>
  <c r="W434" i="43"/>
  <c r="Y427" i="43"/>
  <c r="X427" i="43"/>
  <c r="W427" i="43"/>
  <c r="Y420" i="43"/>
  <c r="X420" i="43"/>
  <c r="W420" i="43"/>
  <c r="Y413" i="43"/>
  <c r="X413" i="43"/>
  <c r="W413" i="43"/>
  <c r="Y406" i="43"/>
  <c r="X406" i="43"/>
  <c r="W406" i="43"/>
  <c r="Y399" i="43"/>
  <c r="X399" i="43"/>
  <c r="W399" i="43"/>
  <c r="Y392" i="43"/>
  <c r="X392" i="43"/>
  <c r="W392" i="43"/>
  <c r="Y388" i="43"/>
  <c r="X388" i="43"/>
  <c r="W388" i="43"/>
  <c r="Y382" i="43"/>
  <c r="X382" i="43"/>
  <c r="W382" i="43"/>
  <c r="Y375" i="43"/>
  <c r="X375" i="43"/>
  <c r="W375" i="43"/>
  <c r="Y373" i="43"/>
  <c r="X373" i="43"/>
  <c r="W373" i="43"/>
  <c r="Y369" i="43"/>
  <c r="X369" i="43"/>
  <c r="W369" i="43"/>
  <c r="Y362" i="43"/>
  <c r="X362" i="43"/>
  <c r="W362" i="43"/>
  <c r="Y357" i="43"/>
  <c r="X357" i="43"/>
  <c r="W357" i="43"/>
  <c r="Y350" i="43"/>
  <c r="X350" i="43"/>
  <c r="W350" i="43"/>
  <c r="Y344" i="43"/>
  <c r="X344" i="43"/>
  <c r="W344" i="43"/>
  <c r="Y335" i="43"/>
  <c r="X335" i="43"/>
  <c r="W335" i="43"/>
  <c r="Y332" i="43"/>
  <c r="X332" i="43"/>
  <c r="W332" i="43"/>
  <c r="Y328" i="43"/>
  <c r="X328" i="43"/>
  <c r="W328" i="43"/>
  <c r="Y324" i="43"/>
  <c r="X324" i="43"/>
  <c r="W324" i="43"/>
  <c r="Y322" i="43"/>
  <c r="X322" i="43"/>
  <c r="W322" i="43"/>
  <c r="Y316" i="43"/>
  <c r="X316" i="43"/>
  <c r="W316" i="43"/>
  <c r="Y312" i="43"/>
  <c r="X312" i="43"/>
  <c r="W312" i="43"/>
  <c r="Y305" i="43"/>
  <c r="X305" i="43"/>
  <c r="W305" i="43"/>
  <c r="Y298" i="43"/>
  <c r="X298" i="43"/>
  <c r="W298" i="43"/>
  <c r="Y296" i="43"/>
  <c r="X296" i="43"/>
  <c r="W296" i="43"/>
  <c r="Y288" i="43"/>
  <c r="X288" i="43"/>
  <c r="W288" i="43"/>
  <c r="Y283" i="43"/>
  <c r="X283" i="43"/>
  <c r="W283" i="43"/>
  <c r="Y276" i="43"/>
  <c r="X276" i="43"/>
  <c r="W276" i="43"/>
  <c r="Y272" i="43"/>
  <c r="X272" i="43"/>
  <c r="W272" i="43"/>
  <c r="Y266" i="43"/>
  <c r="X266" i="43"/>
  <c r="W266" i="43"/>
  <c r="Y262" i="43"/>
  <c r="X262" i="43"/>
  <c r="W262" i="43"/>
  <c r="Y258" i="43"/>
  <c r="X258" i="43"/>
  <c r="W258" i="43"/>
  <c r="Y256" i="43"/>
  <c r="X256" i="43"/>
  <c r="W256" i="43"/>
  <c r="Y249" i="43"/>
  <c r="X249" i="43"/>
  <c r="W249" i="43"/>
  <c r="Y243" i="43"/>
  <c r="X243" i="43"/>
  <c r="W243" i="43"/>
  <c r="Y237" i="43"/>
  <c r="X237" i="43"/>
  <c r="W237" i="43"/>
  <c r="Y231" i="43"/>
  <c r="X231" i="43"/>
  <c r="W231" i="43"/>
  <c r="Y225" i="43"/>
  <c r="X225" i="43"/>
  <c r="W225" i="43"/>
  <c r="Y219" i="43"/>
  <c r="X219" i="43"/>
  <c r="W219" i="43"/>
  <c r="Y213" i="43"/>
  <c r="X213" i="43"/>
  <c r="W213" i="43"/>
  <c r="Y206" i="43"/>
  <c r="X206" i="43"/>
  <c r="W206" i="43"/>
  <c r="Y200" i="43"/>
  <c r="X200" i="43"/>
  <c r="W200" i="43"/>
  <c r="Y194" i="43"/>
  <c r="X194" i="43"/>
  <c r="W194" i="43"/>
  <c r="Y187" i="43"/>
  <c r="X187" i="43"/>
  <c r="W187" i="43"/>
  <c r="Y180" i="43"/>
  <c r="X180" i="43"/>
  <c r="W180" i="43"/>
  <c r="Y174" i="43"/>
  <c r="X174" i="43"/>
  <c r="W174" i="43"/>
  <c r="Y168" i="43"/>
  <c r="X168" i="43"/>
  <c r="W168" i="43"/>
  <c r="Y162" i="43"/>
  <c r="X162" i="43"/>
  <c r="W162" i="43"/>
  <c r="Y157" i="43"/>
  <c r="X157" i="43"/>
  <c r="W157" i="43"/>
  <c r="Y151" i="43"/>
  <c r="X151" i="43"/>
  <c r="W151" i="43"/>
  <c r="Y145" i="43"/>
  <c r="X145" i="43"/>
  <c r="W145" i="43"/>
  <c r="Y139" i="43"/>
  <c r="X139" i="43"/>
  <c r="W139" i="43"/>
  <c r="Y132" i="43"/>
  <c r="X132" i="43"/>
  <c r="W132" i="43"/>
  <c r="Y125" i="43"/>
  <c r="X125" i="43"/>
  <c r="W125" i="43"/>
  <c r="Y120" i="43"/>
  <c r="X120" i="43"/>
  <c r="W120" i="43"/>
  <c r="Y116" i="43"/>
  <c r="X116" i="43"/>
  <c r="W116" i="43"/>
  <c r="Y113" i="43"/>
  <c r="X113" i="43"/>
  <c r="W113" i="43"/>
  <c r="Y109" i="43"/>
  <c r="X109" i="43"/>
  <c r="W109" i="43"/>
  <c r="Y105" i="43"/>
  <c r="X105" i="43"/>
  <c r="W105" i="43"/>
  <c r="Y102" i="43"/>
  <c r="X102" i="43"/>
  <c r="W102" i="43"/>
  <c r="Y98" i="43"/>
  <c r="X98" i="43"/>
  <c r="W98" i="43"/>
  <c r="Y94" i="43"/>
  <c r="X94" i="43"/>
  <c r="W94" i="43"/>
  <c r="Y90" i="43"/>
  <c r="X90" i="43"/>
  <c r="W90" i="43"/>
  <c r="Y86" i="43"/>
  <c r="X86" i="43"/>
  <c r="W86" i="43"/>
  <c r="Y82" i="43"/>
  <c r="X82" i="43"/>
  <c r="W82" i="43"/>
  <c r="Y79" i="43"/>
  <c r="X79" i="43"/>
  <c r="W79" i="43"/>
  <c r="Y75" i="43"/>
  <c r="X75" i="43"/>
  <c r="W75" i="43"/>
  <c r="Y70" i="43"/>
  <c r="X70" i="43"/>
  <c r="W70" i="43"/>
  <c r="Y67" i="43"/>
  <c r="X67" i="43"/>
  <c r="W67" i="43"/>
  <c r="Y63" i="43"/>
  <c r="X63" i="43"/>
  <c r="W63" i="43"/>
  <c r="Y59" i="43"/>
  <c r="X59" i="43"/>
  <c r="W59" i="43"/>
  <c r="Y55" i="43"/>
  <c r="X55" i="43"/>
  <c r="W55" i="43"/>
  <c r="Y52" i="43"/>
  <c r="X52" i="43"/>
  <c r="W52" i="43"/>
  <c r="Y49" i="43"/>
  <c r="X49" i="43"/>
  <c r="W49" i="43"/>
  <c r="Y46" i="43"/>
  <c r="X46" i="43"/>
  <c r="W46" i="43"/>
  <c r="Y42" i="43"/>
  <c r="X42" i="43"/>
  <c r="W42" i="43"/>
  <c r="Y39" i="43"/>
  <c r="X39" i="43"/>
  <c r="W39" i="43"/>
  <c r="Y35" i="43"/>
  <c r="X35" i="43"/>
  <c r="W35" i="43"/>
  <c r="Y31" i="43"/>
  <c r="X31" i="43"/>
  <c r="W31" i="43"/>
  <c r="Y27" i="43"/>
  <c r="X27" i="43"/>
  <c r="W27" i="43"/>
  <c r="Y22" i="43"/>
  <c r="X22" i="43"/>
  <c r="W22" i="43"/>
  <c r="Y18" i="43"/>
  <c r="X18" i="43"/>
  <c r="W18" i="43"/>
  <c r="Y13" i="43"/>
  <c r="X13" i="43"/>
  <c r="W13" i="43"/>
  <c r="Q14" i="43"/>
  <c r="Q15" i="43"/>
  <c r="Q16" i="43"/>
  <c r="Q17" i="43"/>
  <c r="Q19" i="43"/>
  <c r="Q20" i="43"/>
  <c r="Q21" i="43"/>
  <c r="Q23" i="43"/>
  <c r="Q24" i="43"/>
  <c r="Q25" i="43"/>
  <c r="Q26" i="43"/>
  <c r="Q28" i="43"/>
  <c r="Q29" i="43"/>
  <c r="Q30" i="43"/>
  <c r="Q32" i="43"/>
  <c r="Q33" i="43"/>
  <c r="Q34" i="43"/>
  <c r="Q36" i="43"/>
  <c r="Q37" i="43"/>
  <c r="Q38" i="43"/>
  <c r="Q40" i="43"/>
  <c r="Q41" i="43"/>
  <c r="Q43" i="43"/>
  <c r="Q44" i="43"/>
  <c r="Q45" i="43"/>
  <c r="Q47" i="43"/>
  <c r="Q48" i="43"/>
  <c r="Q50" i="43"/>
  <c r="Q51" i="43"/>
  <c r="Q53" i="43"/>
  <c r="Q54" i="43"/>
  <c r="Q56" i="43"/>
  <c r="Q57" i="43"/>
  <c r="Q58" i="43"/>
  <c r="Q60" i="43"/>
  <c r="Q61" i="43"/>
  <c r="Q62" i="43"/>
  <c r="Q64" i="43"/>
  <c r="Q65" i="43"/>
  <c r="Q66" i="43"/>
  <c r="Q68" i="43"/>
  <c r="Q69" i="43"/>
  <c r="Q71" i="43"/>
  <c r="Q72" i="43"/>
  <c r="Q73" i="43"/>
  <c r="Q74" i="43"/>
  <c r="Q76" i="43"/>
  <c r="Q77" i="43"/>
  <c r="Q78" i="43"/>
  <c r="Q80" i="43"/>
  <c r="Q81" i="43"/>
  <c r="Q83" i="43"/>
  <c r="Q84" i="43"/>
  <c r="Q85" i="43"/>
  <c r="Q87" i="43"/>
  <c r="Q88" i="43"/>
  <c r="Q89" i="43"/>
  <c r="Q91" i="43"/>
  <c r="Q92" i="43"/>
  <c r="Q93" i="43"/>
  <c r="Q95" i="43"/>
  <c r="Q96" i="43"/>
  <c r="Q97" i="43"/>
  <c r="Q99" i="43"/>
  <c r="Q100" i="43"/>
  <c r="Q101" i="43"/>
  <c r="Q103" i="43"/>
  <c r="Q104" i="43"/>
  <c r="Q106" i="43"/>
  <c r="Q107" i="43"/>
  <c r="Q108" i="43"/>
  <c r="Q110" i="43"/>
  <c r="Q111" i="43"/>
  <c r="Q112" i="43"/>
  <c r="Q114" i="43"/>
  <c r="Q115" i="43"/>
  <c r="Q117" i="43"/>
  <c r="Q118" i="43"/>
  <c r="Q119" i="43"/>
  <c r="Q121" i="43"/>
  <c r="Q122" i="43"/>
  <c r="Q123" i="43"/>
  <c r="Q124" i="43"/>
  <c r="Q126" i="43"/>
  <c r="Q127" i="43"/>
  <c r="Q128" i="43"/>
  <c r="Q129" i="43"/>
  <c r="Q130" i="43"/>
  <c r="Q131" i="43"/>
  <c r="Q133" i="43"/>
  <c r="Q134" i="43"/>
  <c r="Q135" i="43"/>
  <c r="Q136" i="43"/>
  <c r="Q137" i="43"/>
  <c r="Q138" i="43"/>
  <c r="Q140" i="43"/>
  <c r="Q141" i="43"/>
  <c r="Q142" i="43"/>
  <c r="Q143" i="43"/>
  <c r="Q144" i="43"/>
  <c r="Q146" i="43"/>
  <c r="Q147" i="43"/>
  <c r="Q148" i="43"/>
  <c r="Q149" i="43"/>
  <c r="Q150" i="43"/>
  <c r="Q152" i="43"/>
  <c r="Q153" i="43"/>
  <c r="Q154" i="43"/>
  <c r="Q155" i="43"/>
  <c r="Q156" i="43"/>
  <c r="Q158" i="43"/>
  <c r="Q159" i="43"/>
  <c r="Q160" i="43"/>
  <c r="Q161" i="43"/>
  <c r="Q163" i="43"/>
  <c r="Q164" i="43"/>
  <c r="Q165" i="43"/>
  <c r="Q166" i="43"/>
  <c r="Q167" i="43"/>
  <c r="Q169" i="43"/>
  <c r="Q170" i="43"/>
  <c r="Q171" i="43"/>
  <c r="Q172" i="43"/>
  <c r="Q173" i="43"/>
  <c r="Q175" i="43"/>
  <c r="Q176" i="43"/>
  <c r="Q177" i="43"/>
  <c r="Q178" i="43"/>
  <c r="Q179" i="43"/>
  <c r="Q181" i="43"/>
  <c r="Q182" i="43"/>
  <c r="Q183" i="43"/>
  <c r="Q184" i="43"/>
  <c r="Q185" i="43"/>
  <c r="Q186" i="43"/>
  <c r="Q188" i="43"/>
  <c r="Q189" i="43"/>
  <c r="Q190" i="43"/>
  <c r="Q191" i="43"/>
  <c r="Q192" i="43"/>
  <c r="Q193" i="43"/>
  <c r="Q195" i="43"/>
  <c r="Q196" i="43"/>
  <c r="Q197" i="43"/>
  <c r="Q198" i="43"/>
  <c r="Q199" i="43"/>
  <c r="Q201" i="43"/>
  <c r="Q202" i="43"/>
  <c r="Q203" i="43"/>
  <c r="Q204" i="43"/>
  <c r="Q205" i="43"/>
  <c r="Q207" i="43"/>
  <c r="Q208" i="43"/>
  <c r="Q209" i="43"/>
  <c r="Q210" i="43"/>
  <c r="Q211" i="43"/>
  <c r="Q212" i="43"/>
  <c r="Q214" i="43"/>
  <c r="Q215" i="43"/>
  <c r="Q216" i="43"/>
  <c r="Q217" i="43"/>
  <c r="Q218" i="43"/>
  <c r="Q220" i="43"/>
  <c r="Q221" i="43"/>
  <c r="Q222" i="43"/>
  <c r="Q223" i="43"/>
  <c r="Q224" i="43"/>
  <c r="Q226" i="43"/>
  <c r="Q227" i="43"/>
  <c r="Q228" i="43"/>
  <c r="Q229" i="43"/>
  <c r="Q230" i="43"/>
  <c r="Q232" i="43"/>
  <c r="Q233" i="43"/>
  <c r="Q234" i="43"/>
  <c r="Q235" i="43"/>
  <c r="Q236" i="43"/>
  <c r="Q238" i="43"/>
  <c r="Q239" i="43"/>
  <c r="Q240" i="43"/>
  <c r="Q241" i="43"/>
  <c r="Q242" i="43"/>
  <c r="Q244" i="43"/>
  <c r="Q245" i="43"/>
  <c r="Q246" i="43"/>
  <c r="Q247" i="43"/>
  <c r="Q248" i="43"/>
  <c r="Q250" i="43"/>
  <c r="Q251" i="43"/>
  <c r="Q252" i="43"/>
  <c r="Q253" i="43"/>
  <c r="Q254" i="43"/>
  <c r="Q255" i="43"/>
  <c r="Q257" i="43"/>
  <c r="Q258" i="43" s="1"/>
  <c r="Q259" i="43"/>
  <c r="Q260" i="43"/>
  <c r="Q261" i="43"/>
  <c r="Q263" i="43"/>
  <c r="Q264" i="43"/>
  <c r="Q265" i="43"/>
  <c r="Q267" i="43"/>
  <c r="Q268" i="43"/>
  <c r="Q269" i="43"/>
  <c r="Q270" i="43"/>
  <c r="Q271" i="43"/>
  <c r="Q273" i="43"/>
  <c r="Q274" i="43"/>
  <c r="Q275" i="43"/>
  <c r="Q277" i="43"/>
  <c r="Q278" i="43"/>
  <c r="Q279" i="43"/>
  <c r="Q280" i="43"/>
  <c r="Q281" i="43"/>
  <c r="Q282" i="43"/>
  <c r="Q284" i="43"/>
  <c r="Q285" i="43"/>
  <c r="Q286" i="43"/>
  <c r="Q287" i="43"/>
  <c r="Q289" i="43"/>
  <c r="Q290" i="43"/>
  <c r="Q291" i="43"/>
  <c r="Q292" i="43"/>
  <c r="Q293" i="43"/>
  <c r="Q294" i="43"/>
  <c r="Q295" i="43"/>
  <c r="Q297" i="43"/>
  <c r="Q298" i="43" s="1"/>
  <c r="Q299" i="43"/>
  <c r="Q300" i="43"/>
  <c r="Q301" i="43"/>
  <c r="Q302" i="43"/>
  <c r="Q303" i="43"/>
  <c r="Q304" i="43"/>
  <c r="Q306" i="43"/>
  <c r="Q307" i="43"/>
  <c r="Q308" i="43"/>
  <c r="Q309" i="43"/>
  <c r="Q310" i="43"/>
  <c r="Q311" i="43"/>
  <c r="Q313" i="43"/>
  <c r="Q314" i="43"/>
  <c r="Q315" i="43"/>
  <c r="Q317" i="43"/>
  <c r="Q318" i="43"/>
  <c r="Q319" i="43"/>
  <c r="Q320" i="43"/>
  <c r="Q321" i="43"/>
  <c r="Q323" i="43"/>
  <c r="Q324" i="43" s="1"/>
  <c r="Q325" i="43"/>
  <c r="Q326" i="43"/>
  <c r="Q327" i="43"/>
  <c r="Q329" i="43"/>
  <c r="Q330" i="43"/>
  <c r="Q331" i="43"/>
  <c r="Q333" i="43"/>
  <c r="Q334" i="43"/>
  <c r="Q336" i="43"/>
  <c r="Q337" i="43"/>
  <c r="Q338" i="43"/>
  <c r="Q339" i="43"/>
  <c r="Q340" i="43"/>
  <c r="Q341" i="43"/>
  <c r="Q342" i="43"/>
  <c r="Q343" i="43"/>
  <c r="Q345" i="43"/>
  <c r="Q346" i="43"/>
  <c r="Q347" i="43"/>
  <c r="Q348" i="43"/>
  <c r="Q349" i="43"/>
  <c r="Q351" i="43"/>
  <c r="Q352" i="43"/>
  <c r="Q353" i="43"/>
  <c r="Q354" i="43"/>
  <c r="Q355" i="43"/>
  <c r="Q356" i="43"/>
  <c r="Q358" i="43"/>
  <c r="Q359" i="43"/>
  <c r="Q360" i="43"/>
  <c r="Q361" i="43"/>
  <c r="Q363" i="43"/>
  <c r="Q364" i="43"/>
  <c r="Q365" i="43"/>
  <c r="Q366" i="43"/>
  <c r="Q367" i="43"/>
  <c r="Q368" i="43"/>
  <c r="Q370" i="43"/>
  <c r="Q371" i="43"/>
  <c r="Q372" i="43"/>
  <c r="Q374" i="43"/>
  <c r="Q375" i="43" s="1"/>
  <c r="Q376" i="43"/>
  <c r="Q377" i="43"/>
  <c r="Q378" i="43"/>
  <c r="Q379" i="43"/>
  <c r="Q380" i="43"/>
  <c r="Q381" i="43"/>
  <c r="Q383" i="43"/>
  <c r="Q384" i="43"/>
  <c r="Q385" i="43"/>
  <c r="Q386" i="43"/>
  <c r="Q387" i="43"/>
  <c r="Q389" i="43"/>
  <c r="Q390" i="43"/>
  <c r="Q391" i="43"/>
  <c r="Q393" i="43"/>
  <c r="Q394" i="43"/>
  <c r="Q395" i="43"/>
  <c r="Q396" i="43"/>
  <c r="Q397" i="43"/>
  <c r="Q398" i="43"/>
  <c r="Q400" i="43"/>
  <c r="Q401" i="43"/>
  <c r="Q402" i="43"/>
  <c r="Q403" i="43"/>
  <c r="Q404" i="43"/>
  <c r="Q405" i="43"/>
  <c r="Q407" i="43"/>
  <c r="Q408" i="43"/>
  <c r="Q409" i="43"/>
  <c r="Q410" i="43"/>
  <c r="Q411" i="43"/>
  <c r="Q412" i="43"/>
  <c r="Q414" i="43"/>
  <c r="Q415" i="43"/>
  <c r="Q416" i="43"/>
  <c r="Q417" i="43"/>
  <c r="Q418" i="43"/>
  <c r="Q419" i="43"/>
  <c r="Q421" i="43"/>
  <c r="Q422" i="43"/>
  <c r="Q423" i="43"/>
  <c r="Q424" i="43"/>
  <c r="Q425" i="43"/>
  <c r="Q426" i="43"/>
  <c r="Q428" i="43"/>
  <c r="Q429" i="43"/>
  <c r="Q430" i="43"/>
  <c r="Q431" i="43"/>
  <c r="Q432" i="43"/>
  <c r="Q433" i="43"/>
  <c r="Q435" i="43"/>
  <c r="Q436" i="43"/>
  <c r="Q437" i="43"/>
  <c r="Q438" i="43"/>
  <c r="Q439" i="43"/>
  <c r="Q440" i="43"/>
  <c r="Q442" i="43"/>
  <c r="Q443" i="43"/>
  <c r="Q444" i="43"/>
  <c r="Q445" i="43"/>
  <c r="Q446" i="43"/>
  <c r="Q447" i="43"/>
  <c r="Q449" i="43"/>
  <c r="Q450" i="43"/>
  <c r="Q451" i="43"/>
  <c r="Q452" i="43"/>
  <c r="Q453" i="43"/>
  <c r="Q454" i="43"/>
  <c r="Q456" i="43"/>
  <c r="Q457" i="43"/>
  <c r="Q459" i="43"/>
  <c r="Q460" i="43"/>
  <c r="Q461" i="43"/>
  <c r="K467" i="43"/>
  <c r="L467" i="43"/>
  <c r="K468" i="43"/>
  <c r="L468" i="43"/>
  <c r="K469" i="43"/>
  <c r="L469" i="43"/>
  <c r="K470" i="43"/>
  <c r="L470" i="43"/>
  <c r="K471" i="43"/>
  <c r="L471" i="43"/>
  <c r="K472" i="43"/>
  <c r="L472" i="43"/>
  <c r="K473" i="43"/>
  <c r="L473" i="43"/>
  <c r="K474" i="43"/>
  <c r="L474" i="43"/>
  <c r="K475" i="43"/>
  <c r="L475" i="43"/>
  <c r="K476" i="43"/>
  <c r="L476" i="43"/>
  <c r="K463" i="43"/>
  <c r="D13" i="47" s="1"/>
  <c r="L463" i="43"/>
  <c r="E13" i="47" s="1"/>
  <c r="K135" i="44"/>
  <c r="L135" i="44"/>
  <c r="K136" i="44"/>
  <c r="L136" i="44"/>
  <c r="K137" i="44"/>
  <c r="L137" i="44"/>
  <c r="K138" i="44"/>
  <c r="L138" i="44"/>
  <c r="K139" i="44"/>
  <c r="L139" i="44"/>
  <c r="K140" i="44"/>
  <c r="L140" i="44"/>
  <c r="K141" i="44"/>
  <c r="L141" i="44"/>
  <c r="K142" i="44"/>
  <c r="L142" i="44"/>
  <c r="K143" i="44"/>
  <c r="L143" i="44"/>
  <c r="K144" i="44"/>
  <c r="L144" i="44"/>
  <c r="E33" i="47" l="1"/>
  <c r="E27" i="47"/>
  <c r="E30" i="47"/>
  <c r="D31" i="47"/>
  <c r="D34" i="47"/>
  <c r="D28" i="47"/>
  <c r="E36" i="47"/>
  <c r="D36" i="47"/>
  <c r="D33" i="47"/>
  <c r="D30" i="47"/>
  <c r="D27" i="47"/>
  <c r="D35" i="47"/>
  <c r="D32" i="47"/>
  <c r="D29" i="47"/>
  <c r="E35" i="47"/>
  <c r="E32" i="47"/>
  <c r="E29" i="47"/>
  <c r="E34" i="47"/>
  <c r="E31" i="47"/>
  <c r="E28" i="47"/>
  <c r="Q86" i="43"/>
  <c r="Q335" i="43"/>
  <c r="Q82" i="43"/>
  <c r="Q55" i="43"/>
  <c r="Q249" i="43"/>
  <c r="Q42" i="43"/>
  <c r="Q63" i="43"/>
  <c r="Q49" i="43"/>
  <c r="Q52" i="43"/>
  <c r="Q276" i="43"/>
  <c r="Q125" i="43"/>
  <c r="Q67" i="43"/>
  <c r="Q59" i="43"/>
  <c r="Q458" i="43"/>
  <c r="Q373" i="43"/>
  <c r="Q109" i="43"/>
  <c r="Q328" i="43"/>
  <c r="Q322" i="43"/>
  <c r="Q256" i="43"/>
  <c r="Q219" i="43"/>
  <c r="Q27" i="43"/>
  <c r="Q441" i="43"/>
  <c r="Q399" i="43"/>
  <c r="Q388" i="43"/>
  <c r="Q382" i="43"/>
  <c r="Q369" i="43"/>
  <c r="Q332" i="43"/>
  <c r="Q305" i="43"/>
  <c r="Q272" i="43"/>
  <c r="Q243" i="43"/>
  <c r="Q225" i="43"/>
  <c r="Q206" i="43"/>
  <c r="Q168" i="43"/>
  <c r="Q132" i="43"/>
  <c r="Q105" i="43"/>
  <c r="Q98" i="43"/>
  <c r="Q90" i="43"/>
  <c r="Q75" i="43"/>
  <c r="Q39" i="43"/>
  <c r="Q18" i="43"/>
  <c r="Q448" i="43"/>
  <c r="Q406" i="43"/>
  <c r="Q392" i="43"/>
  <c r="Q350" i="43"/>
  <c r="Q312" i="43"/>
  <c r="Q266" i="43"/>
  <c r="Q231" i="43"/>
  <c r="Q213" i="43"/>
  <c r="Q174" i="43"/>
  <c r="Q145" i="43"/>
  <c r="Q139" i="43"/>
  <c r="Q113" i="43"/>
  <c r="Q31" i="43"/>
  <c r="Q462" i="43"/>
  <c r="Q362" i="43"/>
  <c r="Q357" i="43"/>
  <c r="Q316" i="43"/>
  <c r="Q288" i="43"/>
  <c r="Q283" i="43"/>
  <c r="Q237" i="43"/>
  <c r="Q180" i="43"/>
  <c r="Q151" i="43"/>
  <c r="Q120" i="43"/>
  <c r="Q79" i="43"/>
  <c r="Q70" i="43"/>
  <c r="Q46" i="43"/>
  <c r="Q22" i="43"/>
  <c r="Q344" i="43"/>
  <c r="Q200" i="43"/>
  <c r="Q194" i="43"/>
  <c r="Q187" i="43"/>
  <c r="Q157" i="43"/>
  <c r="Q102" i="43"/>
  <c r="Q94" i="43"/>
  <c r="Q455" i="43"/>
  <c r="Q434" i="43"/>
  <c r="Q427" i="43"/>
  <c r="Q420" i="43"/>
  <c r="Q413" i="43"/>
  <c r="Q296" i="43"/>
  <c r="Q262" i="43"/>
  <c r="Q162" i="43"/>
  <c r="Q116" i="43"/>
  <c r="Q35" i="43"/>
  <c r="K131" i="44"/>
  <c r="D14" i="47" s="1"/>
  <c r="L131" i="44"/>
  <c r="E14" i="47" s="1"/>
  <c r="K134" i="44"/>
  <c r="L134" i="44"/>
  <c r="K466" i="43"/>
  <c r="L466" i="43"/>
  <c r="AD467" i="43" l="1"/>
  <c r="AD468" i="43"/>
  <c r="AD469" i="43"/>
  <c r="AD470" i="43"/>
  <c r="AD471" i="43"/>
  <c r="AD472" i="43"/>
  <c r="AD473" i="43"/>
  <c r="AD474" i="43"/>
  <c r="AD475" i="43"/>
  <c r="AD476" i="43"/>
  <c r="AJ467" i="43"/>
  <c r="AJ468" i="43"/>
  <c r="AJ469" i="43"/>
  <c r="AJ470" i="43"/>
  <c r="AJ471" i="43"/>
  <c r="AJ472" i="43"/>
  <c r="AJ473" i="43"/>
  <c r="AJ474" i="43"/>
  <c r="AJ475" i="43"/>
  <c r="AJ476" i="43"/>
  <c r="AP14" i="43"/>
  <c r="AZ14" i="43" s="1"/>
  <c r="AQ14" i="43"/>
  <c r="BA14" i="43" s="1"/>
  <c r="AP15" i="43"/>
  <c r="AZ15" i="43" s="1"/>
  <c r="AQ15" i="43"/>
  <c r="BA15" i="43" s="1"/>
  <c r="AP16" i="43"/>
  <c r="AZ16" i="43" s="1"/>
  <c r="AQ16" i="43"/>
  <c r="BA16" i="43" s="1"/>
  <c r="AP17" i="43"/>
  <c r="AZ17" i="43" s="1"/>
  <c r="AQ17" i="43"/>
  <c r="BA17" i="43" s="1"/>
  <c r="AP19" i="43"/>
  <c r="AZ19" i="43" s="1"/>
  <c r="AQ19" i="43"/>
  <c r="BA19" i="43" s="1"/>
  <c r="AP20" i="43"/>
  <c r="AZ20" i="43" s="1"/>
  <c r="AQ20" i="43"/>
  <c r="BA20" i="43" s="1"/>
  <c r="AP21" i="43"/>
  <c r="AZ21" i="43" s="1"/>
  <c r="AQ21" i="43"/>
  <c r="BA21" i="43" s="1"/>
  <c r="AP23" i="43"/>
  <c r="AZ23" i="43" s="1"/>
  <c r="AQ23" i="43"/>
  <c r="BA23" i="43" s="1"/>
  <c r="AP24" i="43"/>
  <c r="AZ24" i="43" s="1"/>
  <c r="AQ24" i="43"/>
  <c r="BA24" i="43" s="1"/>
  <c r="AP25" i="43"/>
  <c r="AZ25" i="43" s="1"/>
  <c r="AQ25" i="43"/>
  <c r="BA25" i="43" s="1"/>
  <c r="AP26" i="43"/>
  <c r="AZ26" i="43" s="1"/>
  <c r="AQ26" i="43"/>
  <c r="BA26" i="43" s="1"/>
  <c r="AP28" i="43"/>
  <c r="AZ28" i="43" s="1"/>
  <c r="AQ28" i="43"/>
  <c r="BA28" i="43" s="1"/>
  <c r="AP29" i="43"/>
  <c r="AZ29" i="43" s="1"/>
  <c r="AQ29" i="43"/>
  <c r="BA29" i="43" s="1"/>
  <c r="AP30" i="43"/>
  <c r="AZ30" i="43" s="1"/>
  <c r="AQ30" i="43"/>
  <c r="BA30" i="43" s="1"/>
  <c r="AP32" i="43"/>
  <c r="AZ32" i="43" s="1"/>
  <c r="AQ32" i="43"/>
  <c r="BA32" i="43" s="1"/>
  <c r="AP33" i="43"/>
  <c r="AZ33" i="43" s="1"/>
  <c r="AQ33" i="43"/>
  <c r="BA33" i="43" s="1"/>
  <c r="AP34" i="43"/>
  <c r="AZ34" i="43" s="1"/>
  <c r="AQ34" i="43"/>
  <c r="BA34" i="43" s="1"/>
  <c r="AP36" i="43"/>
  <c r="AZ36" i="43" s="1"/>
  <c r="AQ36" i="43"/>
  <c r="BA36" i="43" s="1"/>
  <c r="AP37" i="43"/>
  <c r="AZ37" i="43" s="1"/>
  <c r="AQ37" i="43"/>
  <c r="BA37" i="43" s="1"/>
  <c r="AP38" i="43"/>
  <c r="AZ38" i="43" s="1"/>
  <c r="AQ38" i="43"/>
  <c r="BA38" i="43" s="1"/>
  <c r="AP40" i="43"/>
  <c r="AZ40" i="43" s="1"/>
  <c r="AQ40" i="43"/>
  <c r="BA40" i="43" s="1"/>
  <c r="AP41" i="43"/>
  <c r="AZ41" i="43" s="1"/>
  <c r="AQ41" i="43"/>
  <c r="BA41" i="43" s="1"/>
  <c r="AP43" i="43"/>
  <c r="AZ43" i="43" s="1"/>
  <c r="AQ43" i="43"/>
  <c r="BA43" i="43" s="1"/>
  <c r="AP44" i="43"/>
  <c r="AZ44" i="43" s="1"/>
  <c r="AQ44" i="43"/>
  <c r="BA44" i="43" s="1"/>
  <c r="AP45" i="43"/>
  <c r="AZ45" i="43" s="1"/>
  <c r="AQ45" i="43"/>
  <c r="BA45" i="43" s="1"/>
  <c r="AP47" i="43"/>
  <c r="AZ47" i="43" s="1"/>
  <c r="AQ47" i="43"/>
  <c r="BA47" i="43" s="1"/>
  <c r="AP48" i="43"/>
  <c r="AZ48" i="43" s="1"/>
  <c r="AQ48" i="43"/>
  <c r="BA48" i="43" s="1"/>
  <c r="AP50" i="43"/>
  <c r="AZ50" i="43" s="1"/>
  <c r="AQ50" i="43"/>
  <c r="BA50" i="43" s="1"/>
  <c r="AP51" i="43"/>
  <c r="AZ51" i="43" s="1"/>
  <c r="AQ51" i="43"/>
  <c r="BA51" i="43" s="1"/>
  <c r="AP53" i="43"/>
  <c r="AZ53" i="43" s="1"/>
  <c r="AQ53" i="43"/>
  <c r="BA53" i="43" s="1"/>
  <c r="AP54" i="43"/>
  <c r="AZ54" i="43" s="1"/>
  <c r="AQ54" i="43"/>
  <c r="BA54" i="43" s="1"/>
  <c r="AP56" i="43"/>
  <c r="AZ56" i="43" s="1"/>
  <c r="AQ56" i="43"/>
  <c r="BA56" i="43" s="1"/>
  <c r="AP57" i="43"/>
  <c r="AZ57" i="43" s="1"/>
  <c r="AQ57" i="43"/>
  <c r="BA57" i="43" s="1"/>
  <c r="AP58" i="43"/>
  <c r="AZ58" i="43" s="1"/>
  <c r="AQ58" i="43"/>
  <c r="BA58" i="43" s="1"/>
  <c r="AP60" i="43"/>
  <c r="AZ60" i="43" s="1"/>
  <c r="AQ60" i="43"/>
  <c r="BA60" i="43" s="1"/>
  <c r="AP61" i="43"/>
  <c r="AZ61" i="43" s="1"/>
  <c r="AQ61" i="43"/>
  <c r="BA61" i="43" s="1"/>
  <c r="AP62" i="43"/>
  <c r="AZ62" i="43" s="1"/>
  <c r="AQ62" i="43"/>
  <c r="BA62" i="43" s="1"/>
  <c r="AP64" i="43"/>
  <c r="AZ64" i="43" s="1"/>
  <c r="AQ64" i="43"/>
  <c r="BA64" i="43" s="1"/>
  <c r="AP65" i="43"/>
  <c r="AZ65" i="43" s="1"/>
  <c r="AQ65" i="43"/>
  <c r="BA65" i="43" s="1"/>
  <c r="AP66" i="43"/>
  <c r="AZ66" i="43" s="1"/>
  <c r="AQ66" i="43"/>
  <c r="BA66" i="43" s="1"/>
  <c r="AP68" i="43"/>
  <c r="AZ68" i="43" s="1"/>
  <c r="AQ68" i="43"/>
  <c r="BA68" i="43" s="1"/>
  <c r="AP69" i="43"/>
  <c r="AZ69" i="43" s="1"/>
  <c r="AQ69" i="43"/>
  <c r="BA69" i="43" s="1"/>
  <c r="AP71" i="43"/>
  <c r="AZ71" i="43" s="1"/>
  <c r="AQ71" i="43"/>
  <c r="BA71" i="43" s="1"/>
  <c r="AP72" i="43"/>
  <c r="AZ72" i="43" s="1"/>
  <c r="AQ72" i="43"/>
  <c r="BA72" i="43" s="1"/>
  <c r="AP73" i="43"/>
  <c r="AZ73" i="43" s="1"/>
  <c r="AQ73" i="43"/>
  <c r="BA73" i="43" s="1"/>
  <c r="AP74" i="43"/>
  <c r="AZ74" i="43" s="1"/>
  <c r="AQ74" i="43"/>
  <c r="BA74" i="43" s="1"/>
  <c r="AP76" i="43"/>
  <c r="AZ76" i="43" s="1"/>
  <c r="AQ76" i="43"/>
  <c r="BA76" i="43" s="1"/>
  <c r="AP77" i="43"/>
  <c r="AZ77" i="43" s="1"/>
  <c r="AQ77" i="43"/>
  <c r="BA77" i="43" s="1"/>
  <c r="AP78" i="43"/>
  <c r="AZ78" i="43" s="1"/>
  <c r="AQ78" i="43"/>
  <c r="BA78" i="43" s="1"/>
  <c r="AP80" i="43"/>
  <c r="AZ80" i="43" s="1"/>
  <c r="AQ80" i="43"/>
  <c r="BA80" i="43" s="1"/>
  <c r="AP81" i="43"/>
  <c r="AZ81" i="43" s="1"/>
  <c r="AQ81" i="43"/>
  <c r="BA81" i="43" s="1"/>
  <c r="AP83" i="43"/>
  <c r="AZ83" i="43" s="1"/>
  <c r="AQ83" i="43"/>
  <c r="BA83" i="43" s="1"/>
  <c r="AP84" i="43"/>
  <c r="AZ84" i="43" s="1"/>
  <c r="AQ84" i="43"/>
  <c r="BA84" i="43" s="1"/>
  <c r="AP85" i="43"/>
  <c r="AZ85" i="43" s="1"/>
  <c r="AQ85" i="43"/>
  <c r="BA85" i="43" s="1"/>
  <c r="AP87" i="43"/>
  <c r="AZ87" i="43" s="1"/>
  <c r="AQ87" i="43"/>
  <c r="BA87" i="43" s="1"/>
  <c r="AP88" i="43"/>
  <c r="AZ88" i="43" s="1"/>
  <c r="AQ88" i="43"/>
  <c r="BA88" i="43" s="1"/>
  <c r="AP89" i="43"/>
  <c r="AZ89" i="43" s="1"/>
  <c r="AQ89" i="43"/>
  <c r="BA89" i="43" s="1"/>
  <c r="AP91" i="43"/>
  <c r="AZ91" i="43" s="1"/>
  <c r="AQ91" i="43"/>
  <c r="BA91" i="43" s="1"/>
  <c r="AP92" i="43"/>
  <c r="AZ92" i="43" s="1"/>
  <c r="AQ92" i="43"/>
  <c r="BA92" i="43" s="1"/>
  <c r="AP93" i="43"/>
  <c r="AZ93" i="43" s="1"/>
  <c r="AQ93" i="43"/>
  <c r="BA93" i="43" s="1"/>
  <c r="AP95" i="43"/>
  <c r="AZ95" i="43" s="1"/>
  <c r="AQ95" i="43"/>
  <c r="BA95" i="43" s="1"/>
  <c r="AP96" i="43"/>
  <c r="AZ96" i="43" s="1"/>
  <c r="AQ96" i="43"/>
  <c r="BA96" i="43" s="1"/>
  <c r="AP97" i="43"/>
  <c r="AZ97" i="43" s="1"/>
  <c r="AQ97" i="43"/>
  <c r="BA97" i="43" s="1"/>
  <c r="AP99" i="43"/>
  <c r="AZ99" i="43" s="1"/>
  <c r="AQ99" i="43"/>
  <c r="BA99" i="43" s="1"/>
  <c r="AP100" i="43"/>
  <c r="AZ100" i="43" s="1"/>
  <c r="AQ100" i="43"/>
  <c r="BA100" i="43" s="1"/>
  <c r="AP101" i="43"/>
  <c r="AZ101" i="43" s="1"/>
  <c r="AQ101" i="43"/>
  <c r="BA101" i="43" s="1"/>
  <c r="AP103" i="43"/>
  <c r="AZ103" i="43" s="1"/>
  <c r="AQ103" i="43"/>
  <c r="BA103" i="43" s="1"/>
  <c r="AP104" i="43"/>
  <c r="AZ104" i="43" s="1"/>
  <c r="AQ104" i="43"/>
  <c r="BA104" i="43" s="1"/>
  <c r="AP106" i="43"/>
  <c r="AZ106" i="43" s="1"/>
  <c r="AQ106" i="43"/>
  <c r="BA106" i="43" s="1"/>
  <c r="AP107" i="43"/>
  <c r="AZ107" i="43" s="1"/>
  <c r="AQ107" i="43"/>
  <c r="BA107" i="43" s="1"/>
  <c r="AP108" i="43"/>
  <c r="AZ108" i="43" s="1"/>
  <c r="AQ108" i="43"/>
  <c r="BA108" i="43" s="1"/>
  <c r="AP110" i="43"/>
  <c r="AZ110" i="43" s="1"/>
  <c r="AQ110" i="43"/>
  <c r="BA110" i="43" s="1"/>
  <c r="AP111" i="43"/>
  <c r="AZ111" i="43" s="1"/>
  <c r="AQ111" i="43"/>
  <c r="BA111" i="43" s="1"/>
  <c r="AP112" i="43"/>
  <c r="AZ112" i="43" s="1"/>
  <c r="AQ112" i="43"/>
  <c r="BA112" i="43" s="1"/>
  <c r="AP114" i="43"/>
  <c r="AZ114" i="43" s="1"/>
  <c r="AQ114" i="43"/>
  <c r="BA114" i="43" s="1"/>
  <c r="AP115" i="43"/>
  <c r="AZ115" i="43" s="1"/>
  <c r="AQ115" i="43"/>
  <c r="BA115" i="43" s="1"/>
  <c r="AP117" i="43"/>
  <c r="AZ117" i="43" s="1"/>
  <c r="AQ117" i="43"/>
  <c r="BA117" i="43" s="1"/>
  <c r="AP118" i="43"/>
  <c r="AZ118" i="43" s="1"/>
  <c r="AQ118" i="43"/>
  <c r="BA118" i="43" s="1"/>
  <c r="AP119" i="43"/>
  <c r="AZ119" i="43" s="1"/>
  <c r="AQ119" i="43"/>
  <c r="BA119" i="43" s="1"/>
  <c r="AP121" i="43"/>
  <c r="AZ121" i="43" s="1"/>
  <c r="AQ121" i="43"/>
  <c r="BA121" i="43" s="1"/>
  <c r="AP122" i="43"/>
  <c r="AZ122" i="43" s="1"/>
  <c r="AQ122" i="43"/>
  <c r="BA122" i="43" s="1"/>
  <c r="AP123" i="43"/>
  <c r="AZ123" i="43" s="1"/>
  <c r="AQ123" i="43"/>
  <c r="BA123" i="43" s="1"/>
  <c r="AP124" i="43"/>
  <c r="AZ124" i="43" s="1"/>
  <c r="AQ124" i="43"/>
  <c r="BA124" i="43" s="1"/>
  <c r="AP126" i="43"/>
  <c r="AZ126" i="43" s="1"/>
  <c r="AQ126" i="43"/>
  <c r="BA126" i="43" s="1"/>
  <c r="AP127" i="43"/>
  <c r="AZ127" i="43" s="1"/>
  <c r="AQ127" i="43"/>
  <c r="BA127" i="43" s="1"/>
  <c r="AP128" i="43"/>
  <c r="AZ128" i="43" s="1"/>
  <c r="AQ128" i="43"/>
  <c r="BA128" i="43" s="1"/>
  <c r="AP129" i="43"/>
  <c r="AZ129" i="43" s="1"/>
  <c r="AQ129" i="43"/>
  <c r="BA129" i="43" s="1"/>
  <c r="AP130" i="43"/>
  <c r="AZ130" i="43" s="1"/>
  <c r="AQ130" i="43"/>
  <c r="BA130" i="43" s="1"/>
  <c r="AP131" i="43"/>
  <c r="AZ131" i="43" s="1"/>
  <c r="AQ131" i="43"/>
  <c r="BA131" i="43" s="1"/>
  <c r="AP133" i="43"/>
  <c r="AZ133" i="43" s="1"/>
  <c r="AQ133" i="43"/>
  <c r="BA133" i="43" s="1"/>
  <c r="AP134" i="43"/>
  <c r="AZ134" i="43" s="1"/>
  <c r="AQ134" i="43"/>
  <c r="BA134" i="43" s="1"/>
  <c r="AP135" i="43"/>
  <c r="AZ135" i="43" s="1"/>
  <c r="AQ135" i="43"/>
  <c r="BA135" i="43" s="1"/>
  <c r="AP136" i="43"/>
  <c r="AZ136" i="43" s="1"/>
  <c r="AQ136" i="43"/>
  <c r="BA136" i="43" s="1"/>
  <c r="AP137" i="43"/>
  <c r="AZ137" i="43" s="1"/>
  <c r="AQ137" i="43"/>
  <c r="BA137" i="43" s="1"/>
  <c r="AP138" i="43"/>
  <c r="AZ138" i="43" s="1"/>
  <c r="AQ138" i="43"/>
  <c r="BA138" i="43" s="1"/>
  <c r="AP140" i="43"/>
  <c r="AZ140" i="43" s="1"/>
  <c r="AQ140" i="43"/>
  <c r="BA140" i="43" s="1"/>
  <c r="AP141" i="43"/>
  <c r="AZ141" i="43" s="1"/>
  <c r="AQ141" i="43"/>
  <c r="BA141" i="43" s="1"/>
  <c r="AP142" i="43"/>
  <c r="AZ142" i="43" s="1"/>
  <c r="AQ142" i="43"/>
  <c r="BA142" i="43" s="1"/>
  <c r="AP143" i="43"/>
  <c r="AZ143" i="43" s="1"/>
  <c r="AQ143" i="43"/>
  <c r="BA143" i="43" s="1"/>
  <c r="AP144" i="43"/>
  <c r="AZ144" i="43" s="1"/>
  <c r="AQ144" i="43"/>
  <c r="BA144" i="43" s="1"/>
  <c r="AP146" i="43"/>
  <c r="AZ146" i="43" s="1"/>
  <c r="AQ146" i="43"/>
  <c r="BA146" i="43" s="1"/>
  <c r="AP147" i="43"/>
  <c r="AZ147" i="43" s="1"/>
  <c r="AQ147" i="43"/>
  <c r="BA147" i="43" s="1"/>
  <c r="AP148" i="43"/>
  <c r="AZ148" i="43" s="1"/>
  <c r="AQ148" i="43"/>
  <c r="BA148" i="43" s="1"/>
  <c r="AP149" i="43"/>
  <c r="AZ149" i="43" s="1"/>
  <c r="AQ149" i="43"/>
  <c r="BA149" i="43" s="1"/>
  <c r="AP150" i="43"/>
  <c r="AZ150" i="43" s="1"/>
  <c r="AQ150" i="43"/>
  <c r="BA150" i="43" s="1"/>
  <c r="AP152" i="43"/>
  <c r="AZ152" i="43" s="1"/>
  <c r="AQ152" i="43"/>
  <c r="BA152" i="43" s="1"/>
  <c r="AP153" i="43"/>
  <c r="AZ153" i="43" s="1"/>
  <c r="AQ153" i="43"/>
  <c r="BA153" i="43" s="1"/>
  <c r="AP154" i="43"/>
  <c r="AZ154" i="43" s="1"/>
  <c r="AQ154" i="43"/>
  <c r="BA154" i="43" s="1"/>
  <c r="AP155" i="43"/>
  <c r="AZ155" i="43" s="1"/>
  <c r="AQ155" i="43"/>
  <c r="BA155" i="43" s="1"/>
  <c r="AP156" i="43"/>
  <c r="AZ156" i="43" s="1"/>
  <c r="AQ156" i="43"/>
  <c r="BA156" i="43" s="1"/>
  <c r="AP158" i="43"/>
  <c r="AZ158" i="43" s="1"/>
  <c r="AQ158" i="43"/>
  <c r="BA158" i="43" s="1"/>
  <c r="AP159" i="43"/>
  <c r="AZ159" i="43" s="1"/>
  <c r="AQ159" i="43"/>
  <c r="BA159" i="43" s="1"/>
  <c r="AP160" i="43"/>
  <c r="AZ160" i="43" s="1"/>
  <c r="AQ160" i="43"/>
  <c r="BA160" i="43" s="1"/>
  <c r="AP161" i="43"/>
  <c r="AZ161" i="43" s="1"/>
  <c r="AQ161" i="43"/>
  <c r="BA161" i="43" s="1"/>
  <c r="AP163" i="43"/>
  <c r="AZ163" i="43" s="1"/>
  <c r="AQ163" i="43"/>
  <c r="BA163" i="43" s="1"/>
  <c r="AP164" i="43"/>
  <c r="AZ164" i="43" s="1"/>
  <c r="AQ164" i="43"/>
  <c r="BA164" i="43" s="1"/>
  <c r="AP165" i="43"/>
  <c r="AZ165" i="43" s="1"/>
  <c r="AQ165" i="43"/>
  <c r="BA165" i="43" s="1"/>
  <c r="AP166" i="43"/>
  <c r="AZ166" i="43" s="1"/>
  <c r="AQ166" i="43"/>
  <c r="BA166" i="43" s="1"/>
  <c r="AP167" i="43"/>
  <c r="AZ167" i="43" s="1"/>
  <c r="AQ167" i="43"/>
  <c r="BA167" i="43" s="1"/>
  <c r="AP169" i="43"/>
  <c r="AZ169" i="43" s="1"/>
  <c r="AQ169" i="43"/>
  <c r="BA169" i="43" s="1"/>
  <c r="AP170" i="43"/>
  <c r="AZ170" i="43" s="1"/>
  <c r="AQ170" i="43"/>
  <c r="BA170" i="43" s="1"/>
  <c r="AP171" i="43"/>
  <c r="AZ171" i="43" s="1"/>
  <c r="AQ171" i="43"/>
  <c r="BA171" i="43" s="1"/>
  <c r="AP172" i="43"/>
  <c r="AZ172" i="43" s="1"/>
  <c r="AQ172" i="43"/>
  <c r="BA172" i="43" s="1"/>
  <c r="AP173" i="43"/>
  <c r="AZ173" i="43" s="1"/>
  <c r="AQ173" i="43"/>
  <c r="BA173" i="43" s="1"/>
  <c r="AP175" i="43"/>
  <c r="AZ175" i="43" s="1"/>
  <c r="AQ175" i="43"/>
  <c r="BA175" i="43" s="1"/>
  <c r="AP176" i="43"/>
  <c r="AZ176" i="43" s="1"/>
  <c r="AQ176" i="43"/>
  <c r="BA176" i="43" s="1"/>
  <c r="AP177" i="43"/>
  <c r="AZ177" i="43" s="1"/>
  <c r="AQ177" i="43"/>
  <c r="BA177" i="43" s="1"/>
  <c r="AP178" i="43"/>
  <c r="AZ178" i="43" s="1"/>
  <c r="AQ178" i="43"/>
  <c r="BA178" i="43" s="1"/>
  <c r="AP179" i="43"/>
  <c r="AZ179" i="43" s="1"/>
  <c r="AQ179" i="43"/>
  <c r="BA179" i="43" s="1"/>
  <c r="AP181" i="43"/>
  <c r="AZ181" i="43" s="1"/>
  <c r="AQ181" i="43"/>
  <c r="BA181" i="43" s="1"/>
  <c r="AP182" i="43"/>
  <c r="AZ182" i="43" s="1"/>
  <c r="AQ182" i="43"/>
  <c r="BA182" i="43" s="1"/>
  <c r="AP183" i="43"/>
  <c r="AZ183" i="43" s="1"/>
  <c r="AQ183" i="43"/>
  <c r="BA183" i="43" s="1"/>
  <c r="AP184" i="43"/>
  <c r="AZ184" i="43" s="1"/>
  <c r="AQ184" i="43"/>
  <c r="BA184" i="43" s="1"/>
  <c r="AP185" i="43"/>
  <c r="AZ185" i="43" s="1"/>
  <c r="AQ185" i="43"/>
  <c r="BA185" i="43" s="1"/>
  <c r="AP186" i="43"/>
  <c r="AZ186" i="43" s="1"/>
  <c r="AQ186" i="43"/>
  <c r="BA186" i="43" s="1"/>
  <c r="AP188" i="43"/>
  <c r="AZ188" i="43" s="1"/>
  <c r="AQ188" i="43"/>
  <c r="BA188" i="43" s="1"/>
  <c r="AP189" i="43"/>
  <c r="AZ189" i="43" s="1"/>
  <c r="AQ189" i="43"/>
  <c r="BA189" i="43" s="1"/>
  <c r="AP190" i="43"/>
  <c r="AZ190" i="43" s="1"/>
  <c r="AQ190" i="43"/>
  <c r="BA190" i="43" s="1"/>
  <c r="AP191" i="43"/>
  <c r="AZ191" i="43" s="1"/>
  <c r="AQ191" i="43"/>
  <c r="BA191" i="43" s="1"/>
  <c r="AP192" i="43"/>
  <c r="AZ192" i="43" s="1"/>
  <c r="AQ192" i="43"/>
  <c r="BA192" i="43" s="1"/>
  <c r="AP193" i="43"/>
  <c r="AZ193" i="43" s="1"/>
  <c r="AQ193" i="43"/>
  <c r="BA193" i="43" s="1"/>
  <c r="AP195" i="43"/>
  <c r="AZ195" i="43" s="1"/>
  <c r="AQ195" i="43"/>
  <c r="BA195" i="43" s="1"/>
  <c r="AP196" i="43"/>
  <c r="AZ196" i="43" s="1"/>
  <c r="AQ196" i="43"/>
  <c r="BA196" i="43" s="1"/>
  <c r="AP197" i="43"/>
  <c r="AZ197" i="43" s="1"/>
  <c r="AQ197" i="43"/>
  <c r="BA197" i="43" s="1"/>
  <c r="AP198" i="43"/>
  <c r="AZ198" i="43" s="1"/>
  <c r="AQ198" i="43"/>
  <c r="BA198" i="43" s="1"/>
  <c r="AP199" i="43"/>
  <c r="AZ199" i="43" s="1"/>
  <c r="AQ199" i="43"/>
  <c r="BA199" i="43" s="1"/>
  <c r="AP201" i="43"/>
  <c r="AZ201" i="43" s="1"/>
  <c r="AQ201" i="43"/>
  <c r="BA201" i="43" s="1"/>
  <c r="AP202" i="43"/>
  <c r="AZ202" i="43" s="1"/>
  <c r="AQ202" i="43"/>
  <c r="BA202" i="43" s="1"/>
  <c r="AP203" i="43"/>
  <c r="AZ203" i="43" s="1"/>
  <c r="AQ203" i="43"/>
  <c r="BA203" i="43" s="1"/>
  <c r="AP204" i="43"/>
  <c r="AZ204" i="43" s="1"/>
  <c r="AQ204" i="43"/>
  <c r="BA204" i="43" s="1"/>
  <c r="AP205" i="43"/>
  <c r="AZ205" i="43" s="1"/>
  <c r="AQ205" i="43"/>
  <c r="BA205" i="43" s="1"/>
  <c r="AP207" i="43"/>
  <c r="AZ207" i="43" s="1"/>
  <c r="AQ207" i="43"/>
  <c r="BA207" i="43" s="1"/>
  <c r="AP208" i="43"/>
  <c r="AZ208" i="43" s="1"/>
  <c r="AQ208" i="43"/>
  <c r="BA208" i="43" s="1"/>
  <c r="AP209" i="43"/>
  <c r="AZ209" i="43" s="1"/>
  <c r="AQ209" i="43"/>
  <c r="BA209" i="43" s="1"/>
  <c r="AP210" i="43"/>
  <c r="AZ210" i="43" s="1"/>
  <c r="AQ210" i="43"/>
  <c r="BA210" i="43" s="1"/>
  <c r="AP211" i="43"/>
  <c r="AZ211" i="43" s="1"/>
  <c r="AQ211" i="43"/>
  <c r="BA211" i="43" s="1"/>
  <c r="AP212" i="43"/>
  <c r="AZ212" i="43" s="1"/>
  <c r="AQ212" i="43"/>
  <c r="BA212" i="43" s="1"/>
  <c r="AP214" i="43"/>
  <c r="AZ214" i="43" s="1"/>
  <c r="AQ214" i="43"/>
  <c r="BA214" i="43" s="1"/>
  <c r="AP215" i="43"/>
  <c r="AZ215" i="43" s="1"/>
  <c r="AQ215" i="43"/>
  <c r="BA215" i="43" s="1"/>
  <c r="AP216" i="43"/>
  <c r="AZ216" i="43" s="1"/>
  <c r="AQ216" i="43"/>
  <c r="BA216" i="43" s="1"/>
  <c r="AP217" i="43"/>
  <c r="AZ217" i="43" s="1"/>
  <c r="AQ217" i="43"/>
  <c r="BA217" i="43" s="1"/>
  <c r="AP218" i="43"/>
  <c r="AZ218" i="43" s="1"/>
  <c r="AQ218" i="43"/>
  <c r="BA218" i="43" s="1"/>
  <c r="AP220" i="43"/>
  <c r="AZ220" i="43" s="1"/>
  <c r="AQ220" i="43"/>
  <c r="BA220" i="43" s="1"/>
  <c r="AP221" i="43"/>
  <c r="AZ221" i="43" s="1"/>
  <c r="AQ221" i="43"/>
  <c r="BA221" i="43" s="1"/>
  <c r="AP222" i="43"/>
  <c r="AZ222" i="43" s="1"/>
  <c r="AQ222" i="43"/>
  <c r="BA222" i="43" s="1"/>
  <c r="AP223" i="43"/>
  <c r="AZ223" i="43" s="1"/>
  <c r="AQ223" i="43"/>
  <c r="BA223" i="43" s="1"/>
  <c r="AP224" i="43"/>
  <c r="AZ224" i="43" s="1"/>
  <c r="AQ224" i="43"/>
  <c r="BA224" i="43" s="1"/>
  <c r="AP226" i="43"/>
  <c r="AZ226" i="43" s="1"/>
  <c r="AQ226" i="43"/>
  <c r="BA226" i="43" s="1"/>
  <c r="AP227" i="43"/>
  <c r="AZ227" i="43" s="1"/>
  <c r="AQ227" i="43"/>
  <c r="BA227" i="43" s="1"/>
  <c r="AP228" i="43"/>
  <c r="AZ228" i="43" s="1"/>
  <c r="AQ228" i="43"/>
  <c r="BA228" i="43" s="1"/>
  <c r="AP229" i="43"/>
  <c r="AZ229" i="43" s="1"/>
  <c r="AQ229" i="43"/>
  <c r="BA229" i="43" s="1"/>
  <c r="AP230" i="43"/>
  <c r="AZ230" i="43" s="1"/>
  <c r="AQ230" i="43"/>
  <c r="BA230" i="43" s="1"/>
  <c r="AP232" i="43"/>
  <c r="AZ232" i="43" s="1"/>
  <c r="AQ232" i="43"/>
  <c r="BA232" i="43" s="1"/>
  <c r="AP233" i="43"/>
  <c r="AZ233" i="43" s="1"/>
  <c r="AQ233" i="43"/>
  <c r="BA233" i="43" s="1"/>
  <c r="AP234" i="43"/>
  <c r="AZ234" i="43" s="1"/>
  <c r="AQ234" i="43"/>
  <c r="BA234" i="43" s="1"/>
  <c r="AP235" i="43"/>
  <c r="AZ235" i="43" s="1"/>
  <c r="AQ235" i="43"/>
  <c r="BA235" i="43" s="1"/>
  <c r="AP236" i="43"/>
  <c r="AZ236" i="43" s="1"/>
  <c r="AQ236" i="43"/>
  <c r="BA236" i="43" s="1"/>
  <c r="AP238" i="43"/>
  <c r="AZ238" i="43" s="1"/>
  <c r="AQ238" i="43"/>
  <c r="BA238" i="43" s="1"/>
  <c r="AP239" i="43"/>
  <c r="AZ239" i="43" s="1"/>
  <c r="AQ239" i="43"/>
  <c r="BA239" i="43" s="1"/>
  <c r="AP240" i="43"/>
  <c r="AZ240" i="43" s="1"/>
  <c r="AQ240" i="43"/>
  <c r="BA240" i="43" s="1"/>
  <c r="AP241" i="43"/>
  <c r="AZ241" i="43" s="1"/>
  <c r="AQ241" i="43"/>
  <c r="BA241" i="43" s="1"/>
  <c r="AP242" i="43"/>
  <c r="AZ242" i="43" s="1"/>
  <c r="AQ242" i="43"/>
  <c r="BA242" i="43" s="1"/>
  <c r="AP244" i="43"/>
  <c r="AZ244" i="43" s="1"/>
  <c r="AQ244" i="43"/>
  <c r="BA244" i="43" s="1"/>
  <c r="AP245" i="43"/>
  <c r="AZ245" i="43" s="1"/>
  <c r="AQ245" i="43"/>
  <c r="BA245" i="43" s="1"/>
  <c r="AP246" i="43"/>
  <c r="AZ246" i="43" s="1"/>
  <c r="AQ246" i="43"/>
  <c r="BA246" i="43" s="1"/>
  <c r="AP247" i="43"/>
  <c r="AZ247" i="43" s="1"/>
  <c r="AQ247" i="43"/>
  <c r="BA247" i="43" s="1"/>
  <c r="AP248" i="43"/>
  <c r="AZ248" i="43" s="1"/>
  <c r="AQ248" i="43"/>
  <c r="BA248" i="43" s="1"/>
  <c r="AP250" i="43"/>
  <c r="AZ250" i="43" s="1"/>
  <c r="AQ250" i="43"/>
  <c r="BA250" i="43" s="1"/>
  <c r="AP251" i="43"/>
  <c r="AZ251" i="43" s="1"/>
  <c r="AQ251" i="43"/>
  <c r="BA251" i="43" s="1"/>
  <c r="AP252" i="43"/>
  <c r="AZ252" i="43" s="1"/>
  <c r="AQ252" i="43"/>
  <c r="BA252" i="43" s="1"/>
  <c r="AP253" i="43"/>
  <c r="AZ253" i="43" s="1"/>
  <c r="AQ253" i="43"/>
  <c r="BA253" i="43" s="1"/>
  <c r="AP254" i="43"/>
  <c r="AZ254" i="43" s="1"/>
  <c r="AQ254" i="43"/>
  <c r="BA254" i="43" s="1"/>
  <c r="AP255" i="43"/>
  <c r="AZ255" i="43" s="1"/>
  <c r="AQ255" i="43"/>
  <c r="BA255" i="43" s="1"/>
  <c r="AP257" i="43"/>
  <c r="AZ257" i="43" s="1"/>
  <c r="AZ258" i="43" s="1"/>
  <c r="AQ257" i="43"/>
  <c r="BA257" i="43" s="1"/>
  <c r="BA258" i="43" s="1"/>
  <c r="AP259" i="43"/>
  <c r="AZ259" i="43" s="1"/>
  <c r="AQ259" i="43"/>
  <c r="BA259" i="43" s="1"/>
  <c r="AP260" i="43"/>
  <c r="AZ260" i="43" s="1"/>
  <c r="AQ260" i="43"/>
  <c r="BA260" i="43" s="1"/>
  <c r="AP261" i="43"/>
  <c r="AZ261" i="43" s="1"/>
  <c r="AQ261" i="43"/>
  <c r="BA261" i="43" s="1"/>
  <c r="AP263" i="43"/>
  <c r="AZ263" i="43" s="1"/>
  <c r="AQ263" i="43"/>
  <c r="BA263" i="43" s="1"/>
  <c r="AP264" i="43"/>
  <c r="AZ264" i="43" s="1"/>
  <c r="AQ264" i="43"/>
  <c r="BA264" i="43" s="1"/>
  <c r="AP265" i="43"/>
  <c r="AZ265" i="43" s="1"/>
  <c r="AQ265" i="43"/>
  <c r="BA265" i="43" s="1"/>
  <c r="AP267" i="43"/>
  <c r="AZ267" i="43" s="1"/>
  <c r="AQ267" i="43"/>
  <c r="BA267" i="43" s="1"/>
  <c r="AP268" i="43"/>
  <c r="AZ268" i="43" s="1"/>
  <c r="AQ268" i="43"/>
  <c r="BA268" i="43" s="1"/>
  <c r="AP269" i="43"/>
  <c r="AZ269" i="43" s="1"/>
  <c r="AQ269" i="43"/>
  <c r="BA269" i="43" s="1"/>
  <c r="AP270" i="43"/>
  <c r="AZ270" i="43" s="1"/>
  <c r="AQ270" i="43"/>
  <c r="BA270" i="43" s="1"/>
  <c r="AP271" i="43"/>
  <c r="AZ271" i="43" s="1"/>
  <c r="AQ271" i="43"/>
  <c r="BA271" i="43" s="1"/>
  <c r="AP273" i="43"/>
  <c r="AZ273" i="43" s="1"/>
  <c r="AQ273" i="43"/>
  <c r="BA273" i="43" s="1"/>
  <c r="AP274" i="43"/>
  <c r="AZ274" i="43" s="1"/>
  <c r="AQ274" i="43"/>
  <c r="BA274" i="43" s="1"/>
  <c r="AP275" i="43"/>
  <c r="AZ275" i="43" s="1"/>
  <c r="AQ275" i="43"/>
  <c r="BA275" i="43" s="1"/>
  <c r="AP277" i="43"/>
  <c r="AZ277" i="43" s="1"/>
  <c r="AQ277" i="43"/>
  <c r="BA277" i="43" s="1"/>
  <c r="AP278" i="43"/>
  <c r="AZ278" i="43" s="1"/>
  <c r="AQ278" i="43"/>
  <c r="BA278" i="43" s="1"/>
  <c r="AP279" i="43"/>
  <c r="AZ279" i="43" s="1"/>
  <c r="AQ279" i="43"/>
  <c r="BA279" i="43" s="1"/>
  <c r="AP280" i="43"/>
  <c r="AZ280" i="43" s="1"/>
  <c r="AQ280" i="43"/>
  <c r="BA280" i="43" s="1"/>
  <c r="AP281" i="43"/>
  <c r="AZ281" i="43" s="1"/>
  <c r="AQ281" i="43"/>
  <c r="BA281" i="43" s="1"/>
  <c r="AP282" i="43"/>
  <c r="AZ282" i="43" s="1"/>
  <c r="AQ282" i="43"/>
  <c r="BA282" i="43" s="1"/>
  <c r="AP284" i="43"/>
  <c r="AZ284" i="43" s="1"/>
  <c r="AQ284" i="43"/>
  <c r="BA284" i="43" s="1"/>
  <c r="AP285" i="43"/>
  <c r="AZ285" i="43" s="1"/>
  <c r="AQ285" i="43"/>
  <c r="BA285" i="43" s="1"/>
  <c r="AP286" i="43"/>
  <c r="AZ286" i="43" s="1"/>
  <c r="AQ286" i="43"/>
  <c r="BA286" i="43" s="1"/>
  <c r="AP287" i="43"/>
  <c r="AZ287" i="43" s="1"/>
  <c r="AQ287" i="43"/>
  <c r="BA287" i="43" s="1"/>
  <c r="AP289" i="43"/>
  <c r="AZ289" i="43" s="1"/>
  <c r="AQ289" i="43"/>
  <c r="BA289" i="43" s="1"/>
  <c r="AP290" i="43"/>
  <c r="AZ290" i="43" s="1"/>
  <c r="AQ290" i="43"/>
  <c r="BA290" i="43" s="1"/>
  <c r="AP291" i="43"/>
  <c r="AZ291" i="43" s="1"/>
  <c r="AQ291" i="43"/>
  <c r="BA291" i="43" s="1"/>
  <c r="AP292" i="43"/>
  <c r="AZ292" i="43" s="1"/>
  <c r="AQ292" i="43"/>
  <c r="BA292" i="43" s="1"/>
  <c r="AP293" i="43"/>
  <c r="AZ293" i="43" s="1"/>
  <c r="AQ293" i="43"/>
  <c r="BA293" i="43" s="1"/>
  <c r="AP294" i="43"/>
  <c r="AZ294" i="43" s="1"/>
  <c r="AQ294" i="43"/>
  <c r="BA294" i="43" s="1"/>
  <c r="AP295" i="43"/>
  <c r="AZ295" i="43" s="1"/>
  <c r="AQ295" i="43"/>
  <c r="BA295" i="43" s="1"/>
  <c r="AP297" i="43"/>
  <c r="AZ297" i="43" s="1"/>
  <c r="AZ298" i="43" s="1"/>
  <c r="AQ297" i="43"/>
  <c r="BA297" i="43" s="1"/>
  <c r="BA298" i="43" s="1"/>
  <c r="AP299" i="43"/>
  <c r="AZ299" i="43" s="1"/>
  <c r="AQ299" i="43"/>
  <c r="BA299" i="43" s="1"/>
  <c r="AP300" i="43"/>
  <c r="AZ300" i="43" s="1"/>
  <c r="AQ300" i="43"/>
  <c r="BA300" i="43" s="1"/>
  <c r="AP301" i="43"/>
  <c r="AZ301" i="43" s="1"/>
  <c r="AQ301" i="43"/>
  <c r="BA301" i="43" s="1"/>
  <c r="AP302" i="43"/>
  <c r="AZ302" i="43" s="1"/>
  <c r="AQ302" i="43"/>
  <c r="BA302" i="43" s="1"/>
  <c r="AP303" i="43"/>
  <c r="AZ303" i="43" s="1"/>
  <c r="AQ303" i="43"/>
  <c r="BA303" i="43" s="1"/>
  <c r="AP304" i="43"/>
  <c r="AZ304" i="43" s="1"/>
  <c r="AQ304" i="43"/>
  <c r="BA304" i="43" s="1"/>
  <c r="AP306" i="43"/>
  <c r="AZ306" i="43" s="1"/>
  <c r="AQ306" i="43"/>
  <c r="BA306" i="43" s="1"/>
  <c r="AP307" i="43"/>
  <c r="AZ307" i="43" s="1"/>
  <c r="AQ307" i="43"/>
  <c r="BA307" i="43" s="1"/>
  <c r="AP308" i="43"/>
  <c r="AZ308" i="43" s="1"/>
  <c r="AQ308" i="43"/>
  <c r="BA308" i="43" s="1"/>
  <c r="AP309" i="43"/>
  <c r="AZ309" i="43" s="1"/>
  <c r="AQ309" i="43"/>
  <c r="BA309" i="43" s="1"/>
  <c r="AP310" i="43"/>
  <c r="AZ310" i="43" s="1"/>
  <c r="AQ310" i="43"/>
  <c r="BA310" i="43" s="1"/>
  <c r="AP311" i="43"/>
  <c r="AZ311" i="43" s="1"/>
  <c r="AQ311" i="43"/>
  <c r="BA311" i="43" s="1"/>
  <c r="AP313" i="43"/>
  <c r="AZ313" i="43" s="1"/>
  <c r="AQ313" i="43"/>
  <c r="BA313" i="43" s="1"/>
  <c r="AP314" i="43"/>
  <c r="AZ314" i="43" s="1"/>
  <c r="AQ314" i="43"/>
  <c r="BA314" i="43" s="1"/>
  <c r="AP315" i="43"/>
  <c r="AZ315" i="43" s="1"/>
  <c r="AQ315" i="43"/>
  <c r="BA315" i="43" s="1"/>
  <c r="AP317" i="43"/>
  <c r="AZ317" i="43" s="1"/>
  <c r="AQ317" i="43"/>
  <c r="BA317" i="43" s="1"/>
  <c r="AP318" i="43"/>
  <c r="AZ318" i="43" s="1"/>
  <c r="AQ318" i="43"/>
  <c r="BA318" i="43" s="1"/>
  <c r="AP319" i="43"/>
  <c r="AZ319" i="43" s="1"/>
  <c r="AQ319" i="43"/>
  <c r="BA319" i="43" s="1"/>
  <c r="AP320" i="43"/>
  <c r="AZ320" i="43" s="1"/>
  <c r="AQ320" i="43"/>
  <c r="BA320" i="43" s="1"/>
  <c r="AP321" i="43"/>
  <c r="AZ321" i="43" s="1"/>
  <c r="AQ321" i="43"/>
  <c r="BA321" i="43" s="1"/>
  <c r="AP323" i="43"/>
  <c r="AZ323" i="43" s="1"/>
  <c r="AZ324" i="43" s="1"/>
  <c r="AQ323" i="43"/>
  <c r="BA323" i="43" s="1"/>
  <c r="BA324" i="43" s="1"/>
  <c r="AP325" i="43"/>
  <c r="AZ325" i="43" s="1"/>
  <c r="AQ325" i="43"/>
  <c r="BA325" i="43" s="1"/>
  <c r="AP326" i="43"/>
  <c r="AZ326" i="43" s="1"/>
  <c r="AQ326" i="43"/>
  <c r="BA326" i="43" s="1"/>
  <c r="AP327" i="43"/>
  <c r="AZ327" i="43" s="1"/>
  <c r="AQ327" i="43"/>
  <c r="BA327" i="43" s="1"/>
  <c r="AP329" i="43"/>
  <c r="AZ329" i="43" s="1"/>
  <c r="AQ329" i="43"/>
  <c r="BA329" i="43" s="1"/>
  <c r="AP330" i="43"/>
  <c r="AZ330" i="43" s="1"/>
  <c r="AQ330" i="43"/>
  <c r="BA330" i="43" s="1"/>
  <c r="AP331" i="43"/>
  <c r="AZ331" i="43" s="1"/>
  <c r="AQ331" i="43"/>
  <c r="BA331" i="43" s="1"/>
  <c r="AP333" i="43"/>
  <c r="AZ333" i="43" s="1"/>
  <c r="AQ333" i="43"/>
  <c r="BA333" i="43" s="1"/>
  <c r="AP334" i="43"/>
  <c r="AZ334" i="43" s="1"/>
  <c r="AQ334" i="43"/>
  <c r="BA334" i="43" s="1"/>
  <c r="AP336" i="43"/>
  <c r="AZ336" i="43" s="1"/>
  <c r="AQ336" i="43"/>
  <c r="BA336" i="43" s="1"/>
  <c r="AP337" i="43"/>
  <c r="AZ337" i="43" s="1"/>
  <c r="AQ337" i="43"/>
  <c r="BA337" i="43" s="1"/>
  <c r="AP338" i="43"/>
  <c r="AZ338" i="43" s="1"/>
  <c r="AQ338" i="43"/>
  <c r="BA338" i="43" s="1"/>
  <c r="AP339" i="43"/>
  <c r="AZ339" i="43" s="1"/>
  <c r="AQ339" i="43"/>
  <c r="BA339" i="43" s="1"/>
  <c r="AP340" i="43"/>
  <c r="AZ340" i="43" s="1"/>
  <c r="AQ340" i="43"/>
  <c r="BA340" i="43" s="1"/>
  <c r="AP341" i="43"/>
  <c r="AZ341" i="43" s="1"/>
  <c r="AQ341" i="43"/>
  <c r="BA341" i="43" s="1"/>
  <c r="AP342" i="43"/>
  <c r="AZ342" i="43" s="1"/>
  <c r="AQ342" i="43"/>
  <c r="BA342" i="43" s="1"/>
  <c r="AP343" i="43"/>
  <c r="AZ343" i="43" s="1"/>
  <c r="AQ343" i="43"/>
  <c r="BA343" i="43" s="1"/>
  <c r="AP345" i="43"/>
  <c r="AZ345" i="43" s="1"/>
  <c r="AQ345" i="43"/>
  <c r="BA345" i="43" s="1"/>
  <c r="AP346" i="43"/>
  <c r="AZ346" i="43" s="1"/>
  <c r="AQ346" i="43"/>
  <c r="BA346" i="43" s="1"/>
  <c r="AP347" i="43"/>
  <c r="AZ347" i="43" s="1"/>
  <c r="AQ347" i="43"/>
  <c r="BA347" i="43" s="1"/>
  <c r="AP348" i="43"/>
  <c r="AZ348" i="43" s="1"/>
  <c r="AQ348" i="43"/>
  <c r="BA348" i="43" s="1"/>
  <c r="AP349" i="43"/>
  <c r="AZ349" i="43" s="1"/>
  <c r="AQ349" i="43"/>
  <c r="BA349" i="43" s="1"/>
  <c r="AP351" i="43"/>
  <c r="AZ351" i="43" s="1"/>
  <c r="AQ351" i="43"/>
  <c r="BA351" i="43" s="1"/>
  <c r="AP352" i="43"/>
  <c r="AZ352" i="43" s="1"/>
  <c r="AQ352" i="43"/>
  <c r="BA352" i="43" s="1"/>
  <c r="AP353" i="43"/>
  <c r="AZ353" i="43" s="1"/>
  <c r="AQ353" i="43"/>
  <c r="BA353" i="43" s="1"/>
  <c r="AP354" i="43"/>
  <c r="AZ354" i="43" s="1"/>
  <c r="AQ354" i="43"/>
  <c r="BA354" i="43" s="1"/>
  <c r="AP355" i="43"/>
  <c r="AZ355" i="43" s="1"/>
  <c r="AQ355" i="43"/>
  <c r="BA355" i="43" s="1"/>
  <c r="AP356" i="43"/>
  <c r="AZ356" i="43" s="1"/>
  <c r="AQ356" i="43"/>
  <c r="BA356" i="43" s="1"/>
  <c r="AP358" i="43"/>
  <c r="AZ358" i="43" s="1"/>
  <c r="AQ358" i="43"/>
  <c r="BA358" i="43" s="1"/>
  <c r="AP359" i="43"/>
  <c r="AZ359" i="43" s="1"/>
  <c r="AQ359" i="43"/>
  <c r="BA359" i="43" s="1"/>
  <c r="AP360" i="43"/>
  <c r="AZ360" i="43" s="1"/>
  <c r="AQ360" i="43"/>
  <c r="BA360" i="43" s="1"/>
  <c r="AP361" i="43"/>
  <c r="AZ361" i="43" s="1"/>
  <c r="AQ361" i="43"/>
  <c r="BA361" i="43" s="1"/>
  <c r="AP363" i="43"/>
  <c r="AZ363" i="43" s="1"/>
  <c r="AQ363" i="43"/>
  <c r="BA363" i="43" s="1"/>
  <c r="AP364" i="43"/>
  <c r="AZ364" i="43" s="1"/>
  <c r="AQ364" i="43"/>
  <c r="BA364" i="43" s="1"/>
  <c r="AP365" i="43"/>
  <c r="AZ365" i="43" s="1"/>
  <c r="AQ365" i="43"/>
  <c r="BA365" i="43" s="1"/>
  <c r="AP366" i="43"/>
  <c r="AZ366" i="43" s="1"/>
  <c r="AQ366" i="43"/>
  <c r="BA366" i="43" s="1"/>
  <c r="AP367" i="43"/>
  <c r="AZ367" i="43" s="1"/>
  <c r="AQ367" i="43"/>
  <c r="BA367" i="43" s="1"/>
  <c r="AP368" i="43"/>
  <c r="AZ368" i="43" s="1"/>
  <c r="AQ368" i="43"/>
  <c r="BA368" i="43" s="1"/>
  <c r="AP370" i="43"/>
  <c r="AZ370" i="43" s="1"/>
  <c r="AQ370" i="43"/>
  <c r="BA370" i="43" s="1"/>
  <c r="AP371" i="43"/>
  <c r="AZ371" i="43" s="1"/>
  <c r="AQ371" i="43"/>
  <c r="BA371" i="43" s="1"/>
  <c r="AP372" i="43"/>
  <c r="AZ372" i="43" s="1"/>
  <c r="AQ372" i="43"/>
  <c r="BA372" i="43" s="1"/>
  <c r="AP374" i="43"/>
  <c r="AZ374" i="43" s="1"/>
  <c r="AZ375" i="43" s="1"/>
  <c r="AQ374" i="43"/>
  <c r="BA374" i="43" s="1"/>
  <c r="BA375" i="43" s="1"/>
  <c r="AP376" i="43"/>
  <c r="AZ376" i="43" s="1"/>
  <c r="AQ376" i="43"/>
  <c r="BA376" i="43" s="1"/>
  <c r="AP377" i="43"/>
  <c r="AZ377" i="43" s="1"/>
  <c r="AQ377" i="43"/>
  <c r="BA377" i="43" s="1"/>
  <c r="AP378" i="43"/>
  <c r="AZ378" i="43" s="1"/>
  <c r="AQ378" i="43"/>
  <c r="BA378" i="43" s="1"/>
  <c r="AP379" i="43"/>
  <c r="AZ379" i="43" s="1"/>
  <c r="AQ379" i="43"/>
  <c r="BA379" i="43" s="1"/>
  <c r="AP380" i="43"/>
  <c r="AZ380" i="43" s="1"/>
  <c r="AQ380" i="43"/>
  <c r="BA380" i="43" s="1"/>
  <c r="AP381" i="43"/>
  <c r="AZ381" i="43" s="1"/>
  <c r="AQ381" i="43"/>
  <c r="BA381" i="43" s="1"/>
  <c r="AP383" i="43"/>
  <c r="AZ383" i="43" s="1"/>
  <c r="AQ383" i="43"/>
  <c r="BA383" i="43" s="1"/>
  <c r="AP384" i="43"/>
  <c r="AZ384" i="43" s="1"/>
  <c r="AQ384" i="43"/>
  <c r="BA384" i="43" s="1"/>
  <c r="AP385" i="43"/>
  <c r="AZ385" i="43" s="1"/>
  <c r="AQ385" i="43"/>
  <c r="BA385" i="43" s="1"/>
  <c r="AP386" i="43"/>
  <c r="AZ386" i="43" s="1"/>
  <c r="AQ386" i="43"/>
  <c r="BA386" i="43" s="1"/>
  <c r="AP387" i="43"/>
  <c r="AZ387" i="43" s="1"/>
  <c r="AQ387" i="43"/>
  <c r="BA387" i="43" s="1"/>
  <c r="AP389" i="43"/>
  <c r="AZ389" i="43" s="1"/>
  <c r="AQ389" i="43"/>
  <c r="BA389" i="43" s="1"/>
  <c r="AP390" i="43"/>
  <c r="AZ390" i="43" s="1"/>
  <c r="AQ390" i="43"/>
  <c r="BA390" i="43" s="1"/>
  <c r="AP391" i="43"/>
  <c r="AZ391" i="43" s="1"/>
  <c r="AQ391" i="43"/>
  <c r="BA391" i="43" s="1"/>
  <c r="AP393" i="43"/>
  <c r="AZ393" i="43" s="1"/>
  <c r="AQ393" i="43"/>
  <c r="BA393" i="43" s="1"/>
  <c r="AP394" i="43"/>
  <c r="AZ394" i="43" s="1"/>
  <c r="AQ394" i="43"/>
  <c r="BA394" i="43" s="1"/>
  <c r="AP395" i="43"/>
  <c r="AZ395" i="43" s="1"/>
  <c r="AQ395" i="43"/>
  <c r="BA395" i="43" s="1"/>
  <c r="AP396" i="43"/>
  <c r="AZ396" i="43" s="1"/>
  <c r="AQ396" i="43"/>
  <c r="BA396" i="43" s="1"/>
  <c r="AP397" i="43"/>
  <c r="AZ397" i="43" s="1"/>
  <c r="AQ397" i="43"/>
  <c r="BA397" i="43" s="1"/>
  <c r="AP398" i="43"/>
  <c r="AZ398" i="43" s="1"/>
  <c r="AQ398" i="43"/>
  <c r="BA398" i="43" s="1"/>
  <c r="AP400" i="43"/>
  <c r="AZ400" i="43" s="1"/>
  <c r="AQ400" i="43"/>
  <c r="BA400" i="43" s="1"/>
  <c r="AP401" i="43"/>
  <c r="AZ401" i="43" s="1"/>
  <c r="AQ401" i="43"/>
  <c r="BA401" i="43" s="1"/>
  <c r="AP402" i="43"/>
  <c r="AZ402" i="43" s="1"/>
  <c r="AQ402" i="43"/>
  <c r="BA402" i="43" s="1"/>
  <c r="AP403" i="43"/>
  <c r="AZ403" i="43" s="1"/>
  <c r="AQ403" i="43"/>
  <c r="BA403" i="43" s="1"/>
  <c r="AP404" i="43"/>
  <c r="AZ404" i="43" s="1"/>
  <c r="AQ404" i="43"/>
  <c r="BA404" i="43" s="1"/>
  <c r="AP405" i="43"/>
  <c r="AZ405" i="43" s="1"/>
  <c r="AQ405" i="43"/>
  <c r="BA405" i="43" s="1"/>
  <c r="AP407" i="43"/>
  <c r="AZ407" i="43" s="1"/>
  <c r="AQ407" i="43"/>
  <c r="BA407" i="43" s="1"/>
  <c r="AP408" i="43"/>
  <c r="AZ408" i="43" s="1"/>
  <c r="AQ408" i="43"/>
  <c r="BA408" i="43" s="1"/>
  <c r="AP409" i="43"/>
  <c r="AZ409" i="43" s="1"/>
  <c r="AQ409" i="43"/>
  <c r="BA409" i="43" s="1"/>
  <c r="AP410" i="43"/>
  <c r="AZ410" i="43" s="1"/>
  <c r="AQ410" i="43"/>
  <c r="BA410" i="43" s="1"/>
  <c r="AP411" i="43"/>
  <c r="AZ411" i="43" s="1"/>
  <c r="AQ411" i="43"/>
  <c r="BA411" i="43" s="1"/>
  <c r="AP412" i="43"/>
  <c r="AZ412" i="43" s="1"/>
  <c r="AQ412" i="43"/>
  <c r="BA412" i="43" s="1"/>
  <c r="AP414" i="43"/>
  <c r="AZ414" i="43" s="1"/>
  <c r="AQ414" i="43"/>
  <c r="BA414" i="43" s="1"/>
  <c r="AP415" i="43"/>
  <c r="AZ415" i="43" s="1"/>
  <c r="AQ415" i="43"/>
  <c r="BA415" i="43" s="1"/>
  <c r="AP416" i="43"/>
  <c r="AZ416" i="43" s="1"/>
  <c r="AQ416" i="43"/>
  <c r="BA416" i="43" s="1"/>
  <c r="AP417" i="43"/>
  <c r="AZ417" i="43" s="1"/>
  <c r="AQ417" i="43"/>
  <c r="BA417" i="43" s="1"/>
  <c r="AP418" i="43"/>
  <c r="AZ418" i="43" s="1"/>
  <c r="AQ418" i="43"/>
  <c r="BA418" i="43" s="1"/>
  <c r="AP419" i="43"/>
  <c r="AZ419" i="43" s="1"/>
  <c r="AQ419" i="43"/>
  <c r="BA419" i="43" s="1"/>
  <c r="AP421" i="43"/>
  <c r="AZ421" i="43" s="1"/>
  <c r="AQ421" i="43"/>
  <c r="BA421" i="43" s="1"/>
  <c r="AP422" i="43"/>
  <c r="AZ422" i="43" s="1"/>
  <c r="AQ422" i="43"/>
  <c r="BA422" i="43" s="1"/>
  <c r="AP423" i="43"/>
  <c r="AZ423" i="43" s="1"/>
  <c r="AQ423" i="43"/>
  <c r="BA423" i="43" s="1"/>
  <c r="AP424" i="43"/>
  <c r="AZ424" i="43" s="1"/>
  <c r="AQ424" i="43"/>
  <c r="BA424" i="43" s="1"/>
  <c r="AP425" i="43"/>
  <c r="AZ425" i="43" s="1"/>
  <c r="AQ425" i="43"/>
  <c r="BA425" i="43" s="1"/>
  <c r="AP426" i="43"/>
  <c r="AZ426" i="43" s="1"/>
  <c r="AQ426" i="43"/>
  <c r="BA426" i="43" s="1"/>
  <c r="AP428" i="43"/>
  <c r="AZ428" i="43" s="1"/>
  <c r="AQ428" i="43"/>
  <c r="BA428" i="43" s="1"/>
  <c r="AP429" i="43"/>
  <c r="AZ429" i="43" s="1"/>
  <c r="AQ429" i="43"/>
  <c r="BA429" i="43" s="1"/>
  <c r="AP430" i="43"/>
  <c r="AZ430" i="43" s="1"/>
  <c r="AQ430" i="43"/>
  <c r="BA430" i="43" s="1"/>
  <c r="AP431" i="43"/>
  <c r="AZ431" i="43" s="1"/>
  <c r="AQ431" i="43"/>
  <c r="BA431" i="43" s="1"/>
  <c r="AP432" i="43"/>
  <c r="AZ432" i="43" s="1"/>
  <c r="AQ432" i="43"/>
  <c r="BA432" i="43" s="1"/>
  <c r="AP433" i="43"/>
  <c r="AZ433" i="43" s="1"/>
  <c r="AQ433" i="43"/>
  <c r="BA433" i="43" s="1"/>
  <c r="AP435" i="43"/>
  <c r="AZ435" i="43" s="1"/>
  <c r="AQ435" i="43"/>
  <c r="BA435" i="43" s="1"/>
  <c r="AP436" i="43"/>
  <c r="AZ436" i="43" s="1"/>
  <c r="AQ436" i="43"/>
  <c r="BA436" i="43" s="1"/>
  <c r="AP437" i="43"/>
  <c r="AZ437" i="43" s="1"/>
  <c r="AQ437" i="43"/>
  <c r="BA437" i="43" s="1"/>
  <c r="AP438" i="43"/>
  <c r="AZ438" i="43" s="1"/>
  <c r="AQ438" i="43"/>
  <c r="BA438" i="43" s="1"/>
  <c r="AP439" i="43"/>
  <c r="AZ439" i="43" s="1"/>
  <c r="AQ439" i="43"/>
  <c r="BA439" i="43" s="1"/>
  <c r="AP440" i="43"/>
  <c r="AZ440" i="43" s="1"/>
  <c r="AQ440" i="43"/>
  <c r="BA440" i="43" s="1"/>
  <c r="AP442" i="43"/>
  <c r="AZ442" i="43" s="1"/>
  <c r="AQ442" i="43"/>
  <c r="BA442" i="43" s="1"/>
  <c r="AP443" i="43"/>
  <c r="AZ443" i="43" s="1"/>
  <c r="AQ443" i="43"/>
  <c r="BA443" i="43" s="1"/>
  <c r="AP444" i="43"/>
  <c r="AZ444" i="43" s="1"/>
  <c r="AQ444" i="43"/>
  <c r="BA444" i="43" s="1"/>
  <c r="AP445" i="43"/>
  <c r="AZ445" i="43" s="1"/>
  <c r="AQ445" i="43"/>
  <c r="BA445" i="43" s="1"/>
  <c r="AP446" i="43"/>
  <c r="AZ446" i="43" s="1"/>
  <c r="AQ446" i="43"/>
  <c r="BA446" i="43" s="1"/>
  <c r="AP447" i="43"/>
  <c r="AZ447" i="43" s="1"/>
  <c r="AQ447" i="43"/>
  <c r="BA447" i="43" s="1"/>
  <c r="AP449" i="43"/>
  <c r="AZ449" i="43" s="1"/>
  <c r="AQ449" i="43"/>
  <c r="BA449" i="43" s="1"/>
  <c r="AP450" i="43"/>
  <c r="AZ450" i="43" s="1"/>
  <c r="AQ450" i="43"/>
  <c r="BA450" i="43" s="1"/>
  <c r="AP451" i="43"/>
  <c r="AZ451" i="43" s="1"/>
  <c r="AQ451" i="43"/>
  <c r="BA451" i="43" s="1"/>
  <c r="AP452" i="43"/>
  <c r="AZ452" i="43" s="1"/>
  <c r="AQ452" i="43"/>
  <c r="BA452" i="43" s="1"/>
  <c r="AP453" i="43"/>
  <c r="AZ453" i="43" s="1"/>
  <c r="AQ453" i="43"/>
  <c r="BA453" i="43" s="1"/>
  <c r="AP454" i="43"/>
  <c r="AZ454" i="43" s="1"/>
  <c r="AQ454" i="43"/>
  <c r="BA454" i="43" s="1"/>
  <c r="AP456" i="43"/>
  <c r="AZ456" i="43" s="1"/>
  <c r="AQ456" i="43"/>
  <c r="BA456" i="43" s="1"/>
  <c r="AP457" i="43"/>
  <c r="AZ457" i="43" s="1"/>
  <c r="AQ457" i="43"/>
  <c r="BA457" i="43" s="1"/>
  <c r="AP459" i="43"/>
  <c r="AZ459" i="43" s="1"/>
  <c r="AQ459" i="43"/>
  <c r="BA459" i="43" s="1"/>
  <c r="AP460" i="43"/>
  <c r="AZ460" i="43" s="1"/>
  <c r="AQ460" i="43"/>
  <c r="BA460" i="43" s="1"/>
  <c r="AP461" i="43"/>
  <c r="AZ461" i="43" s="1"/>
  <c r="AQ461" i="43"/>
  <c r="BA461" i="43" s="1"/>
  <c r="AQ12" i="43"/>
  <c r="AQ13" i="43" s="1"/>
  <c r="AP12" i="43"/>
  <c r="AP13" i="43" s="1"/>
  <c r="AZ116" i="43" l="1"/>
  <c r="AZ55" i="43"/>
  <c r="AZ42" i="43"/>
  <c r="BA105" i="43"/>
  <c r="AZ458" i="43"/>
  <c r="BA102" i="43"/>
  <c r="BA98" i="43"/>
  <c r="BA90" i="43"/>
  <c r="BA86" i="43"/>
  <c r="AZ105" i="43"/>
  <c r="AZ455" i="43"/>
  <c r="AZ427" i="43"/>
  <c r="AZ420" i="43"/>
  <c r="AZ413" i="43"/>
  <c r="AZ406" i="43"/>
  <c r="AZ392" i="43"/>
  <c r="AZ373" i="43"/>
  <c r="AZ266" i="43"/>
  <c r="AZ262" i="43"/>
  <c r="AZ113" i="43"/>
  <c r="AZ109" i="43"/>
  <c r="AZ39" i="43"/>
  <c r="AZ35" i="43"/>
  <c r="AZ31" i="43"/>
  <c r="BA335" i="43"/>
  <c r="BA458" i="43"/>
  <c r="BA373" i="43"/>
  <c r="BA266" i="43"/>
  <c r="BA262" i="43"/>
  <c r="BA116" i="43"/>
  <c r="BA113" i="43"/>
  <c r="BA55" i="43"/>
  <c r="BA42" i="43"/>
  <c r="BA39" i="43"/>
  <c r="BA35" i="43"/>
  <c r="BA31" i="43"/>
  <c r="AZ369" i="43"/>
  <c r="AZ350" i="43"/>
  <c r="AZ272" i="43"/>
  <c r="AZ249" i="43"/>
  <c r="AZ231" i="43"/>
  <c r="AZ206" i="43"/>
  <c r="AZ174" i="43"/>
  <c r="AZ162" i="43"/>
  <c r="AZ139" i="43"/>
  <c r="AZ132" i="43"/>
  <c r="AZ434" i="43"/>
  <c r="BA332" i="43"/>
  <c r="BA328" i="43"/>
  <c r="BA276" i="43"/>
  <c r="BA82" i="43"/>
  <c r="AZ296" i="43"/>
  <c r="BA462" i="43"/>
  <c r="BA362" i="43"/>
  <c r="BA357" i="43"/>
  <c r="BA322" i="43"/>
  <c r="BA316" i="43"/>
  <c r="BA312" i="43"/>
  <c r="BA305" i="43"/>
  <c r="BA288" i="43"/>
  <c r="BA283" i="43"/>
  <c r="BA256" i="43"/>
  <c r="BA237" i="43"/>
  <c r="BA219" i="43"/>
  <c r="BA213" i="43"/>
  <c r="BA180" i="43"/>
  <c r="BA151" i="43"/>
  <c r="BA125" i="43"/>
  <c r="BA120" i="43"/>
  <c r="BA79" i="43"/>
  <c r="BA70" i="43"/>
  <c r="BA67" i="43"/>
  <c r="BA63" i="43"/>
  <c r="BA59" i="43"/>
  <c r="BA49" i="43"/>
  <c r="BA46" i="43"/>
  <c r="BA27" i="43"/>
  <c r="BA22" i="43"/>
  <c r="AZ145" i="43"/>
  <c r="AZ462" i="43"/>
  <c r="AZ362" i="43"/>
  <c r="AZ357" i="43"/>
  <c r="AZ335" i="43"/>
  <c r="AZ332" i="43"/>
  <c r="AZ328" i="43"/>
  <c r="AZ322" i="43"/>
  <c r="AZ316" i="43"/>
  <c r="AZ312" i="43"/>
  <c r="AZ305" i="43"/>
  <c r="AZ288" i="43"/>
  <c r="AZ283" i="43"/>
  <c r="AZ276" i="43"/>
  <c r="AZ256" i="43"/>
  <c r="AZ237" i="43"/>
  <c r="AZ219" i="43"/>
  <c r="AZ213" i="43"/>
  <c r="AZ180" i="43"/>
  <c r="AZ151" i="43"/>
  <c r="AZ125" i="43"/>
  <c r="AZ120" i="43"/>
  <c r="AZ82" i="43"/>
  <c r="AZ79" i="43"/>
  <c r="AZ70" i="43"/>
  <c r="AZ67" i="43"/>
  <c r="AZ63" i="43"/>
  <c r="AZ59" i="43"/>
  <c r="AZ49" i="43"/>
  <c r="AZ46" i="43"/>
  <c r="AZ27" i="43"/>
  <c r="AZ22" i="43"/>
  <c r="AZ441" i="43"/>
  <c r="AZ399" i="43"/>
  <c r="BA388" i="43"/>
  <c r="BA382" i="43"/>
  <c r="BA344" i="43"/>
  <c r="BA243" i="43"/>
  <c r="BA225" i="43"/>
  <c r="BA200" i="43"/>
  <c r="BA194" i="43"/>
  <c r="BA187" i="43"/>
  <c r="BA168" i="43"/>
  <c r="BA157" i="43"/>
  <c r="BA94" i="43"/>
  <c r="BA75" i="43"/>
  <c r="BA52" i="43"/>
  <c r="BA18" i="43"/>
  <c r="AZ448" i="43"/>
  <c r="AZ388" i="43"/>
  <c r="AZ382" i="43"/>
  <c r="AZ344" i="43"/>
  <c r="AZ243" i="43"/>
  <c r="AZ225" i="43"/>
  <c r="AZ200" i="43"/>
  <c r="AZ194" i="43"/>
  <c r="AZ187" i="43"/>
  <c r="AZ168" i="43"/>
  <c r="AZ157" i="43"/>
  <c r="AZ102" i="43"/>
  <c r="AZ98" i="43"/>
  <c r="AZ94" i="43"/>
  <c r="AZ90" i="43"/>
  <c r="AZ86" i="43"/>
  <c r="AZ75" i="43"/>
  <c r="AZ52" i="43"/>
  <c r="AZ18" i="43"/>
  <c r="BA455" i="43"/>
  <c r="BA448" i="43"/>
  <c r="BA441" i="43"/>
  <c r="BA434" i="43"/>
  <c r="BA427" i="43"/>
  <c r="BA420" i="43"/>
  <c r="BA413" i="43"/>
  <c r="BA406" i="43"/>
  <c r="BA399" i="43"/>
  <c r="BA392" i="43"/>
  <c r="BA369" i="43"/>
  <c r="BA350" i="43"/>
  <c r="BA296" i="43"/>
  <c r="BA272" i="43"/>
  <c r="BA249" i="43"/>
  <c r="BA231" i="43"/>
  <c r="BA206" i="43"/>
  <c r="BA174" i="43"/>
  <c r="BA162" i="43"/>
  <c r="BA145" i="43"/>
  <c r="BA139" i="43"/>
  <c r="BA132" i="43"/>
  <c r="BA109" i="43"/>
  <c r="AD463" i="43"/>
  <c r="W13" i="47" s="1"/>
  <c r="AP298" i="43"/>
  <c r="AQ324" i="43"/>
  <c r="AQ375" i="43"/>
  <c r="AP375" i="43"/>
  <c r="AQ258" i="43"/>
  <c r="AP258" i="43"/>
  <c r="AR88" i="43"/>
  <c r="AR84" i="43"/>
  <c r="AR134" i="43"/>
  <c r="AR130" i="43"/>
  <c r="AY130" i="43" s="1"/>
  <c r="AR123" i="43"/>
  <c r="AR54" i="43"/>
  <c r="AR452" i="43"/>
  <c r="AR424" i="43"/>
  <c r="AR414" i="43"/>
  <c r="AY414" i="43" s="1"/>
  <c r="AR410" i="43"/>
  <c r="AR400" i="43"/>
  <c r="AY400" i="43" s="1"/>
  <c r="AR355" i="43"/>
  <c r="AR307" i="43"/>
  <c r="AY307" i="43" s="1"/>
  <c r="AR222" i="43"/>
  <c r="AR48" i="43"/>
  <c r="AR40" i="43"/>
  <c r="AY40" i="43" s="1"/>
  <c r="AR76" i="43"/>
  <c r="AY76" i="43" s="1"/>
  <c r="AR72" i="43"/>
  <c r="AY72" i="43" s="1"/>
  <c r="AR446" i="43"/>
  <c r="AY446" i="43" s="1"/>
  <c r="AR432" i="43"/>
  <c r="AY432" i="43" s="1"/>
  <c r="AR379" i="43"/>
  <c r="AR331" i="43"/>
  <c r="AR297" i="43"/>
  <c r="AY297" i="43" s="1"/>
  <c r="AY298" i="43" s="1"/>
  <c r="AR271" i="43"/>
  <c r="AP335" i="43"/>
  <c r="AP328" i="43"/>
  <c r="AP322" i="43"/>
  <c r="AR138" i="43"/>
  <c r="AY138" i="43" s="1"/>
  <c r="AR114" i="43"/>
  <c r="AY114" i="43" s="1"/>
  <c r="AR57" i="43"/>
  <c r="AR30" i="43"/>
  <c r="AR61" i="43"/>
  <c r="AY61" i="43" s="1"/>
  <c r="AP458" i="43"/>
  <c r="AR128" i="43"/>
  <c r="AR181" i="43"/>
  <c r="AY181" i="43" s="1"/>
  <c r="AR177" i="43"/>
  <c r="AR170" i="43"/>
  <c r="AR166" i="43"/>
  <c r="AY166" i="43" s="1"/>
  <c r="AR152" i="43"/>
  <c r="AY152" i="43" s="1"/>
  <c r="AR141" i="43"/>
  <c r="AR104" i="43"/>
  <c r="AR56" i="43"/>
  <c r="AY56" i="43" s="1"/>
  <c r="AP116" i="43"/>
  <c r="AQ105" i="43"/>
  <c r="AP49" i="43"/>
  <c r="AP46" i="43"/>
  <c r="AR208" i="43"/>
  <c r="AR201" i="43"/>
  <c r="AY201" i="43" s="1"/>
  <c r="AR197" i="43"/>
  <c r="AR193" i="43"/>
  <c r="AR186" i="43"/>
  <c r="AR183" i="43"/>
  <c r="AR176" i="43"/>
  <c r="AR172" i="43"/>
  <c r="AR165" i="43"/>
  <c r="AP109" i="43"/>
  <c r="AP105" i="43"/>
  <c r="AP98" i="43"/>
  <c r="AP94" i="43"/>
  <c r="AP86" i="43"/>
  <c r="AP79" i="43"/>
  <c r="AR66" i="43"/>
  <c r="AR135" i="43"/>
  <c r="AR16" i="43"/>
  <c r="AR343" i="43"/>
  <c r="AQ116" i="43"/>
  <c r="AR423" i="43"/>
  <c r="AR269" i="43"/>
  <c r="AR253" i="43"/>
  <c r="AR232" i="43"/>
  <c r="AY232" i="43" s="1"/>
  <c r="AR214" i="43"/>
  <c r="AY214" i="43" s="1"/>
  <c r="AJ463" i="43"/>
  <c r="AC13" i="47" s="1"/>
  <c r="AQ388" i="43"/>
  <c r="AQ382" i="43"/>
  <c r="AQ243" i="43"/>
  <c r="AQ225" i="43"/>
  <c r="AR207" i="43"/>
  <c r="AY207" i="43" s="1"/>
  <c r="AR199" i="43"/>
  <c r="AR196" i="43"/>
  <c r="AP151" i="43"/>
  <c r="AR124" i="43"/>
  <c r="AR365" i="43"/>
  <c r="AR284" i="43"/>
  <c r="AY284" i="43" s="1"/>
  <c r="AR261" i="43"/>
  <c r="AR210" i="43"/>
  <c r="AY210" i="43" s="1"/>
  <c r="AP388" i="43"/>
  <c r="AP125" i="43"/>
  <c r="AR117" i="43"/>
  <c r="AY117" i="43" s="1"/>
  <c r="AQ18" i="43"/>
  <c r="AR447" i="43"/>
  <c r="AR433" i="43"/>
  <c r="AR405" i="43"/>
  <c r="AR384" i="43"/>
  <c r="AY384" i="43" s="1"/>
  <c r="AR377" i="43"/>
  <c r="AY377" i="43" s="1"/>
  <c r="AR361" i="43"/>
  <c r="AR257" i="43"/>
  <c r="AY257" i="43" s="1"/>
  <c r="AY258" i="43" s="1"/>
  <c r="AR221" i="43"/>
  <c r="AR460" i="43"/>
  <c r="AR92" i="43"/>
  <c r="AR68" i="43"/>
  <c r="AY68" i="43" s="1"/>
  <c r="AP42" i="43"/>
  <c r="AR459" i="43"/>
  <c r="AY459" i="43" s="1"/>
  <c r="AR437" i="43"/>
  <c r="AR387" i="43"/>
  <c r="AR380" i="43"/>
  <c r="AY380" i="43" s="1"/>
  <c r="AR368" i="43"/>
  <c r="AR273" i="43"/>
  <c r="AY273" i="43" s="1"/>
  <c r="AR246" i="43"/>
  <c r="AR224" i="43"/>
  <c r="AQ102" i="43"/>
  <c r="AQ98" i="43"/>
  <c r="AQ94" i="43"/>
  <c r="AQ90" i="43"/>
  <c r="AQ86" i="43"/>
  <c r="AR78" i="43"/>
  <c r="AP67" i="43"/>
  <c r="AP63" i="43"/>
  <c r="AQ49" i="43"/>
  <c r="AQ46" i="43"/>
  <c r="AP31" i="43"/>
  <c r="AP70" i="43"/>
  <c r="AQ145" i="43"/>
  <c r="AQ75" i="43"/>
  <c r="AR24" i="43"/>
  <c r="AY24" i="43" s="1"/>
  <c r="AQ344" i="43"/>
  <c r="AR453" i="43"/>
  <c r="AY453" i="43" s="1"/>
  <c r="AR14" i="43"/>
  <c r="AY14" i="43" s="1"/>
  <c r="AR158" i="43"/>
  <c r="AY158" i="43" s="1"/>
  <c r="AP162" i="43"/>
  <c r="AR150" i="43"/>
  <c r="AR439" i="43"/>
  <c r="AY439" i="43" s="1"/>
  <c r="AR429" i="43"/>
  <c r="AY429" i="43" s="1"/>
  <c r="AR411" i="43"/>
  <c r="AY411" i="43" s="1"/>
  <c r="AR401" i="43"/>
  <c r="AY401" i="43" s="1"/>
  <c r="AR394" i="43"/>
  <c r="AR364" i="43"/>
  <c r="AY364" i="43" s="1"/>
  <c r="AR356" i="43"/>
  <c r="AY356" i="43" s="1"/>
  <c r="AR342" i="43"/>
  <c r="AY342" i="43" s="1"/>
  <c r="AR339" i="43"/>
  <c r="AY339" i="43" s="1"/>
  <c r="AR323" i="43"/>
  <c r="AR324" i="43" s="1"/>
  <c r="AR304" i="43"/>
  <c r="AR293" i="43"/>
  <c r="AY293" i="43" s="1"/>
  <c r="AR282" i="43"/>
  <c r="AR264" i="43"/>
  <c r="AR252" i="43"/>
  <c r="AR238" i="43"/>
  <c r="AY238" i="43" s="1"/>
  <c r="AR223" i="43"/>
  <c r="AY223" i="43" s="1"/>
  <c r="AR212" i="43"/>
  <c r="AR192" i="43"/>
  <c r="AQ448" i="43"/>
  <c r="AQ434" i="43"/>
  <c r="AQ392" i="43"/>
  <c r="AQ373" i="43"/>
  <c r="AQ266" i="43"/>
  <c r="AR202" i="43"/>
  <c r="AP455" i="43"/>
  <c r="AR435" i="43"/>
  <c r="AY435" i="43" s="1"/>
  <c r="AR431" i="43"/>
  <c r="AR421" i="43"/>
  <c r="AY421" i="43" s="1"/>
  <c r="AR417" i="43"/>
  <c r="AP413" i="43"/>
  <c r="AR403" i="43"/>
  <c r="AR396" i="43"/>
  <c r="AY396" i="43" s="1"/>
  <c r="AR393" i="43"/>
  <c r="AY393" i="43" s="1"/>
  <c r="AR385" i="43"/>
  <c r="AR370" i="43"/>
  <c r="AY370" i="43" s="1"/>
  <c r="AP369" i="43"/>
  <c r="AR345" i="43"/>
  <c r="AY345" i="43" s="1"/>
  <c r="AR341" i="43"/>
  <c r="AR330" i="43"/>
  <c r="AR321" i="43"/>
  <c r="AR318" i="43"/>
  <c r="AR310" i="43"/>
  <c r="AY310" i="43" s="1"/>
  <c r="AR292" i="43"/>
  <c r="AR289" i="43"/>
  <c r="AY289" i="43" s="1"/>
  <c r="AR285" i="43"/>
  <c r="AY285" i="43" s="1"/>
  <c r="AR281" i="43"/>
  <c r="AY281" i="43" s="1"/>
  <c r="AP276" i="43"/>
  <c r="AR270" i="43"/>
  <c r="AY270" i="43" s="1"/>
  <c r="AR267" i="43"/>
  <c r="AY267" i="43" s="1"/>
  <c r="AR263" i="43"/>
  <c r="AY263" i="43" s="1"/>
  <c r="AP262" i="43"/>
  <c r="AR244" i="43"/>
  <c r="AY244" i="43" s="1"/>
  <c r="AR240" i="43"/>
  <c r="AP237" i="43"/>
  <c r="AR229" i="43"/>
  <c r="AY229" i="43" s="1"/>
  <c r="AR226" i="43"/>
  <c r="AY226" i="43" s="1"/>
  <c r="AR218" i="43"/>
  <c r="AR211" i="43"/>
  <c r="AQ206" i="43"/>
  <c r="AR195" i="43"/>
  <c r="AY195" i="43" s="1"/>
  <c r="AR188" i="43"/>
  <c r="AY188" i="43" s="1"/>
  <c r="AQ187" i="43"/>
  <c r="AQ168" i="43"/>
  <c r="AQ157" i="43"/>
  <c r="AQ125" i="43"/>
  <c r="AQ120" i="43"/>
  <c r="AR110" i="43"/>
  <c r="AY110" i="43" s="1"/>
  <c r="AR106" i="43"/>
  <c r="AY106" i="43" s="1"/>
  <c r="AR97" i="43"/>
  <c r="AR93" i="43"/>
  <c r="AR85" i="43"/>
  <c r="AR81" i="43"/>
  <c r="AR77" i="43"/>
  <c r="AY77" i="43" s="1"/>
  <c r="AR73" i="43"/>
  <c r="AR69" i="43"/>
  <c r="AR50" i="43"/>
  <c r="AY50" i="43" s="1"/>
  <c r="AR45" i="43"/>
  <c r="AR37" i="43"/>
  <c r="AR33" i="43"/>
  <c r="AP22" i="43"/>
  <c r="AR15" i="43"/>
  <c r="AY15" i="43" s="1"/>
  <c r="AR415" i="43"/>
  <c r="AY415" i="43" s="1"/>
  <c r="AR397" i="43"/>
  <c r="AR390" i="43"/>
  <c r="AR376" i="43"/>
  <c r="AY376" i="43" s="1"/>
  <c r="AR349" i="43"/>
  <c r="AR336" i="43"/>
  <c r="AY336" i="43" s="1"/>
  <c r="AR327" i="43"/>
  <c r="AR315" i="43"/>
  <c r="AR308" i="43"/>
  <c r="AR301" i="43"/>
  <c r="AR279" i="43"/>
  <c r="AR255" i="43"/>
  <c r="AR241" i="43"/>
  <c r="AY241" i="43" s="1"/>
  <c r="AR234" i="43"/>
  <c r="AR220" i="43"/>
  <c r="AY220" i="43" s="1"/>
  <c r="AR216" i="43"/>
  <c r="AR189" i="43"/>
  <c r="AQ180" i="43"/>
  <c r="AR147" i="43"/>
  <c r="AR140" i="43"/>
  <c r="AY140" i="43" s="1"/>
  <c r="AQ139" i="43"/>
  <c r="AQ132" i="43"/>
  <c r="AR111" i="43"/>
  <c r="AR99" i="43"/>
  <c r="AY99" i="43" s="1"/>
  <c r="AR87" i="43"/>
  <c r="AY87" i="43" s="1"/>
  <c r="AP75" i="43"/>
  <c r="AQ455" i="43"/>
  <c r="AQ441" i="43"/>
  <c r="AQ369" i="43"/>
  <c r="AQ296" i="43"/>
  <c r="AQ272" i="43"/>
  <c r="AQ262" i="43"/>
  <c r="AQ231" i="43"/>
  <c r="AR205" i="43"/>
  <c r="AQ200" i="43"/>
  <c r="AQ194" i="43"/>
  <c r="AR182" i="43"/>
  <c r="AY182" i="43" s="1"/>
  <c r="AP180" i="43"/>
  <c r="AR164" i="43"/>
  <c r="AR156" i="43"/>
  <c r="AQ151" i="43"/>
  <c r="AR136" i="43"/>
  <c r="AY136" i="43" s="1"/>
  <c r="AR129" i="43"/>
  <c r="AQ113" i="43"/>
  <c r="AR58" i="43"/>
  <c r="AQ27" i="43"/>
  <c r="AD466" i="43"/>
  <c r="AQ462" i="43"/>
  <c r="AQ362" i="43"/>
  <c r="AQ357" i="43"/>
  <c r="AQ335" i="43"/>
  <c r="AQ332" i="43"/>
  <c r="AQ328" i="43"/>
  <c r="AQ322" i="43"/>
  <c r="AQ316" i="43"/>
  <c r="AQ312" i="43"/>
  <c r="AQ305" i="43"/>
  <c r="AQ288" i="43"/>
  <c r="AQ283" i="43"/>
  <c r="AQ276" i="43"/>
  <c r="AQ256" i="43"/>
  <c r="AQ237" i="43"/>
  <c r="AQ219" i="43"/>
  <c r="AR204" i="43"/>
  <c r="AY204" i="43" s="1"/>
  <c r="AP168" i="43"/>
  <c r="AR144" i="43"/>
  <c r="AR121" i="43"/>
  <c r="AY121" i="43" s="1"/>
  <c r="AR96" i="43"/>
  <c r="AQ82" i="43"/>
  <c r="AQ70" i="43"/>
  <c r="AQ55" i="43"/>
  <c r="AQ39" i="43"/>
  <c r="AQ35" i="43"/>
  <c r="AJ466" i="43"/>
  <c r="AQ458" i="43"/>
  <c r="AQ427" i="43"/>
  <c r="AQ413" i="43"/>
  <c r="AQ399" i="43"/>
  <c r="AQ350" i="43"/>
  <c r="AQ249" i="43"/>
  <c r="AR198" i="43"/>
  <c r="AY198" i="43" s="1"/>
  <c r="AR185" i="43"/>
  <c r="AY185" i="43" s="1"/>
  <c r="AR178" i="43"/>
  <c r="AY178" i="43" s="1"/>
  <c r="AR171" i="43"/>
  <c r="AY171" i="43" s="1"/>
  <c r="AR153" i="43"/>
  <c r="AR133" i="43"/>
  <c r="AY133" i="43" s="1"/>
  <c r="AR126" i="43"/>
  <c r="AY126" i="43" s="1"/>
  <c r="AQ109" i="43"/>
  <c r="AR62" i="43"/>
  <c r="AQ52" i="43"/>
  <c r="AQ22" i="43"/>
  <c r="AP27" i="43"/>
  <c r="AP312" i="43"/>
  <c r="AP448" i="43"/>
  <c r="AP434" i="43"/>
  <c r="AP420" i="43"/>
  <c r="AR409" i="43"/>
  <c r="AP406" i="43"/>
  <c r="AP392" i="43"/>
  <c r="AP373" i="43"/>
  <c r="AP362" i="43"/>
  <c r="AR354" i="43"/>
  <c r="AY354" i="43" s="1"/>
  <c r="AR351" i="43"/>
  <c r="AY351" i="43" s="1"/>
  <c r="AR347" i="43"/>
  <c r="AP332" i="43"/>
  <c r="AP283" i="43"/>
  <c r="AP256" i="43"/>
  <c r="AR235" i="43"/>
  <c r="AY235" i="43" s="1"/>
  <c r="AR228" i="43"/>
  <c r="AQ213" i="43"/>
  <c r="AQ174" i="43"/>
  <c r="AQ162" i="43"/>
  <c r="AR154" i="43"/>
  <c r="AP82" i="43"/>
  <c r="AQ67" i="43"/>
  <c r="AQ63" i="43"/>
  <c r="AQ59" i="43"/>
  <c r="AR53" i="43"/>
  <c r="AY53" i="43" s="1"/>
  <c r="AR44" i="43"/>
  <c r="AR36" i="43"/>
  <c r="AY36" i="43" s="1"/>
  <c r="AR32" i="43"/>
  <c r="AY32" i="43" s="1"/>
  <c r="AQ31" i="43"/>
  <c r="AR21" i="43"/>
  <c r="AP18" i="43"/>
  <c r="AP55" i="43"/>
  <c r="AP200" i="43"/>
  <c r="AP288" i="43"/>
  <c r="AR422" i="43"/>
  <c r="AY422" i="43" s="1"/>
  <c r="AR333" i="43"/>
  <c r="AY333" i="43" s="1"/>
  <c r="AR325" i="43"/>
  <c r="AY325" i="43" s="1"/>
  <c r="AR313" i="43"/>
  <c r="AY313" i="43" s="1"/>
  <c r="AR299" i="43"/>
  <c r="AY299" i="43" s="1"/>
  <c r="AR287" i="43"/>
  <c r="AR209" i="43"/>
  <c r="AR190" i="43"/>
  <c r="AR159" i="43"/>
  <c r="AR146" i="43"/>
  <c r="AY146" i="43" s="1"/>
  <c r="AR142" i="43"/>
  <c r="AR122" i="43"/>
  <c r="AY122" i="43" s="1"/>
  <c r="AR118" i="43"/>
  <c r="AR74" i="43"/>
  <c r="AR51" i="43"/>
  <c r="AR38" i="43"/>
  <c r="AQ42" i="43"/>
  <c r="AQ79" i="43"/>
  <c r="AQ298" i="43"/>
  <c r="AQ406" i="43"/>
  <c r="AQ420" i="43"/>
  <c r="AP225" i="43"/>
  <c r="AP266" i="43"/>
  <c r="AR353" i="43"/>
  <c r="AR319" i="43"/>
  <c r="AR169" i="43"/>
  <c r="AY169" i="43" s="1"/>
  <c r="AR34" i="43"/>
  <c r="AR20" i="43"/>
  <c r="AP35" i="43"/>
  <c r="AP102" i="43"/>
  <c r="AP187" i="43"/>
  <c r="AP350" i="43"/>
  <c r="AR286" i="43"/>
  <c r="AR108" i="43"/>
  <c r="AR26" i="43"/>
  <c r="AP39" i="43"/>
  <c r="AP52" i="43"/>
  <c r="AP59" i="43"/>
  <c r="AP90" i="43"/>
  <c r="AP113" i="43"/>
  <c r="AP120" i="43"/>
  <c r="AP132" i="43"/>
  <c r="AP145" i="43"/>
  <c r="AP157" i="43"/>
  <c r="AP194" i="43"/>
  <c r="AP206" i="43"/>
  <c r="AP219" i="43"/>
  <c r="AP231" i="43"/>
  <c r="AP243" i="43"/>
  <c r="AP272" i="43"/>
  <c r="AP296" i="43"/>
  <c r="AP305" i="43"/>
  <c r="AP316" i="43"/>
  <c r="AP324" i="43"/>
  <c r="AP344" i="43"/>
  <c r="AP357" i="43"/>
  <c r="AP399" i="43"/>
  <c r="AP427" i="43"/>
  <c r="AP441" i="43"/>
  <c r="AP462" i="43"/>
  <c r="AP139" i="43"/>
  <c r="AP174" i="43"/>
  <c r="AP213" i="43"/>
  <c r="AP249" i="43"/>
  <c r="AP382" i="43"/>
  <c r="AR217" i="43"/>
  <c r="AY217" i="43" s="1"/>
  <c r="AR80" i="43"/>
  <c r="AY80" i="43" s="1"/>
  <c r="AR12" i="43"/>
  <c r="AR13" i="43" s="1"/>
  <c r="AR454" i="43"/>
  <c r="AR444" i="43"/>
  <c r="AR430" i="43"/>
  <c r="AR416" i="43"/>
  <c r="AR402" i="43"/>
  <c r="AR398" i="43"/>
  <c r="AY398" i="43" s="1"/>
  <c r="AR259" i="43"/>
  <c r="AY259" i="43" s="1"/>
  <c r="AR247" i="43"/>
  <c r="AY247" i="43" s="1"/>
  <c r="AR60" i="43"/>
  <c r="AY60" i="43" s="1"/>
  <c r="AR29" i="43"/>
  <c r="AR25" i="43"/>
  <c r="AR17" i="43"/>
  <c r="AR274" i="43"/>
  <c r="AR449" i="43"/>
  <c r="AY449" i="43" s="1"/>
  <c r="AR419" i="43"/>
  <c r="AR407" i="43"/>
  <c r="AY407" i="43" s="1"/>
  <c r="AR303" i="43"/>
  <c r="AY303" i="43" s="1"/>
  <c r="AR260" i="43"/>
  <c r="AR378" i="43"/>
  <c r="AR277" i="43"/>
  <c r="AY277" i="43" s="1"/>
  <c r="AR184" i="43"/>
  <c r="AR112" i="43"/>
  <c r="AR457" i="43"/>
  <c r="AR451" i="43"/>
  <c r="AR445" i="43"/>
  <c r="AR425" i="43"/>
  <c r="AY425" i="43" s="1"/>
  <c r="AR395" i="43"/>
  <c r="AR309" i="43"/>
  <c r="AR306" i="43"/>
  <c r="AY306" i="43" s="1"/>
  <c r="AR254" i="43"/>
  <c r="AY254" i="43" s="1"/>
  <c r="AR251" i="43"/>
  <c r="AY251" i="43" s="1"/>
  <c r="AR160" i="43"/>
  <c r="AY160" i="43" s="1"/>
  <c r="AR64" i="43"/>
  <c r="AY64" i="43" s="1"/>
  <c r="AR372" i="43"/>
  <c r="AR461" i="43"/>
  <c r="AR443" i="43"/>
  <c r="AY443" i="43" s="1"/>
  <c r="AR352" i="43"/>
  <c r="AR300" i="43"/>
  <c r="AY300" i="43" s="1"/>
  <c r="AR148" i="43"/>
  <c r="AR381" i="43"/>
  <c r="AR329" i="43"/>
  <c r="AY329" i="43" s="1"/>
  <c r="AR280" i="43"/>
  <c r="AR28" i="43"/>
  <c r="AY28" i="43" s="1"/>
  <c r="AR456" i="43"/>
  <c r="AY456" i="43" s="1"/>
  <c r="AR450" i="43"/>
  <c r="AY450" i="43" s="1"/>
  <c r="AR440" i="43"/>
  <c r="AR428" i="43"/>
  <c r="AY428" i="43" s="1"/>
  <c r="AR404" i="43"/>
  <c r="AY404" i="43" s="1"/>
  <c r="AR100" i="43"/>
  <c r="AR442" i="43"/>
  <c r="AY442" i="43" s="1"/>
  <c r="AR436" i="43"/>
  <c r="AY436" i="43" s="1"/>
  <c r="AR418" i="43"/>
  <c r="AY418" i="43" s="1"/>
  <c r="AR412" i="43"/>
  <c r="AR389" i="43"/>
  <c r="AY389" i="43" s="1"/>
  <c r="AR383" i="43"/>
  <c r="AY383" i="43" s="1"/>
  <c r="AR366" i="43"/>
  <c r="AR363" i="43"/>
  <c r="AY363" i="43" s="1"/>
  <c r="AR360" i="43"/>
  <c r="AY360" i="43" s="1"/>
  <c r="AR340" i="43"/>
  <c r="AR337" i="43"/>
  <c r="AY337" i="43" s="1"/>
  <c r="AR334" i="43"/>
  <c r="AR320" i="43"/>
  <c r="AY320" i="43" s="1"/>
  <c r="AR317" i="43"/>
  <c r="AY317" i="43" s="1"/>
  <c r="AR311" i="43"/>
  <c r="AR294" i="43"/>
  <c r="AR291" i="43"/>
  <c r="AR268" i="43"/>
  <c r="AR265" i="43"/>
  <c r="AR248" i="43"/>
  <c r="AR245" i="43"/>
  <c r="AR242" i="43"/>
  <c r="AR236" i="43"/>
  <c r="AR233" i="43"/>
  <c r="AR230" i="43"/>
  <c r="AR227" i="43"/>
  <c r="AR215" i="43"/>
  <c r="AR203" i="43"/>
  <c r="AR191" i="43"/>
  <c r="AY191" i="43" s="1"/>
  <c r="AR179" i="43"/>
  <c r="AR167" i="43"/>
  <c r="AR155" i="43"/>
  <c r="AY155" i="43" s="1"/>
  <c r="AR143" i="43"/>
  <c r="AY143" i="43" s="1"/>
  <c r="AR131" i="43"/>
  <c r="AR119" i="43"/>
  <c r="AR107" i="43"/>
  <c r="AR95" i="43"/>
  <c r="AY95" i="43" s="1"/>
  <c r="AR83" i="43"/>
  <c r="AY83" i="43" s="1"/>
  <c r="AR71" i="43"/>
  <c r="AY71" i="43" s="1"/>
  <c r="AR47" i="43"/>
  <c r="AY47" i="43" s="1"/>
  <c r="AR23" i="43"/>
  <c r="AY23" i="43" s="1"/>
  <c r="AR391" i="43"/>
  <c r="AR371" i="43"/>
  <c r="AR348" i="43"/>
  <c r="AY348" i="43" s="1"/>
  <c r="AR250" i="43"/>
  <c r="AY250" i="43" s="1"/>
  <c r="AR438" i="43"/>
  <c r="AR426" i="43"/>
  <c r="AR408" i="43"/>
  <c r="AY408" i="43" s="1"/>
  <c r="AR359" i="43"/>
  <c r="AR367" i="43"/>
  <c r="AY367" i="43" s="1"/>
  <c r="AR295" i="43"/>
  <c r="AR275" i="43"/>
  <c r="AR173" i="43"/>
  <c r="AR161" i="43"/>
  <c r="AR149" i="43"/>
  <c r="AY149" i="43" s="1"/>
  <c r="AR137" i="43"/>
  <c r="AR101" i="43"/>
  <c r="AR89" i="43"/>
  <c r="AR65" i="43"/>
  <c r="AR41" i="43"/>
  <c r="AR175" i="43"/>
  <c r="AY175" i="43" s="1"/>
  <c r="AR163" i="43"/>
  <c r="AY163" i="43" s="1"/>
  <c r="AR127" i="43"/>
  <c r="AY127" i="43" s="1"/>
  <c r="AR115" i="43"/>
  <c r="AR103" i="43"/>
  <c r="AY103" i="43" s="1"/>
  <c r="AR91" i="43"/>
  <c r="AY91" i="43" s="1"/>
  <c r="AR43" i="43"/>
  <c r="AY43" i="43" s="1"/>
  <c r="AR19" i="43"/>
  <c r="AY19" i="43" s="1"/>
  <c r="AR386" i="43"/>
  <c r="AY386" i="43" s="1"/>
  <c r="AR374" i="43"/>
  <c r="AR375" i="43" s="1"/>
  <c r="AR338" i="43"/>
  <c r="AY338" i="43" s="1"/>
  <c r="AR326" i="43"/>
  <c r="AR314" i="43"/>
  <c r="AR302" i="43"/>
  <c r="AR290" i="43"/>
  <c r="AY290" i="43" s="1"/>
  <c r="AR278" i="43"/>
  <c r="AY278" i="43" s="1"/>
  <c r="AR239" i="43"/>
  <c r="AR358" i="43"/>
  <c r="AY358" i="43" s="1"/>
  <c r="AR346" i="43"/>
  <c r="AR258" i="43" l="1"/>
  <c r="AR105" i="43"/>
  <c r="AR298" i="43"/>
  <c r="AR55" i="43"/>
  <c r="AR42" i="43"/>
  <c r="AR63" i="43"/>
  <c r="AR86" i="43"/>
  <c r="AR116" i="43"/>
  <c r="AR79" i="43"/>
  <c r="AR18" i="43"/>
  <c r="AR90" i="43"/>
  <c r="AR49" i="43"/>
  <c r="AR332" i="43"/>
  <c r="AR225" i="43"/>
  <c r="AR59" i="43"/>
  <c r="AR98" i="43"/>
  <c r="AR373" i="43"/>
  <c r="AR102" i="43"/>
  <c r="AR52" i="43"/>
  <c r="AR70" i="43"/>
  <c r="AR132" i="43"/>
  <c r="AR157" i="43"/>
  <c r="AR382" i="43"/>
  <c r="AR187" i="43"/>
  <c r="AR145" i="43"/>
  <c r="AR139" i="43"/>
  <c r="AR243" i="43"/>
  <c r="AR27" i="43"/>
  <c r="AR237" i="43"/>
  <c r="AR392" i="43"/>
  <c r="AR399" i="43"/>
  <c r="AR335" i="43"/>
  <c r="AR462" i="43"/>
  <c r="AR82" i="43"/>
  <c r="AR213" i="43"/>
  <c r="AR249" i="43"/>
  <c r="AR109" i="43"/>
  <c r="AR276" i="43"/>
  <c r="AR312" i="43"/>
  <c r="AR288" i="43"/>
  <c r="AR231" i="43"/>
  <c r="AR344" i="43"/>
  <c r="AR434" i="43"/>
  <c r="AR120" i="43"/>
  <c r="AR200" i="43"/>
  <c r="AR296" i="43"/>
  <c r="AR219" i="43"/>
  <c r="AR113" i="43"/>
  <c r="AR420" i="43"/>
  <c r="AR125" i="43"/>
  <c r="AR194" i="43"/>
  <c r="AR206" i="43"/>
  <c r="AR406" i="43"/>
  <c r="AR427" i="43"/>
  <c r="AR441" i="43"/>
  <c r="AR350" i="43"/>
  <c r="AR46" i="43"/>
  <c r="AR180" i="43"/>
  <c r="AR266" i="43"/>
  <c r="AR162" i="43"/>
  <c r="AR39" i="43"/>
  <c r="AR94" i="43"/>
  <c r="AR272" i="43"/>
  <c r="AR357" i="43"/>
  <c r="AR35" i="43"/>
  <c r="AR448" i="43"/>
  <c r="AR458" i="43"/>
  <c r="AR283" i="43"/>
  <c r="AR455" i="43"/>
  <c r="AR151" i="43"/>
  <c r="AR316" i="43"/>
  <c r="AR362" i="43"/>
  <c r="AR388" i="43"/>
  <c r="AR31" i="43"/>
  <c r="AR262" i="43"/>
  <c r="AR328" i="43"/>
  <c r="AR174" i="43"/>
  <c r="AR256" i="43"/>
  <c r="AR75" i="43"/>
  <c r="AR413" i="43"/>
  <c r="AR22" i="43"/>
  <c r="AR168" i="43"/>
  <c r="AR322" i="43"/>
  <c r="AR369" i="43"/>
  <c r="AR67" i="43"/>
  <c r="AR305" i="43"/>
  <c r="S413" i="43" l="1"/>
  <c r="T413" i="43"/>
  <c r="U413" i="43"/>
  <c r="AE413" i="43"/>
  <c r="AK413" i="43"/>
  <c r="AL413" i="43"/>
  <c r="AM413" i="43"/>
  <c r="AN413" i="43"/>
  <c r="AO413" i="43"/>
  <c r="AF407" i="43"/>
  <c r="AX407" i="43" s="1"/>
  <c r="Z407" i="43"/>
  <c r="AU407" i="43" s="1"/>
  <c r="V407" i="43" l="1"/>
  <c r="AT407" i="43" s="1"/>
  <c r="O131" i="44"/>
  <c r="H14" i="47" s="1"/>
  <c r="P131" i="44"/>
  <c r="I14" i="47" s="1"/>
  <c r="M131" i="44"/>
  <c r="F14" i="47" s="1"/>
  <c r="J131" i="44"/>
  <c r="C14" i="47" s="1"/>
  <c r="AA407" i="43" l="1"/>
  <c r="AB407" i="43"/>
  <c r="AV407" i="43" s="1"/>
  <c r="AC407" i="43"/>
  <c r="AW407" i="43" s="1"/>
  <c r="N131" i="44"/>
  <c r="G14" i="47" s="1"/>
  <c r="AG407" i="43" l="1"/>
  <c r="AS407" i="43" s="1"/>
  <c r="I131" i="44"/>
  <c r="B14" i="47" s="1"/>
  <c r="AY461" i="43" l="1"/>
  <c r="AY460" i="43"/>
  <c r="AY457" i="43"/>
  <c r="AY458" i="43" s="1"/>
  <c r="AY454" i="43"/>
  <c r="AY452" i="43"/>
  <c r="AY451" i="43"/>
  <c r="AY447" i="43"/>
  <c r="AY445" i="43"/>
  <c r="AY444" i="43"/>
  <c r="AY440" i="43"/>
  <c r="AY438" i="43"/>
  <c r="AY437" i="43"/>
  <c r="AY433" i="43"/>
  <c r="AY431" i="43"/>
  <c r="AY430" i="43"/>
  <c r="AY426" i="43"/>
  <c r="AY424" i="43"/>
  <c r="AY423" i="43"/>
  <c r="AY419" i="43"/>
  <c r="AY417" i="43"/>
  <c r="AY416" i="43"/>
  <c r="AY412" i="43"/>
  <c r="AY410" i="43"/>
  <c r="AY409" i="43"/>
  <c r="AY405" i="43"/>
  <c r="AY403" i="43"/>
  <c r="AY402" i="43"/>
  <c r="AY397" i="43"/>
  <c r="AY395" i="43"/>
  <c r="AY394" i="43"/>
  <c r="AY391" i="43"/>
  <c r="AY390" i="43"/>
  <c r="AY387" i="43"/>
  <c r="AY385" i="43"/>
  <c r="AY381" i="43"/>
  <c r="AY379" i="43"/>
  <c r="AY378" i="43"/>
  <c r="AY372" i="43"/>
  <c r="AY371" i="43"/>
  <c r="AY368" i="43"/>
  <c r="AY366" i="43"/>
  <c r="AY365" i="43"/>
  <c r="AY361" i="43"/>
  <c r="AY359" i="43"/>
  <c r="AY355" i="43"/>
  <c r="AY353" i="43"/>
  <c r="AY352" i="43"/>
  <c r="AY349" i="43"/>
  <c r="AY347" i="43"/>
  <c r="AY346" i="43"/>
  <c r="AY343" i="43"/>
  <c r="AY341" i="43"/>
  <c r="AY340" i="43"/>
  <c r="AY334" i="43"/>
  <c r="AY335" i="43" s="1"/>
  <c r="AY331" i="43"/>
  <c r="AY330" i="43"/>
  <c r="AY327" i="43"/>
  <c r="AY326" i="43"/>
  <c r="AY321" i="43"/>
  <c r="AY319" i="43"/>
  <c r="AY318" i="43"/>
  <c r="AY315" i="43"/>
  <c r="AY314" i="43"/>
  <c r="AY311" i="43"/>
  <c r="AY309" i="43"/>
  <c r="AY308" i="43"/>
  <c r="AY304" i="43"/>
  <c r="AY302" i="43"/>
  <c r="AY301" i="43"/>
  <c r="AY295" i="43"/>
  <c r="AY294" i="43"/>
  <c r="AY292" i="43"/>
  <c r="AY291" i="43"/>
  <c r="AY287" i="43"/>
  <c r="AY286" i="43"/>
  <c r="AY282" i="43"/>
  <c r="AY280" i="43"/>
  <c r="AY279" i="43"/>
  <c r="AY275" i="43"/>
  <c r="AY274" i="43"/>
  <c r="AY271" i="43"/>
  <c r="AY269" i="43"/>
  <c r="AY268" i="43"/>
  <c r="AY265" i="43"/>
  <c r="AY264" i="43"/>
  <c r="AY261" i="43"/>
  <c r="AY260" i="43"/>
  <c r="AY255" i="43"/>
  <c r="AY253" i="43"/>
  <c r="AY252" i="43"/>
  <c r="AY248" i="43"/>
  <c r="AY246" i="43"/>
  <c r="AY245" i="43"/>
  <c r="AY242" i="43"/>
  <c r="AY240" i="43"/>
  <c r="AY239" i="43"/>
  <c r="AY236" i="43"/>
  <c r="AY234" i="43"/>
  <c r="AY233" i="43"/>
  <c r="AY230" i="43"/>
  <c r="AY228" i="43"/>
  <c r="AY227" i="43"/>
  <c r="AY224" i="43"/>
  <c r="AY222" i="43"/>
  <c r="AY221" i="43"/>
  <c r="AY218" i="43"/>
  <c r="AY216" i="43"/>
  <c r="AY215" i="43"/>
  <c r="AY212" i="43"/>
  <c r="AY211" i="43"/>
  <c r="AY209" i="43"/>
  <c r="AY208" i="43"/>
  <c r="AY205" i="43"/>
  <c r="AY203" i="43"/>
  <c r="AY202" i="43"/>
  <c r="AY199" i="43"/>
  <c r="AY197" i="43"/>
  <c r="AY196" i="43"/>
  <c r="AY193" i="43"/>
  <c r="AY192" i="43"/>
  <c r="AY190" i="43"/>
  <c r="AY189" i="43"/>
  <c r="AY186" i="43"/>
  <c r="AY184" i="43"/>
  <c r="AY183" i="43"/>
  <c r="AY179" i="43"/>
  <c r="AY177" i="43"/>
  <c r="AY176" i="43"/>
  <c r="AY173" i="43"/>
  <c r="AY172" i="43"/>
  <c r="AY170" i="43"/>
  <c r="AY167" i="43"/>
  <c r="AY165" i="43"/>
  <c r="AY164" i="43"/>
  <c r="AY161" i="43"/>
  <c r="AY159" i="43"/>
  <c r="AY156" i="43"/>
  <c r="AY154" i="43"/>
  <c r="AY153" i="43"/>
  <c r="AY150" i="43"/>
  <c r="AY148" i="43"/>
  <c r="AY147" i="43"/>
  <c r="AY144" i="43"/>
  <c r="AY142" i="43"/>
  <c r="AY141" i="43"/>
  <c r="AY137" i="43"/>
  <c r="AY135" i="43"/>
  <c r="AY134" i="43"/>
  <c r="AY131" i="43"/>
  <c r="AY129" i="43"/>
  <c r="AY128" i="43"/>
  <c r="AY124" i="43"/>
  <c r="AY123" i="43"/>
  <c r="AY119" i="43"/>
  <c r="AY118" i="43"/>
  <c r="AY115" i="43"/>
  <c r="AY116" i="43" s="1"/>
  <c r="AY112" i="43"/>
  <c r="AY111" i="43"/>
  <c r="AY108" i="43"/>
  <c r="AY107" i="43"/>
  <c r="AY104" i="43"/>
  <c r="AY105" i="43" s="1"/>
  <c r="AY101" i="43"/>
  <c r="AY100" i="43"/>
  <c r="AY97" i="43"/>
  <c r="AY96" i="43"/>
  <c r="AY93" i="43"/>
  <c r="AY92" i="43"/>
  <c r="AY89" i="43"/>
  <c r="AY88" i="43"/>
  <c r="AY85" i="43"/>
  <c r="AY84" i="43"/>
  <c r="AY81" i="43"/>
  <c r="AY82" i="43" s="1"/>
  <c r="AY78" i="43"/>
  <c r="AY79" i="43" s="1"/>
  <c r="AY74" i="43"/>
  <c r="AY73" i="43"/>
  <c r="AY69" i="43"/>
  <c r="AY70" i="43" s="1"/>
  <c r="AY66" i="43"/>
  <c r="AY65" i="43"/>
  <c r="AY62" i="43"/>
  <c r="AY63" i="43" s="1"/>
  <c r="AY58" i="43"/>
  <c r="AY57" i="43"/>
  <c r="AY54" i="43"/>
  <c r="AY55" i="43" s="1"/>
  <c r="AY51" i="43"/>
  <c r="AY52" i="43" s="1"/>
  <c r="AY48" i="43"/>
  <c r="AY49" i="43" s="1"/>
  <c r="AY45" i="43"/>
  <c r="AY44" i="43"/>
  <c r="AY41" i="43"/>
  <c r="AY42" i="43" s="1"/>
  <c r="AY38" i="43"/>
  <c r="AY37" i="43"/>
  <c r="AY34" i="43"/>
  <c r="AY33" i="43"/>
  <c r="AY30" i="43"/>
  <c r="AY29" i="43"/>
  <c r="AY26" i="43"/>
  <c r="AY25" i="43"/>
  <c r="AY21" i="43"/>
  <c r="AY20" i="43"/>
  <c r="AY17" i="43"/>
  <c r="AY16" i="43"/>
  <c r="AY27" i="43" l="1"/>
  <c r="AY39" i="43"/>
  <c r="AY86" i="43"/>
  <c r="AY98" i="43"/>
  <c r="AY125" i="43"/>
  <c r="AY262" i="43"/>
  <c r="AY288" i="43"/>
  <c r="AY225" i="43"/>
  <c r="AY237" i="43"/>
  <c r="AY249" i="43"/>
  <c r="AY305" i="43"/>
  <c r="AY316" i="43"/>
  <c r="AY332" i="43"/>
  <c r="AY350" i="43"/>
  <c r="AY392" i="43"/>
  <c r="AY18" i="43"/>
  <c r="AY31" i="43"/>
  <c r="AY59" i="43"/>
  <c r="AY75" i="43"/>
  <c r="AY90" i="43"/>
  <c r="AY266" i="43"/>
  <c r="AY322" i="43"/>
  <c r="AY328" i="43"/>
  <c r="AY46" i="43"/>
  <c r="AY296" i="43"/>
  <c r="AY219" i="43"/>
  <c r="AY231" i="43"/>
  <c r="AY243" i="43"/>
  <c r="AY256" i="43"/>
  <c r="AY283" i="43"/>
  <c r="AY312" i="43"/>
  <c r="AY462" i="43"/>
  <c r="AY22" i="43"/>
  <c r="AY35" i="43"/>
  <c r="AY94" i="43"/>
  <c r="AY120" i="43"/>
  <c r="AY113" i="43"/>
  <c r="AY168" i="43"/>
  <c r="AY180" i="43"/>
  <c r="AY194" i="43"/>
  <c r="AY276" i="43"/>
  <c r="AY373" i="43"/>
  <c r="AY388" i="43"/>
  <c r="AY102" i="43"/>
  <c r="AY132" i="43"/>
  <c r="AY145" i="43"/>
  <c r="AY157" i="43"/>
  <c r="AY206" i="43"/>
  <c r="AY362" i="43"/>
  <c r="AY406" i="43"/>
  <c r="AY420" i="43"/>
  <c r="AY434" i="43"/>
  <c r="AY448" i="43"/>
  <c r="AY174" i="43"/>
  <c r="AY187" i="43"/>
  <c r="AY272" i="43"/>
  <c r="AY369" i="43"/>
  <c r="AY382" i="43"/>
  <c r="AY67" i="43"/>
  <c r="AY109" i="43"/>
  <c r="AY139" i="43"/>
  <c r="AY151" i="43"/>
  <c r="AY162" i="43"/>
  <c r="AY200" i="43"/>
  <c r="AY213" i="43"/>
  <c r="AY344" i="43"/>
  <c r="AY357" i="43"/>
  <c r="AY399" i="43"/>
  <c r="AY413" i="43"/>
  <c r="AY427" i="43"/>
  <c r="AY441" i="43"/>
  <c r="AY455" i="43"/>
  <c r="AY323" i="43"/>
  <c r="AY324" i="43" s="1"/>
  <c r="AY374" i="43"/>
  <c r="AY375" i="43" s="1"/>
  <c r="M463" i="43"/>
  <c r="F13" i="47" s="1"/>
  <c r="J463" i="43"/>
  <c r="C13" i="47" s="1"/>
  <c r="O463" i="43"/>
  <c r="H13" i="47" s="1"/>
  <c r="P463" i="43"/>
  <c r="I13" i="47" s="1"/>
  <c r="N463" i="43" l="1"/>
  <c r="G13" i="47" s="1"/>
  <c r="I463" i="43" l="1"/>
  <c r="B13" i="47" s="1"/>
  <c r="AQ129" i="44" l="1"/>
  <c r="BA129" i="44" s="1"/>
  <c r="AP129" i="44"/>
  <c r="AZ129" i="44" s="1"/>
  <c r="AF129" i="44"/>
  <c r="AX129" i="44" s="1"/>
  <c r="Z129" i="44"/>
  <c r="AU129" i="44" s="1"/>
  <c r="Q129" i="44"/>
  <c r="V129" i="44" s="1"/>
  <c r="AT129" i="44" s="1"/>
  <c r="AQ128" i="44"/>
  <c r="BA128" i="44" s="1"/>
  <c r="AP128" i="44"/>
  <c r="AZ128" i="44" s="1"/>
  <c r="AF128" i="44"/>
  <c r="AX128" i="44" s="1"/>
  <c r="Z128" i="44"/>
  <c r="AU128" i="44" s="1"/>
  <c r="Q128" i="44"/>
  <c r="V128" i="44" s="1"/>
  <c r="AT128" i="44" s="1"/>
  <c r="AQ127" i="44"/>
  <c r="BA127" i="44" s="1"/>
  <c r="AP127" i="44"/>
  <c r="AZ127" i="44" s="1"/>
  <c r="AF127" i="44"/>
  <c r="AX127" i="44" s="1"/>
  <c r="Z127" i="44"/>
  <c r="AU127" i="44" s="1"/>
  <c r="Q127" i="44"/>
  <c r="V127" i="44" s="1"/>
  <c r="AT127" i="44" s="1"/>
  <c r="AQ126" i="44"/>
  <c r="BA126" i="44" s="1"/>
  <c r="AP126" i="44"/>
  <c r="AZ126" i="44" s="1"/>
  <c r="AF126" i="44"/>
  <c r="AX126" i="44" s="1"/>
  <c r="Z126" i="44"/>
  <c r="AU126" i="44" s="1"/>
  <c r="Q126" i="44"/>
  <c r="V126" i="44" s="1"/>
  <c r="AT126" i="44" s="1"/>
  <c r="AQ125" i="44"/>
  <c r="BA125" i="44" s="1"/>
  <c r="AP125" i="44"/>
  <c r="AZ125" i="44" s="1"/>
  <c r="AF125" i="44"/>
  <c r="AX125" i="44" s="1"/>
  <c r="Z125" i="44"/>
  <c r="AU125" i="44" s="1"/>
  <c r="Q125" i="44"/>
  <c r="V125" i="44" s="1"/>
  <c r="AT125" i="44" s="1"/>
  <c r="AQ123" i="44"/>
  <c r="BA123" i="44" s="1"/>
  <c r="AP123" i="44"/>
  <c r="AZ123" i="44" s="1"/>
  <c r="AF123" i="44"/>
  <c r="AX123" i="44" s="1"/>
  <c r="Z123" i="44"/>
  <c r="AU123" i="44" s="1"/>
  <c r="Q123" i="44"/>
  <c r="V123" i="44" s="1"/>
  <c r="AT123" i="44" s="1"/>
  <c r="AQ122" i="44"/>
  <c r="BA122" i="44" s="1"/>
  <c r="AP122" i="44"/>
  <c r="AZ122" i="44" s="1"/>
  <c r="AF122" i="44"/>
  <c r="AX122" i="44" s="1"/>
  <c r="Z122" i="44"/>
  <c r="AU122" i="44" s="1"/>
  <c r="Q122" i="44"/>
  <c r="V122" i="44" s="1"/>
  <c r="AT122" i="44" s="1"/>
  <c r="AQ121" i="44"/>
  <c r="BA121" i="44" s="1"/>
  <c r="AP121" i="44"/>
  <c r="AZ121" i="44" s="1"/>
  <c r="AF121" i="44"/>
  <c r="AX121" i="44" s="1"/>
  <c r="Z121" i="44"/>
  <c r="AU121" i="44" s="1"/>
  <c r="Q121" i="44"/>
  <c r="V121" i="44" s="1"/>
  <c r="AT121" i="44" s="1"/>
  <c r="AQ120" i="44"/>
  <c r="BA120" i="44" s="1"/>
  <c r="AP120" i="44"/>
  <c r="AZ120" i="44" s="1"/>
  <c r="AF120" i="44"/>
  <c r="AX120" i="44" s="1"/>
  <c r="Z120" i="44"/>
  <c r="AU120" i="44" s="1"/>
  <c r="Q120" i="44"/>
  <c r="V120" i="44" s="1"/>
  <c r="AT120" i="44" s="1"/>
  <c r="AQ119" i="44"/>
  <c r="BA119" i="44" s="1"/>
  <c r="AP119" i="44"/>
  <c r="AZ119" i="44" s="1"/>
  <c r="AF119" i="44"/>
  <c r="AX119" i="44" s="1"/>
  <c r="Z119" i="44"/>
  <c r="AU119" i="44" s="1"/>
  <c r="Q119" i="44"/>
  <c r="V119" i="44" s="1"/>
  <c r="AT119" i="44" s="1"/>
  <c r="AQ118" i="44"/>
  <c r="BA118" i="44" s="1"/>
  <c r="AP118" i="44"/>
  <c r="AZ118" i="44" s="1"/>
  <c r="AF118" i="44"/>
  <c r="AX118" i="44" s="1"/>
  <c r="Z118" i="44"/>
  <c r="AU118" i="44" s="1"/>
  <c r="Q118" i="44"/>
  <c r="V118" i="44" s="1"/>
  <c r="AT118" i="44" s="1"/>
  <c r="AQ117" i="44"/>
  <c r="BA117" i="44" s="1"/>
  <c r="AP117" i="44"/>
  <c r="AZ117" i="44" s="1"/>
  <c r="AF117" i="44"/>
  <c r="AX117" i="44" s="1"/>
  <c r="Z117" i="44"/>
  <c r="AU117" i="44" s="1"/>
  <c r="Q117" i="44"/>
  <c r="V117" i="44" s="1"/>
  <c r="AT117" i="44" s="1"/>
  <c r="AQ116" i="44"/>
  <c r="BA116" i="44" s="1"/>
  <c r="AP116" i="44"/>
  <c r="AZ116" i="44" s="1"/>
  <c r="AF116" i="44"/>
  <c r="AX116" i="44" s="1"/>
  <c r="Z116" i="44"/>
  <c r="AU116" i="44" s="1"/>
  <c r="Q116" i="44"/>
  <c r="V116" i="44" s="1"/>
  <c r="AT116" i="44" s="1"/>
  <c r="AQ114" i="44"/>
  <c r="BA114" i="44" s="1"/>
  <c r="BA115" i="44" s="1"/>
  <c r="AP114" i="44"/>
  <c r="AZ114" i="44" s="1"/>
  <c r="AZ115" i="44" s="1"/>
  <c r="AF114" i="44"/>
  <c r="AX114" i="44" s="1"/>
  <c r="AX115" i="44" s="1"/>
  <c r="Z114" i="44"/>
  <c r="AU114" i="44" s="1"/>
  <c r="AU115" i="44" s="1"/>
  <c r="Q114" i="44"/>
  <c r="V114" i="44" s="1"/>
  <c r="AT114" i="44" s="1"/>
  <c r="AT115" i="44" s="1"/>
  <c r="AQ112" i="44"/>
  <c r="BA112" i="44" s="1"/>
  <c r="AP112" i="44"/>
  <c r="AZ112" i="44" s="1"/>
  <c r="AF112" i="44"/>
  <c r="AX112" i="44" s="1"/>
  <c r="Z112" i="44"/>
  <c r="AU112" i="44" s="1"/>
  <c r="Q112" i="44"/>
  <c r="V112" i="44" s="1"/>
  <c r="AT112" i="44" s="1"/>
  <c r="AQ111" i="44"/>
  <c r="BA111" i="44" s="1"/>
  <c r="AP111" i="44"/>
  <c r="AZ111" i="44" s="1"/>
  <c r="AF111" i="44"/>
  <c r="AX111" i="44" s="1"/>
  <c r="Z111" i="44"/>
  <c r="AU111" i="44" s="1"/>
  <c r="Q111" i="44"/>
  <c r="V111" i="44" s="1"/>
  <c r="AT111" i="44" s="1"/>
  <c r="AQ110" i="44"/>
  <c r="BA110" i="44" s="1"/>
  <c r="AP110" i="44"/>
  <c r="AZ110" i="44" s="1"/>
  <c r="AF110" i="44"/>
  <c r="AX110" i="44" s="1"/>
  <c r="Z110" i="44"/>
  <c r="AU110" i="44" s="1"/>
  <c r="Q110" i="44"/>
  <c r="V110" i="44" s="1"/>
  <c r="AT110" i="44" s="1"/>
  <c r="AQ109" i="44"/>
  <c r="BA109" i="44" s="1"/>
  <c r="AP109" i="44"/>
  <c r="AZ109" i="44" s="1"/>
  <c r="AF109" i="44"/>
  <c r="AX109" i="44" s="1"/>
  <c r="Z109" i="44"/>
  <c r="AU109" i="44" s="1"/>
  <c r="Q109" i="44"/>
  <c r="V109" i="44" s="1"/>
  <c r="AT109" i="44" s="1"/>
  <c r="AQ108" i="44"/>
  <c r="BA108" i="44" s="1"/>
  <c r="AP108" i="44"/>
  <c r="AZ108" i="44" s="1"/>
  <c r="AF108" i="44"/>
  <c r="AX108" i="44" s="1"/>
  <c r="Z108" i="44"/>
  <c r="AU108" i="44" s="1"/>
  <c r="Q108" i="44"/>
  <c r="V108" i="44" s="1"/>
  <c r="AT108" i="44" s="1"/>
  <c r="AQ106" i="44"/>
  <c r="BA106" i="44" s="1"/>
  <c r="BA107" i="44" s="1"/>
  <c r="AP106" i="44"/>
  <c r="AZ106" i="44" s="1"/>
  <c r="AZ107" i="44" s="1"/>
  <c r="AF106" i="44"/>
  <c r="AX106" i="44" s="1"/>
  <c r="AX107" i="44" s="1"/>
  <c r="Z106" i="44"/>
  <c r="AU106" i="44" s="1"/>
  <c r="AU107" i="44" s="1"/>
  <c r="Q106" i="44"/>
  <c r="V106" i="44" s="1"/>
  <c r="AT106" i="44" s="1"/>
  <c r="AT107" i="44" s="1"/>
  <c r="AQ104" i="44"/>
  <c r="BA104" i="44" s="1"/>
  <c r="AP104" i="44"/>
  <c r="AZ104" i="44" s="1"/>
  <c r="AF104" i="44"/>
  <c r="AX104" i="44" s="1"/>
  <c r="Z104" i="44"/>
  <c r="AU104" i="44" s="1"/>
  <c r="Q104" i="44"/>
  <c r="V104" i="44" s="1"/>
  <c r="AT104" i="44" s="1"/>
  <c r="AQ103" i="44"/>
  <c r="BA103" i="44" s="1"/>
  <c r="AP103" i="44"/>
  <c r="AZ103" i="44" s="1"/>
  <c r="AF103" i="44"/>
  <c r="AX103" i="44" s="1"/>
  <c r="Z103" i="44"/>
  <c r="AU103" i="44" s="1"/>
  <c r="Q103" i="44"/>
  <c r="V103" i="44" s="1"/>
  <c r="AT103" i="44" s="1"/>
  <c r="AQ102" i="44"/>
  <c r="BA102" i="44" s="1"/>
  <c r="AP102" i="44"/>
  <c r="AZ102" i="44" s="1"/>
  <c r="AF102" i="44"/>
  <c r="AX102" i="44" s="1"/>
  <c r="Z102" i="44"/>
  <c r="AU102" i="44" s="1"/>
  <c r="Q102" i="44"/>
  <c r="V102" i="44" s="1"/>
  <c r="AT102" i="44" s="1"/>
  <c r="AQ100" i="44"/>
  <c r="BA100" i="44" s="1"/>
  <c r="AP100" i="44"/>
  <c r="AZ100" i="44" s="1"/>
  <c r="AF100" i="44"/>
  <c r="AX100" i="44" s="1"/>
  <c r="Z100" i="44"/>
  <c r="AU100" i="44" s="1"/>
  <c r="Q100" i="44"/>
  <c r="V100" i="44" s="1"/>
  <c r="AT100" i="44" s="1"/>
  <c r="AQ99" i="44"/>
  <c r="BA99" i="44" s="1"/>
  <c r="AP99" i="44"/>
  <c r="AZ99" i="44" s="1"/>
  <c r="AF99" i="44"/>
  <c r="AX99" i="44" s="1"/>
  <c r="Z99" i="44"/>
  <c r="AU99" i="44" s="1"/>
  <c r="Q99" i="44"/>
  <c r="V99" i="44" s="1"/>
  <c r="AT99" i="44" s="1"/>
  <c r="AQ98" i="44"/>
  <c r="BA98" i="44" s="1"/>
  <c r="AP98" i="44"/>
  <c r="AZ98" i="44" s="1"/>
  <c r="AF98" i="44"/>
  <c r="AX98" i="44" s="1"/>
  <c r="Z98" i="44"/>
  <c r="AU98" i="44" s="1"/>
  <c r="Q98" i="44"/>
  <c r="V98" i="44" s="1"/>
  <c r="AT98" i="44" s="1"/>
  <c r="AQ97" i="44"/>
  <c r="BA97" i="44" s="1"/>
  <c r="AP97" i="44"/>
  <c r="AZ97" i="44" s="1"/>
  <c r="AF97" i="44"/>
  <c r="AX97" i="44" s="1"/>
  <c r="Z97" i="44"/>
  <c r="AU97" i="44" s="1"/>
  <c r="Q97" i="44"/>
  <c r="V97" i="44" s="1"/>
  <c r="AT97" i="44" s="1"/>
  <c r="AQ96" i="44"/>
  <c r="BA96" i="44" s="1"/>
  <c r="AP96" i="44"/>
  <c r="AZ96" i="44" s="1"/>
  <c r="AF96" i="44"/>
  <c r="AX96" i="44" s="1"/>
  <c r="Z96" i="44"/>
  <c r="AU96" i="44" s="1"/>
  <c r="Q96" i="44"/>
  <c r="V96" i="44" s="1"/>
  <c r="AT96" i="44" s="1"/>
  <c r="AQ94" i="44"/>
  <c r="BA94" i="44" s="1"/>
  <c r="AP94" i="44"/>
  <c r="AZ94" i="44" s="1"/>
  <c r="AF94" i="44"/>
  <c r="AX94" i="44" s="1"/>
  <c r="Z94" i="44"/>
  <c r="AU94" i="44" s="1"/>
  <c r="Q94" i="44"/>
  <c r="V94" i="44" s="1"/>
  <c r="AT94" i="44" s="1"/>
  <c r="AQ93" i="44"/>
  <c r="BA93" i="44" s="1"/>
  <c r="AP93" i="44"/>
  <c r="AZ93" i="44" s="1"/>
  <c r="AF93" i="44"/>
  <c r="AX93" i="44" s="1"/>
  <c r="Z93" i="44"/>
  <c r="AU93" i="44" s="1"/>
  <c r="Q93" i="44"/>
  <c r="V93" i="44" s="1"/>
  <c r="AT93" i="44" s="1"/>
  <c r="AQ92" i="44"/>
  <c r="BA92" i="44" s="1"/>
  <c r="AP92" i="44"/>
  <c r="AZ92" i="44" s="1"/>
  <c r="AF92" i="44"/>
  <c r="AX92" i="44" s="1"/>
  <c r="Z92" i="44"/>
  <c r="AU92" i="44" s="1"/>
  <c r="Q92" i="44"/>
  <c r="V92" i="44" s="1"/>
  <c r="AT92" i="44" s="1"/>
  <c r="AQ90" i="44"/>
  <c r="BA90" i="44" s="1"/>
  <c r="AP90" i="44"/>
  <c r="AZ90" i="44" s="1"/>
  <c r="AF90" i="44"/>
  <c r="AX90" i="44" s="1"/>
  <c r="Z90" i="44"/>
  <c r="AU90" i="44" s="1"/>
  <c r="Q90" i="44"/>
  <c r="V90" i="44" s="1"/>
  <c r="AT90" i="44" s="1"/>
  <c r="AQ89" i="44"/>
  <c r="BA89" i="44" s="1"/>
  <c r="AP89" i="44"/>
  <c r="AZ89" i="44" s="1"/>
  <c r="AF89" i="44"/>
  <c r="AX89" i="44" s="1"/>
  <c r="Z89" i="44"/>
  <c r="AU89" i="44" s="1"/>
  <c r="Q89" i="44"/>
  <c r="V89" i="44" s="1"/>
  <c r="AT89" i="44" s="1"/>
  <c r="AQ88" i="44"/>
  <c r="BA88" i="44" s="1"/>
  <c r="AP88" i="44"/>
  <c r="AZ88" i="44" s="1"/>
  <c r="AF88" i="44"/>
  <c r="AX88" i="44" s="1"/>
  <c r="Z88" i="44"/>
  <c r="AU88" i="44" s="1"/>
  <c r="Q88" i="44"/>
  <c r="V88" i="44" s="1"/>
  <c r="AT88" i="44" s="1"/>
  <c r="AQ87" i="44"/>
  <c r="BA87" i="44" s="1"/>
  <c r="AP87" i="44"/>
  <c r="AZ87" i="44" s="1"/>
  <c r="AF87" i="44"/>
  <c r="AX87" i="44" s="1"/>
  <c r="Z87" i="44"/>
  <c r="AU87" i="44" s="1"/>
  <c r="Q87" i="44"/>
  <c r="V87" i="44" s="1"/>
  <c r="AT87" i="44" s="1"/>
  <c r="AQ86" i="44"/>
  <c r="BA86" i="44" s="1"/>
  <c r="AP86" i="44"/>
  <c r="AZ86" i="44" s="1"/>
  <c r="AF86" i="44"/>
  <c r="AX86" i="44" s="1"/>
  <c r="Z86" i="44"/>
  <c r="AU86" i="44" s="1"/>
  <c r="Q86" i="44"/>
  <c r="V86" i="44" s="1"/>
  <c r="AT86" i="44" s="1"/>
  <c r="AQ85" i="44"/>
  <c r="BA85" i="44" s="1"/>
  <c r="AP85" i="44"/>
  <c r="AZ85" i="44" s="1"/>
  <c r="AF85" i="44"/>
  <c r="AX85" i="44" s="1"/>
  <c r="Z85" i="44"/>
  <c r="AU85" i="44" s="1"/>
  <c r="Q85" i="44"/>
  <c r="V85" i="44" s="1"/>
  <c r="AT85" i="44" s="1"/>
  <c r="AQ83" i="44"/>
  <c r="BA83" i="44" s="1"/>
  <c r="AP83" i="44"/>
  <c r="AZ83" i="44" s="1"/>
  <c r="AF83" i="44"/>
  <c r="AX83" i="44" s="1"/>
  <c r="Z83" i="44"/>
  <c r="AU83" i="44" s="1"/>
  <c r="Q83" i="44"/>
  <c r="V83" i="44" s="1"/>
  <c r="AT83" i="44" s="1"/>
  <c r="AQ82" i="44"/>
  <c r="BA82" i="44" s="1"/>
  <c r="AP82" i="44"/>
  <c r="AZ82" i="44" s="1"/>
  <c r="AF82" i="44"/>
  <c r="AX82" i="44" s="1"/>
  <c r="Z82" i="44"/>
  <c r="AU82" i="44" s="1"/>
  <c r="Q82" i="44"/>
  <c r="V82" i="44" s="1"/>
  <c r="AT82" i="44" s="1"/>
  <c r="AQ81" i="44"/>
  <c r="BA81" i="44" s="1"/>
  <c r="AP81" i="44"/>
  <c r="AZ81" i="44" s="1"/>
  <c r="AF81" i="44"/>
  <c r="AX81" i="44" s="1"/>
  <c r="Z81" i="44"/>
  <c r="AU81" i="44" s="1"/>
  <c r="Q81" i="44"/>
  <c r="V81" i="44" s="1"/>
  <c r="AT81" i="44" s="1"/>
  <c r="AQ80" i="44"/>
  <c r="BA80" i="44" s="1"/>
  <c r="AP80" i="44"/>
  <c r="AZ80" i="44" s="1"/>
  <c r="AF80" i="44"/>
  <c r="AX80" i="44" s="1"/>
  <c r="Z80" i="44"/>
  <c r="AU80" i="44" s="1"/>
  <c r="Q80" i="44"/>
  <c r="V80" i="44" s="1"/>
  <c r="AT80" i="44" s="1"/>
  <c r="AQ79" i="44"/>
  <c r="BA79" i="44" s="1"/>
  <c r="AP79" i="44"/>
  <c r="AZ79" i="44" s="1"/>
  <c r="AF79" i="44"/>
  <c r="AX79" i="44" s="1"/>
  <c r="Z79" i="44"/>
  <c r="AU79" i="44" s="1"/>
  <c r="Q79" i="44"/>
  <c r="V79" i="44" s="1"/>
  <c r="AT79" i="44" s="1"/>
  <c r="AQ78" i="44"/>
  <c r="BA78" i="44" s="1"/>
  <c r="AP78" i="44"/>
  <c r="AZ78" i="44" s="1"/>
  <c r="AF78" i="44"/>
  <c r="AX78" i="44" s="1"/>
  <c r="Z78" i="44"/>
  <c r="AU78" i="44" s="1"/>
  <c r="Q78" i="44"/>
  <c r="V78" i="44" s="1"/>
  <c r="AT78" i="44" s="1"/>
  <c r="AQ76" i="44"/>
  <c r="BA76" i="44" s="1"/>
  <c r="AP76" i="44"/>
  <c r="AZ76" i="44" s="1"/>
  <c r="AF76" i="44"/>
  <c r="AX76" i="44" s="1"/>
  <c r="Z76" i="44"/>
  <c r="AU76" i="44" s="1"/>
  <c r="Q76" i="44"/>
  <c r="V76" i="44" s="1"/>
  <c r="AT76" i="44" s="1"/>
  <c r="AQ75" i="44"/>
  <c r="BA75" i="44" s="1"/>
  <c r="AP75" i="44"/>
  <c r="AZ75" i="44" s="1"/>
  <c r="AF75" i="44"/>
  <c r="AX75" i="44" s="1"/>
  <c r="Z75" i="44"/>
  <c r="AU75" i="44" s="1"/>
  <c r="Q75" i="44"/>
  <c r="V75" i="44" s="1"/>
  <c r="AT75" i="44" s="1"/>
  <c r="AQ74" i="44"/>
  <c r="BA74" i="44" s="1"/>
  <c r="AP74" i="44"/>
  <c r="AZ74" i="44" s="1"/>
  <c r="AF74" i="44"/>
  <c r="AX74" i="44" s="1"/>
  <c r="Z74" i="44"/>
  <c r="AU74" i="44" s="1"/>
  <c r="Q74" i="44"/>
  <c r="V74" i="44" s="1"/>
  <c r="AT74" i="44" s="1"/>
  <c r="AQ73" i="44"/>
  <c r="BA73" i="44" s="1"/>
  <c r="AP73" i="44"/>
  <c r="AZ73" i="44" s="1"/>
  <c r="AF73" i="44"/>
  <c r="AX73" i="44" s="1"/>
  <c r="Z73" i="44"/>
  <c r="AU73" i="44" s="1"/>
  <c r="Q73" i="44"/>
  <c r="V73" i="44" s="1"/>
  <c r="AT73" i="44" s="1"/>
  <c r="AQ72" i="44"/>
  <c r="BA72" i="44" s="1"/>
  <c r="AP72" i="44"/>
  <c r="AZ72" i="44" s="1"/>
  <c r="AF72" i="44"/>
  <c r="AX72" i="44" s="1"/>
  <c r="Z72" i="44"/>
  <c r="AU72" i="44" s="1"/>
  <c r="Q72" i="44"/>
  <c r="V72" i="44" s="1"/>
  <c r="AT72" i="44" s="1"/>
  <c r="AQ71" i="44"/>
  <c r="BA71" i="44" s="1"/>
  <c r="AP71" i="44"/>
  <c r="AZ71" i="44" s="1"/>
  <c r="AF71" i="44"/>
  <c r="AX71" i="44" s="1"/>
  <c r="Z71" i="44"/>
  <c r="AU71" i="44" s="1"/>
  <c r="Q71" i="44"/>
  <c r="V71" i="44" s="1"/>
  <c r="AT71" i="44" s="1"/>
  <c r="AQ69" i="44"/>
  <c r="BA69" i="44" s="1"/>
  <c r="AP69" i="44"/>
  <c r="AZ69" i="44" s="1"/>
  <c r="AF69" i="44"/>
  <c r="AX69" i="44" s="1"/>
  <c r="Z69" i="44"/>
  <c r="AU69" i="44" s="1"/>
  <c r="Q69" i="44"/>
  <c r="V69" i="44" s="1"/>
  <c r="AT69" i="44" s="1"/>
  <c r="AQ68" i="44"/>
  <c r="BA68" i="44" s="1"/>
  <c r="AP68" i="44"/>
  <c r="AZ68" i="44" s="1"/>
  <c r="AF68" i="44"/>
  <c r="AX68" i="44" s="1"/>
  <c r="Z68" i="44"/>
  <c r="AU68" i="44" s="1"/>
  <c r="Q68" i="44"/>
  <c r="V68" i="44" s="1"/>
  <c r="AT68" i="44" s="1"/>
  <c r="AQ67" i="44"/>
  <c r="BA67" i="44" s="1"/>
  <c r="AP67" i="44"/>
  <c r="AZ67" i="44" s="1"/>
  <c r="AF67" i="44"/>
  <c r="AX67" i="44" s="1"/>
  <c r="Z67" i="44"/>
  <c r="AU67" i="44" s="1"/>
  <c r="Q67" i="44"/>
  <c r="V67" i="44" s="1"/>
  <c r="AT67" i="44" s="1"/>
  <c r="AQ66" i="44"/>
  <c r="BA66" i="44" s="1"/>
  <c r="AP66" i="44"/>
  <c r="AZ66" i="44" s="1"/>
  <c r="AF66" i="44"/>
  <c r="AX66" i="44" s="1"/>
  <c r="Z66" i="44"/>
  <c r="AU66" i="44" s="1"/>
  <c r="Q66" i="44"/>
  <c r="V66" i="44" s="1"/>
  <c r="AT66" i="44" s="1"/>
  <c r="AQ65" i="44"/>
  <c r="BA65" i="44" s="1"/>
  <c r="AP65" i="44"/>
  <c r="AZ65" i="44" s="1"/>
  <c r="AF65" i="44"/>
  <c r="AX65" i="44" s="1"/>
  <c r="Z65" i="44"/>
  <c r="AU65" i="44" s="1"/>
  <c r="Q65" i="44"/>
  <c r="V65" i="44" s="1"/>
  <c r="AT65" i="44" s="1"/>
  <c r="AQ64" i="44"/>
  <c r="BA64" i="44" s="1"/>
  <c r="AP64" i="44"/>
  <c r="AZ64" i="44" s="1"/>
  <c r="AF64" i="44"/>
  <c r="AX64" i="44" s="1"/>
  <c r="Z64" i="44"/>
  <c r="AU64" i="44" s="1"/>
  <c r="Q64" i="44"/>
  <c r="V64" i="44" s="1"/>
  <c r="AT64" i="44" s="1"/>
  <c r="AQ62" i="44"/>
  <c r="BA62" i="44" s="1"/>
  <c r="AP62" i="44"/>
  <c r="AZ62" i="44" s="1"/>
  <c r="AF62" i="44"/>
  <c r="AX62" i="44" s="1"/>
  <c r="Z62" i="44"/>
  <c r="AU62" i="44" s="1"/>
  <c r="Q62" i="44"/>
  <c r="V62" i="44" s="1"/>
  <c r="AT62" i="44" s="1"/>
  <c r="AQ61" i="44"/>
  <c r="BA61" i="44" s="1"/>
  <c r="AP61" i="44"/>
  <c r="AZ61" i="44" s="1"/>
  <c r="AF61" i="44"/>
  <c r="AX61" i="44" s="1"/>
  <c r="Z61" i="44"/>
  <c r="AU61" i="44" s="1"/>
  <c r="Q61" i="44"/>
  <c r="V61" i="44" s="1"/>
  <c r="AT61" i="44" s="1"/>
  <c r="AQ60" i="44"/>
  <c r="BA60" i="44" s="1"/>
  <c r="AP60" i="44"/>
  <c r="AZ60" i="44" s="1"/>
  <c r="AF60" i="44"/>
  <c r="AX60" i="44" s="1"/>
  <c r="Z60" i="44"/>
  <c r="AU60" i="44" s="1"/>
  <c r="Q60" i="44"/>
  <c r="V60" i="44" s="1"/>
  <c r="AT60" i="44" s="1"/>
  <c r="AQ59" i="44"/>
  <c r="BA59" i="44" s="1"/>
  <c r="AP59" i="44"/>
  <c r="AZ59" i="44" s="1"/>
  <c r="AF59" i="44"/>
  <c r="AX59" i="44" s="1"/>
  <c r="Z59" i="44"/>
  <c r="AU59" i="44" s="1"/>
  <c r="Q59" i="44"/>
  <c r="V59" i="44" s="1"/>
  <c r="AT59" i="44" s="1"/>
  <c r="AQ58" i="44"/>
  <c r="BA58" i="44" s="1"/>
  <c r="AP58" i="44"/>
  <c r="AZ58" i="44" s="1"/>
  <c r="AF58" i="44"/>
  <c r="AX58" i="44" s="1"/>
  <c r="Z58" i="44"/>
  <c r="AU58" i="44" s="1"/>
  <c r="Q58" i="44"/>
  <c r="V58" i="44" s="1"/>
  <c r="AT58" i="44" s="1"/>
  <c r="AQ57" i="44"/>
  <c r="BA57" i="44" s="1"/>
  <c r="AP57" i="44"/>
  <c r="AZ57" i="44" s="1"/>
  <c r="AF57" i="44"/>
  <c r="AX57" i="44" s="1"/>
  <c r="Z57" i="44"/>
  <c r="AU57" i="44" s="1"/>
  <c r="Q57" i="44"/>
  <c r="V57" i="44" s="1"/>
  <c r="AT57" i="44" s="1"/>
  <c r="AQ55" i="44"/>
  <c r="BA55" i="44" s="1"/>
  <c r="AP55" i="44"/>
  <c r="AZ55" i="44" s="1"/>
  <c r="AF55" i="44"/>
  <c r="AX55" i="44" s="1"/>
  <c r="Z55" i="44"/>
  <c r="AU55" i="44" s="1"/>
  <c r="Q55" i="44"/>
  <c r="V55" i="44" s="1"/>
  <c r="AT55" i="44" s="1"/>
  <c r="AQ54" i="44"/>
  <c r="BA54" i="44" s="1"/>
  <c r="AP54" i="44"/>
  <c r="AZ54" i="44" s="1"/>
  <c r="AF54" i="44"/>
  <c r="AX54" i="44" s="1"/>
  <c r="Z54" i="44"/>
  <c r="AU54" i="44" s="1"/>
  <c r="Q54" i="44"/>
  <c r="V54" i="44" s="1"/>
  <c r="AT54" i="44" s="1"/>
  <c r="AQ53" i="44"/>
  <c r="BA53" i="44" s="1"/>
  <c r="AP53" i="44"/>
  <c r="AZ53" i="44" s="1"/>
  <c r="AF53" i="44"/>
  <c r="AX53" i="44" s="1"/>
  <c r="Z53" i="44"/>
  <c r="AU53" i="44" s="1"/>
  <c r="Q53" i="44"/>
  <c r="V53" i="44" s="1"/>
  <c r="AT53" i="44" s="1"/>
  <c r="AQ52" i="44"/>
  <c r="BA52" i="44" s="1"/>
  <c r="AP52" i="44"/>
  <c r="AZ52" i="44" s="1"/>
  <c r="AF52" i="44"/>
  <c r="AX52" i="44" s="1"/>
  <c r="Z52" i="44"/>
  <c r="AU52" i="44" s="1"/>
  <c r="Q52" i="44"/>
  <c r="V52" i="44" s="1"/>
  <c r="AT52" i="44" s="1"/>
  <c r="AQ51" i="44"/>
  <c r="BA51" i="44" s="1"/>
  <c r="AP51" i="44"/>
  <c r="AZ51" i="44" s="1"/>
  <c r="AF51" i="44"/>
  <c r="AX51" i="44" s="1"/>
  <c r="Z51" i="44"/>
  <c r="AU51" i="44" s="1"/>
  <c r="Q51" i="44"/>
  <c r="V51" i="44" s="1"/>
  <c r="AT51" i="44" s="1"/>
  <c r="AQ50" i="44"/>
  <c r="BA50" i="44" s="1"/>
  <c r="AP50" i="44"/>
  <c r="AZ50" i="44" s="1"/>
  <c r="AF50" i="44"/>
  <c r="AX50" i="44" s="1"/>
  <c r="Z50" i="44"/>
  <c r="AU50" i="44" s="1"/>
  <c r="Q50" i="44"/>
  <c r="V50" i="44" s="1"/>
  <c r="AT50" i="44" s="1"/>
  <c r="AQ48" i="44"/>
  <c r="BA48" i="44" s="1"/>
  <c r="AP48" i="44"/>
  <c r="AZ48" i="44" s="1"/>
  <c r="AF48" i="44"/>
  <c r="AX48" i="44" s="1"/>
  <c r="Z48" i="44"/>
  <c r="AU48" i="44" s="1"/>
  <c r="Q48" i="44"/>
  <c r="V48" i="44" s="1"/>
  <c r="AT48" i="44" s="1"/>
  <c r="AQ47" i="44"/>
  <c r="BA47" i="44" s="1"/>
  <c r="AP47" i="44"/>
  <c r="AZ47" i="44" s="1"/>
  <c r="AF47" i="44"/>
  <c r="AX47" i="44" s="1"/>
  <c r="Z47" i="44"/>
  <c r="AU47" i="44" s="1"/>
  <c r="Q47" i="44"/>
  <c r="V47" i="44" s="1"/>
  <c r="AT47" i="44" s="1"/>
  <c r="AQ46" i="44"/>
  <c r="BA46" i="44" s="1"/>
  <c r="AP46" i="44"/>
  <c r="AZ46" i="44" s="1"/>
  <c r="AF46" i="44"/>
  <c r="AX46" i="44" s="1"/>
  <c r="Z46" i="44"/>
  <c r="AU46" i="44" s="1"/>
  <c r="Q46" i="44"/>
  <c r="V46" i="44" s="1"/>
  <c r="AT46" i="44" s="1"/>
  <c r="AQ45" i="44"/>
  <c r="BA45" i="44" s="1"/>
  <c r="AP45" i="44"/>
  <c r="AZ45" i="44" s="1"/>
  <c r="AF45" i="44"/>
  <c r="AX45" i="44" s="1"/>
  <c r="Z45" i="44"/>
  <c r="AU45" i="44" s="1"/>
  <c r="Q45" i="44"/>
  <c r="V45" i="44" s="1"/>
  <c r="AT45" i="44" s="1"/>
  <c r="AQ44" i="44"/>
  <c r="BA44" i="44" s="1"/>
  <c r="AP44" i="44"/>
  <c r="AZ44" i="44" s="1"/>
  <c r="AF44" i="44"/>
  <c r="AX44" i="44" s="1"/>
  <c r="Z44" i="44"/>
  <c r="AU44" i="44" s="1"/>
  <c r="Q44" i="44"/>
  <c r="V44" i="44" s="1"/>
  <c r="AT44" i="44" s="1"/>
  <c r="AQ43" i="44"/>
  <c r="BA43" i="44" s="1"/>
  <c r="AP43" i="44"/>
  <c r="AZ43" i="44" s="1"/>
  <c r="AF43" i="44"/>
  <c r="AX43" i="44" s="1"/>
  <c r="Z43" i="44"/>
  <c r="AU43" i="44" s="1"/>
  <c r="Q43" i="44"/>
  <c r="V43" i="44" s="1"/>
  <c r="AT43" i="44" s="1"/>
  <c r="AQ41" i="44"/>
  <c r="BA41" i="44" s="1"/>
  <c r="AP41" i="44"/>
  <c r="AZ41" i="44" s="1"/>
  <c r="AF41" i="44"/>
  <c r="AX41" i="44" s="1"/>
  <c r="Z41" i="44"/>
  <c r="AU41" i="44" s="1"/>
  <c r="Q41" i="44"/>
  <c r="V41" i="44" s="1"/>
  <c r="AT41" i="44" s="1"/>
  <c r="AQ40" i="44"/>
  <c r="BA40" i="44" s="1"/>
  <c r="AP40" i="44"/>
  <c r="AZ40" i="44" s="1"/>
  <c r="AF40" i="44"/>
  <c r="AX40" i="44" s="1"/>
  <c r="Z40" i="44"/>
  <c r="AU40" i="44" s="1"/>
  <c r="Q40" i="44"/>
  <c r="V40" i="44" s="1"/>
  <c r="AT40" i="44" s="1"/>
  <c r="AQ39" i="44"/>
  <c r="BA39" i="44" s="1"/>
  <c r="AP39" i="44"/>
  <c r="AZ39" i="44" s="1"/>
  <c r="AF39" i="44"/>
  <c r="AX39" i="44" s="1"/>
  <c r="Z39" i="44"/>
  <c r="AU39" i="44" s="1"/>
  <c r="Q39" i="44"/>
  <c r="V39" i="44" s="1"/>
  <c r="AT39" i="44" s="1"/>
  <c r="AQ38" i="44"/>
  <c r="BA38" i="44" s="1"/>
  <c r="AP38" i="44"/>
  <c r="AZ38" i="44" s="1"/>
  <c r="AF38" i="44"/>
  <c r="AX38" i="44" s="1"/>
  <c r="Z38" i="44"/>
  <c r="AU38" i="44" s="1"/>
  <c r="Q38" i="44"/>
  <c r="V38" i="44" s="1"/>
  <c r="AT38" i="44" s="1"/>
  <c r="AQ37" i="44"/>
  <c r="BA37" i="44" s="1"/>
  <c r="AP37" i="44"/>
  <c r="AZ37" i="44" s="1"/>
  <c r="AF37" i="44"/>
  <c r="AX37" i="44" s="1"/>
  <c r="Z37" i="44"/>
  <c r="AU37" i="44" s="1"/>
  <c r="Q37" i="44"/>
  <c r="V37" i="44" s="1"/>
  <c r="AT37" i="44" s="1"/>
  <c r="AQ36" i="44"/>
  <c r="BA36" i="44" s="1"/>
  <c r="AP36" i="44"/>
  <c r="AZ36" i="44" s="1"/>
  <c r="AF36" i="44"/>
  <c r="AX36" i="44" s="1"/>
  <c r="Z36" i="44"/>
  <c r="AU36" i="44" s="1"/>
  <c r="Q36" i="44"/>
  <c r="V36" i="44" s="1"/>
  <c r="AT36" i="44" s="1"/>
  <c r="AQ34" i="44"/>
  <c r="BA34" i="44" s="1"/>
  <c r="AP34" i="44"/>
  <c r="AZ34" i="44" s="1"/>
  <c r="AF34" i="44"/>
  <c r="AX34" i="44" s="1"/>
  <c r="Z34" i="44"/>
  <c r="AU34" i="44" s="1"/>
  <c r="Q34" i="44"/>
  <c r="V34" i="44" s="1"/>
  <c r="AT34" i="44" s="1"/>
  <c r="AQ33" i="44"/>
  <c r="BA33" i="44" s="1"/>
  <c r="AP33" i="44"/>
  <c r="AZ33" i="44" s="1"/>
  <c r="AF33" i="44"/>
  <c r="AX33" i="44" s="1"/>
  <c r="Z33" i="44"/>
  <c r="AU33" i="44" s="1"/>
  <c r="Q33" i="44"/>
  <c r="V33" i="44" s="1"/>
  <c r="AT33" i="44" s="1"/>
  <c r="AQ32" i="44"/>
  <c r="BA32" i="44" s="1"/>
  <c r="AP32" i="44"/>
  <c r="AZ32" i="44" s="1"/>
  <c r="AF32" i="44"/>
  <c r="AX32" i="44" s="1"/>
  <c r="Z32" i="44"/>
  <c r="AU32" i="44" s="1"/>
  <c r="Q32" i="44"/>
  <c r="V32" i="44" s="1"/>
  <c r="AT32" i="44" s="1"/>
  <c r="AQ31" i="44"/>
  <c r="BA31" i="44" s="1"/>
  <c r="AP31" i="44"/>
  <c r="AZ31" i="44" s="1"/>
  <c r="AF31" i="44"/>
  <c r="AX31" i="44" s="1"/>
  <c r="Z31" i="44"/>
  <c r="AU31" i="44" s="1"/>
  <c r="Q31" i="44"/>
  <c r="V31" i="44" s="1"/>
  <c r="AT31" i="44" s="1"/>
  <c r="AQ30" i="44"/>
  <c r="BA30" i="44" s="1"/>
  <c r="AP30" i="44"/>
  <c r="AZ30" i="44" s="1"/>
  <c r="AF30" i="44"/>
  <c r="AX30" i="44" s="1"/>
  <c r="Z30" i="44"/>
  <c r="AU30" i="44" s="1"/>
  <c r="Q30" i="44"/>
  <c r="V30" i="44" s="1"/>
  <c r="AT30" i="44" s="1"/>
  <c r="AQ29" i="44"/>
  <c r="BA29" i="44" s="1"/>
  <c r="AP29" i="44"/>
  <c r="AZ29" i="44" s="1"/>
  <c r="AF29" i="44"/>
  <c r="AX29" i="44" s="1"/>
  <c r="Z29" i="44"/>
  <c r="AU29" i="44" s="1"/>
  <c r="Q29" i="44"/>
  <c r="V29" i="44" s="1"/>
  <c r="AT29" i="44" s="1"/>
  <c r="AQ27" i="44"/>
  <c r="BA27" i="44" s="1"/>
  <c r="AP27" i="44"/>
  <c r="AZ27" i="44" s="1"/>
  <c r="AF27" i="44"/>
  <c r="AX27" i="44" s="1"/>
  <c r="Z27" i="44"/>
  <c r="AU27" i="44" s="1"/>
  <c r="Q27" i="44"/>
  <c r="V27" i="44" s="1"/>
  <c r="AT27" i="44" s="1"/>
  <c r="AQ26" i="44"/>
  <c r="BA26" i="44" s="1"/>
  <c r="AP26" i="44"/>
  <c r="AZ26" i="44" s="1"/>
  <c r="AF26" i="44"/>
  <c r="AX26" i="44" s="1"/>
  <c r="Z26" i="44"/>
  <c r="AU26" i="44" s="1"/>
  <c r="Q26" i="44"/>
  <c r="V26" i="44" s="1"/>
  <c r="AT26" i="44" s="1"/>
  <c r="AQ25" i="44"/>
  <c r="BA25" i="44" s="1"/>
  <c r="AP25" i="44"/>
  <c r="AZ25" i="44" s="1"/>
  <c r="AF25" i="44"/>
  <c r="AX25" i="44" s="1"/>
  <c r="Z25" i="44"/>
  <c r="AU25" i="44" s="1"/>
  <c r="Q25" i="44"/>
  <c r="V25" i="44" s="1"/>
  <c r="AT25" i="44" s="1"/>
  <c r="AQ24" i="44"/>
  <c r="BA24" i="44" s="1"/>
  <c r="AP24" i="44"/>
  <c r="AZ24" i="44" s="1"/>
  <c r="AF24" i="44"/>
  <c r="AX24" i="44" s="1"/>
  <c r="Z24" i="44"/>
  <c r="AU24" i="44" s="1"/>
  <c r="Q24" i="44"/>
  <c r="V24" i="44" s="1"/>
  <c r="AT24" i="44" s="1"/>
  <c r="AQ23" i="44"/>
  <c r="BA23" i="44" s="1"/>
  <c r="AP23" i="44"/>
  <c r="AZ23" i="44" s="1"/>
  <c r="AF23" i="44"/>
  <c r="AX23" i="44" s="1"/>
  <c r="Z23" i="44"/>
  <c r="AU23" i="44" s="1"/>
  <c r="Q23" i="44"/>
  <c r="V23" i="44" s="1"/>
  <c r="AT23" i="44" s="1"/>
  <c r="AQ22" i="44"/>
  <c r="BA22" i="44" s="1"/>
  <c r="AP22" i="44"/>
  <c r="AZ22" i="44" s="1"/>
  <c r="AF22" i="44"/>
  <c r="AX22" i="44" s="1"/>
  <c r="Z22" i="44"/>
  <c r="AU22" i="44" s="1"/>
  <c r="Q22" i="44"/>
  <c r="V22" i="44" s="1"/>
  <c r="AT22" i="44" s="1"/>
  <c r="AQ21" i="44"/>
  <c r="BA21" i="44" s="1"/>
  <c r="AP21" i="44"/>
  <c r="AZ21" i="44" s="1"/>
  <c r="AF21" i="44"/>
  <c r="AX21" i="44" s="1"/>
  <c r="Z21" i="44"/>
  <c r="AU21" i="44" s="1"/>
  <c r="Q21" i="44"/>
  <c r="V21" i="44" s="1"/>
  <c r="AT21" i="44" s="1"/>
  <c r="AQ20" i="44"/>
  <c r="BA20" i="44" s="1"/>
  <c r="AP20" i="44"/>
  <c r="AZ20" i="44" s="1"/>
  <c r="AF20" i="44"/>
  <c r="AX20" i="44" s="1"/>
  <c r="Z20" i="44"/>
  <c r="AU20" i="44" s="1"/>
  <c r="Q20" i="44"/>
  <c r="V20" i="44" s="1"/>
  <c r="AT20" i="44" s="1"/>
  <c r="AQ18" i="44"/>
  <c r="BA18" i="44" s="1"/>
  <c r="AP18" i="44"/>
  <c r="AZ18" i="44" s="1"/>
  <c r="AF18" i="44"/>
  <c r="AX18" i="44" s="1"/>
  <c r="Z18" i="44"/>
  <c r="AU18" i="44" s="1"/>
  <c r="Q18" i="44"/>
  <c r="V18" i="44" s="1"/>
  <c r="AT18" i="44" s="1"/>
  <c r="AQ17" i="44"/>
  <c r="BA17" i="44" s="1"/>
  <c r="AP17" i="44"/>
  <c r="AZ17" i="44" s="1"/>
  <c r="AF17" i="44"/>
  <c r="AX17" i="44" s="1"/>
  <c r="Z17" i="44"/>
  <c r="AU17" i="44" s="1"/>
  <c r="Q17" i="44"/>
  <c r="V17" i="44" s="1"/>
  <c r="AT17" i="44" s="1"/>
  <c r="AQ16" i="44"/>
  <c r="BA16" i="44" s="1"/>
  <c r="AP16" i="44"/>
  <c r="AZ16" i="44" s="1"/>
  <c r="AF16" i="44"/>
  <c r="AX16" i="44" s="1"/>
  <c r="Z16" i="44"/>
  <c r="AU16" i="44" s="1"/>
  <c r="Q16" i="44"/>
  <c r="V16" i="44" s="1"/>
  <c r="AT16" i="44" s="1"/>
  <c r="AQ15" i="44"/>
  <c r="BA15" i="44" s="1"/>
  <c r="AP15" i="44"/>
  <c r="AZ15" i="44" s="1"/>
  <c r="AF15" i="44"/>
  <c r="AX15" i="44" s="1"/>
  <c r="Z15" i="44"/>
  <c r="AU15" i="44" s="1"/>
  <c r="Q15" i="44"/>
  <c r="V15" i="44" s="1"/>
  <c r="AT15" i="44" s="1"/>
  <c r="AQ14" i="44"/>
  <c r="BA14" i="44" s="1"/>
  <c r="AP14" i="44"/>
  <c r="AZ14" i="44" s="1"/>
  <c r="AF14" i="44"/>
  <c r="AX14" i="44" s="1"/>
  <c r="Z14" i="44"/>
  <c r="AU14" i="44" s="1"/>
  <c r="Q14" i="44"/>
  <c r="V14" i="44" s="1"/>
  <c r="AF461" i="43"/>
  <c r="AX461" i="43" s="1"/>
  <c r="Z461" i="43"/>
  <c r="AU461" i="43" s="1"/>
  <c r="V461" i="43"/>
  <c r="AT461" i="43" s="1"/>
  <c r="AF460" i="43"/>
  <c r="AX460" i="43" s="1"/>
  <c r="Z460" i="43"/>
  <c r="AU460" i="43" s="1"/>
  <c r="V460" i="43"/>
  <c r="AT460" i="43" s="1"/>
  <c r="AF459" i="43"/>
  <c r="AX459" i="43" s="1"/>
  <c r="Z459" i="43"/>
  <c r="AU459" i="43" s="1"/>
  <c r="AF457" i="43"/>
  <c r="AX457" i="43" s="1"/>
  <c r="Z457" i="43"/>
  <c r="AU457" i="43" s="1"/>
  <c r="V457" i="43"/>
  <c r="AT457" i="43" s="1"/>
  <c r="AF456" i="43"/>
  <c r="AX456" i="43" s="1"/>
  <c r="Z456" i="43"/>
  <c r="AU456" i="43" s="1"/>
  <c r="AF454" i="43"/>
  <c r="AX454" i="43" s="1"/>
  <c r="Z454" i="43"/>
  <c r="AU454" i="43" s="1"/>
  <c r="V454" i="43"/>
  <c r="AT454" i="43" s="1"/>
  <c r="AF453" i="43"/>
  <c r="AX453" i="43" s="1"/>
  <c r="Z453" i="43"/>
  <c r="AU453" i="43" s="1"/>
  <c r="V453" i="43"/>
  <c r="AT453" i="43" s="1"/>
  <c r="AF452" i="43"/>
  <c r="AX452" i="43" s="1"/>
  <c r="Z452" i="43"/>
  <c r="AU452" i="43" s="1"/>
  <c r="V452" i="43"/>
  <c r="AT452" i="43" s="1"/>
  <c r="AF451" i="43"/>
  <c r="AX451" i="43" s="1"/>
  <c r="Z451" i="43"/>
  <c r="AU451" i="43" s="1"/>
  <c r="V451" i="43"/>
  <c r="AT451" i="43" s="1"/>
  <c r="AF450" i="43"/>
  <c r="AX450" i="43" s="1"/>
  <c r="Z450" i="43"/>
  <c r="AU450" i="43" s="1"/>
  <c r="V450" i="43"/>
  <c r="AT450" i="43" s="1"/>
  <c r="AF449" i="43"/>
  <c r="AX449" i="43" s="1"/>
  <c r="Z449" i="43"/>
  <c r="AU449" i="43" s="1"/>
  <c r="AF447" i="43"/>
  <c r="AX447" i="43" s="1"/>
  <c r="Z447" i="43"/>
  <c r="AU447" i="43" s="1"/>
  <c r="V447" i="43"/>
  <c r="AT447" i="43" s="1"/>
  <c r="AF446" i="43"/>
  <c r="AX446" i="43" s="1"/>
  <c r="Z446" i="43"/>
  <c r="AU446" i="43" s="1"/>
  <c r="V446" i="43"/>
  <c r="AT446" i="43" s="1"/>
  <c r="AF445" i="43"/>
  <c r="AX445" i="43" s="1"/>
  <c r="Z445" i="43"/>
  <c r="AU445" i="43" s="1"/>
  <c r="V445" i="43"/>
  <c r="AT445" i="43" s="1"/>
  <c r="AF444" i="43"/>
  <c r="AX444" i="43" s="1"/>
  <c r="Z444" i="43"/>
  <c r="AU444" i="43" s="1"/>
  <c r="V444" i="43"/>
  <c r="AT444" i="43" s="1"/>
  <c r="AF443" i="43"/>
  <c r="AX443" i="43" s="1"/>
  <c r="Z443" i="43"/>
  <c r="AU443" i="43" s="1"/>
  <c r="V443" i="43"/>
  <c r="AT443" i="43" s="1"/>
  <c r="AF442" i="43"/>
  <c r="AX442" i="43" s="1"/>
  <c r="Z442" i="43"/>
  <c r="AU442" i="43" s="1"/>
  <c r="AF440" i="43"/>
  <c r="AX440" i="43" s="1"/>
  <c r="Z440" i="43"/>
  <c r="AU440" i="43" s="1"/>
  <c r="V440" i="43"/>
  <c r="AT440" i="43" s="1"/>
  <c r="AF439" i="43"/>
  <c r="AX439" i="43" s="1"/>
  <c r="Z439" i="43"/>
  <c r="AU439" i="43" s="1"/>
  <c r="V439" i="43"/>
  <c r="AT439" i="43" s="1"/>
  <c r="AF438" i="43"/>
  <c r="AX438" i="43" s="1"/>
  <c r="Z438" i="43"/>
  <c r="AU438" i="43" s="1"/>
  <c r="V438" i="43"/>
  <c r="AT438" i="43" s="1"/>
  <c r="AF437" i="43"/>
  <c r="AX437" i="43" s="1"/>
  <c r="Z437" i="43"/>
  <c r="AU437" i="43" s="1"/>
  <c r="V437" i="43"/>
  <c r="AT437" i="43" s="1"/>
  <c r="AF436" i="43"/>
  <c r="AX436" i="43" s="1"/>
  <c r="Z436" i="43"/>
  <c r="AU436" i="43" s="1"/>
  <c r="V436" i="43"/>
  <c r="AT436" i="43" s="1"/>
  <c r="AF435" i="43"/>
  <c r="AX435" i="43" s="1"/>
  <c r="Z435" i="43"/>
  <c r="AU435" i="43" s="1"/>
  <c r="AF433" i="43"/>
  <c r="AX433" i="43" s="1"/>
  <c r="Z433" i="43"/>
  <c r="AU433" i="43" s="1"/>
  <c r="V433" i="43"/>
  <c r="AT433" i="43" s="1"/>
  <c r="AF432" i="43"/>
  <c r="AX432" i="43" s="1"/>
  <c r="Z432" i="43"/>
  <c r="AU432" i="43" s="1"/>
  <c r="V432" i="43"/>
  <c r="AT432" i="43" s="1"/>
  <c r="AF431" i="43"/>
  <c r="AX431" i="43" s="1"/>
  <c r="Z431" i="43"/>
  <c r="AU431" i="43" s="1"/>
  <c r="V431" i="43"/>
  <c r="AT431" i="43" s="1"/>
  <c r="AF430" i="43"/>
  <c r="AX430" i="43" s="1"/>
  <c r="Z430" i="43"/>
  <c r="AU430" i="43" s="1"/>
  <c r="V430" i="43"/>
  <c r="AT430" i="43" s="1"/>
  <c r="AF429" i="43"/>
  <c r="AX429" i="43" s="1"/>
  <c r="Z429" i="43"/>
  <c r="AU429" i="43" s="1"/>
  <c r="V429" i="43"/>
  <c r="AT429" i="43" s="1"/>
  <c r="AF428" i="43"/>
  <c r="AX428" i="43" s="1"/>
  <c r="Z428" i="43"/>
  <c r="AU428" i="43" s="1"/>
  <c r="AF426" i="43"/>
  <c r="AX426" i="43" s="1"/>
  <c r="Z426" i="43"/>
  <c r="AU426" i="43" s="1"/>
  <c r="V426" i="43"/>
  <c r="AT426" i="43" s="1"/>
  <c r="AF425" i="43"/>
  <c r="AX425" i="43" s="1"/>
  <c r="Z425" i="43"/>
  <c r="AU425" i="43" s="1"/>
  <c r="V425" i="43"/>
  <c r="AT425" i="43" s="1"/>
  <c r="AF424" i="43"/>
  <c r="AX424" i="43" s="1"/>
  <c r="Z424" i="43"/>
  <c r="AU424" i="43" s="1"/>
  <c r="V424" i="43"/>
  <c r="AT424" i="43" s="1"/>
  <c r="AF423" i="43"/>
  <c r="AX423" i="43" s="1"/>
  <c r="Z423" i="43"/>
  <c r="AU423" i="43" s="1"/>
  <c r="V423" i="43"/>
  <c r="AT423" i="43" s="1"/>
  <c r="AF422" i="43"/>
  <c r="AX422" i="43" s="1"/>
  <c r="Z422" i="43"/>
  <c r="AU422" i="43" s="1"/>
  <c r="V422" i="43"/>
  <c r="AT422" i="43" s="1"/>
  <c r="AF421" i="43"/>
  <c r="AX421" i="43" s="1"/>
  <c r="Z421" i="43"/>
  <c r="AU421" i="43" s="1"/>
  <c r="AF419" i="43"/>
  <c r="AX419" i="43" s="1"/>
  <c r="Z419" i="43"/>
  <c r="AU419" i="43" s="1"/>
  <c r="V419" i="43"/>
  <c r="AT419" i="43" s="1"/>
  <c r="AF418" i="43"/>
  <c r="AX418" i="43" s="1"/>
  <c r="Z418" i="43"/>
  <c r="AU418" i="43" s="1"/>
  <c r="V418" i="43"/>
  <c r="AT418" i="43" s="1"/>
  <c r="AF417" i="43"/>
  <c r="AX417" i="43" s="1"/>
  <c r="Z417" i="43"/>
  <c r="AU417" i="43" s="1"/>
  <c r="V417" i="43"/>
  <c r="AT417" i="43" s="1"/>
  <c r="AF416" i="43"/>
  <c r="AX416" i="43" s="1"/>
  <c r="Z416" i="43"/>
  <c r="AU416" i="43" s="1"/>
  <c r="V416" i="43"/>
  <c r="AT416" i="43" s="1"/>
  <c r="AF415" i="43"/>
  <c r="AX415" i="43" s="1"/>
  <c r="Z415" i="43"/>
  <c r="AU415" i="43" s="1"/>
  <c r="V415" i="43"/>
  <c r="AT415" i="43" s="1"/>
  <c r="AF414" i="43"/>
  <c r="AX414" i="43" s="1"/>
  <c r="Z414" i="43"/>
  <c r="AU414" i="43" s="1"/>
  <c r="AF412" i="43"/>
  <c r="AX412" i="43" s="1"/>
  <c r="Z412" i="43"/>
  <c r="AU412" i="43" s="1"/>
  <c r="V412" i="43"/>
  <c r="AT412" i="43" s="1"/>
  <c r="AF411" i="43"/>
  <c r="AX411" i="43" s="1"/>
  <c r="Z411" i="43"/>
  <c r="AU411" i="43" s="1"/>
  <c r="V411" i="43"/>
  <c r="AT411" i="43" s="1"/>
  <c r="AF410" i="43"/>
  <c r="AX410" i="43" s="1"/>
  <c r="Z410" i="43"/>
  <c r="AU410" i="43" s="1"/>
  <c r="V410" i="43"/>
  <c r="AT410" i="43" s="1"/>
  <c r="AF409" i="43"/>
  <c r="AX409" i="43" s="1"/>
  <c r="Z409" i="43"/>
  <c r="AU409" i="43" s="1"/>
  <c r="V409" i="43"/>
  <c r="AT409" i="43" s="1"/>
  <c r="AF408" i="43"/>
  <c r="AX408" i="43" s="1"/>
  <c r="Z408" i="43"/>
  <c r="AU408" i="43" s="1"/>
  <c r="AF405" i="43"/>
  <c r="AX405" i="43" s="1"/>
  <c r="Z405" i="43"/>
  <c r="AU405" i="43" s="1"/>
  <c r="V405" i="43"/>
  <c r="AT405" i="43" s="1"/>
  <c r="AF404" i="43"/>
  <c r="AX404" i="43" s="1"/>
  <c r="Z404" i="43"/>
  <c r="AU404" i="43" s="1"/>
  <c r="V404" i="43"/>
  <c r="AT404" i="43" s="1"/>
  <c r="AF403" i="43"/>
  <c r="AX403" i="43" s="1"/>
  <c r="Z403" i="43"/>
  <c r="AU403" i="43" s="1"/>
  <c r="V403" i="43"/>
  <c r="AT403" i="43" s="1"/>
  <c r="AF402" i="43"/>
  <c r="AX402" i="43" s="1"/>
  <c r="Z402" i="43"/>
  <c r="AU402" i="43" s="1"/>
  <c r="V402" i="43"/>
  <c r="AT402" i="43" s="1"/>
  <c r="AF401" i="43"/>
  <c r="AX401" i="43" s="1"/>
  <c r="Z401" i="43"/>
  <c r="AU401" i="43" s="1"/>
  <c r="V401" i="43"/>
  <c r="AT401" i="43" s="1"/>
  <c r="AF400" i="43"/>
  <c r="AX400" i="43" s="1"/>
  <c r="Z400" i="43"/>
  <c r="AU400" i="43" s="1"/>
  <c r="AF398" i="43"/>
  <c r="AX398" i="43" s="1"/>
  <c r="Z398" i="43"/>
  <c r="AU398" i="43" s="1"/>
  <c r="V398" i="43"/>
  <c r="AT398" i="43" s="1"/>
  <c r="AF397" i="43"/>
  <c r="AX397" i="43" s="1"/>
  <c r="Z397" i="43"/>
  <c r="AU397" i="43" s="1"/>
  <c r="V397" i="43"/>
  <c r="AT397" i="43" s="1"/>
  <c r="AF396" i="43"/>
  <c r="AX396" i="43" s="1"/>
  <c r="Z396" i="43"/>
  <c r="AU396" i="43" s="1"/>
  <c r="V396" i="43"/>
  <c r="AT396" i="43" s="1"/>
  <c r="AF395" i="43"/>
  <c r="AX395" i="43" s="1"/>
  <c r="Z395" i="43"/>
  <c r="AU395" i="43" s="1"/>
  <c r="V395" i="43"/>
  <c r="AT395" i="43" s="1"/>
  <c r="AF394" i="43"/>
  <c r="AX394" i="43" s="1"/>
  <c r="Z394" i="43"/>
  <c r="AU394" i="43" s="1"/>
  <c r="V394" i="43"/>
  <c r="AT394" i="43" s="1"/>
  <c r="AF393" i="43"/>
  <c r="AX393" i="43" s="1"/>
  <c r="Z393" i="43"/>
  <c r="AU393" i="43" s="1"/>
  <c r="AF391" i="43"/>
  <c r="AX391" i="43" s="1"/>
  <c r="Z391" i="43"/>
  <c r="AU391" i="43" s="1"/>
  <c r="V391" i="43"/>
  <c r="AT391" i="43" s="1"/>
  <c r="AF390" i="43"/>
  <c r="AX390" i="43" s="1"/>
  <c r="Z390" i="43"/>
  <c r="AU390" i="43" s="1"/>
  <c r="V390" i="43"/>
  <c r="AT390" i="43" s="1"/>
  <c r="AF389" i="43"/>
  <c r="AX389" i="43" s="1"/>
  <c r="Z389" i="43"/>
  <c r="AU389" i="43" s="1"/>
  <c r="AF387" i="43"/>
  <c r="AX387" i="43" s="1"/>
  <c r="Z387" i="43"/>
  <c r="AU387" i="43" s="1"/>
  <c r="V387" i="43"/>
  <c r="AT387" i="43" s="1"/>
  <c r="AF386" i="43"/>
  <c r="AX386" i="43" s="1"/>
  <c r="Z386" i="43"/>
  <c r="AU386" i="43" s="1"/>
  <c r="V386" i="43"/>
  <c r="AT386" i="43" s="1"/>
  <c r="AF385" i="43"/>
  <c r="AX385" i="43" s="1"/>
  <c r="Z385" i="43"/>
  <c r="AU385" i="43" s="1"/>
  <c r="V385" i="43"/>
  <c r="AT385" i="43" s="1"/>
  <c r="AF384" i="43"/>
  <c r="AX384" i="43" s="1"/>
  <c r="Z384" i="43"/>
  <c r="AU384" i="43" s="1"/>
  <c r="V384" i="43"/>
  <c r="AT384" i="43" s="1"/>
  <c r="AF383" i="43"/>
  <c r="AX383" i="43" s="1"/>
  <c r="Z383" i="43"/>
  <c r="AU383" i="43" s="1"/>
  <c r="AF381" i="43"/>
  <c r="AX381" i="43" s="1"/>
  <c r="Z381" i="43"/>
  <c r="AU381" i="43" s="1"/>
  <c r="V381" i="43"/>
  <c r="AT381" i="43" s="1"/>
  <c r="AF380" i="43"/>
  <c r="AX380" i="43" s="1"/>
  <c r="Z380" i="43"/>
  <c r="AU380" i="43" s="1"/>
  <c r="V380" i="43"/>
  <c r="AT380" i="43" s="1"/>
  <c r="AF379" i="43"/>
  <c r="AX379" i="43" s="1"/>
  <c r="Z379" i="43"/>
  <c r="AU379" i="43" s="1"/>
  <c r="V379" i="43"/>
  <c r="AT379" i="43" s="1"/>
  <c r="AF378" i="43"/>
  <c r="AX378" i="43" s="1"/>
  <c r="Z378" i="43"/>
  <c r="AU378" i="43" s="1"/>
  <c r="V378" i="43"/>
  <c r="AT378" i="43" s="1"/>
  <c r="AF377" i="43"/>
  <c r="AX377" i="43" s="1"/>
  <c r="Z377" i="43"/>
  <c r="AU377" i="43" s="1"/>
  <c r="V377" i="43"/>
  <c r="AT377" i="43" s="1"/>
  <c r="AF376" i="43"/>
  <c r="AX376" i="43" s="1"/>
  <c r="AX382" i="43" s="1"/>
  <c r="Z376" i="43"/>
  <c r="AU376" i="43" s="1"/>
  <c r="AF374" i="43"/>
  <c r="AX374" i="43" s="1"/>
  <c r="AX375" i="43" s="1"/>
  <c r="Z374" i="43"/>
  <c r="AU374" i="43" s="1"/>
  <c r="AU375" i="43" s="1"/>
  <c r="AF372" i="43"/>
  <c r="AX372" i="43" s="1"/>
  <c r="Z372" i="43"/>
  <c r="AU372" i="43" s="1"/>
  <c r="V372" i="43"/>
  <c r="AT372" i="43" s="1"/>
  <c r="AF371" i="43"/>
  <c r="AX371" i="43" s="1"/>
  <c r="Z371" i="43"/>
  <c r="AU371" i="43" s="1"/>
  <c r="V371" i="43"/>
  <c r="AT371" i="43" s="1"/>
  <c r="AF370" i="43"/>
  <c r="AX370" i="43" s="1"/>
  <c r="Z370" i="43"/>
  <c r="AU370" i="43" s="1"/>
  <c r="AF368" i="43"/>
  <c r="AX368" i="43" s="1"/>
  <c r="Z368" i="43"/>
  <c r="AU368" i="43" s="1"/>
  <c r="V368" i="43"/>
  <c r="AT368" i="43" s="1"/>
  <c r="AF367" i="43"/>
  <c r="AX367" i="43" s="1"/>
  <c r="Z367" i="43"/>
  <c r="AU367" i="43" s="1"/>
  <c r="V367" i="43"/>
  <c r="AT367" i="43" s="1"/>
  <c r="AF366" i="43"/>
  <c r="AX366" i="43" s="1"/>
  <c r="Z366" i="43"/>
  <c r="AU366" i="43" s="1"/>
  <c r="V366" i="43"/>
  <c r="AT366" i="43" s="1"/>
  <c r="AF365" i="43"/>
  <c r="AX365" i="43" s="1"/>
  <c r="Z365" i="43"/>
  <c r="AU365" i="43" s="1"/>
  <c r="V365" i="43"/>
  <c r="AT365" i="43" s="1"/>
  <c r="AF364" i="43"/>
  <c r="AX364" i="43" s="1"/>
  <c r="Z364" i="43"/>
  <c r="AU364" i="43" s="1"/>
  <c r="V364" i="43"/>
  <c r="AT364" i="43" s="1"/>
  <c r="AF363" i="43"/>
  <c r="AX363" i="43" s="1"/>
  <c r="Z363" i="43"/>
  <c r="AU363" i="43" s="1"/>
  <c r="AF361" i="43"/>
  <c r="AX361" i="43" s="1"/>
  <c r="Z361" i="43"/>
  <c r="AU361" i="43" s="1"/>
  <c r="V361" i="43"/>
  <c r="AT361" i="43" s="1"/>
  <c r="AF360" i="43"/>
  <c r="AX360" i="43" s="1"/>
  <c r="Z360" i="43"/>
  <c r="AU360" i="43" s="1"/>
  <c r="V360" i="43"/>
  <c r="AT360" i="43" s="1"/>
  <c r="AF359" i="43"/>
  <c r="AX359" i="43" s="1"/>
  <c r="Z359" i="43"/>
  <c r="AU359" i="43" s="1"/>
  <c r="V359" i="43"/>
  <c r="AT359" i="43" s="1"/>
  <c r="AF358" i="43"/>
  <c r="AX358" i="43" s="1"/>
  <c r="Z358" i="43"/>
  <c r="AU358" i="43" s="1"/>
  <c r="AF356" i="43"/>
  <c r="AX356" i="43" s="1"/>
  <c r="Z356" i="43"/>
  <c r="AU356" i="43" s="1"/>
  <c r="V356" i="43"/>
  <c r="AT356" i="43" s="1"/>
  <c r="AF355" i="43"/>
  <c r="AX355" i="43" s="1"/>
  <c r="Z355" i="43"/>
  <c r="AU355" i="43" s="1"/>
  <c r="V355" i="43"/>
  <c r="AT355" i="43" s="1"/>
  <c r="AF354" i="43"/>
  <c r="AX354" i="43" s="1"/>
  <c r="Z354" i="43"/>
  <c r="AU354" i="43" s="1"/>
  <c r="V354" i="43"/>
  <c r="AT354" i="43" s="1"/>
  <c r="AF353" i="43"/>
  <c r="AX353" i="43" s="1"/>
  <c r="Z353" i="43"/>
  <c r="AU353" i="43" s="1"/>
  <c r="V353" i="43"/>
  <c r="AT353" i="43" s="1"/>
  <c r="AF352" i="43"/>
  <c r="AX352" i="43" s="1"/>
  <c r="Z352" i="43"/>
  <c r="AU352" i="43" s="1"/>
  <c r="V352" i="43"/>
  <c r="AT352" i="43" s="1"/>
  <c r="AF351" i="43"/>
  <c r="AX351" i="43" s="1"/>
  <c r="Z351" i="43"/>
  <c r="AU351" i="43" s="1"/>
  <c r="AF349" i="43"/>
  <c r="AX349" i="43" s="1"/>
  <c r="Z349" i="43"/>
  <c r="AU349" i="43" s="1"/>
  <c r="V349" i="43"/>
  <c r="AT349" i="43" s="1"/>
  <c r="AF348" i="43"/>
  <c r="AX348" i="43" s="1"/>
  <c r="Z348" i="43"/>
  <c r="AU348" i="43" s="1"/>
  <c r="V348" i="43"/>
  <c r="AT348" i="43" s="1"/>
  <c r="AF347" i="43"/>
  <c r="AX347" i="43" s="1"/>
  <c r="Z347" i="43"/>
  <c r="AU347" i="43" s="1"/>
  <c r="V347" i="43"/>
  <c r="AT347" i="43" s="1"/>
  <c r="AF346" i="43"/>
  <c r="AX346" i="43" s="1"/>
  <c r="Z346" i="43"/>
  <c r="AU346" i="43" s="1"/>
  <c r="V346" i="43"/>
  <c r="AT346" i="43" s="1"/>
  <c r="AF345" i="43"/>
  <c r="AX345" i="43" s="1"/>
  <c r="Z345" i="43"/>
  <c r="AU345" i="43" s="1"/>
  <c r="AF343" i="43"/>
  <c r="AX343" i="43" s="1"/>
  <c r="Z343" i="43"/>
  <c r="AU343" i="43" s="1"/>
  <c r="V343" i="43"/>
  <c r="AT343" i="43" s="1"/>
  <c r="AF342" i="43"/>
  <c r="AX342" i="43" s="1"/>
  <c r="Z342" i="43"/>
  <c r="AU342" i="43" s="1"/>
  <c r="V342" i="43"/>
  <c r="AT342" i="43" s="1"/>
  <c r="AF341" i="43"/>
  <c r="AX341" i="43" s="1"/>
  <c r="Z341" i="43"/>
  <c r="AU341" i="43" s="1"/>
  <c r="V341" i="43"/>
  <c r="AT341" i="43" s="1"/>
  <c r="AF340" i="43"/>
  <c r="AX340" i="43" s="1"/>
  <c r="Z340" i="43"/>
  <c r="AU340" i="43" s="1"/>
  <c r="V340" i="43"/>
  <c r="AT340" i="43" s="1"/>
  <c r="AF339" i="43"/>
  <c r="AX339" i="43" s="1"/>
  <c r="Z339" i="43"/>
  <c r="AU339" i="43" s="1"/>
  <c r="V339" i="43"/>
  <c r="AT339" i="43" s="1"/>
  <c r="AF338" i="43"/>
  <c r="AX338" i="43" s="1"/>
  <c r="Z338" i="43"/>
  <c r="AU338" i="43" s="1"/>
  <c r="V338" i="43"/>
  <c r="AT338" i="43" s="1"/>
  <c r="AF337" i="43"/>
  <c r="AX337" i="43" s="1"/>
  <c r="Z337" i="43"/>
  <c r="AU337" i="43" s="1"/>
  <c r="V337" i="43"/>
  <c r="AT337" i="43" s="1"/>
  <c r="AF336" i="43"/>
  <c r="AX336" i="43" s="1"/>
  <c r="Z336" i="43"/>
  <c r="AU336" i="43" s="1"/>
  <c r="AF334" i="43"/>
  <c r="AX334" i="43" s="1"/>
  <c r="Z334" i="43"/>
  <c r="AU334" i="43" s="1"/>
  <c r="V334" i="43"/>
  <c r="AT334" i="43" s="1"/>
  <c r="AF333" i="43"/>
  <c r="AX333" i="43" s="1"/>
  <c r="Z333" i="43"/>
  <c r="AU333" i="43" s="1"/>
  <c r="AF331" i="43"/>
  <c r="AX331" i="43" s="1"/>
  <c r="Z331" i="43"/>
  <c r="AU331" i="43" s="1"/>
  <c r="V331" i="43"/>
  <c r="AT331" i="43" s="1"/>
  <c r="AF330" i="43"/>
  <c r="AX330" i="43" s="1"/>
  <c r="Z330" i="43"/>
  <c r="AU330" i="43" s="1"/>
  <c r="V330" i="43"/>
  <c r="AT330" i="43" s="1"/>
  <c r="AF329" i="43"/>
  <c r="AX329" i="43" s="1"/>
  <c r="Z329" i="43"/>
  <c r="AU329" i="43" s="1"/>
  <c r="AF327" i="43"/>
  <c r="AX327" i="43" s="1"/>
  <c r="Z327" i="43"/>
  <c r="AU327" i="43" s="1"/>
  <c r="V327" i="43"/>
  <c r="AT327" i="43" s="1"/>
  <c r="AF326" i="43"/>
  <c r="AX326" i="43" s="1"/>
  <c r="Z326" i="43"/>
  <c r="AU326" i="43" s="1"/>
  <c r="V326" i="43"/>
  <c r="AT326" i="43" s="1"/>
  <c r="AF325" i="43"/>
  <c r="AX325" i="43" s="1"/>
  <c r="Z325" i="43"/>
  <c r="AU325" i="43" s="1"/>
  <c r="AU328" i="43" s="1"/>
  <c r="AF323" i="43"/>
  <c r="AX323" i="43" s="1"/>
  <c r="AX324" i="43" s="1"/>
  <c r="Z323" i="43"/>
  <c r="AU323" i="43" s="1"/>
  <c r="AU324" i="43" s="1"/>
  <c r="AF321" i="43"/>
  <c r="AX321" i="43" s="1"/>
  <c r="Z321" i="43"/>
  <c r="AU321" i="43" s="1"/>
  <c r="V321" i="43"/>
  <c r="AT321" i="43" s="1"/>
  <c r="AF320" i="43"/>
  <c r="AX320" i="43" s="1"/>
  <c r="Z320" i="43"/>
  <c r="AU320" i="43" s="1"/>
  <c r="V320" i="43"/>
  <c r="AT320" i="43" s="1"/>
  <c r="AF319" i="43"/>
  <c r="AX319" i="43" s="1"/>
  <c r="Z319" i="43"/>
  <c r="AU319" i="43" s="1"/>
  <c r="V319" i="43"/>
  <c r="AT319" i="43" s="1"/>
  <c r="AF318" i="43"/>
  <c r="AX318" i="43" s="1"/>
  <c r="Z318" i="43"/>
  <c r="AU318" i="43" s="1"/>
  <c r="V318" i="43"/>
  <c r="AT318" i="43" s="1"/>
  <c r="AF317" i="43"/>
  <c r="AX317" i="43" s="1"/>
  <c r="Z317" i="43"/>
  <c r="AU317" i="43" s="1"/>
  <c r="AF315" i="43"/>
  <c r="AX315" i="43" s="1"/>
  <c r="Z315" i="43"/>
  <c r="AU315" i="43" s="1"/>
  <c r="V315" i="43"/>
  <c r="AT315" i="43" s="1"/>
  <c r="AF314" i="43"/>
  <c r="AX314" i="43" s="1"/>
  <c r="Z314" i="43"/>
  <c r="AU314" i="43" s="1"/>
  <c r="V314" i="43"/>
  <c r="AT314" i="43" s="1"/>
  <c r="AF313" i="43"/>
  <c r="AX313" i="43" s="1"/>
  <c r="Z313" i="43"/>
  <c r="AU313" i="43" s="1"/>
  <c r="AU316" i="43" s="1"/>
  <c r="AF311" i="43"/>
  <c r="AX311" i="43" s="1"/>
  <c r="Z311" i="43"/>
  <c r="AU311" i="43" s="1"/>
  <c r="V311" i="43"/>
  <c r="AT311" i="43" s="1"/>
  <c r="AF310" i="43"/>
  <c r="AX310" i="43" s="1"/>
  <c r="Z310" i="43"/>
  <c r="AU310" i="43" s="1"/>
  <c r="V310" i="43"/>
  <c r="AT310" i="43" s="1"/>
  <c r="AF309" i="43"/>
  <c r="AX309" i="43" s="1"/>
  <c r="Z309" i="43"/>
  <c r="AU309" i="43" s="1"/>
  <c r="V309" i="43"/>
  <c r="AT309" i="43" s="1"/>
  <c r="AF308" i="43"/>
  <c r="AX308" i="43" s="1"/>
  <c r="Z308" i="43"/>
  <c r="AU308" i="43" s="1"/>
  <c r="V308" i="43"/>
  <c r="AT308" i="43" s="1"/>
  <c r="AF307" i="43"/>
  <c r="AX307" i="43" s="1"/>
  <c r="Z307" i="43"/>
  <c r="AU307" i="43" s="1"/>
  <c r="V307" i="43"/>
  <c r="AT307" i="43" s="1"/>
  <c r="AF306" i="43"/>
  <c r="AX306" i="43" s="1"/>
  <c r="Z306" i="43"/>
  <c r="AU306" i="43" s="1"/>
  <c r="AF304" i="43"/>
  <c r="AX304" i="43" s="1"/>
  <c r="Z304" i="43"/>
  <c r="AU304" i="43" s="1"/>
  <c r="V304" i="43"/>
  <c r="AT304" i="43" s="1"/>
  <c r="AF303" i="43"/>
  <c r="AX303" i="43" s="1"/>
  <c r="Z303" i="43"/>
  <c r="AU303" i="43" s="1"/>
  <c r="V303" i="43"/>
  <c r="AT303" i="43" s="1"/>
  <c r="AF302" i="43"/>
  <c r="AX302" i="43" s="1"/>
  <c r="Z302" i="43"/>
  <c r="AU302" i="43" s="1"/>
  <c r="V302" i="43"/>
  <c r="AT302" i="43" s="1"/>
  <c r="AF301" i="43"/>
  <c r="AX301" i="43" s="1"/>
  <c r="Z301" i="43"/>
  <c r="AU301" i="43" s="1"/>
  <c r="V301" i="43"/>
  <c r="AT301" i="43" s="1"/>
  <c r="AF300" i="43"/>
  <c r="AX300" i="43" s="1"/>
  <c r="Z300" i="43"/>
  <c r="AU300" i="43" s="1"/>
  <c r="V300" i="43"/>
  <c r="AT300" i="43" s="1"/>
  <c r="AF299" i="43"/>
  <c r="AX299" i="43" s="1"/>
  <c r="Z299" i="43"/>
  <c r="AU299" i="43" s="1"/>
  <c r="AF297" i="43"/>
  <c r="AX297" i="43" s="1"/>
  <c r="AX298" i="43" s="1"/>
  <c r="Z297" i="43"/>
  <c r="AU297" i="43" s="1"/>
  <c r="AU298" i="43" s="1"/>
  <c r="AF295" i="43"/>
  <c r="AX295" i="43" s="1"/>
  <c r="Z295" i="43"/>
  <c r="AU295" i="43" s="1"/>
  <c r="V295" i="43"/>
  <c r="AT295" i="43" s="1"/>
  <c r="AF294" i="43"/>
  <c r="AX294" i="43" s="1"/>
  <c r="Z294" i="43"/>
  <c r="AU294" i="43" s="1"/>
  <c r="V294" i="43"/>
  <c r="AT294" i="43" s="1"/>
  <c r="AF293" i="43"/>
  <c r="AX293" i="43" s="1"/>
  <c r="Z293" i="43"/>
  <c r="AU293" i="43" s="1"/>
  <c r="V293" i="43"/>
  <c r="AT293" i="43" s="1"/>
  <c r="AF292" i="43"/>
  <c r="AX292" i="43" s="1"/>
  <c r="Z292" i="43"/>
  <c r="AU292" i="43" s="1"/>
  <c r="V292" i="43"/>
  <c r="AT292" i="43" s="1"/>
  <c r="AF291" i="43"/>
  <c r="AX291" i="43" s="1"/>
  <c r="Z291" i="43"/>
  <c r="AU291" i="43" s="1"/>
  <c r="V291" i="43"/>
  <c r="AT291" i="43" s="1"/>
  <c r="AF290" i="43"/>
  <c r="AX290" i="43" s="1"/>
  <c r="Z290" i="43"/>
  <c r="AU290" i="43" s="1"/>
  <c r="V290" i="43"/>
  <c r="AT290" i="43" s="1"/>
  <c r="AF289" i="43"/>
  <c r="AX289" i="43" s="1"/>
  <c r="Z289" i="43"/>
  <c r="AU289" i="43" s="1"/>
  <c r="AF287" i="43"/>
  <c r="AX287" i="43" s="1"/>
  <c r="Z287" i="43"/>
  <c r="AU287" i="43" s="1"/>
  <c r="V287" i="43"/>
  <c r="AT287" i="43" s="1"/>
  <c r="AF286" i="43"/>
  <c r="AX286" i="43" s="1"/>
  <c r="Z286" i="43"/>
  <c r="AU286" i="43" s="1"/>
  <c r="V286" i="43"/>
  <c r="AT286" i="43" s="1"/>
  <c r="AF285" i="43"/>
  <c r="AX285" i="43" s="1"/>
  <c r="Z285" i="43"/>
  <c r="AU285" i="43" s="1"/>
  <c r="V285" i="43"/>
  <c r="AT285" i="43" s="1"/>
  <c r="AF284" i="43"/>
  <c r="AX284" i="43" s="1"/>
  <c r="AX288" i="43" s="1"/>
  <c r="Z284" i="43"/>
  <c r="AU284" i="43" s="1"/>
  <c r="AF282" i="43"/>
  <c r="AX282" i="43" s="1"/>
  <c r="Z282" i="43"/>
  <c r="AU282" i="43" s="1"/>
  <c r="V282" i="43"/>
  <c r="AT282" i="43" s="1"/>
  <c r="AF281" i="43"/>
  <c r="AX281" i="43" s="1"/>
  <c r="Z281" i="43"/>
  <c r="AU281" i="43" s="1"/>
  <c r="V281" i="43"/>
  <c r="AT281" i="43" s="1"/>
  <c r="AF280" i="43"/>
  <c r="AX280" i="43" s="1"/>
  <c r="Z280" i="43"/>
  <c r="AU280" i="43" s="1"/>
  <c r="V280" i="43"/>
  <c r="AT280" i="43" s="1"/>
  <c r="AF279" i="43"/>
  <c r="AX279" i="43" s="1"/>
  <c r="Z279" i="43"/>
  <c r="AU279" i="43" s="1"/>
  <c r="V279" i="43"/>
  <c r="AT279" i="43" s="1"/>
  <c r="AF278" i="43"/>
  <c r="AX278" i="43" s="1"/>
  <c r="Z278" i="43"/>
  <c r="AU278" i="43" s="1"/>
  <c r="V278" i="43"/>
  <c r="AT278" i="43" s="1"/>
  <c r="AF277" i="43"/>
  <c r="AX277" i="43" s="1"/>
  <c r="Z277" i="43"/>
  <c r="AU277" i="43" s="1"/>
  <c r="AU283" i="43" s="1"/>
  <c r="AF275" i="43"/>
  <c r="AX275" i="43" s="1"/>
  <c r="Z275" i="43"/>
  <c r="AU275" i="43" s="1"/>
  <c r="V275" i="43"/>
  <c r="AT275" i="43" s="1"/>
  <c r="AF274" i="43"/>
  <c r="AX274" i="43" s="1"/>
  <c r="Z274" i="43"/>
  <c r="AU274" i="43" s="1"/>
  <c r="V274" i="43"/>
  <c r="AT274" i="43" s="1"/>
  <c r="AF273" i="43"/>
  <c r="AX273" i="43" s="1"/>
  <c r="Z273" i="43"/>
  <c r="AU273" i="43" s="1"/>
  <c r="AF271" i="43"/>
  <c r="AX271" i="43" s="1"/>
  <c r="Z271" i="43"/>
  <c r="AU271" i="43" s="1"/>
  <c r="V271" i="43"/>
  <c r="AT271" i="43" s="1"/>
  <c r="AF270" i="43"/>
  <c r="AX270" i="43" s="1"/>
  <c r="Z270" i="43"/>
  <c r="AU270" i="43" s="1"/>
  <c r="V270" i="43"/>
  <c r="AT270" i="43" s="1"/>
  <c r="AF269" i="43"/>
  <c r="AX269" i="43" s="1"/>
  <c r="Z269" i="43"/>
  <c r="AU269" i="43" s="1"/>
  <c r="V269" i="43"/>
  <c r="AT269" i="43" s="1"/>
  <c r="AF268" i="43"/>
  <c r="AX268" i="43" s="1"/>
  <c r="Z268" i="43"/>
  <c r="AU268" i="43" s="1"/>
  <c r="V268" i="43"/>
  <c r="AT268" i="43" s="1"/>
  <c r="AF267" i="43"/>
  <c r="AX267" i="43" s="1"/>
  <c r="Z267" i="43"/>
  <c r="AU267" i="43" s="1"/>
  <c r="AF265" i="43"/>
  <c r="AX265" i="43" s="1"/>
  <c r="Z265" i="43"/>
  <c r="AU265" i="43" s="1"/>
  <c r="V265" i="43"/>
  <c r="AT265" i="43" s="1"/>
  <c r="AF264" i="43"/>
  <c r="AX264" i="43" s="1"/>
  <c r="Z264" i="43"/>
  <c r="AU264" i="43" s="1"/>
  <c r="V264" i="43"/>
  <c r="AT264" i="43" s="1"/>
  <c r="AF263" i="43"/>
  <c r="AX263" i="43" s="1"/>
  <c r="Z263" i="43"/>
  <c r="AU263" i="43" s="1"/>
  <c r="AU266" i="43" s="1"/>
  <c r="AF261" i="43"/>
  <c r="AX261" i="43" s="1"/>
  <c r="Z261" i="43"/>
  <c r="AU261" i="43" s="1"/>
  <c r="V261" i="43"/>
  <c r="AT261" i="43" s="1"/>
  <c r="AF260" i="43"/>
  <c r="AX260" i="43" s="1"/>
  <c r="Z260" i="43"/>
  <c r="AU260" i="43" s="1"/>
  <c r="V260" i="43"/>
  <c r="AT260" i="43" s="1"/>
  <c r="AF259" i="43"/>
  <c r="AX259" i="43" s="1"/>
  <c r="Z259" i="43"/>
  <c r="AU259" i="43" s="1"/>
  <c r="AF257" i="43"/>
  <c r="AX257" i="43" s="1"/>
  <c r="AX258" i="43" s="1"/>
  <c r="Z257" i="43"/>
  <c r="AU257" i="43" s="1"/>
  <c r="AU258" i="43" s="1"/>
  <c r="AF255" i="43"/>
  <c r="AX255" i="43" s="1"/>
  <c r="Z255" i="43"/>
  <c r="AU255" i="43" s="1"/>
  <c r="V255" i="43"/>
  <c r="AT255" i="43" s="1"/>
  <c r="AF254" i="43"/>
  <c r="AX254" i="43" s="1"/>
  <c r="Z254" i="43"/>
  <c r="AU254" i="43" s="1"/>
  <c r="V254" i="43"/>
  <c r="AT254" i="43" s="1"/>
  <c r="AF253" i="43"/>
  <c r="AX253" i="43" s="1"/>
  <c r="Z253" i="43"/>
  <c r="AU253" i="43" s="1"/>
  <c r="V253" i="43"/>
  <c r="AT253" i="43" s="1"/>
  <c r="AF252" i="43"/>
  <c r="AX252" i="43" s="1"/>
  <c r="Z252" i="43"/>
  <c r="AU252" i="43" s="1"/>
  <c r="V252" i="43"/>
  <c r="AT252" i="43" s="1"/>
  <c r="AF251" i="43"/>
  <c r="AX251" i="43" s="1"/>
  <c r="Z251" i="43"/>
  <c r="AU251" i="43" s="1"/>
  <c r="V251" i="43"/>
  <c r="AT251" i="43" s="1"/>
  <c r="AF250" i="43"/>
  <c r="AX250" i="43" s="1"/>
  <c r="Z250" i="43"/>
  <c r="AU250" i="43" s="1"/>
  <c r="AF248" i="43"/>
  <c r="AX248" i="43" s="1"/>
  <c r="Z248" i="43"/>
  <c r="AU248" i="43" s="1"/>
  <c r="V248" i="43"/>
  <c r="AT248" i="43" s="1"/>
  <c r="AF247" i="43"/>
  <c r="AX247" i="43" s="1"/>
  <c r="Z247" i="43"/>
  <c r="AU247" i="43" s="1"/>
  <c r="V247" i="43"/>
  <c r="AT247" i="43" s="1"/>
  <c r="AF246" i="43"/>
  <c r="AX246" i="43" s="1"/>
  <c r="Z246" i="43"/>
  <c r="AU246" i="43" s="1"/>
  <c r="V246" i="43"/>
  <c r="AT246" i="43" s="1"/>
  <c r="AF245" i="43"/>
  <c r="AX245" i="43" s="1"/>
  <c r="Z245" i="43"/>
  <c r="AU245" i="43" s="1"/>
  <c r="V245" i="43"/>
  <c r="AT245" i="43" s="1"/>
  <c r="AF244" i="43"/>
  <c r="AX244" i="43" s="1"/>
  <c r="Z244" i="43"/>
  <c r="AU244" i="43" s="1"/>
  <c r="AF242" i="43"/>
  <c r="AX242" i="43" s="1"/>
  <c r="Z242" i="43"/>
  <c r="AU242" i="43" s="1"/>
  <c r="V242" i="43"/>
  <c r="AT242" i="43" s="1"/>
  <c r="AF241" i="43"/>
  <c r="AX241" i="43" s="1"/>
  <c r="Z241" i="43"/>
  <c r="AU241" i="43" s="1"/>
  <c r="V241" i="43"/>
  <c r="AT241" i="43" s="1"/>
  <c r="AF240" i="43"/>
  <c r="AX240" i="43" s="1"/>
  <c r="Z240" i="43"/>
  <c r="AU240" i="43" s="1"/>
  <c r="V240" i="43"/>
  <c r="AT240" i="43" s="1"/>
  <c r="AF239" i="43"/>
  <c r="AX239" i="43" s="1"/>
  <c r="Z239" i="43"/>
  <c r="AU239" i="43" s="1"/>
  <c r="V239" i="43"/>
  <c r="AT239" i="43" s="1"/>
  <c r="AF238" i="43"/>
  <c r="AX238" i="43" s="1"/>
  <c r="AX243" i="43" s="1"/>
  <c r="Z238" i="43"/>
  <c r="AU238" i="43" s="1"/>
  <c r="AF236" i="43"/>
  <c r="AX236" i="43" s="1"/>
  <c r="Z236" i="43"/>
  <c r="AU236" i="43" s="1"/>
  <c r="V236" i="43"/>
  <c r="AT236" i="43" s="1"/>
  <c r="AF235" i="43"/>
  <c r="AX235" i="43" s="1"/>
  <c r="Z235" i="43"/>
  <c r="AU235" i="43" s="1"/>
  <c r="V235" i="43"/>
  <c r="AT235" i="43" s="1"/>
  <c r="AF234" i="43"/>
  <c r="AX234" i="43" s="1"/>
  <c r="Z234" i="43"/>
  <c r="AU234" i="43" s="1"/>
  <c r="V234" i="43"/>
  <c r="AT234" i="43" s="1"/>
  <c r="AF233" i="43"/>
  <c r="AX233" i="43" s="1"/>
  <c r="Z233" i="43"/>
  <c r="AU233" i="43" s="1"/>
  <c r="V233" i="43"/>
  <c r="AT233" i="43" s="1"/>
  <c r="AF232" i="43"/>
  <c r="AX232" i="43" s="1"/>
  <c r="Z232" i="43"/>
  <c r="AU232" i="43" s="1"/>
  <c r="AF230" i="43"/>
  <c r="AX230" i="43" s="1"/>
  <c r="Z230" i="43"/>
  <c r="AU230" i="43" s="1"/>
  <c r="V230" i="43"/>
  <c r="AT230" i="43" s="1"/>
  <c r="AF229" i="43"/>
  <c r="AX229" i="43" s="1"/>
  <c r="Z229" i="43"/>
  <c r="AU229" i="43" s="1"/>
  <c r="V229" i="43"/>
  <c r="AT229" i="43" s="1"/>
  <c r="AF228" i="43"/>
  <c r="AX228" i="43" s="1"/>
  <c r="Z228" i="43"/>
  <c r="AU228" i="43" s="1"/>
  <c r="V228" i="43"/>
  <c r="AT228" i="43" s="1"/>
  <c r="AF227" i="43"/>
  <c r="AX227" i="43" s="1"/>
  <c r="Z227" i="43"/>
  <c r="AU227" i="43" s="1"/>
  <c r="V227" i="43"/>
  <c r="AT227" i="43" s="1"/>
  <c r="AF226" i="43"/>
  <c r="AX226" i="43" s="1"/>
  <c r="Z226" i="43"/>
  <c r="AU226" i="43" s="1"/>
  <c r="AF224" i="43"/>
  <c r="AX224" i="43" s="1"/>
  <c r="Z224" i="43"/>
  <c r="AU224" i="43" s="1"/>
  <c r="V224" i="43"/>
  <c r="AT224" i="43" s="1"/>
  <c r="AF223" i="43"/>
  <c r="AX223" i="43" s="1"/>
  <c r="Z223" i="43"/>
  <c r="AU223" i="43" s="1"/>
  <c r="V223" i="43"/>
  <c r="AT223" i="43" s="1"/>
  <c r="AF222" i="43"/>
  <c r="AX222" i="43" s="1"/>
  <c r="Z222" i="43"/>
  <c r="AU222" i="43" s="1"/>
  <c r="V222" i="43"/>
  <c r="AT222" i="43" s="1"/>
  <c r="AF221" i="43"/>
  <c r="AX221" i="43" s="1"/>
  <c r="Z221" i="43"/>
  <c r="AU221" i="43" s="1"/>
  <c r="V221" i="43"/>
  <c r="AT221" i="43" s="1"/>
  <c r="AF220" i="43"/>
  <c r="AX220" i="43" s="1"/>
  <c r="AX225" i="43" s="1"/>
  <c r="Z220" i="43"/>
  <c r="AU220" i="43" s="1"/>
  <c r="AF218" i="43"/>
  <c r="AX218" i="43" s="1"/>
  <c r="Z218" i="43"/>
  <c r="AU218" i="43" s="1"/>
  <c r="V218" i="43"/>
  <c r="AT218" i="43" s="1"/>
  <c r="AF217" i="43"/>
  <c r="AX217" i="43" s="1"/>
  <c r="Z217" i="43"/>
  <c r="AU217" i="43" s="1"/>
  <c r="V217" i="43"/>
  <c r="AT217" i="43" s="1"/>
  <c r="AF216" i="43"/>
  <c r="AX216" i="43" s="1"/>
  <c r="Z216" i="43"/>
  <c r="AU216" i="43" s="1"/>
  <c r="V216" i="43"/>
  <c r="AT216" i="43" s="1"/>
  <c r="AF215" i="43"/>
  <c r="AX215" i="43" s="1"/>
  <c r="Z215" i="43"/>
  <c r="AU215" i="43" s="1"/>
  <c r="V215" i="43"/>
  <c r="AT215" i="43" s="1"/>
  <c r="AF214" i="43"/>
  <c r="AX214" i="43" s="1"/>
  <c r="Z214" i="43"/>
  <c r="AU214" i="43" s="1"/>
  <c r="AF212" i="43"/>
  <c r="AX212" i="43" s="1"/>
  <c r="Z212" i="43"/>
  <c r="AU212" i="43" s="1"/>
  <c r="V212" i="43"/>
  <c r="AT212" i="43" s="1"/>
  <c r="AF211" i="43"/>
  <c r="AX211" i="43" s="1"/>
  <c r="Z211" i="43"/>
  <c r="AU211" i="43" s="1"/>
  <c r="V211" i="43"/>
  <c r="AT211" i="43" s="1"/>
  <c r="AF210" i="43"/>
  <c r="AX210" i="43" s="1"/>
  <c r="Z210" i="43"/>
  <c r="AU210" i="43" s="1"/>
  <c r="V210" i="43"/>
  <c r="AT210" i="43" s="1"/>
  <c r="AF209" i="43"/>
  <c r="AX209" i="43" s="1"/>
  <c r="Z209" i="43"/>
  <c r="AU209" i="43" s="1"/>
  <c r="V209" i="43"/>
  <c r="AT209" i="43" s="1"/>
  <c r="AF208" i="43"/>
  <c r="AX208" i="43" s="1"/>
  <c r="Z208" i="43"/>
  <c r="AU208" i="43" s="1"/>
  <c r="V208" i="43"/>
  <c r="AT208" i="43" s="1"/>
  <c r="AF207" i="43"/>
  <c r="AX207" i="43" s="1"/>
  <c r="Z207" i="43"/>
  <c r="AU207" i="43" s="1"/>
  <c r="AF205" i="43"/>
  <c r="AX205" i="43" s="1"/>
  <c r="Z205" i="43"/>
  <c r="AU205" i="43" s="1"/>
  <c r="V205" i="43"/>
  <c r="AT205" i="43" s="1"/>
  <c r="AF204" i="43"/>
  <c r="AX204" i="43" s="1"/>
  <c r="Z204" i="43"/>
  <c r="AU204" i="43" s="1"/>
  <c r="V204" i="43"/>
  <c r="AT204" i="43" s="1"/>
  <c r="AF203" i="43"/>
  <c r="AX203" i="43" s="1"/>
  <c r="Z203" i="43"/>
  <c r="AU203" i="43" s="1"/>
  <c r="V203" i="43"/>
  <c r="AT203" i="43" s="1"/>
  <c r="AF202" i="43"/>
  <c r="AX202" i="43" s="1"/>
  <c r="Z202" i="43"/>
  <c r="AU202" i="43" s="1"/>
  <c r="V202" i="43"/>
  <c r="AT202" i="43" s="1"/>
  <c r="AF201" i="43"/>
  <c r="AX201" i="43" s="1"/>
  <c r="Z201" i="43"/>
  <c r="AU201" i="43" s="1"/>
  <c r="AF199" i="43"/>
  <c r="AX199" i="43" s="1"/>
  <c r="Z199" i="43"/>
  <c r="AU199" i="43" s="1"/>
  <c r="V199" i="43"/>
  <c r="AT199" i="43" s="1"/>
  <c r="AF198" i="43"/>
  <c r="AX198" i="43" s="1"/>
  <c r="Z198" i="43"/>
  <c r="AU198" i="43" s="1"/>
  <c r="V198" i="43"/>
  <c r="AT198" i="43" s="1"/>
  <c r="AF197" i="43"/>
  <c r="AX197" i="43" s="1"/>
  <c r="Z197" i="43"/>
  <c r="AU197" i="43" s="1"/>
  <c r="V197" i="43"/>
  <c r="AT197" i="43" s="1"/>
  <c r="AF196" i="43"/>
  <c r="AX196" i="43" s="1"/>
  <c r="Z196" i="43"/>
  <c r="AU196" i="43" s="1"/>
  <c r="V196" i="43"/>
  <c r="AT196" i="43" s="1"/>
  <c r="AF195" i="43"/>
  <c r="AX195" i="43" s="1"/>
  <c r="Z195" i="43"/>
  <c r="AU195" i="43" s="1"/>
  <c r="AF193" i="43"/>
  <c r="AX193" i="43" s="1"/>
  <c r="Z193" i="43"/>
  <c r="AU193" i="43" s="1"/>
  <c r="V193" i="43"/>
  <c r="AT193" i="43" s="1"/>
  <c r="AF192" i="43"/>
  <c r="AX192" i="43" s="1"/>
  <c r="Z192" i="43"/>
  <c r="AU192" i="43" s="1"/>
  <c r="V192" i="43"/>
  <c r="AT192" i="43" s="1"/>
  <c r="AF191" i="43"/>
  <c r="AX191" i="43" s="1"/>
  <c r="Z191" i="43"/>
  <c r="AU191" i="43" s="1"/>
  <c r="V191" i="43"/>
  <c r="AT191" i="43" s="1"/>
  <c r="AF190" i="43"/>
  <c r="AX190" i="43" s="1"/>
  <c r="Z190" i="43"/>
  <c r="AU190" i="43" s="1"/>
  <c r="V190" i="43"/>
  <c r="AT190" i="43" s="1"/>
  <c r="AF189" i="43"/>
  <c r="AX189" i="43" s="1"/>
  <c r="Z189" i="43"/>
  <c r="AU189" i="43" s="1"/>
  <c r="V189" i="43"/>
  <c r="AT189" i="43" s="1"/>
  <c r="AF188" i="43"/>
  <c r="AX188" i="43" s="1"/>
  <c r="Z188" i="43"/>
  <c r="AU188" i="43" s="1"/>
  <c r="AF186" i="43"/>
  <c r="AX186" i="43" s="1"/>
  <c r="Z186" i="43"/>
  <c r="AU186" i="43" s="1"/>
  <c r="V186" i="43"/>
  <c r="AT186" i="43" s="1"/>
  <c r="AF185" i="43"/>
  <c r="AX185" i="43" s="1"/>
  <c r="Z185" i="43"/>
  <c r="AU185" i="43" s="1"/>
  <c r="V185" i="43"/>
  <c r="AT185" i="43" s="1"/>
  <c r="AF184" i="43"/>
  <c r="AX184" i="43" s="1"/>
  <c r="Z184" i="43"/>
  <c r="AU184" i="43" s="1"/>
  <c r="V184" i="43"/>
  <c r="AT184" i="43" s="1"/>
  <c r="AF183" i="43"/>
  <c r="AX183" i="43" s="1"/>
  <c r="Z183" i="43"/>
  <c r="AU183" i="43" s="1"/>
  <c r="V183" i="43"/>
  <c r="AT183" i="43" s="1"/>
  <c r="AF182" i="43"/>
  <c r="AX182" i="43" s="1"/>
  <c r="Z182" i="43"/>
  <c r="AU182" i="43" s="1"/>
  <c r="V182" i="43"/>
  <c r="AT182" i="43" s="1"/>
  <c r="AF181" i="43"/>
  <c r="AX181" i="43" s="1"/>
  <c r="Z181" i="43"/>
  <c r="AU181" i="43" s="1"/>
  <c r="AF179" i="43"/>
  <c r="AX179" i="43" s="1"/>
  <c r="Z179" i="43"/>
  <c r="AU179" i="43" s="1"/>
  <c r="V179" i="43"/>
  <c r="AT179" i="43" s="1"/>
  <c r="AF178" i="43"/>
  <c r="AX178" i="43" s="1"/>
  <c r="Z178" i="43"/>
  <c r="AU178" i="43" s="1"/>
  <c r="V178" i="43"/>
  <c r="AT178" i="43" s="1"/>
  <c r="AF177" i="43"/>
  <c r="AX177" i="43" s="1"/>
  <c r="Z177" i="43"/>
  <c r="AU177" i="43" s="1"/>
  <c r="V177" i="43"/>
  <c r="AT177" i="43" s="1"/>
  <c r="AF176" i="43"/>
  <c r="AX176" i="43" s="1"/>
  <c r="Z176" i="43"/>
  <c r="AU176" i="43" s="1"/>
  <c r="V176" i="43"/>
  <c r="AT176" i="43" s="1"/>
  <c r="AF175" i="43"/>
  <c r="AX175" i="43" s="1"/>
  <c r="Z175" i="43"/>
  <c r="AU175" i="43" s="1"/>
  <c r="AU180" i="43" s="1"/>
  <c r="AF173" i="43"/>
  <c r="AX173" i="43" s="1"/>
  <c r="Z173" i="43"/>
  <c r="AU173" i="43" s="1"/>
  <c r="V173" i="43"/>
  <c r="AT173" i="43" s="1"/>
  <c r="AF172" i="43"/>
  <c r="AX172" i="43" s="1"/>
  <c r="Z172" i="43"/>
  <c r="AU172" i="43" s="1"/>
  <c r="V172" i="43"/>
  <c r="AT172" i="43" s="1"/>
  <c r="AF171" i="43"/>
  <c r="AX171" i="43" s="1"/>
  <c r="Z171" i="43"/>
  <c r="AU171" i="43" s="1"/>
  <c r="V171" i="43"/>
  <c r="AT171" i="43" s="1"/>
  <c r="AF170" i="43"/>
  <c r="AX170" i="43" s="1"/>
  <c r="Z170" i="43"/>
  <c r="AU170" i="43" s="1"/>
  <c r="V170" i="43"/>
  <c r="AT170" i="43" s="1"/>
  <c r="AF169" i="43"/>
  <c r="AX169" i="43" s="1"/>
  <c r="Z169" i="43"/>
  <c r="AU169" i="43" s="1"/>
  <c r="AF167" i="43"/>
  <c r="AX167" i="43" s="1"/>
  <c r="Z167" i="43"/>
  <c r="AU167" i="43" s="1"/>
  <c r="V167" i="43"/>
  <c r="AT167" i="43" s="1"/>
  <c r="AF166" i="43"/>
  <c r="AX166" i="43" s="1"/>
  <c r="Z166" i="43"/>
  <c r="AU166" i="43" s="1"/>
  <c r="V166" i="43"/>
  <c r="AT166" i="43" s="1"/>
  <c r="AF165" i="43"/>
  <c r="AX165" i="43" s="1"/>
  <c r="Z165" i="43"/>
  <c r="AU165" i="43" s="1"/>
  <c r="V165" i="43"/>
  <c r="AT165" i="43" s="1"/>
  <c r="AF164" i="43"/>
  <c r="AX164" i="43" s="1"/>
  <c r="Z164" i="43"/>
  <c r="AU164" i="43" s="1"/>
  <c r="V164" i="43"/>
  <c r="AT164" i="43" s="1"/>
  <c r="AF163" i="43"/>
  <c r="AX163" i="43" s="1"/>
  <c r="Z163" i="43"/>
  <c r="AU163" i="43" s="1"/>
  <c r="AF161" i="43"/>
  <c r="AX161" i="43" s="1"/>
  <c r="Z161" i="43"/>
  <c r="AU161" i="43" s="1"/>
  <c r="V161" i="43"/>
  <c r="AT161" i="43" s="1"/>
  <c r="AF160" i="43"/>
  <c r="AX160" i="43" s="1"/>
  <c r="Z160" i="43"/>
  <c r="AU160" i="43" s="1"/>
  <c r="V160" i="43"/>
  <c r="AT160" i="43" s="1"/>
  <c r="AF159" i="43"/>
  <c r="AX159" i="43" s="1"/>
  <c r="Z159" i="43"/>
  <c r="AU159" i="43" s="1"/>
  <c r="V159" i="43"/>
  <c r="AT159" i="43" s="1"/>
  <c r="AF158" i="43"/>
  <c r="AX158" i="43" s="1"/>
  <c r="Z158" i="43"/>
  <c r="AU158" i="43" s="1"/>
  <c r="AF156" i="43"/>
  <c r="AX156" i="43" s="1"/>
  <c r="Z156" i="43"/>
  <c r="AU156" i="43" s="1"/>
  <c r="V156" i="43"/>
  <c r="AT156" i="43" s="1"/>
  <c r="AF155" i="43"/>
  <c r="AX155" i="43" s="1"/>
  <c r="Z155" i="43"/>
  <c r="AU155" i="43" s="1"/>
  <c r="V155" i="43"/>
  <c r="AT155" i="43" s="1"/>
  <c r="AF154" i="43"/>
  <c r="AX154" i="43" s="1"/>
  <c r="Z154" i="43"/>
  <c r="AU154" i="43" s="1"/>
  <c r="V154" i="43"/>
  <c r="AT154" i="43" s="1"/>
  <c r="AF153" i="43"/>
  <c r="AX153" i="43" s="1"/>
  <c r="Z153" i="43"/>
  <c r="AU153" i="43" s="1"/>
  <c r="V153" i="43"/>
  <c r="AT153" i="43" s="1"/>
  <c r="AF152" i="43"/>
  <c r="AX152" i="43" s="1"/>
  <c r="Z152" i="43"/>
  <c r="AU152" i="43" s="1"/>
  <c r="AF150" i="43"/>
  <c r="AX150" i="43" s="1"/>
  <c r="Z150" i="43"/>
  <c r="AU150" i="43" s="1"/>
  <c r="V150" i="43"/>
  <c r="AT150" i="43" s="1"/>
  <c r="AF149" i="43"/>
  <c r="AX149" i="43" s="1"/>
  <c r="Z149" i="43"/>
  <c r="AU149" i="43" s="1"/>
  <c r="V149" i="43"/>
  <c r="AT149" i="43" s="1"/>
  <c r="AF148" i="43"/>
  <c r="AX148" i="43" s="1"/>
  <c r="Z148" i="43"/>
  <c r="AU148" i="43" s="1"/>
  <c r="V148" i="43"/>
  <c r="AT148" i="43" s="1"/>
  <c r="AF147" i="43"/>
  <c r="AX147" i="43" s="1"/>
  <c r="Z147" i="43"/>
  <c r="AU147" i="43" s="1"/>
  <c r="V147" i="43"/>
  <c r="AT147" i="43" s="1"/>
  <c r="AF146" i="43"/>
  <c r="AX146" i="43" s="1"/>
  <c r="Z146" i="43"/>
  <c r="AU146" i="43" s="1"/>
  <c r="AF144" i="43"/>
  <c r="AX144" i="43" s="1"/>
  <c r="Z144" i="43"/>
  <c r="AU144" i="43" s="1"/>
  <c r="V144" i="43"/>
  <c r="AT144" i="43" s="1"/>
  <c r="AF143" i="43"/>
  <c r="AX143" i="43" s="1"/>
  <c r="Z143" i="43"/>
  <c r="AU143" i="43" s="1"/>
  <c r="V143" i="43"/>
  <c r="AT143" i="43" s="1"/>
  <c r="AF142" i="43"/>
  <c r="AX142" i="43" s="1"/>
  <c r="Z142" i="43"/>
  <c r="AU142" i="43" s="1"/>
  <c r="V142" i="43"/>
  <c r="AT142" i="43" s="1"/>
  <c r="AF141" i="43"/>
  <c r="AX141" i="43" s="1"/>
  <c r="Z141" i="43"/>
  <c r="AU141" i="43" s="1"/>
  <c r="V141" i="43"/>
  <c r="AT141" i="43" s="1"/>
  <c r="AF140" i="43"/>
  <c r="AX140" i="43" s="1"/>
  <c r="Z140" i="43"/>
  <c r="AU140" i="43" s="1"/>
  <c r="AF138" i="43"/>
  <c r="AX138" i="43" s="1"/>
  <c r="Z138" i="43"/>
  <c r="AU138" i="43" s="1"/>
  <c r="V138" i="43"/>
  <c r="AT138" i="43" s="1"/>
  <c r="AF137" i="43"/>
  <c r="AX137" i="43" s="1"/>
  <c r="Z137" i="43"/>
  <c r="AU137" i="43" s="1"/>
  <c r="V137" i="43"/>
  <c r="AT137" i="43" s="1"/>
  <c r="AF136" i="43"/>
  <c r="AX136" i="43" s="1"/>
  <c r="Z136" i="43"/>
  <c r="AU136" i="43" s="1"/>
  <c r="V136" i="43"/>
  <c r="AT136" i="43" s="1"/>
  <c r="AF135" i="43"/>
  <c r="AX135" i="43" s="1"/>
  <c r="Z135" i="43"/>
  <c r="AU135" i="43" s="1"/>
  <c r="V135" i="43"/>
  <c r="AT135" i="43" s="1"/>
  <c r="AF134" i="43"/>
  <c r="AX134" i="43" s="1"/>
  <c r="Z134" i="43"/>
  <c r="AU134" i="43" s="1"/>
  <c r="V134" i="43"/>
  <c r="AT134" i="43" s="1"/>
  <c r="AF133" i="43"/>
  <c r="AX133" i="43" s="1"/>
  <c r="Z133" i="43"/>
  <c r="AU133" i="43" s="1"/>
  <c r="AF131" i="43"/>
  <c r="AX131" i="43" s="1"/>
  <c r="Z131" i="43"/>
  <c r="AU131" i="43" s="1"/>
  <c r="V131" i="43"/>
  <c r="AT131" i="43" s="1"/>
  <c r="AF130" i="43"/>
  <c r="AX130" i="43" s="1"/>
  <c r="Z130" i="43"/>
  <c r="AU130" i="43" s="1"/>
  <c r="V130" i="43"/>
  <c r="AT130" i="43" s="1"/>
  <c r="AF129" i="43"/>
  <c r="AX129" i="43" s="1"/>
  <c r="Z129" i="43"/>
  <c r="AU129" i="43" s="1"/>
  <c r="V129" i="43"/>
  <c r="AT129" i="43" s="1"/>
  <c r="AF128" i="43"/>
  <c r="AX128" i="43" s="1"/>
  <c r="Z128" i="43"/>
  <c r="AU128" i="43" s="1"/>
  <c r="V128" i="43"/>
  <c r="AT128" i="43" s="1"/>
  <c r="AF127" i="43"/>
  <c r="AX127" i="43" s="1"/>
  <c r="Z127" i="43"/>
  <c r="AU127" i="43" s="1"/>
  <c r="V127" i="43"/>
  <c r="AT127" i="43" s="1"/>
  <c r="AF126" i="43"/>
  <c r="AX126" i="43" s="1"/>
  <c r="Z126" i="43"/>
  <c r="AU126" i="43" s="1"/>
  <c r="AF124" i="43"/>
  <c r="AX124" i="43" s="1"/>
  <c r="Z124" i="43"/>
  <c r="AU124" i="43" s="1"/>
  <c r="V124" i="43"/>
  <c r="AT124" i="43" s="1"/>
  <c r="AF123" i="43"/>
  <c r="AX123" i="43" s="1"/>
  <c r="Z123" i="43"/>
  <c r="AU123" i="43" s="1"/>
  <c r="V123" i="43"/>
  <c r="AT123" i="43" s="1"/>
  <c r="AF122" i="43"/>
  <c r="AX122" i="43" s="1"/>
  <c r="Z122" i="43"/>
  <c r="AU122" i="43" s="1"/>
  <c r="V122" i="43"/>
  <c r="AT122" i="43" s="1"/>
  <c r="AF121" i="43"/>
  <c r="AX121" i="43" s="1"/>
  <c r="Z121" i="43"/>
  <c r="AU121" i="43" s="1"/>
  <c r="AF119" i="43"/>
  <c r="AX119" i="43" s="1"/>
  <c r="Z119" i="43"/>
  <c r="AU119" i="43" s="1"/>
  <c r="V119" i="43"/>
  <c r="AT119" i="43" s="1"/>
  <c r="AF118" i="43"/>
  <c r="AX118" i="43" s="1"/>
  <c r="Z118" i="43"/>
  <c r="AU118" i="43" s="1"/>
  <c r="V118" i="43"/>
  <c r="AT118" i="43" s="1"/>
  <c r="AF117" i="43"/>
  <c r="AX117" i="43" s="1"/>
  <c r="Z117" i="43"/>
  <c r="AU117" i="43" s="1"/>
  <c r="AF115" i="43"/>
  <c r="AX115" i="43" s="1"/>
  <c r="Z115" i="43"/>
  <c r="AU115" i="43" s="1"/>
  <c r="V115" i="43"/>
  <c r="AT115" i="43" s="1"/>
  <c r="AF114" i="43"/>
  <c r="AX114" i="43" s="1"/>
  <c r="Z114" i="43"/>
  <c r="AU114" i="43" s="1"/>
  <c r="AF112" i="43"/>
  <c r="AX112" i="43" s="1"/>
  <c r="Z112" i="43"/>
  <c r="AU112" i="43" s="1"/>
  <c r="V112" i="43"/>
  <c r="AT112" i="43" s="1"/>
  <c r="AF111" i="43"/>
  <c r="AX111" i="43" s="1"/>
  <c r="Z111" i="43"/>
  <c r="AU111" i="43" s="1"/>
  <c r="V111" i="43"/>
  <c r="AT111" i="43" s="1"/>
  <c r="AF110" i="43"/>
  <c r="AX110" i="43" s="1"/>
  <c r="Z110" i="43"/>
  <c r="AU110" i="43" s="1"/>
  <c r="AF108" i="43"/>
  <c r="AX108" i="43" s="1"/>
  <c r="Z108" i="43"/>
  <c r="AU108" i="43" s="1"/>
  <c r="V108" i="43"/>
  <c r="AT108" i="43" s="1"/>
  <c r="AF107" i="43"/>
  <c r="AX107" i="43" s="1"/>
  <c r="Z107" i="43"/>
  <c r="AU107" i="43" s="1"/>
  <c r="V107" i="43"/>
  <c r="AT107" i="43" s="1"/>
  <c r="AF106" i="43"/>
  <c r="AX106" i="43" s="1"/>
  <c r="Z106" i="43"/>
  <c r="AU106" i="43" s="1"/>
  <c r="AF104" i="43"/>
  <c r="AX104" i="43" s="1"/>
  <c r="Z104" i="43"/>
  <c r="AU104" i="43" s="1"/>
  <c r="V104" i="43"/>
  <c r="AT104" i="43" s="1"/>
  <c r="AF103" i="43"/>
  <c r="AX103" i="43" s="1"/>
  <c r="Z103" i="43"/>
  <c r="AU103" i="43" s="1"/>
  <c r="AF101" i="43"/>
  <c r="AX101" i="43" s="1"/>
  <c r="Z101" i="43"/>
  <c r="AU101" i="43" s="1"/>
  <c r="V101" i="43"/>
  <c r="AT101" i="43" s="1"/>
  <c r="AF100" i="43"/>
  <c r="AX100" i="43" s="1"/>
  <c r="Z100" i="43"/>
  <c r="AU100" i="43" s="1"/>
  <c r="V100" i="43"/>
  <c r="AT100" i="43" s="1"/>
  <c r="AF99" i="43"/>
  <c r="AX99" i="43" s="1"/>
  <c r="Z99" i="43"/>
  <c r="AU99" i="43" s="1"/>
  <c r="AF97" i="43"/>
  <c r="AX97" i="43" s="1"/>
  <c r="Z97" i="43"/>
  <c r="AU97" i="43" s="1"/>
  <c r="V97" i="43"/>
  <c r="AT97" i="43" s="1"/>
  <c r="AF96" i="43"/>
  <c r="AX96" i="43" s="1"/>
  <c r="Z96" i="43"/>
  <c r="AU96" i="43" s="1"/>
  <c r="V96" i="43"/>
  <c r="AT96" i="43" s="1"/>
  <c r="AF95" i="43"/>
  <c r="AX95" i="43" s="1"/>
  <c r="Z95" i="43"/>
  <c r="AU95" i="43" s="1"/>
  <c r="AF93" i="43"/>
  <c r="AX93" i="43" s="1"/>
  <c r="Z93" i="43"/>
  <c r="AU93" i="43" s="1"/>
  <c r="V93" i="43"/>
  <c r="AT93" i="43" s="1"/>
  <c r="AF92" i="43"/>
  <c r="AX92" i="43" s="1"/>
  <c r="Z92" i="43"/>
  <c r="AU92" i="43" s="1"/>
  <c r="V92" i="43"/>
  <c r="AT92" i="43" s="1"/>
  <c r="AF91" i="43"/>
  <c r="AX91" i="43" s="1"/>
  <c r="Z91" i="43"/>
  <c r="AU91" i="43" s="1"/>
  <c r="AF89" i="43"/>
  <c r="AX89" i="43" s="1"/>
  <c r="Z89" i="43"/>
  <c r="AU89" i="43" s="1"/>
  <c r="V89" i="43"/>
  <c r="AT89" i="43" s="1"/>
  <c r="AF88" i="43"/>
  <c r="AX88" i="43" s="1"/>
  <c r="Z88" i="43"/>
  <c r="AU88" i="43" s="1"/>
  <c r="V88" i="43"/>
  <c r="AT88" i="43" s="1"/>
  <c r="AF87" i="43"/>
  <c r="AX87" i="43" s="1"/>
  <c r="Z87" i="43"/>
  <c r="AU87" i="43" s="1"/>
  <c r="AF85" i="43"/>
  <c r="AX85" i="43" s="1"/>
  <c r="Z85" i="43"/>
  <c r="AU85" i="43" s="1"/>
  <c r="V85" i="43"/>
  <c r="AT85" i="43" s="1"/>
  <c r="AF84" i="43"/>
  <c r="AX84" i="43" s="1"/>
  <c r="Z84" i="43"/>
  <c r="AU84" i="43" s="1"/>
  <c r="V84" i="43"/>
  <c r="AT84" i="43" s="1"/>
  <c r="AF83" i="43"/>
  <c r="AX83" i="43" s="1"/>
  <c r="Z83" i="43"/>
  <c r="AU83" i="43" s="1"/>
  <c r="AF81" i="43"/>
  <c r="AX81" i="43" s="1"/>
  <c r="Z81" i="43"/>
  <c r="AU81" i="43" s="1"/>
  <c r="V81" i="43"/>
  <c r="AT81" i="43" s="1"/>
  <c r="AF80" i="43"/>
  <c r="AX80" i="43" s="1"/>
  <c r="Z80" i="43"/>
  <c r="AU80" i="43" s="1"/>
  <c r="AF78" i="43"/>
  <c r="AX78" i="43" s="1"/>
  <c r="Z78" i="43"/>
  <c r="AU78" i="43" s="1"/>
  <c r="V78" i="43"/>
  <c r="AT78" i="43" s="1"/>
  <c r="AF77" i="43"/>
  <c r="AX77" i="43" s="1"/>
  <c r="Z77" i="43"/>
  <c r="AU77" i="43" s="1"/>
  <c r="V77" i="43"/>
  <c r="AT77" i="43" s="1"/>
  <c r="AF76" i="43"/>
  <c r="AX76" i="43" s="1"/>
  <c r="Z76" i="43"/>
  <c r="AU76" i="43" s="1"/>
  <c r="AF74" i="43"/>
  <c r="AX74" i="43" s="1"/>
  <c r="Z74" i="43"/>
  <c r="AU74" i="43" s="1"/>
  <c r="V74" i="43"/>
  <c r="AT74" i="43" s="1"/>
  <c r="AF73" i="43"/>
  <c r="AX73" i="43" s="1"/>
  <c r="Z73" i="43"/>
  <c r="AU73" i="43" s="1"/>
  <c r="V73" i="43"/>
  <c r="AT73" i="43" s="1"/>
  <c r="AF72" i="43"/>
  <c r="AX72" i="43" s="1"/>
  <c r="Z72" i="43"/>
  <c r="AU72" i="43" s="1"/>
  <c r="V72" i="43"/>
  <c r="AT72" i="43" s="1"/>
  <c r="AF71" i="43"/>
  <c r="AX71" i="43" s="1"/>
  <c r="Z71" i="43"/>
  <c r="AU71" i="43" s="1"/>
  <c r="AF69" i="43"/>
  <c r="AX69" i="43" s="1"/>
  <c r="Z69" i="43"/>
  <c r="AU69" i="43" s="1"/>
  <c r="V69" i="43"/>
  <c r="AT69" i="43" s="1"/>
  <c r="AF68" i="43"/>
  <c r="AX68" i="43" s="1"/>
  <c r="Z68" i="43"/>
  <c r="AU68" i="43" s="1"/>
  <c r="AF66" i="43"/>
  <c r="AX66" i="43" s="1"/>
  <c r="Z66" i="43"/>
  <c r="AU66" i="43" s="1"/>
  <c r="V66" i="43"/>
  <c r="AT66" i="43" s="1"/>
  <c r="AF65" i="43"/>
  <c r="AX65" i="43" s="1"/>
  <c r="Z65" i="43"/>
  <c r="AU65" i="43" s="1"/>
  <c r="V65" i="43"/>
  <c r="AT65" i="43" s="1"/>
  <c r="AF64" i="43"/>
  <c r="AX64" i="43" s="1"/>
  <c r="Z64" i="43"/>
  <c r="AU64" i="43" s="1"/>
  <c r="AF62" i="43"/>
  <c r="AX62" i="43" s="1"/>
  <c r="Z62" i="43"/>
  <c r="AU62" i="43" s="1"/>
  <c r="V62" i="43"/>
  <c r="AT62" i="43" s="1"/>
  <c r="AF61" i="43"/>
  <c r="AX61" i="43" s="1"/>
  <c r="Z61" i="43"/>
  <c r="AU61" i="43" s="1"/>
  <c r="V61" i="43"/>
  <c r="AT61" i="43" s="1"/>
  <c r="AF60" i="43"/>
  <c r="AX60" i="43" s="1"/>
  <c r="Z60" i="43"/>
  <c r="AU60" i="43" s="1"/>
  <c r="AF58" i="43"/>
  <c r="AX58" i="43" s="1"/>
  <c r="Z58" i="43"/>
  <c r="AU58" i="43" s="1"/>
  <c r="V58" i="43"/>
  <c r="AT58" i="43" s="1"/>
  <c r="AF57" i="43"/>
  <c r="AX57" i="43" s="1"/>
  <c r="Z57" i="43"/>
  <c r="AU57" i="43" s="1"/>
  <c r="V57" i="43"/>
  <c r="AT57" i="43" s="1"/>
  <c r="AF56" i="43"/>
  <c r="AX56" i="43" s="1"/>
  <c r="Z56" i="43"/>
  <c r="AU56" i="43" s="1"/>
  <c r="AF54" i="43"/>
  <c r="AX54" i="43" s="1"/>
  <c r="Z54" i="43"/>
  <c r="AU54" i="43" s="1"/>
  <c r="V54" i="43"/>
  <c r="AT54" i="43" s="1"/>
  <c r="AF53" i="43"/>
  <c r="AX53" i="43" s="1"/>
  <c r="Z53" i="43"/>
  <c r="AU53" i="43" s="1"/>
  <c r="AF51" i="43"/>
  <c r="AX51" i="43" s="1"/>
  <c r="Z51" i="43"/>
  <c r="AU51" i="43" s="1"/>
  <c r="V51" i="43"/>
  <c r="AT51" i="43" s="1"/>
  <c r="AF50" i="43"/>
  <c r="AX50" i="43" s="1"/>
  <c r="Z50" i="43"/>
  <c r="AU50" i="43" s="1"/>
  <c r="AF48" i="43"/>
  <c r="AX48" i="43" s="1"/>
  <c r="Z48" i="43"/>
  <c r="AU48" i="43" s="1"/>
  <c r="V48" i="43"/>
  <c r="AT48" i="43" s="1"/>
  <c r="AF47" i="43"/>
  <c r="AX47" i="43" s="1"/>
  <c r="Z47" i="43"/>
  <c r="AU47" i="43" s="1"/>
  <c r="AF45" i="43"/>
  <c r="AX45" i="43" s="1"/>
  <c r="Z45" i="43"/>
  <c r="AU45" i="43" s="1"/>
  <c r="V45" i="43"/>
  <c r="AT45" i="43" s="1"/>
  <c r="AF44" i="43"/>
  <c r="AX44" i="43" s="1"/>
  <c r="Z44" i="43"/>
  <c r="AU44" i="43" s="1"/>
  <c r="V44" i="43"/>
  <c r="AT44" i="43" s="1"/>
  <c r="AF43" i="43"/>
  <c r="AX43" i="43" s="1"/>
  <c r="Z43" i="43"/>
  <c r="AU43" i="43" s="1"/>
  <c r="AF41" i="43"/>
  <c r="AX41" i="43" s="1"/>
  <c r="Z41" i="43"/>
  <c r="AU41" i="43" s="1"/>
  <c r="V41" i="43"/>
  <c r="AT41" i="43" s="1"/>
  <c r="AF40" i="43"/>
  <c r="AX40" i="43" s="1"/>
  <c r="Z40" i="43"/>
  <c r="AU40" i="43" s="1"/>
  <c r="AF38" i="43"/>
  <c r="AX38" i="43" s="1"/>
  <c r="Z38" i="43"/>
  <c r="AU38" i="43" s="1"/>
  <c r="V38" i="43"/>
  <c r="AT38" i="43" s="1"/>
  <c r="AF37" i="43"/>
  <c r="AX37" i="43" s="1"/>
  <c r="Z37" i="43"/>
  <c r="AU37" i="43" s="1"/>
  <c r="V37" i="43"/>
  <c r="AT37" i="43" s="1"/>
  <c r="AF36" i="43"/>
  <c r="AX36" i="43" s="1"/>
  <c r="Z36" i="43"/>
  <c r="AU36" i="43" s="1"/>
  <c r="AF34" i="43"/>
  <c r="AX34" i="43" s="1"/>
  <c r="Z34" i="43"/>
  <c r="AU34" i="43" s="1"/>
  <c r="V34" i="43"/>
  <c r="AT34" i="43" s="1"/>
  <c r="AF33" i="43"/>
  <c r="AX33" i="43" s="1"/>
  <c r="Z33" i="43"/>
  <c r="AU33" i="43" s="1"/>
  <c r="V33" i="43"/>
  <c r="AT33" i="43" s="1"/>
  <c r="AF32" i="43"/>
  <c r="AX32" i="43" s="1"/>
  <c r="Z32" i="43"/>
  <c r="AU32" i="43" s="1"/>
  <c r="AF30" i="43"/>
  <c r="AX30" i="43" s="1"/>
  <c r="Z30" i="43"/>
  <c r="AU30" i="43" s="1"/>
  <c r="V30" i="43"/>
  <c r="AT30" i="43" s="1"/>
  <c r="AF29" i="43"/>
  <c r="AX29" i="43" s="1"/>
  <c r="Z29" i="43"/>
  <c r="AU29" i="43" s="1"/>
  <c r="V29" i="43"/>
  <c r="AT29" i="43" s="1"/>
  <c r="AF28" i="43"/>
  <c r="AX28" i="43" s="1"/>
  <c r="Z28" i="43"/>
  <c r="AU28" i="43" s="1"/>
  <c r="AF26" i="43"/>
  <c r="AX26" i="43" s="1"/>
  <c r="Z26" i="43"/>
  <c r="AU26" i="43" s="1"/>
  <c r="V26" i="43"/>
  <c r="AT26" i="43" s="1"/>
  <c r="AF25" i="43"/>
  <c r="AX25" i="43" s="1"/>
  <c r="Z25" i="43"/>
  <c r="AU25" i="43" s="1"/>
  <c r="V25" i="43"/>
  <c r="AT25" i="43" s="1"/>
  <c r="AF24" i="43"/>
  <c r="AX24" i="43" s="1"/>
  <c r="Z24" i="43"/>
  <c r="AU24" i="43" s="1"/>
  <c r="V24" i="43"/>
  <c r="AT24" i="43" s="1"/>
  <c r="AF23" i="43"/>
  <c r="AX23" i="43" s="1"/>
  <c r="Z23" i="43"/>
  <c r="AU23" i="43" s="1"/>
  <c r="AF21" i="43"/>
  <c r="AX21" i="43" s="1"/>
  <c r="Z21" i="43"/>
  <c r="AU21" i="43" s="1"/>
  <c r="V21" i="43"/>
  <c r="AT21" i="43" s="1"/>
  <c r="AF20" i="43"/>
  <c r="AX20" i="43" s="1"/>
  <c r="Z20" i="43"/>
  <c r="AU20" i="43" s="1"/>
  <c r="V20" i="43"/>
  <c r="AT20" i="43" s="1"/>
  <c r="AF19" i="43"/>
  <c r="AX19" i="43" s="1"/>
  <c r="Z19" i="43"/>
  <c r="AU19" i="43" s="1"/>
  <c r="AF17" i="43"/>
  <c r="AX17" i="43" s="1"/>
  <c r="Z17" i="43"/>
  <c r="AU17" i="43" s="1"/>
  <c r="V17" i="43"/>
  <c r="AT17" i="43" s="1"/>
  <c r="AF16" i="43"/>
  <c r="AX16" i="43" s="1"/>
  <c r="Z16" i="43"/>
  <c r="AU16" i="43" s="1"/>
  <c r="V16" i="43"/>
  <c r="AT16" i="43" s="1"/>
  <c r="AF15" i="43"/>
  <c r="AX15" i="43" s="1"/>
  <c r="Z15" i="43"/>
  <c r="AU15" i="43" s="1"/>
  <c r="V15" i="43"/>
  <c r="AT15" i="43" s="1"/>
  <c r="AF14" i="43"/>
  <c r="AX14" i="43" s="1"/>
  <c r="Z14" i="43"/>
  <c r="AU14" i="43" s="1"/>
  <c r="AU392" i="43" l="1"/>
  <c r="AU427" i="43"/>
  <c r="AX434" i="43"/>
  <c r="AU462" i="43"/>
  <c r="AU22" i="43"/>
  <c r="AX82" i="43"/>
  <c r="AU102" i="43"/>
  <c r="AX116" i="43"/>
  <c r="AU125" i="43"/>
  <c r="AX132" i="43"/>
  <c r="AX151" i="43"/>
  <c r="AU413" i="43"/>
  <c r="AU434" i="43"/>
  <c r="AX39" i="43"/>
  <c r="AU46" i="43"/>
  <c r="AU55" i="43"/>
  <c r="AX59" i="43"/>
  <c r="AX70" i="43"/>
  <c r="AX441" i="43"/>
  <c r="AZ95" i="44"/>
  <c r="AU95" i="44"/>
  <c r="AU19" i="44"/>
  <c r="AU28" i="44"/>
  <c r="AZ105" i="44"/>
  <c r="AX105" i="44"/>
  <c r="AX95" i="44"/>
  <c r="BA105" i="44"/>
  <c r="AX113" i="44"/>
  <c r="BA130" i="44"/>
  <c r="AT95" i="44"/>
  <c r="AX19" i="44"/>
  <c r="AZ35" i="44"/>
  <c r="AZ42" i="44"/>
  <c r="AZ49" i="44"/>
  <c r="AZ56" i="44"/>
  <c r="AZ63" i="44"/>
  <c r="AZ70" i="44"/>
  <c r="AZ77" i="44"/>
  <c r="AZ84" i="44"/>
  <c r="AZ91" i="44"/>
  <c r="AT101" i="44"/>
  <c r="AZ113" i="44"/>
  <c r="AZ124" i="44"/>
  <c r="AX35" i="43"/>
  <c r="AX67" i="43"/>
  <c r="AU75" i="43"/>
  <c r="AX79" i="43"/>
  <c r="AU86" i="43"/>
  <c r="AU98" i="43"/>
  <c r="AX113" i="43"/>
  <c r="AU120" i="43"/>
  <c r="AU139" i="43"/>
  <c r="AX145" i="43"/>
  <c r="AX162" i="43"/>
  <c r="AU174" i="43"/>
  <c r="AU213" i="43"/>
  <c r="AX219" i="43"/>
  <c r="AX237" i="43"/>
  <c r="AX256" i="43"/>
  <c r="AU262" i="43"/>
  <c r="AU276" i="43"/>
  <c r="AU296" i="43"/>
  <c r="AU335" i="43"/>
  <c r="AX344" i="43"/>
  <c r="AU357" i="43"/>
  <c r="AX362" i="43"/>
  <c r="AU388" i="43"/>
  <c r="AU448" i="43"/>
  <c r="AX455" i="43"/>
  <c r="AU39" i="43"/>
  <c r="AU59" i="43"/>
  <c r="AU70" i="43"/>
  <c r="AX75" i="43"/>
  <c r="AU82" i="43"/>
  <c r="AX86" i="43"/>
  <c r="AX98" i="43"/>
  <c r="AU116" i="43"/>
  <c r="AX120" i="43"/>
  <c r="AU132" i="43"/>
  <c r="AX139" i="43"/>
  <c r="AU151" i="43"/>
  <c r="AX174" i="43"/>
  <c r="AU243" i="43"/>
  <c r="AX276" i="43"/>
  <c r="AU288" i="43"/>
  <c r="AX335" i="43"/>
  <c r="AX357" i="43"/>
  <c r="AU382" i="43"/>
  <c r="AX388" i="43"/>
  <c r="AU441" i="43"/>
  <c r="AX448" i="43"/>
  <c r="AU200" i="43"/>
  <c r="AU225" i="43"/>
  <c r="AX213" i="43"/>
  <c r="AX262" i="43"/>
  <c r="AX296" i="43"/>
  <c r="AU162" i="43"/>
  <c r="AX168" i="43"/>
  <c r="AX187" i="43"/>
  <c r="AX206" i="43"/>
  <c r="AU219" i="43"/>
  <c r="AU237" i="43"/>
  <c r="AU256" i="43"/>
  <c r="AX272" i="43"/>
  <c r="AX305" i="43"/>
  <c r="AX322" i="43"/>
  <c r="AX332" i="43"/>
  <c r="AU344" i="43"/>
  <c r="AX350" i="43"/>
  <c r="AU362" i="43"/>
  <c r="AX369" i="43"/>
  <c r="AX399" i="43"/>
  <c r="AX420" i="43"/>
  <c r="AU455" i="43"/>
  <c r="AX458" i="43"/>
  <c r="AU90" i="43"/>
  <c r="AZ19" i="44"/>
  <c r="AX28" i="44"/>
  <c r="BA35" i="44"/>
  <c r="BA42" i="44"/>
  <c r="BA49" i="44"/>
  <c r="BA56" i="44"/>
  <c r="BA63" i="44"/>
  <c r="BA70" i="44"/>
  <c r="BA77" i="44"/>
  <c r="BA84" i="44"/>
  <c r="BA91" i="44"/>
  <c r="BA95" i="44"/>
  <c r="AU101" i="44"/>
  <c r="AT105" i="44"/>
  <c r="BA113" i="44"/>
  <c r="BA124" i="44"/>
  <c r="AT130" i="44"/>
  <c r="BA19" i="44"/>
  <c r="AZ28" i="44"/>
  <c r="AX101" i="44"/>
  <c r="AU105" i="44"/>
  <c r="AU130" i="44"/>
  <c r="BA28" i="44"/>
  <c r="AT35" i="44"/>
  <c r="AT42" i="44"/>
  <c r="AT49" i="44"/>
  <c r="AT56" i="44"/>
  <c r="AT63" i="44"/>
  <c r="AT70" i="44"/>
  <c r="AT77" i="44"/>
  <c r="AT84" i="44"/>
  <c r="AT91" i="44"/>
  <c r="AZ101" i="44"/>
  <c r="AT113" i="44"/>
  <c r="AT124" i="44"/>
  <c r="AX130" i="44"/>
  <c r="AU35" i="44"/>
  <c r="AU42" i="44"/>
  <c r="AU49" i="44"/>
  <c r="AU56" i="44"/>
  <c r="AU63" i="44"/>
  <c r="AU70" i="44"/>
  <c r="AU77" i="44"/>
  <c r="AU84" i="44"/>
  <c r="AU91" i="44"/>
  <c r="BA101" i="44"/>
  <c r="AU113" i="44"/>
  <c r="AU124" i="44"/>
  <c r="AZ130" i="44"/>
  <c r="AT28" i="44"/>
  <c r="AX35" i="44"/>
  <c r="AX42" i="44"/>
  <c r="AX49" i="44"/>
  <c r="AX56" i="44"/>
  <c r="AX63" i="44"/>
  <c r="AX70" i="44"/>
  <c r="AX77" i="44"/>
  <c r="AX84" i="44"/>
  <c r="AX91" i="44"/>
  <c r="AX124" i="44"/>
  <c r="AC14" i="44"/>
  <c r="AW14" i="44" s="1"/>
  <c r="AT14" i="44"/>
  <c r="AT19" i="44" s="1"/>
  <c r="AU18" i="43"/>
  <c r="AX22" i="43"/>
  <c r="AU31" i="43"/>
  <c r="AU42" i="43"/>
  <c r="AX46" i="43"/>
  <c r="AU52" i="43"/>
  <c r="AX55" i="43"/>
  <c r="AU63" i="43"/>
  <c r="AX90" i="43"/>
  <c r="AX102" i="43"/>
  <c r="AU109" i="43"/>
  <c r="AX125" i="43"/>
  <c r="AU157" i="43"/>
  <c r="AX180" i="43"/>
  <c r="AU194" i="43"/>
  <c r="AX200" i="43"/>
  <c r="AU231" i="43"/>
  <c r="AU249" i="43"/>
  <c r="AX266" i="43"/>
  <c r="AX283" i="43"/>
  <c r="AU312" i="43"/>
  <c r="AX316" i="43"/>
  <c r="AX328" i="43"/>
  <c r="AU373" i="43"/>
  <c r="AX392" i="43"/>
  <c r="AU406" i="43"/>
  <c r="AX413" i="43"/>
  <c r="AX18" i="43"/>
  <c r="AU27" i="43"/>
  <c r="AX31" i="43"/>
  <c r="AX42" i="43"/>
  <c r="AU49" i="43"/>
  <c r="AX52" i="43"/>
  <c r="AX63" i="43"/>
  <c r="AU94" i="43"/>
  <c r="AU105" i="43"/>
  <c r="AX109" i="43"/>
  <c r="AX157" i="43"/>
  <c r="AU168" i="43"/>
  <c r="AU187" i="43"/>
  <c r="AX194" i="43"/>
  <c r="AU206" i="43"/>
  <c r="AX231" i="43"/>
  <c r="AX249" i="43"/>
  <c r="AU272" i="43"/>
  <c r="AU305" i="43"/>
  <c r="AX312" i="43"/>
  <c r="AU322" i="43"/>
  <c r="AU332" i="43"/>
  <c r="AU350" i="43"/>
  <c r="AU369" i="43"/>
  <c r="AX373" i="43"/>
  <c r="AU399" i="43"/>
  <c r="AX406" i="43"/>
  <c r="AU420" i="43"/>
  <c r="AX427" i="43"/>
  <c r="AU458" i="43"/>
  <c r="AX462" i="43"/>
  <c r="AX27" i="43"/>
  <c r="AU35" i="43"/>
  <c r="AX49" i="43"/>
  <c r="AU67" i="43"/>
  <c r="AU79" i="43"/>
  <c r="AX94" i="43"/>
  <c r="AX105" i="43"/>
  <c r="AU113" i="43"/>
  <c r="AU145" i="43"/>
  <c r="AC17" i="43"/>
  <c r="AW17" i="43" s="1"/>
  <c r="AC20" i="43"/>
  <c r="AW20" i="43" s="1"/>
  <c r="AC25" i="43"/>
  <c r="AW25" i="43" s="1"/>
  <c r="AC33" i="43"/>
  <c r="AW33" i="43" s="1"/>
  <c r="AC41" i="43"/>
  <c r="AW41" i="43" s="1"/>
  <c r="AC44" i="43"/>
  <c r="AW44" i="43" s="1"/>
  <c r="AC58" i="43"/>
  <c r="AW58" i="43" s="1"/>
  <c r="AC61" i="43"/>
  <c r="AW61" i="43" s="1"/>
  <c r="AC66" i="43"/>
  <c r="AW66" i="43" s="1"/>
  <c r="AC69" i="43"/>
  <c r="AW69" i="43" s="1"/>
  <c r="AC72" i="43"/>
  <c r="AW72" i="43" s="1"/>
  <c r="AC74" i="43"/>
  <c r="AW74" i="43" s="1"/>
  <c r="AC88" i="43"/>
  <c r="AW88" i="43" s="1"/>
  <c r="AC96" i="43"/>
  <c r="AW96" i="43" s="1"/>
  <c r="AC104" i="43"/>
  <c r="AW104" i="43" s="1"/>
  <c r="AC107" i="43"/>
  <c r="AW107" i="43" s="1"/>
  <c r="AC112" i="43"/>
  <c r="AW112" i="43" s="1"/>
  <c r="AC115" i="43"/>
  <c r="AW115" i="43" s="1"/>
  <c r="AC123" i="43"/>
  <c r="AW123" i="43" s="1"/>
  <c r="AC128" i="43"/>
  <c r="AW128" i="43" s="1"/>
  <c r="AC130" i="43"/>
  <c r="AW130" i="43" s="1"/>
  <c r="AC135" i="43"/>
  <c r="AW135" i="43" s="1"/>
  <c r="AC137" i="43"/>
  <c r="AW137" i="43" s="1"/>
  <c r="AC142" i="43"/>
  <c r="AW142" i="43" s="1"/>
  <c r="AC144" i="43"/>
  <c r="AW144" i="43" s="1"/>
  <c r="AC147" i="43"/>
  <c r="AW147" i="43" s="1"/>
  <c r="AC149" i="43"/>
  <c r="AW149" i="43" s="1"/>
  <c r="AC154" i="43"/>
  <c r="AW154" i="43" s="1"/>
  <c r="AC156" i="43"/>
  <c r="AW156" i="43" s="1"/>
  <c r="AC159" i="43"/>
  <c r="AW159" i="43" s="1"/>
  <c r="AC161" i="43"/>
  <c r="AW161" i="43" s="1"/>
  <c r="AC164" i="43"/>
  <c r="AW164" i="43" s="1"/>
  <c r="AC166" i="43"/>
  <c r="AW166" i="43" s="1"/>
  <c r="AC171" i="43"/>
  <c r="AW171" i="43" s="1"/>
  <c r="AC173" i="43"/>
  <c r="AW173" i="43" s="1"/>
  <c r="AC176" i="43"/>
  <c r="AW176" i="43" s="1"/>
  <c r="AC178" i="43"/>
  <c r="AW178" i="43" s="1"/>
  <c r="AC190" i="43"/>
  <c r="AW190" i="43" s="1"/>
  <c r="AC197" i="43"/>
  <c r="AW197" i="43" s="1"/>
  <c r="AC202" i="43"/>
  <c r="AW202" i="43" s="1"/>
  <c r="AC204" i="43"/>
  <c r="AW204" i="43" s="1"/>
  <c r="AC209" i="43"/>
  <c r="AW209" i="43" s="1"/>
  <c r="AC211" i="43"/>
  <c r="AW211" i="43" s="1"/>
  <c r="AC216" i="43"/>
  <c r="AW216" i="43" s="1"/>
  <c r="AC218" i="43"/>
  <c r="AW218" i="43" s="1"/>
  <c r="AC223" i="43"/>
  <c r="AW223" i="43" s="1"/>
  <c r="AC228" i="43"/>
  <c r="AW228" i="43" s="1"/>
  <c r="AC230" i="43"/>
  <c r="AW230" i="43" s="1"/>
  <c r="AC233" i="43"/>
  <c r="AW233" i="43" s="1"/>
  <c r="AC240" i="43"/>
  <c r="AW240" i="43" s="1"/>
  <c r="AC245" i="43"/>
  <c r="AW245" i="43" s="1"/>
  <c r="AC247" i="43"/>
  <c r="AW247" i="43" s="1"/>
  <c r="AC252" i="43"/>
  <c r="AW252" i="43" s="1"/>
  <c r="AC254" i="43"/>
  <c r="AW254" i="43" s="1"/>
  <c r="AC260" i="43"/>
  <c r="AW260" i="43" s="1"/>
  <c r="AC268" i="43"/>
  <c r="AW268" i="43" s="1"/>
  <c r="AC270" i="43"/>
  <c r="AW270" i="43" s="1"/>
  <c r="AC275" i="43"/>
  <c r="AW275" i="43" s="1"/>
  <c r="AC278" i="43"/>
  <c r="AW278" i="43" s="1"/>
  <c r="AC280" i="43"/>
  <c r="AW280" i="43" s="1"/>
  <c r="AC282" i="43"/>
  <c r="AW282" i="43" s="1"/>
  <c r="AC285" i="43"/>
  <c r="AW285" i="43" s="1"/>
  <c r="AC287" i="43"/>
  <c r="AW287" i="43" s="1"/>
  <c r="AC290" i="43"/>
  <c r="AW290" i="43" s="1"/>
  <c r="AC292" i="43"/>
  <c r="AW292" i="43" s="1"/>
  <c r="AC294" i="43"/>
  <c r="AW294" i="43" s="1"/>
  <c r="AC300" i="43"/>
  <c r="AW300" i="43" s="1"/>
  <c r="AC302" i="43"/>
  <c r="AW302" i="43" s="1"/>
  <c r="AC304" i="43"/>
  <c r="AW304" i="43" s="1"/>
  <c r="AC307" i="43"/>
  <c r="AW307" i="43" s="1"/>
  <c r="AC309" i="43"/>
  <c r="AW309" i="43" s="1"/>
  <c r="AC311" i="43"/>
  <c r="AW311" i="43" s="1"/>
  <c r="AC314" i="43"/>
  <c r="AW314" i="43" s="1"/>
  <c r="AC319" i="43"/>
  <c r="AW319" i="43" s="1"/>
  <c r="AC321" i="43"/>
  <c r="AW321" i="43" s="1"/>
  <c r="AC327" i="43"/>
  <c r="AW327" i="43" s="1"/>
  <c r="AC330" i="43"/>
  <c r="AW330" i="43" s="1"/>
  <c r="AC338" i="43"/>
  <c r="AW338" i="43" s="1"/>
  <c r="AC340" i="43"/>
  <c r="AW340" i="43" s="1"/>
  <c r="AC342" i="43"/>
  <c r="AW342" i="43" s="1"/>
  <c r="AC347" i="43"/>
  <c r="AW347" i="43" s="1"/>
  <c r="AC349" i="43"/>
  <c r="AW349" i="43" s="1"/>
  <c r="AC352" i="43"/>
  <c r="AW352" i="43" s="1"/>
  <c r="AC354" i="43"/>
  <c r="AW354" i="43" s="1"/>
  <c r="AC356" i="43"/>
  <c r="AW356" i="43" s="1"/>
  <c r="AC359" i="43"/>
  <c r="AW359" i="43" s="1"/>
  <c r="AC361" i="43"/>
  <c r="AW361" i="43" s="1"/>
  <c r="AC364" i="43"/>
  <c r="AW364" i="43" s="1"/>
  <c r="AC366" i="43"/>
  <c r="AW366" i="43" s="1"/>
  <c r="AC368" i="43"/>
  <c r="AW368" i="43" s="1"/>
  <c r="AC371" i="43"/>
  <c r="AW371" i="43" s="1"/>
  <c r="AC377" i="43"/>
  <c r="AW377" i="43" s="1"/>
  <c r="AC379" i="43"/>
  <c r="AW379" i="43" s="1"/>
  <c r="AC381" i="43"/>
  <c r="AW381" i="43" s="1"/>
  <c r="AC386" i="43"/>
  <c r="AW386" i="43" s="1"/>
  <c r="AC394" i="43"/>
  <c r="AW394" i="43" s="1"/>
  <c r="AC396" i="43"/>
  <c r="AW396" i="43" s="1"/>
  <c r="AC401" i="43"/>
  <c r="AW401" i="43" s="1"/>
  <c r="AC403" i="43"/>
  <c r="AW403" i="43" s="1"/>
  <c r="AC409" i="43"/>
  <c r="AW409" i="43" s="1"/>
  <c r="AC411" i="43"/>
  <c r="AW411" i="43" s="1"/>
  <c r="AC416" i="43"/>
  <c r="AW416" i="43" s="1"/>
  <c r="AC418" i="43"/>
  <c r="AW418" i="43" s="1"/>
  <c r="AC423" i="43"/>
  <c r="AW423" i="43" s="1"/>
  <c r="AC425" i="43"/>
  <c r="AW425" i="43" s="1"/>
  <c r="AC430" i="43"/>
  <c r="AW430" i="43" s="1"/>
  <c r="AC432" i="43"/>
  <c r="AW432" i="43" s="1"/>
  <c r="AC437" i="43"/>
  <c r="AW437" i="43" s="1"/>
  <c r="AC439" i="43"/>
  <c r="AW439" i="43" s="1"/>
  <c r="AC444" i="43"/>
  <c r="AW444" i="43" s="1"/>
  <c r="AC446" i="43"/>
  <c r="AW446" i="43" s="1"/>
  <c r="AC451" i="43"/>
  <c r="AW451" i="43" s="1"/>
  <c r="AC453" i="43"/>
  <c r="AW453" i="43" s="1"/>
  <c r="AC16" i="43"/>
  <c r="AW16" i="43" s="1"/>
  <c r="AC21" i="43"/>
  <c r="AW21" i="43" s="1"/>
  <c r="AC24" i="43"/>
  <c r="AW24" i="43" s="1"/>
  <c r="AC26" i="43"/>
  <c r="AW26" i="43" s="1"/>
  <c r="AC29" i="43"/>
  <c r="AW29" i="43" s="1"/>
  <c r="AC34" i="43"/>
  <c r="AW34" i="43" s="1"/>
  <c r="AC37" i="43"/>
  <c r="AW37" i="43" s="1"/>
  <c r="AC45" i="43"/>
  <c r="AW45" i="43" s="1"/>
  <c r="AC48" i="43"/>
  <c r="AW48" i="43" s="1"/>
  <c r="AC54" i="43"/>
  <c r="AW54" i="43" s="1"/>
  <c r="AC57" i="43"/>
  <c r="AW57" i="43" s="1"/>
  <c r="AC62" i="43"/>
  <c r="AW62" i="43" s="1"/>
  <c r="AC65" i="43"/>
  <c r="AW65" i="43" s="1"/>
  <c r="AC73" i="43"/>
  <c r="AW73" i="43" s="1"/>
  <c r="AC78" i="43"/>
  <c r="AW78" i="43" s="1"/>
  <c r="AC81" i="43"/>
  <c r="AW81" i="43" s="1"/>
  <c r="AC89" i="43"/>
  <c r="AW89" i="43" s="1"/>
  <c r="AC97" i="43"/>
  <c r="AW97" i="43" s="1"/>
  <c r="AC111" i="43"/>
  <c r="AW111" i="43" s="1"/>
  <c r="AC119" i="43"/>
  <c r="AW119" i="43" s="1"/>
  <c r="AC122" i="43"/>
  <c r="AW122" i="43" s="1"/>
  <c r="AC127" i="43"/>
  <c r="AW127" i="43" s="1"/>
  <c r="AC129" i="43"/>
  <c r="AW129" i="43" s="1"/>
  <c r="AC134" i="43"/>
  <c r="AW134" i="43" s="1"/>
  <c r="AC136" i="43"/>
  <c r="AW136" i="43" s="1"/>
  <c r="AC138" i="43"/>
  <c r="AW138" i="43" s="1"/>
  <c r="AC141" i="43"/>
  <c r="AW141" i="43" s="1"/>
  <c r="AC143" i="43"/>
  <c r="AW143" i="43" s="1"/>
  <c r="AC148" i="43"/>
  <c r="AW148" i="43" s="1"/>
  <c r="AC150" i="43"/>
  <c r="AW150" i="43" s="1"/>
  <c r="AC153" i="43"/>
  <c r="AW153" i="43" s="1"/>
  <c r="AC155" i="43"/>
  <c r="AW155" i="43" s="1"/>
  <c r="AC160" i="43"/>
  <c r="AW160" i="43" s="1"/>
  <c r="AC167" i="43"/>
  <c r="AW167" i="43" s="1"/>
  <c r="AC182" i="43"/>
  <c r="AW182" i="43" s="1"/>
  <c r="AC186" i="43"/>
  <c r="AW186" i="43" s="1"/>
  <c r="AC189" i="43"/>
  <c r="AW189" i="43" s="1"/>
  <c r="AC191" i="43"/>
  <c r="AW191" i="43" s="1"/>
  <c r="AC193" i="43"/>
  <c r="AW193" i="43" s="1"/>
  <c r="AC196" i="43"/>
  <c r="AW196" i="43" s="1"/>
  <c r="AC198" i="43"/>
  <c r="AW198" i="43" s="1"/>
  <c r="AC203" i="43"/>
  <c r="AW203" i="43" s="1"/>
  <c r="AC205" i="43"/>
  <c r="AW205" i="43" s="1"/>
  <c r="AC210" i="43"/>
  <c r="AW210" i="43" s="1"/>
  <c r="AC212" i="43"/>
  <c r="AW212" i="43" s="1"/>
  <c r="AC217" i="43"/>
  <c r="AW217" i="43" s="1"/>
  <c r="AC224" i="43"/>
  <c r="AW224" i="43" s="1"/>
  <c r="AC227" i="43"/>
  <c r="AW227" i="43" s="1"/>
  <c r="AC234" i="43"/>
  <c r="AW234" i="43" s="1"/>
  <c r="AC236" i="43"/>
  <c r="AW236" i="43" s="1"/>
  <c r="AC239" i="43"/>
  <c r="AW239" i="43" s="1"/>
  <c r="AC241" i="43"/>
  <c r="AW241" i="43" s="1"/>
  <c r="AC246" i="43"/>
  <c r="AW246" i="43" s="1"/>
  <c r="AC248" i="43"/>
  <c r="AW248" i="43" s="1"/>
  <c r="AC251" i="43"/>
  <c r="AW251" i="43" s="1"/>
  <c r="AC253" i="43"/>
  <c r="AW253" i="43" s="1"/>
  <c r="AC255" i="43"/>
  <c r="AW255" i="43" s="1"/>
  <c r="AC261" i="43"/>
  <c r="AW261" i="43" s="1"/>
  <c r="AC264" i="43"/>
  <c r="AW264" i="43" s="1"/>
  <c r="AC269" i="43"/>
  <c r="AW269" i="43" s="1"/>
  <c r="AC271" i="43"/>
  <c r="AW271" i="43" s="1"/>
  <c r="AC274" i="43"/>
  <c r="AW274" i="43" s="1"/>
  <c r="AC279" i="43"/>
  <c r="AW279" i="43" s="1"/>
  <c r="AC286" i="43"/>
  <c r="AW286" i="43" s="1"/>
  <c r="AC291" i="43"/>
  <c r="AW291" i="43" s="1"/>
  <c r="AC293" i="43"/>
  <c r="AW293" i="43" s="1"/>
  <c r="AC295" i="43"/>
  <c r="AW295" i="43" s="1"/>
  <c r="AC303" i="43"/>
  <c r="AW303" i="43" s="1"/>
  <c r="AC310" i="43"/>
  <c r="AW310" i="43" s="1"/>
  <c r="AC318" i="43"/>
  <c r="AW318" i="43" s="1"/>
  <c r="AC320" i="43"/>
  <c r="AW320" i="43" s="1"/>
  <c r="AC326" i="43"/>
  <c r="AW326" i="43" s="1"/>
  <c r="AC331" i="43"/>
  <c r="AW331" i="43" s="1"/>
  <c r="AC334" i="43"/>
  <c r="AW334" i="43" s="1"/>
  <c r="AC337" i="43"/>
  <c r="AW337" i="43" s="1"/>
  <c r="AC339" i="43"/>
  <c r="AW339" i="43" s="1"/>
  <c r="AC341" i="43"/>
  <c r="AW341" i="43" s="1"/>
  <c r="AC343" i="43"/>
  <c r="AW343" i="43" s="1"/>
  <c r="AC348" i="43"/>
  <c r="AW348" i="43" s="1"/>
  <c r="AC355" i="43"/>
  <c r="AW355" i="43" s="1"/>
  <c r="AC360" i="43"/>
  <c r="AW360" i="43" s="1"/>
  <c r="AC365" i="43"/>
  <c r="AW365" i="43" s="1"/>
  <c r="AC367" i="43"/>
  <c r="AW367" i="43" s="1"/>
  <c r="AC372" i="43"/>
  <c r="AW372" i="43" s="1"/>
  <c r="AC378" i="43"/>
  <c r="AW378" i="43" s="1"/>
  <c r="AC380" i="43"/>
  <c r="AW380" i="43" s="1"/>
  <c r="AC385" i="43"/>
  <c r="AW385" i="43" s="1"/>
  <c r="AC387" i="43"/>
  <c r="AW387" i="43" s="1"/>
  <c r="AC390" i="43"/>
  <c r="AW390" i="43" s="1"/>
  <c r="AC395" i="43"/>
  <c r="AW395" i="43" s="1"/>
  <c r="AC397" i="43"/>
  <c r="AW397" i="43" s="1"/>
  <c r="AC402" i="43"/>
  <c r="AW402" i="43" s="1"/>
  <c r="AC404" i="43"/>
  <c r="AW404" i="43" s="1"/>
  <c r="AC410" i="43"/>
  <c r="AW410" i="43" s="1"/>
  <c r="AC412" i="43"/>
  <c r="AW412" i="43" s="1"/>
  <c r="AC415" i="43"/>
  <c r="AW415" i="43" s="1"/>
  <c r="AC419" i="43"/>
  <c r="AW419" i="43" s="1"/>
  <c r="AC422" i="43"/>
  <c r="AW422" i="43" s="1"/>
  <c r="AC426" i="43"/>
  <c r="AW426" i="43" s="1"/>
  <c r="AC429" i="43"/>
  <c r="AW429" i="43" s="1"/>
  <c r="AC433" i="43"/>
  <c r="AW433" i="43" s="1"/>
  <c r="AC436" i="43"/>
  <c r="AW436" i="43" s="1"/>
  <c r="AC438" i="43"/>
  <c r="AW438" i="43" s="1"/>
  <c r="AC440" i="43"/>
  <c r="AW440" i="43" s="1"/>
  <c r="AC443" i="43"/>
  <c r="AW443" i="43" s="1"/>
  <c r="AC445" i="43"/>
  <c r="AW445" i="43" s="1"/>
  <c r="AC447" i="43"/>
  <c r="AW447" i="43" s="1"/>
  <c r="AC450" i="43"/>
  <c r="AW450" i="43" s="1"/>
  <c r="AC454" i="43"/>
  <c r="AW454" i="43" s="1"/>
  <c r="AC457" i="43"/>
  <c r="AW457" i="43" s="1"/>
  <c r="AC39" i="44"/>
  <c r="AW39" i="44" s="1"/>
  <c r="AC119" i="44"/>
  <c r="AW119" i="44" s="1"/>
  <c r="AC126" i="44"/>
  <c r="AW126" i="44" s="1"/>
  <c r="AC17" i="44"/>
  <c r="AW17" i="44" s="1"/>
  <c r="AC24" i="44"/>
  <c r="AW24" i="44" s="1"/>
  <c r="AC31" i="44"/>
  <c r="AW31" i="44" s="1"/>
  <c r="AC38" i="44"/>
  <c r="AW38" i="44" s="1"/>
  <c r="AC45" i="44"/>
  <c r="AW45" i="44" s="1"/>
  <c r="AC52" i="44"/>
  <c r="AW52" i="44" s="1"/>
  <c r="AC59" i="44"/>
  <c r="AW59" i="44" s="1"/>
  <c r="AC66" i="44"/>
  <c r="AW66" i="44" s="1"/>
  <c r="AC73" i="44"/>
  <c r="AW73" i="44" s="1"/>
  <c r="AC80" i="44"/>
  <c r="AW80" i="44" s="1"/>
  <c r="AC87" i="44"/>
  <c r="AW87" i="44" s="1"/>
  <c r="AC94" i="44"/>
  <c r="AW94" i="44" s="1"/>
  <c r="AC102" i="44"/>
  <c r="AW102" i="44" s="1"/>
  <c r="AC110" i="44"/>
  <c r="AW110" i="44" s="1"/>
  <c r="AC118" i="44"/>
  <c r="AW118" i="44" s="1"/>
  <c r="AC125" i="44"/>
  <c r="AW125" i="44" s="1"/>
  <c r="AC111" i="44"/>
  <c r="AW111" i="44" s="1"/>
  <c r="AC16" i="44"/>
  <c r="AW16" i="44" s="1"/>
  <c r="AC23" i="44"/>
  <c r="AW23" i="44" s="1"/>
  <c r="AC30" i="44"/>
  <c r="AW30" i="44" s="1"/>
  <c r="AC37" i="44"/>
  <c r="AW37" i="44" s="1"/>
  <c r="AC44" i="44"/>
  <c r="AW44" i="44" s="1"/>
  <c r="AC51" i="44"/>
  <c r="AW51" i="44" s="1"/>
  <c r="AC58" i="44"/>
  <c r="AW58" i="44" s="1"/>
  <c r="AC65" i="44"/>
  <c r="AW65" i="44" s="1"/>
  <c r="AC72" i="44"/>
  <c r="AW72" i="44" s="1"/>
  <c r="AC79" i="44"/>
  <c r="AW79" i="44" s="1"/>
  <c r="AC86" i="44"/>
  <c r="AW86" i="44" s="1"/>
  <c r="AC93" i="44"/>
  <c r="AW93" i="44" s="1"/>
  <c r="AC100" i="44"/>
  <c r="AW100" i="44" s="1"/>
  <c r="AC109" i="44"/>
  <c r="AW109" i="44" s="1"/>
  <c r="AC117" i="44"/>
  <c r="AW117" i="44" s="1"/>
  <c r="AC123" i="44"/>
  <c r="AW123" i="44" s="1"/>
  <c r="AC18" i="44"/>
  <c r="AW18" i="44" s="1"/>
  <c r="AC53" i="44"/>
  <c r="AW53" i="44" s="1"/>
  <c r="AC60" i="44"/>
  <c r="AW60" i="44" s="1"/>
  <c r="AC67" i="44"/>
  <c r="AW67" i="44" s="1"/>
  <c r="AC74" i="44"/>
  <c r="AW74" i="44" s="1"/>
  <c r="AC81" i="44"/>
  <c r="AW81" i="44" s="1"/>
  <c r="AC15" i="44"/>
  <c r="AW15" i="44" s="1"/>
  <c r="AC22" i="44"/>
  <c r="AW22" i="44" s="1"/>
  <c r="AC29" i="44"/>
  <c r="AW29" i="44" s="1"/>
  <c r="AC36" i="44"/>
  <c r="AW36" i="44" s="1"/>
  <c r="AC43" i="44"/>
  <c r="AW43" i="44" s="1"/>
  <c r="AC50" i="44"/>
  <c r="AW50" i="44" s="1"/>
  <c r="AC57" i="44"/>
  <c r="AW57" i="44" s="1"/>
  <c r="AC64" i="44"/>
  <c r="AW64" i="44" s="1"/>
  <c r="AC71" i="44"/>
  <c r="AW71" i="44" s="1"/>
  <c r="AC78" i="44"/>
  <c r="AW78" i="44" s="1"/>
  <c r="AC85" i="44"/>
  <c r="AW85" i="44" s="1"/>
  <c r="AC92" i="44"/>
  <c r="AW92" i="44" s="1"/>
  <c r="AC99" i="44"/>
  <c r="AW99" i="44" s="1"/>
  <c r="AC108" i="44"/>
  <c r="AW108" i="44" s="1"/>
  <c r="AC116" i="44"/>
  <c r="AW116" i="44" s="1"/>
  <c r="AC122" i="44"/>
  <c r="AW122" i="44" s="1"/>
  <c r="AC129" i="44"/>
  <c r="AW129" i="44" s="1"/>
  <c r="AC25" i="44"/>
  <c r="AW25" i="44" s="1"/>
  <c r="AC27" i="44"/>
  <c r="AW27" i="44" s="1"/>
  <c r="AC34" i="44"/>
  <c r="AW34" i="44" s="1"/>
  <c r="AC41" i="44"/>
  <c r="AW41" i="44" s="1"/>
  <c r="AC48" i="44"/>
  <c r="AW48" i="44" s="1"/>
  <c r="AC55" i="44"/>
  <c r="AW55" i="44" s="1"/>
  <c r="AC62" i="44"/>
  <c r="AW62" i="44" s="1"/>
  <c r="AC69" i="44"/>
  <c r="AW69" i="44" s="1"/>
  <c r="AC76" i="44"/>
  <c r="AW76" i="44" s="1"/>
  <c r="AC83" i="44"/>
  <c r="AW83" i="44" s="1"/>
  <c r="AC90" i="44"/>
  <c r="AW90" i="44" s="1"/>
  <c r="AC98" i="44"/>
  <c r="AW98" i="44" s="1"/>
  <c r="AC106" i="44"/>
  <c r="AW106" i="44" s="1"/>
  <c r="AW107" i="44" s="1"/>
  <c r="AC114" i="44"/>
  <c r="AW114" i="44" s="1"/>
  <c r="AW115" i="44" s="1"/>
  <c r="AC121" i="44"/>
  <c r="AW121" i="44" s="1"/>
  <c r="AC128" i="44"/>
  <c r="AW128" i="44" s="1"/>
  <c r="AC46" i="44"/>
  <c r="AW46" i="44" s="1"/>
  <c r="AC88" i="44"/>
  <c r="AW88" i="44" s="1"/>
  <c r="AC96" i="44"/>
  <c r="AW96" i="44" s="1"/>
  <c r="AC103" i="44"/>
  <c r="AW103" i="44" s="1"/>
  <c r="AC20" i="44"/>
  <c r="AW20" i="44" s="1"/>
  <c r="AC26" i="44"/>
  <c r="AW26" i="44" s="1"/>
  <c r="AC33" i="44"/>
  <c r="AW33" i="44" s="1"/>
  <c r="AC40" i="44"/>
  <c r="AW40" i="44" s="1"/>
  <c r="AC47" i="44"/>
  <c r="AW47" i="44" s="1"/>
  <c r="AC54" i="44"/>
  <c r="AW54" i="44" s="1"/>
  <c r="AC61" i="44"/>
  <c r="AW61" i="44" s="1"/>
  <c r="AC68" i="44"/>
  <c r="AW68" i="44" s="1"/>
  <c r="AC75" i="44"/>
  <c r="AW75" i="44" s="1"/>
  <c r="AC82" i="44"/>
  <c r="AW82" i="44" s="1"/>
  <c r="AC89" i="44"/>
  <c r="AW89" i="44" s="1"/>
  <c r="AC97" i="44"/>
  <c r="AW97" i="44" s="1"/>
  <c r="AC104" i="44"/>
  <c r="AW104" i="44" s="1"/>
  <c r="AC112" i="44"/>
  <c r="AW112" i="44" s="1"/>
  <c r="AC120" i="44"/>
  <c r="AW120" i="44" s="1"/>
  <c r="AC127" i="44"/>
  <c r="AW127" i="44" s="1"/>
  <c r="AR123" i="44"/>
  <c r="AY123" i="44" s="1"/>
  <c r="AR75" i="44"/>
  <c r="AY75" i="44" s="1"/>
  <c r="V19" i="43"/>
  <c r="AT19" i="43" s="1"/>
  <c r="AT22" i="43" s="1"/>
  <c r="V60" i="43"/>
  <c r="AT60" i="43" s="1"/>
  <c r="AT63" i="43" s="1"/>
  <c r="V76" i="43"/>
  <c r="AT76" i="43" s="1"/>
  <c r="AT79" i="43" s="1"/>
  <c r="V146" i="43"/>
  <c r="V50" i="43"/>
  <c r="AT50" i="43" s="1"/>
  <c r="AT52" i="43" s="1"/>
  <c r="V83" i="43"/>
  <c r="AT83" i="43" s="1"/>
  <c r="AT86" i="43" s="1"/>
  <c r="V91" i="43"/>
  <c r="AT91" i="43" s="1"/>
  <c r="AT94" i="43" s="1"/>
  <c r="V99" i="43"/>
  <c r="AT99" i="43" s="1"/>
  <c r="AT102" i="43" s="1"/>
  <c r="V152" i="43"/>
  <c r="AT152" i="43" s="1"/>
  <c r="AT157" i="43" s="1"/>
  <c r="V181" i="43"/>
  <c r="AT181" i="43" s="1"/>
  <c r="AT187" i="43" s="1"/>
  <c r="V188" i="43"/>
  <c r="AT188" i="43" s="1"/>
  <c r="AT194" i="43" s="1"/>
  <c r="V195" i="43"/>
  <c r="AT195" i="43" s="1"/>
  <c r="AT200" i="43" s="1"/>
  <c r="V238" i="43"/>
  <c r="AT238" i="43" s="1"/>
  <c r="AT243" i="43" s="1"/>
  <c r="V297" i="43"/>
  <c r="AT297" i="43" s="1"/>
  <c r="AT298" i="43" s="1"/>
  <c r="V336" i="43"/>
  <c r="AT336" i="43" s="1"/>
  <c r="AT344" i="43" s="1"/>
  <c r="V459" i="43"/>
  <c r="AT459" i="43" s="1"/>
  <c r="AT462" i="43" s="1"/>
  <c r="V43" i="43"/>
  <c r="AT43" i="43" s="1"/>
  <c r="AT46" i="43" s="1"/>
  <c r="V329" i="43"/>
  <c r="AT329" i="43" s="1"/>
  <c r="AT332" i="43" s="1"/>
  <c r="V32" i="43"/>
  <c r="AT32" i="43" s="1"/>
  <c r="AT35" i="43" s="1"/>
  <c r="V40" i="43"/>
  <c r="AT40" i="43" s="1"/>
  <c r="AT42" i="43" s="1"/>
  <c r="V106" i="43"/>
  <c r="AT106" i="43" s="1"/>
  <c r="AT109" i="43" s="1"/>
  <c r="V114" i="43"/>
  <c r="AT114" i="43" s="1"/>
  <c r="AT116" i="43" s="1"/>
  <c r="V158" i="43"/>
  <c r="AT158" i="43" s="1"/>
  <c r="AT162" i="43" s="1"/>
  <c r="V201" i="43"/>
  <c r="AT201" i="43" s="1"/>
  <c r="AT206" i="43" s="1"/>
  <c r="V244" i="43"/>
  <c r="AT244" i="43" s="1"/>
  <c r="AT249" i="43" s="1"/>
  <c r="V259" i="43"/>
  <c r="AT259" i="43" s="1"/>
  <c r="AT262" i="43" s="1"/>
  <c r="V267" i="43"/>
  <c r="AT267" i="43" s="1"/>
  <c r="AT272" i="43" s="1"/>
  <c r="V289" i="43"/>
  <c r="AT289" i="43" s="1"/>
  <c r="AT296" i="43" s="1"/>
  <c r="V363" i="43"/>
  <c r="AT363" i="43" s="1"/>
  <c r="AT369" i="43" s="1"/>
  <c r="V370" i="43"/>
  <c r="AT370" i="43" s="1"/>
  <c r="AT373" i="43" s="1"/>
  <c r="V393" i="43"/>
  <c r="AT393" i="43" s="1"/>
  <c r="AT399" i="43" s="1"/>
  <c r="V400" i="43"/>
  <c r="AT400" i="43" s="1"/>
  <c r="AT406" i="43" s="1"/>
  <c r="V68" i="43"/>
  <c r="AT68" i="43" s="1"/>
  <c r="AT70" i="43" s="1"/>
  <c r="V175" i="43"/>
  <c r="AT175" i="43" s="1"/>
  <c r="AT180" i="43" s="1"/>
  <c r="V232" i="43"/>
  <c r="AT232" i="43" s="1"/>
  <c r="AT237" i="43" s="1"/>
  <c r="V277" i="43"/>
  <c r="AT277" i="43" s="1"/>
  <c r="AT283" i="43" s="1"/>
  <c r="V284" i="43"/>
  <c r="AT284" i="43" s="1"/>
  <c r="AT288" i="43" s="1"/>
  <c r="V299" i="43"/>
  <c r="AT299" i="43" s="1"/>
  <c r="AT305" i="43" s="1"/>
  <c r="V351" i="43"/>
  <c r="AT351" i="43" s="1"/>
  <c r="AT357" i="43" s="1"/>
  <c r="V23" i="43"/>
  <c r="V47" i="43"/>
  <c r="AT47" i="43" s="1"/>
  <c r="AT49" i="43" s="1"/>
  <c r="V56" i="43"/>
  <c r="AT56" i="43" s="1"/>
  <c r="AT59" i="43" s="1"/>
  <c r="V64" i="43"/>
  <c r="AT64" i="43" s="1"/>
  <c r="AT67" i="43" s="1"/>
  <c r="V80" i="43"/>
  <c r="AT80" i="43" s="1"/>
  <c r="AT82" i="43" s="1"/>
  <c r="V121" i="43"/>
  <c r="AT121" i="43" s="1"/>
  <c r="AT125" i="43" s="1"/>
  <c r="V207" i="43"/>
  <c r="AT207" i="43" s="1"/>
  <c r="AT213" i="43" s="1"/>
  <c r="V214" i="43"/>
  <c r="AT214" i="43" s="1"/>
  <c r="AT219" i="43" s="1"/>
  <c r="V250" i="43"/>
  <c r="AT250" i="43" s="1"/>
  <c r="AT256" i="43" s="1"/>
  <c r="V257" i="43"/>
  <c r="AT257" i="43" s="1"/>
  <c r="AT258" i="43" s="1"/>
  <c r="V273" i="43"/>
  <c r="AT273" i="43" s="1"/>
  <c r="AT276" i="43" s="1"/>
  <c r="V317" i="43"/>
  <c r="AT317" i="43" s="1"/>
  <c r="AT322" i="43" s="1"/>
  <c r="V325" i="43"/>
  <c r="AT325" i="43" s="1"/>
  <c r="AT328" i="43" s="1"/>
  <c r="V333" i="43"/>
  <c r="AT333" i="43" s="1"/>
  <c r="AT335" i="43" s="1"/>
  <c r="V414" i="43"/>
  <c r="AT414" i="43" s="1"/>
  <c r="AT420" i="43" s="1"/>
  <c r="V421" i="43"/>
  <c r="AT421" i="43" s="1"/>
  <c r="AT427" i="43" s="1"/>
  <c r="V428" i="43"/>
  <c r="AT428" i="43" s="1"/>
  <c r="AT434" i="43" s="1"/>
  <c r="V435" i="43"/>
  <c r="AT435" i="43" s="1"/>
  <c r="AT441" i="43" s="1"/>
  <c r="V442" i="43"/>
  <c r="AT442" i="43" s="1"/>
  <c r="AT448" i="43" s="1"/>
  <c r="V449" i="43"/>
  <c r="AT449" i="43" s="1"/>
  <c r="AT455" i="43" s="1"/>
  <c r="V456" i="43"/>
  <c r="AT456" i="43" s="1"/>
  <c r="AT458" i="43" s="1"/>
  <c r="V117" i="43"/>
  <c r="AT117" i="43" s="1"/>
  <c r="AT120" i="43" s="1"/>
  <c r="V358" i="43"/>
  <c r="AT358" i="43" s="1"/>
  <c r="AT362" i="43" s="1"/>
  <c r="V14" i="43"/>
  <c r="AT14" i="43" s="1"/>
  <c r="AT18" i="43" s="1"/>
  <c r="V71" i="43"/>
  <c r="AT71" i="43" s="1"/>
  <c r="AT75" i="43" s="1"/>
  <c r="V87" i="43"/>
  <c r="AT87" i="43" s="1"/>
  <c r="AT90" i="43" s="1"/>
  <c r="V95" i="43"/>
  <c r="AT95" i="43" s="1"/>
  <c r="AT98" i="43" s="1"/>
  <c r="V103" i="43"/>
  <c r="AT103" i="43" s="1"/>
  <c r="AT105" i="43" s="1"/>
  <c r="V163" i="43"/>
  <c r="AT163" i="43" s="1"/>
  <c r="AT168" i="43" s="1"/>
  <c r="V220" i="43"/>
  <c r="AT220" i="43" s="1"/>
  <c r="AT225" i="43" s="1"/>
  <c r="V323" i="43"/>
  <c r="AT323" i="43" s="1"/>
  <c r="AT324" i="43" s="1"/>
  <c r="V376" i="43"/>
  <c r="AT376" i="43" s="1"/>
  <c r="AT382" i="43" s="1"/>
  <c r="V383" i="43"/>
  <c r="AT383" i="43" s="1"/>
  <c r="AT388" i="43" s="1"/>
  <c r="V306" i="43"/>
  <c r="AT306" i="43" s="1"/>
  <c r="AT312" i="43" s="1"/>
  <c r="V313" i="43"/>
  <c r="AT313" i="43" s="1"/>
  <c r="AT316" i="43" s="1"/>
  <c r="V28" i="43"/>
  <c r="AT28" i="43" s="1"/>
  <c r="AT31" i="43" s="1"/>
  <c r="V36" i="43"/>
  <c r="AT36" i="43" s="1"/>
  <c r="AT39" i="43" s="1"/>
  <c r="V53" i="43"/>
  <c r="AT53" i="43" s="1"/>
  <c r="AT55" i="43" s="1"/>
  <c r="V110" i="43"/>
  <c r="AT110" i="43" s="1"/>
  <c r="AT113" i="43" s="1"/>
  <c r="V126" i="43"/>
  <c r="AT126" i="43" s="1"/>
  <c r="AT132" i="43" s="1"/>
  <c r="V133" i="43"/>
  <c r="AT133" i="43" s="1"/>
  <c r="AT139" i="43" s="1"/>
  <c r="V140" i="43"/>
  <c r="AT140" i="43" s="1"/>
  <c r="AT145" i="43" s="1"/>
  <c r="V169" i="43"/>
  <c r="AT169" i="43" s="1"/>
  <c r="AT174" i="43" s="1"/>
  <c r="V226" i="43"/>
  <c r="AT226" i="43" s="1"/>
  <c r="AT231" i="43" s="1"/>
  <c r="V263" i="43"/>
  <c r="AT263" i="43" s="1"/>
  <c r="AT266" i="43" s="1"/>
  <c r="V345" i="43"/>
  <c r="AT345" i="43" s="1"/>
  <c r="AT350" i="43" s="1"/>
  <c r="V374" i="43"/>
  <c r="AT374" i="43" s="1"/>
  <c r="AT375" i="43" s="1"/>
  <c r="V389" i="43"/>
  <c r="AT389" i="43" s="1"/>
  <c r="AT392" i="43" s="1"/>
  <c r="V408" i="43"/>
  <c r="AT408" i="43" s="1"/>
  <c r="AT413" i="43" s="1"/>
  <c r="Z413" i="43"/>
  <c r="AF413" i="43"/>
  <c r="AR62" i="44"/>
  <c r="AY62" i="44" s="1"/>
  <c r="AR90" i="44"/>
  <c r="AY90" i="44" s="1"/>
  <c r="AR30" i="44"/>
  <c r="AY30" i="44" s="1"/>
  <c r="AR120" i="44"/>
  <c r="AY120" i="44" s="1"/>
  <c r="AB21" i="44"/>
  <c r="AV21" i="44" s="1"/>
  <c r="AC21" i="44"/>
  <c r="AW21" i="44" s="1"/>
  <c r="AB32" i="44"/>
  <c r="AV32" i="44" s="1"/>
  <c r="AC32" i="44"/>
  <c r="AW32" i="44" s="1"/>
  <c r="AA26" i="44"/>
  <c r="AR48" i="44"/>
  <c r="AY48" i="44" s="1"/>
  <c r="AR58" i="44"/>
  <c r="AY58" i="44" s="1"/>
  <c r="AR55" i="44"/>
  <c r="AY55" i="44" s="1"/>
  <c r="AR83" i="44"/>
  <c r="AY83" i="44" s="1"/>
  <c r="AR24" i="44"/>
  <c r="AY24" i="44" s="1"/>
  <c r="AR52" i="44"/>
  <c r="AY52" i="44" s="1"/>
  <c r="AA60" i="44"/>
  <c r="AR80" i="44"/>
  <c r="AY80" i="44" s="1"/>
  <c r="AR89" i="44"/>
  <c r="AY89" i="44" s="1"/>
  <c r="AB346" i="43"/>
  <c r="AV346" i="43" s="1"/>
  <c r="AC346" i="43"/>
  <c r="AW346" i="43" s="1"/>
  <c r="AB30" i="43"/>
  <c r="AV30" i="43" s="1"/>
  <c r="AC30" i="43"/>
  <c r="AW30" i="43" s="1"/>
  <c r="AB85" i="43"/>
  <c r="AV85" i="43" s="1"/>
  <c r="AC85" i="43"/>
  <c r="AW85" i="43" s="1"/>
  <c r="AB118" i="43"/>
  <c r="AV118" i="43" s="1"/>
  <c r="AC118" i="43"/>
  <c r="AW118" i="43" s="1"/>
  <c r="AB185" i="43"/>
  <c r="AV185" i="43" s="1"/>
  <c r="AC185" i="43"/>
  <c r="AW185" i="43" s="1"/>
  <c r="AB242" i="43"/>
  <c r="AV242" i="43" s="1"/>
  <c r="AC242" i="43"/>
  <c r="AW242" i="43" s="1"/>
  <c r="AB391" i="43"/>
  <c r="AV391" i="43" s="1"/>
  <c r="AC391" i="43"/>
  <c r="AW391" i="43" s="1"/>
  <c r="AB417" i="43"/>
  <c r="AV417" i="43" s="1"/>
  <c r="AC417" i="43"/>
  <c r="AW417" i="43" s="1"/>
  <c r="AB170" i="43"/>
  <c r="AV170" i="43" s="1"/>
  <c r="AC170" i="43"/>
  <c r="AW170" i="43" s="1"/>
  <c r="AB92" i="43"/>
  <c r="AV92" i="43" s="1"/>
  <c r="AC92" i="43"/>
  <c r="AW92" i="43" s="1"/>
  <c r="AB124" i="43"/>
  <c r="AV124" i="43" s="1"/>
  <c r="AC124" i="43"/>
  <c r="AW124" i="43" s="1"/>
  <c r="AB172" i="43"/>
  <c r="AV172" i="43" s="1"/>
  <c r="AC172" i="43"/>
  <c r="AW172" i="43" s="1"/>
  <c r="AB229" i="43"/>
  <c r="AV229" i="43" s="1"/>
  <c r="AC229" i="43"/>
  <c r="AW229" i="43" s="1"/>
  <c r="AB308" i="43"/>
  <c r="AV308" i="43" s="1"/>
  <c r="AC308" i="43"/>
  <c r="AW308" i="43" s="1"/>
  <c r="AB461" i="43"/>
  <c r="AV461" i="43" s="1"/>
  <c r="AC461" i="43"/>
  <c r="AW461" i="43" s="1"/>
  <c r="AB100" i="43"/>
  <c r="AV100" i="43" s="1"/>
  <c r="AC100" i="43"/>
  <c r="AW100" i="43" s="1"/>
  <c r="AB77" i="43"/>
  <c r="AV77" i="43" s="1"/>
  <c r="AC77" i="43"/>
  <c r="AW77" i="43" s="1"/>
  <c r="AB235" i="43"/>
  <c r="AV235" i="43" s="1"/>
  <c r="AC235" i="43"/>
  <c r="AW235" i="43" s="1"/>
  <c r="AB265" i="43"/>
  <c r="AV265" i="43" s="1"/>
  <c r="AC265" i="43"/>
  <c r="AW265" i="43" s="1"/>
  <c r="AB384" i="43"/>
  <c r="AV384" i="43" s="1"/>
  <c r="AC384" i="43"/>
  <c r="AW384" i="43" s="1"/>
  <c r="AB179" i="43"/>
  <c r="AV179" i="43" s="1"/>
  <c r="AC179" i="43"/>
  <c r="AW179" i="43" s="1"/>
  <c r="AB315" i="43"/>
  <c r="AV315" i="43" s="1"/>
  <c r="AC315" i="43"/>
  <c r="AW315" i="43" s="1"/>
  <c r="AB51" i="43"/>
  <c r="AV51" i="43" s="1"/>
  <c r="AC51" i="43"/>
  <c r="AW51" i="43" s="1"/>
  <c r="AB84" i="43"/>
  <c r="AV84" i="43" s="1"/>
  <c r="AC84" i="43"/>
  <c r="AW84" i="43" s="1"/>
  <c r="AB165" i="43"/>
  <c r="AV165" i="43" s="1"/>
  <c r="AC165" i="43"/>
  <c r="AW165" i="43" s="1"/>
  <c r="AB184" i="43"/>
  <c r="AV184" i="43" s="1"/>
  <c r="AC184" i="43"/>
  <c r="AW184" i="43" s="1"/>
  <c r="AB222" i="43"/>
  <c r="AV222" i="43" s="1"/>
  <c r="AC222" i="43"/>
  <c r="AW222" i="43" s="1"/>
  <c r="AB281" i="43"/>
  <c r="AV281" i="43" s="1"/>
  <c r="AC281" i="43"/>
  <c r="AW281" i="43" s="1"/>
  <c r="AB301" i="43"/>
  <c r="AV301" i="43" s="1"/>
  <c r="AC301" i="43"/>
  <c r="AW301" i="43" s="1"/>
  <c r="AB15" i="43"/>
  <c r="AV15" i="43" s="1"/>
  <c r="AC15" i="43"/>
  <c r="AW15" i="43" s="1"/>
  <c r="AB101" i="43"/>
  <c r="AV101" i="43" s="1"/>
  <c r="AC101" i="43"/>
  <c r="AW101" i="43" s="1"/>
  <c r="AB199" i="43"/>
  <c r="AV199" i="43" s="1"/>
  <c r="AC199" i="43"/>
  <c r="AW199" i="43" s="1"/>
  <c r="AB405" i="43"/>
  <c r="AV405" i="43" s="1"/>
  <c r="AC405" i="43"/>
  <c r="AW405" i="43" s="1"/>
  <c r="AB431" i="43"/>
  <c r="AV431" i="43" s="1"/>
  <c r="AC431" i="43"/>
  <c r="AW431" i="43" s="1"/>
  <c r="AB460" i="43"/>
  <c r="AV460" i="43" s="1"/>
  <c r="AC460" i="43"/>
  <c r="AW460" i="43" s="1"/>
  <c r="AB108" i="43"/>
  <c r="AV108" i="43" s="1"/>
  <c r="AC108" i="43"/>
  <c r="AW108" i="43" s="1"/>
  <c r="AB177" i="43"/>
  <c r="AV177" i="43" s="1"/>
  <c r="AC177" i="43"/>
  <c r="AW177" i="43" s="1"/>
  <c r="AB215" i="43"/>
  <c r="AV215" i="43" s="1"/>
  <c r="AC215" i="43"/>
  <c r="AW215" i="43" s="1"/>
  <c r="AB353" i="43"/>
  <c r="AV353" i="43" s="1"/>
  <c r="AC353" i="43"/>
  <c r="AW353" i="43" s="1"/>
  <c r="AB131" i="43"/>
  <c r="AV131" i="43" s="1"/>
  <c r="AC131" i="43"/>
  <c r="AW131" i="43" s="1"/>
  <c r="AB208" i="43"/>
  <c r="AV208" i="43" s="1"/>
  <c r="AC208" i="43"/>
  <c r="AW208" i="43" s="1"/>
  <c r="AB38" i="43"/>
  <c r="AV38" i="43" s="1"/>
  <c r="AC38" i="43"/>
  <c r="AW38" i="43" s="1"/>
  <c r="AB93" i="43"/>
  <c r="AV93" i="43" s="1"/>
  <c r="AC93" i="43"/>
  <c r="AW93" i="43" s="1"/>
  <c r="AB183" i="43"/>
  <c r="AV183" i="43" s="1"/>
  <c r="AC183" i="43"/>
  <c r="AW183" i="43" s="1"/>
  <c r="AB192" i="43"/>
  <c r="AV192" i="43" s="1"/>
  <c r="AC192" i="43"/>
  <c r="AW192" i="43" s="1"/>
  <c r="AB221" i="43"/>
  <c r="AV221" i="43" s="1"/>
  <c r="AC221" i="43"/>
  <c r="AW221" i="43" s="1"/>
  <c r="AB398" i="43"/>
  <c r="AV398" i="43" s="1"/>
  <c r="AC398" i="43"/>
  <c r="AW398" i="43" s="1"/>
  <c r="AB424" i="43"/>
  <c r="AV424" i="43" s="1"/>
  <c r="AC424" i="43"/>
  <c r="AW424" i="43" s="1"/>
  <c r="AB452" i="43"/>
  <c r="AV452" i="43" s="1"/>
  <c r="AC452" i="43"/>
  <c r="AW452" i="43" s="1"/>
  <c r="AA234" i="43"/>
  <c r="AA264" i="43"/>
  <c r="AA39" i="44"/>
  <c r="AR40" i="44"/>
  <c r="AY40" i="44" s="1"/>
  <c r="AR87" i="44"/>
  <c r="AY87" i="44" s="1"/>
  <c r="AR93" i="44"/>
  <c r="AY93" i="44" s="1"/>
  <c r="AR14" i="44"/>
  <c r="AY14" i="44" s="1"/>
  <c r="AR23" i="44"/>
  <c r="AY23" i="44" s="1"/>
  <c r="AR41" i="44"/>
  <c r="AY41" i="44" s="1"/>
  <c r="AR98" i="44"/>
  <c r="AY98" i="44" s="1"/>
  <c r="AR51" i="44"/>
  <c r="AY51" i="44" s="1"/>
  <c r="AA114" i="44"/>
  <c r="AR128" i="44"/>
  <c r="AY128" i="44" s="1"/>
  <c r="AR29" i="44"/>
  <c r="AY29" i="44" s="1"/>
  <c r="AR71" i="44"/>
  <c r="AY71" i="44" s="1"/>
  <c r="AA53" i="44"/>
  <c r="AR92" i="44"/>
  <c r="AY92" i="44" s="1"/>
  <c r="AA69" i="43"/>
  <c r="AA112" i="43"/>
  <c r="AR112" i="44"/>
  <c r="AY112" i="44" s="1"/>
  <c r="AR61" i="44"/>
  <c r="AY61" i="44" s="1"/>
  <c r="AR26" i="44"/>
  <c r="AY26" i="44" s="1"/>
  <c r="AR67" i="44"/>
  <c r="AY67" i="44" s="1"/>
  <c r="AR72" i="44"/>
  <c r="AY72" i="44" s="1"/>
  <c r="AR104" i="44"/>
  <c r="AY104" i="44" s="1"/>
  <c r="AR117" i="44"/>
  <c r="AY117" i="44" s="1"/>
  <c r="AR68" i="44"/>
  <c r="AY68" i="44" s="1"/>
  <c r="AR78" i="44"/>
  <c r="AY78" i="44" s="1"/>
  <c r="AA106" i="44"/>
  <c r="AR36" i="44"/>
  <c r="AY36" i="44" s="1"/>
  <c r="AR39" i="44"/>
  <c r="AY39" i="44" s="1"/>
  <c r="AR121" i="44"/>
  <c r="AY121" i="44" s="1"/>
  <c r="AR20" i="44"/>
  <c r="AY20" i="44" s="1"/>
  <c r="AR16" i="44"/>
  <c r="AY16" i="44" s="1"/>
  <c r="AR25" i="44"/>
  <c r="AY25" i="44" s="1"/>
  <c r="AR34" i="44"/>
  <c r="AY34" i="44" s="1"/>
  <c r="AR38" i="44"/>
  <c r="AY38" i="44" s="1"/>
  <c r="AA104" i="43"/>
  <c r="AA368" i="43"/>
  <c r="AA248" i="43"/>
  <c r="AA88" i="43"/>
  <c r="AA275" i="43"/>
  <c r="AA241" i="43"/>
  <c r="AA271" i="43"/>
  <c r="AA416" i="43"/>
  <c r="AA26" i="43"/>
  <c r="AA61" i="43"/>
  <c r="AA72" i="43"/>
  <c r="AA147" i="43"/>
  <c r="AA191" i="43"/>
  <c r="AA286" i="43"/>
  <c r="AA430" i="43"/>
  <c r="AR44" i="44"/>
  <c r="AY44" i="44" s="1"/>
  <c r="AR114" i="44"/>
  <c r="AY114" i="44" s="1"/>
  <c r="AY115" i="44" s="1"/>
  <c r="AA89" i="44"/>
  <c r="AA103" i="44"/>
  <c r="AA121" i="44"/>
  <c r="AA96" i="44"/>
  <c r="AR18" i="44"/>
  <c r="AY18" i="44" s="1"/>
  <c r="AR31" i="44"/>
  <c r="AY31" i="44" s="1"/>
  <c r="AR57" i="44"/>
  <c r="AY57" i="44" s="1"/>
  <c r="AR66" i="44"/>
  <c r="AY66" i="44" s="1"/>
  <c r="AR73" i="44"/>
  <c r="AY73" i="44" s="1"/>
  <c r="AR76" i="44"/>
  <c r="AY76" i="44" s="1"/>
  <c r="AA20" i="44"/>
  <c r="AB20" i="44"/>
  <c r="AV20" i="44" s="1"/>
  <c r="AA48" i="44"/>
  <c r="AB48" i="44"/>
  <c r="AV48" i="44" s="1"/>
  <c r="AB98" i="44"/>
  <c r="AV98" i="44" s="1"/>
  <c r="AR27" i="44"/>
  <c r="AY27" i="44" s="1"/>
  <c r="AA36" i="44"/>
  <c r="AB47" i="44"/>
  <c r="AV47" i="44" s="1"/>
  <c r="AR97" i="44"/>
  <c r="AY97" i="44" s="1"/>
  <c r="AR102" i="44"/>
  <c r="AY102" i="44" s="1"/>
  <c r="AR106" i="44"/>
  <c r="AY106" i="44" s="1"/>
  <c r="AY107" i="44" s="1"/>
  <c r="AR116" i="44"/>
  <c r="AY116" i="44" s="1"/>
  <c r="AR119" i="44"/>
  <c r="AY119" i="44" s="1"/>
  <c r="AR129" i="44"/>
  <c r="AY129" i="44" s="1"/>
  <c r="AB36" i="44"/>
  <c r="AV36" i="44" s="1"/>
  <c r="AR37" i="44"/>
  <c r="AY37" i="44" s="1"/>
  <c r="AR47" i="44"/>
  <c r="AY47" i="44" s="1"/>
  <c r="AR86" i="44"/>
  <c r="AY86" i="44" s="1"/>
  <c r="AR15" i="44"/>
  <c r="AY15" i="44" s="1"/>
  <c r="AR64" i="44"/>
  <c r="AY64" i="44" s="1"/>
  <c r="AR85" i="44"/>
  <c r="AY85" i="44" s="1"/>
  <c r="AR109" i="44"/>
  <c r="AY109" i="44" s="1"/>
  <c r="AR17" i="44"/>
  <c r="AY17" i="44" s="1"/>
  <c r="AR69" i="44"/>
  <c r="AY69" i="44" s="1"/>
  <c r="AR127" i="44"/>
  <c r="AY127" i="44" s="1"/>
  <c r="AA154" i="43"/>
  <c r="AA198" i="43"/>
  <c r="AA167" i="43"/>
  <c r="AB167" i="43"/>
  <c r="AV167" i="43" s="1"/>
  <c r="AA451" i="43"/>
  <c r="AA361" i="43"/>
  <c r="AB361" i="43"/>
  <c r="AV361" i="43" s="1"/>
  <c r="AB236" i="43"/>
  <c r="AV236" i="43" s="1"/>
  <c r="AA118" i="43"/>
  <c r="AA353" i="43"/>
  <c r="AA101" i="43"/>
  <c r="AA134" i="43"/>
  <c r="AA173" i="43"/>
  <c r="AA282" i="43"/>
  <c r="AA390" i="43"/>
  <c r="AA51" i="43"/>
  <c r="AB61" i="43"/>
  <c r="AV61" i="43" s="1"/>
  <c r="AA77" i="43"/>
  <c r="AA166" i="43"/>
  <c r="AA176" i="43"/>
  <c r="AA189" i="43"/>
  <c r="AA205" i="43"/>
  <c r="AA279" i="43"/>
  <c r="AA88" i="44"/>
  <c r="AB14" i="44"/>
  <c r="AV14" i="44" s="1"/>
  <c r="AA14" i="44"/>
  <c r="AB27" i="44"/>
  <c r="AV27" i="44" s="1"/>
  <c r="AA34" i="44"/>
  <c r="AB34" i="44"/>
  <c r="AV34" i="44" s="1"/>
  <c r="AB97" i="44"/>
  <c r="AV97" i="44" s="1"/>
  <c r="AA97" i="44"/>
  <c r="AA128" i="44"/>
  <c r="AB128" i="44"/>
  <c r="AV128" i="44" s="1"/>
  <c r="AA55" i="44"/>
  <c r="AB55" i="44"/>
  <c r="AV55" i="44" s="1"/>
  <c r="AB76" i="44"/>
  <c r="AV76" i="44" s="1"/>
  <c r="AA76" i="44"/>
  <c r="AA18" i="44"/>
  <c r="AA41" i="44"/>
  <c r="AB41" i="44"/>
  <c r="AV41" i="44" s="1"/>
  <c r="AA62" i="44"/>
  <c r="AB62" i="44"/>
  <c r="AV62" i="44" s="1"/>
  <c r="AB75" i="44"/>
  <c r="AV75" i="44" s="1"/>
  <c r="AA75" i="44"/>
  <c r="AB69" i="44"/>
  <c r="AV69" i="44" s="1"/>
  <c r="AA69" i="44"/>
  <c r="AB83" i="44"/>
  <c r="AV83" i="44" s="1"/>
  <c r="AA83" i="44"/>
  <c r="AA90" i="44"/>
  <c r="AB90" i="44"/>
  <c r="AV90" i="44" s="1"/>
  <c r="AA40" i="44"/>
  <c r="AR43" i="44"/>
  <c r="AY43" i="44" s="1"/>
  <c r="AR45" i="44"/>
  <c r="AY45" i="44" s="1"/>
  <c r="AB89" i="44"/>
  <c r="AV89" i="44" s="1"/>
  <c r="AA104" i="44"/>
  <c r="AA111" i="44"/>
  <c r="AR118" i="44"/>
  <c r="AY118" i="44" s="1"/>
  <c r="AR122" i="44"/>
  <c r="AY122" i="44" s="1"/>
  <c r="AR125" i="44"/>
  <c r="AY125" i="44" s="1"/>
  <c r="AA21" i="44"/>
  <c r="AB26" i="44"/>
  <c r="AV26" i="44" s="1"/>
  <c r="AA54" i="44"/>
  <c r="AB61" i="44"/>
  <c r="AV61" i="44" s="1"/>
  <c r="AR65" i="44"/>
  <c r="AY65" i="44" s="1"/>
  <c r="AA74" i="44"/>
  <c r="AA81" i="44"/>
  <c r="AB82" i="44"/>
  <c r="AV82" i="44" s="1"/>
  <c r="AB106" i="44"/>
  <c r="AV106" i="44" s="1"/>
  <c r="AV107" i="44" s="1"/>
  <c r="AB112" i="44"/>
  <c r="AV112" i="44" s="1"/>
  <c r="AA27" i="44"/>
  <c r="AA119" i="44"/>
  <c r="AA32" i="44"/>
  <c r="AR50" i="44"/>
  <c r="AY50" i="44" s="1"/>
  <c r="AR96" i="44"/>
  <c r="AY96" i="44" s="1"/>
  <c r="AA98" i="44"/>
  <c r="AR99" i="44"/>
  <c r="AY99" i="44" s="1"/>
  <c r="AR100" i="44"/>
  <c r="AY100" i="44" s="1"/>
  <c r="AB114" i="44"/>
  <c r="AV114" i="44" s="1"/>
  <c r="AV115" i="44" s="1"/>
  <c r="AB121" i="44"/>
  <c r="AV121" i="44" s="1"/>
  <c r="AA126" i="44"/>
  <c r="AA127" i="44"/>
  <c r="AR21" i="44"/>
  <c r="AY21" i="44" s="1"/>
  <c r="AR22" i="44"/>
  <c r="AY22" i="44" s="1"/>
  <c r="AR33" i="44"/>
  <c r="AY33" i="44" s="1"/>
  <c r="AR54" i="44"/>
  <c r="AY54" i="44" s="1"/>
  <c r="AR59" i="44"/>
  <c r="AY59" i="44" s="1"/>
  <c r="AR79" i="44"/>
  <c r="AY79" i="44" s="1"/>
  <c r="AR82" i="44"/>
  <c r="AY82" i="44" s="1"/>
  <c r="AR94" i="44"/>
  <c r="AY94" i="44" s="1"/>
  <c r="AR108" i="44"/>
  <c r="AY108" i="44" s="1"/>
  <c r="AR110" i="44"/>
  <c r="AY110" i="44" s="1"/>
  <c r="AB127" i="44"/>
  <c r="AV127" i="44" s="1"/>
  <c r="AB15" i="44"/>
  <c r="AV15" i="44" s="1"/>
  <c r="AA15" i="44"/>
  <c r="AB29" i="44"/>
  <c r="AV29" i="44" s="1"/>
  <c r="AA29" i="44"/>
  <c r="AB30" i="44"/>
  <c r="AV30" i="44" s="1"/>
  <c r="AA30" i="44"/>
  <c r="AA31" i="44"/>
  <c r="AB31" i="44"/>
  <c r="AV31" i="44" s="1"/>
  <c r="AB33" i="44"/>
  <c r="AV33" i="44" s="1"/>
  <c r="AA33" i="44"/>
  <c r="AB58" i="44"/>
  <c r="AV58" i="44" s="1"/>
  <c r="AA58" i="44"/>
  <c r="AB93" i="44"/>
  <c r="AV93" i="44" s="1"/>
  <c r="AA93" i="44"/>
  <c r="AB22" i="44"/>
  <c r="AV22" i="44" s="1"/>
  <c r="AA22" i="44"/>
  <c r="AB17" i="44"/>
  <c r="AV17" i="44" s="1"/>
  <c r="AA17" i="44"/>
  <c r="AB100" i="44"/>
  <c r="AV100" i="44" s="1"/>
  <c r="AA100" i="44"/>
  <c r="AB24" i="44"/>
  <c r="AV24" i="44" s="1"/>
  <c r="AA24" i="44"/>
  <c r="AB79" i="44"/>
  <c r="AV79" i="44" s="1"/>
  <c r="AA79" i="44"/>
  <c r="AB65" i="44"/>
  <c r="AV65" i="44" s="1"/>
  <c r="AA65" i="44"/>
  <c r="AB86" i="44"/>
  <c r="AV86" i="44" s="1"/>
  <c r="AA86" i="44"/>
  <c r="AB117" i="44"/>
  <c r="AV117" i="44" s="1"/>
  <c r="AA117" i="44"/>
  <c r="AA25" i="44"/>
  <c r="AB25" i="44"/>
  <c r="AV25" i="44" s="1"/>
  <c r="AB37" i="44"/>
  <c r="AV37" i="44" s="1"/>
  <c r="AA37" i="44"/>
  <c r="AB71" i="44"/>
  <c r="AV71" i="44" s="1"/>
  <c r="AA71" i="44"/>
  <c r="AB129" i="44"/>
  <c r="AV129" i="44" s="1"/>
  <c r="AA129" i="44"/>
  <c r="AB18" i="44"/>
  <c r="AV18" i="44" s="1"/>
  <c r="AB43" i="44"/>
  <c r="AV43" i="44" s="1"/>
  <c r="AA43" i="44"/>
  <c r="AR46" i="44"/>
  <c r="AY46" i="44" s="1"/>
  <c r="AB54" i="44"/>
  <c r="AV54" i="44" s="1"/>
  <c r="AA61" i="44"/>
  <c r="AR81" i="44"/>
  <c r="AY81" i="44" s="1"/>
  <c r="AB104" i="44"/>
  <c r="AV104" i="44" s="1"/>
  <c r="AA112" i="44"/>
  <c r="AB125" i="44"/>
  <c r="AV125" i="44" s="1"/>
  <c r="AA125" i="44"/>
  <c r="AB126" i="44"/>
  <c r="AV126" i="44" s="1"/>
  <c r="AB67" i="44"/>
  <c r="AV67" i="44" s="1"/>
  <c r="AB87" i="44"/>
  <c r="AV87" i="44" s="1"/>
  <c r="AA87" i="44"/>
  <c r="AA16" i="44"/>
  <c r="AA23" i="44"/>
  <c r="AR32" i="44"/>
  <c r="AY32" i="44" s="1"/>
  <c r="AB38" i="44"/>
  <c r="AV38" i="44" s="1"/>
  <c r="AA38" i="44"/>
  <c r="AB39" i="44"/>
  <c r="AV39" i="44" s="1"/>
  <c r="AB44" i="44"/>
  <c r="AV44" i="44" s="1"/>
  <c r="AA44" i="44"/>
  <c r="AB50" i="44"/>
  <c r="AV50" i="44" s="1"/>
  <c r="AA50" i="44"/>
  <c r="AR53" i="44"/>
  <c r="AY53" i="44" s="1"/>
  <c r="AA67" i="44"/>
  <c r="AA68" i="44"/>
  <c r="AB72" i="44"/>
  <c r="AV72" i="44" s="1"/>
  <c r="AA72" i="44"/>
  <c r="AR74" i="44"/>
  <c r="AY74" i="44" s="1"/>
  <c r="AB80" i="44"/>
  <c r="AV80" i="44" s="1"/>
  <c r="AA80" i="44"/>
  <c r="AB94" i="44"/>
  <c r="AV94" i="44" s="1"/>
  <c r="AA94" i="44"/>
  <c r="AB96" i="44"/>
  <c r="AV96" i="44" s="1"/>
  <c r="AB99" i="44"/>
  <c r="AV99" i="44" s="1"/>
  <c r="AA99" i="44"/>
  <c r="AR103" i="44"/>
  <c r="AY103" i="44" s="1"/>
  <c r="AA120" i="44"/>
  <c r="AB66" i="44"/>
  <c r="AV66" i="44" s="1"/>
  <c r="AA66" i="44"/>
  <c r="AB92" i="44"/>
  <c r="AV92" i="44" s="1"/>
  <c r="AA92" i="44"/>
  <c r="AB119" i="44"/>
  <c r="AV119" i="44" s="1"/>
  <c r="AB16" i="44"/>
  <c r="AV16" i="44" s="1"/>
  <c r="AB23" i="44"/>
  <c r="AV23" i="44" s="1"/>
  <c r="AB45" i="44"/>
  <c r="AV45" i="44" s="1"/>
  <c r="AA45" i="44"/>
  <c r="AB46" i="44"/>
  <c r="AV46" i="44" s="1"/>
  <c r="AB51" i="44"/>
  <c r="AV51" i="44" s="1"/>
  <c r="AA51" i="44"/>
  <c r="AB57" i="44"/>
  <c r="AV57" i="44" s="1"/>
  <c r="AA57" i="44"/>
  <c r="AR60" i="44"/>
  <c r="AY60" i="44" s="1"/>
  <c r="AB68" i="44"/>
  <c r="AV68" i="44" s="1"/>
  <c r="AB73" i="44"/>
  <c r="AV73" i="44" s="1"/>
  <c r="AA73" i="44"/>
  <c r="AB85" i="44"/>
  <c r="AV85" i="44" s="1"/>
  <c r="AA85" i="44"/>
  <c r="AB108" i="44"/>
  <c r="AV108" i="44" s="1"/>
  <c r="AA108" i="44"/>
  <c r="AR111" i="44"/>
  <c r="AY111" i="44" s="1"/>
  <c r="AB120" i="44"/>
  <c r="AV120" i="44" s="1"/>
  <c r="AB118" i="44"/>
  <c r="AV118" i="44" s="1"/>
  <c r="AA118" i="44"/>
  <c r="AB123" i="44"/>
  <c r="AV123" i="44" s="1"/>
  <c r="AA123" i="44"/>
  <c r="AB52" i="44"/>
  <c r="AV52" i="44" s="1"/>
  <c r="AA52" i="44"/>
  <c r="AB53" i="44"/>
  <c r="AV53" i="44" s="1"/>
  <c r="AB64" i="44"/>
  <c r="AV64" i="44" s="1"/>
  <c r="AA64" i="44"/>
  <c r="AB102" i="44"/>
  <c r="AV102" i="44" s="1"/>
  <c r="AA102" i="44"/>
  <c r="AB103" i="44"/>
  <c r="AV103" i="44" s="1"/>
  <c r="AB109" i="44"/>
  <c r="AV109" i="44" s="1"/>
  <c r="AA109" i="44"/>
  <c r="AB116" i="44"/>
  <c r="AV116" i="44" s="1"/>
  <c r="AA116" i="44"/>
  <c r="AB40" i="44"/>
  <c r="AV40" i="44" s="1"/>
  <c r="AA46" i="44"/>
  <c r="AA47" i="44"/>
  <c r="AB59" i="44"/>
  <c r="AV59" i="44" s="1"/>
  <c r="AA59" i="44"/>
  <c r="AB60" i="44"/>
  <c r="AV60" i="44" s="1"/>
  <c r="AB78" i="44"/>
  <c r="AV78" i="44" s="1"/>
  <c r="AA78" i="44"/>
  <c r="AA82" i="44"/>
  <c r="AR88" i="44"/>
  <c r="AY88" i="44" s="1"/>
  <c r="AB110" i="44"/>
  <c r="AV110" i="44" s="1"/>
  <c r="AA110" i="44"/>
  <c r="AB111" i="44"/>
  <c r="AV111" i="44" s="1"/>
  <c r="AB122" i="44"/>
  <c r="AV122" i="44" s="1"/>
  <c r="AA122" i="44"/>
  <c r="AR126" i="44"/>
  <c r="AY126" i="44" s="1"/>
  <c r="AB74" i="44"/>
  <c r="AV74" i="44" s="1"/>
  <c r="AB81" i="44"/>
  <c r="AV81" i="44" s="1"/>
  <c r="AB88" i="44"/>
  <c r="AV88" i="44" s="1"/>
  <c r="AB331" i="43"/>
  <c r="AV331" i="43" s="1"/>
  <c r="AA331" i="43"/>
  <c r="AB339" i="43"/>
  <c r="AV339" i="43" s="1"/>
  <c r="AA339" i="43"/>
  <c r="AA423" i="43"/>
  <c r="AA128" i="43"/>
  <c r="AB182" i="43"/>
  <c r="AV182" i="43" s="1"/>
  <c r="AA182" i="43"/>
  <c r="AB274" i="43"/>
  <c r="AV274" i="43" s="1"/>
  <c r="AA274" i="43"/>
  <c r="AB143" i="43"/>
  <c r="AV143" i="43" s="1"/>
  <c r="AB397" i="43"/>
  <c r="AV397" i="43" s="1"/>
  <c r="AA397" i="43"/>
  <c r="AA34" i="43"/>
  <c r="AB34" i="43"/>
  <c r="AV34" i="43" s="1"/>
  <c r="AA135" i="43"/>
  <c r="AB135" i="43"/>
  <c r="AV135" i="43" s="1"/>
  <c r="AB150" i="43"/>
  <c r="AV150" i="43" s="1"/>
  <c r="AA161" i="43"/>
  <c r="AB193" i="43"/>
  <c r="AV193" i="43" s="1"/>
  <c r="AB251" i="43"/>
  <c r="AV251" i="43" s="1"/>
  <c r="AA93" i="43"/>
  <c r="AB134" i="43"/>
  <c r="AV134" i="43" s="1"/>
  <c r="AA366" i="43"/>
  <c r="AB26" i="43"/>
  <c r="AV26" i="43" s="1"/>
  <c r="AA85" i="43"/>
  <c r="AA315" i="43"/>
  <c r="AA346" i="43"/>
  <c r="AA367" i="43"/>
  <c r="AB138" i="43"/>
  <c r="AV138" i="43" s="1"/>
  <c r="AA184" i="43"/>
  <c r="AB367" i="43"/>
  <c r="AV367" i="43" s="1"/>
  <c r="AA150" i="43"/>
  <c r="AA287" i="43"/>
  <c r="AB368" i="43"/>
  <c r="AV368" i="43" s="1"/>
  <c r="AB69" i="43"/>
  <c r="AV69" i="43" s="1"/>
  <c r="AA96" i="43"/>
  <c r="AA143" i="43"/>
  <c r="AB287" i="43"/>
  <c r="AV287" i="43" s="1"/>
  <c r="AA360" i="43"/>
  <c r="AA384" i="43"/>
  <c r="AA404" i="43"/>
  <c r="AA431" i="43"/>
  <c r="AB25" i="43"/>
  <c r="AV25" i="43" s="1"/>
  <c r="AA25" i="43"/>
  <c r="AA37" i="43"/>
  <c r="AB37" i="43"/>
  <c r="AV37" i="43" s="1"/>
  <c r="AB41" i="43"/>
  <c r="AV41" i="43" s="1"/>
  <c r="AA41" i="43"/>
  <c r="AB48" i="43"/>
  <c r="AV48" i="43" s="1"/>
  <c r="AA48" i="43"/>
  <c r="AA54" i="43"/>
  <c r="AB54" i="43"/>
  <c r="AV54" i="43" s="1"/>
  <c r="AB17" i="43"/>
  <c r="AV17" i="43" s="1"/>
  <c r="AA17" i="43"/>
  <c r="AB24" i="43"/>
  <c r="AV24" i="43" s="1"/>
  <c r="AA24" i="43"/>
  <c r="AA29" i="43"/>
  <c r="AB29" i="43"/>
  <c r="AV29" i="43" s="1"/>
  <c r="AA45" i="43"/>
  <c r="AB45" i="43"/>
  <c r="AV45" i="43" s="1"/>
  <c r="AB123" i="43"/>
  <c r="AV123" i="43" s="1"/>
  <c r="AA123" i="43"/>
  <c r="AB16" i="43"/>
  <c r="AV16" i="43" s="1"/>
  <c r="AA16" i="43"/>
  <c r="AA21" i="43"/>
  <c r="AB21" i="43"/>
  <c r="AV21" i="43" s="1"/>
  <c r="AB44" i="43"/>
  <c r="AV44" i="43" s="1"/>
  <c r="AA44" i="43"/>
  <c r="AB74" i="43"/>
  <c r="AV74" i="43" s="1"/>
  <c r="AA74" i="43"/>
  <c r="AB20" i="43"/>
  <c r="AV20" i="43" s="1"/>
  <c r="AA20" i="43"/>
  <c r="AA66" i="43"/>
  <c r="AB66" i="43"/>
  <c r="AV66" i="43" s="1"/>
  <c r="AB73" i="43"/>
  <c r="AV73" i="43" s="1"/>
  <c r="AA73" i="43"/>
  <c r="AB115" i="43"/>
  <c r="AV115" i="43" s="1"/>
  <c r="AA115" i="43"/>
  <c r="AA58" i="43"/>
  <c r="AB58" i="43"/>
  <c r="AV58" i="43" s="1"/>
  <c r="AB65" i="43"/>
  <c r="AV65" i="43" s="1"/>
  <c r="AA65" i="43"/>
  <c r="AB107" i="43"/>
  <c r="AV107" i="43" s="1"/>
  <c r="AA107" i="43"/>
  <c r="AB33" i="43"/>
  <c r="AV33" i="43" s="1"/>
  <c r="AA33" i="43"/>
  <c r="AB57" i="43"/>
  <c r="AV57" i="43" s="1"/>
  <c r="AA57" i="43"/>
  <c r="AA62" i="43"/>
  <c r="AB62" i="43"/>
  <c r="AV62" i="43" s="1"/>
  <c r="AB130" i="43"/>
  <c r="AV130" i="43" s="1"/>
  <c r="AA130" i="43"/>
  <c r="AA138" i="43"/>
  <c r="AB88" i="43"/>
  <c r="AV88" i="43" s="1"/>
  <c r="AB96" i="43"/>
  <c r="AV96" i="43" s="1"/>
  <c r="AB104" i="43"/>
  <c r="AV104" i="43" s="1"/>
  <c r="AB112" i="43"/>
  <c r="AV112" i="43" s="1"/>
  <c r="AB128" i="43"/>
  <c r="AV128" i="43" s="1"/>
  <c r="AA156" i="43"/>
  <c r="AB156" i="43"/>
  <c r="AV156" i="43" s="1"/>
  <c r="AA160" i="43"/>
  <c r="AB160" i="43"/>
  <c r="AV160" i="43" s="1"/>
  <c r="AB81" i="43"/>
  <c r="AV81" i="43" s="1"/>
  <c r="AA81" i="43"/>
  <c r="AB89" i="43"/>
  <c r="AV89" i="43" s="1"/>
  <c r="AA89" i="43"/>
  <c r="AB97" i="43"/>
  <c r="AV97" i="43" s="1"/>
  <c r="AA97" i="43"/>
  <c r="AB122" i="43"/>
  <c r="AV122" i="43" s="1"/>
  <c r="AA122" i="43"/>
  <c r="AB129" i="43"/>
  <c r="AV129" i="43" s="1"/>
  <c r="AA129" i="43"/>
  <c r="AB141" i="43"/>
  <c r="AV141" i="43" s="1"/>
  <c r="AA141" i="43"/>
  <c r="AB142" i="43"/>
  <c r="AV142" i="43" s="1"/>
  <c r="AA149" i="43"/>
  <c r="AB149" i="43"/>
  <c r="AV149" i="43" s="1"/>
  <c r="AA153" i="43"/>
  <c r="AB153" i="43"/>
  <c r="AV153" i="43" s="1"/>
  <c r="AB155" i="43"/>
  <c r="AV155" i="43" s="1"/>
  <c r="AA155" i="43"/>
  <c r="AB148" i="43"/>
  <c r="AV148" i="43" s="1"/>
  <c r="AA148" i="43"/>
  <c r="AA15" i="43"/>
  <c r="AA30" i="43"/>
  <c r="AA38" i="43"/>
  <c r="AB72" i="43"/>
  <c r="AV72" i="43" s="1"/>
  <c r="AA78" i="43"/>
  <c r="AA111" i="43"/>
  <c r="AA119" i="43"/>
  <c r="AA127" i="43"/>
  <c r="AA142" i="43"/>
  <c r="AB144" i="43"/>
  <c r="AV144" i="43" s="1"/>
  <c r="AA144" i="43"/>
  <c r="AB78" i="43"/>
  <c r="AV78" i="43" s="1"/>
  <c r="AA84" i="43"/>
  <c r="AA92" i="43"/>
  <c r="AA100" i="43"/>
  <c r="AA108" i="43"/>
  <c r="AB111" i="43"/>
  <c r="AV111" i="43" s="1"/>
  <c r="AB119" i="43"/>
  <c r="AV119" i="43" s="1"/>
  <c r="AA124" i="43"/>
  <c r="AB127" i="43"/>
  <c r="AV127" i="43" s="1"/>
  <c r="AA131" i="43"/>
  <c r="AB136" i="43"/>
  <c r="AV136" i="43" s="1"/>
  <c r="AA136" i="43"/>
  <c r="AB137" i="43"/>
  <c r="AV137" i="43" s="1"/>
  <c r="AA137" i="43"/>
  <c r="AB202" i="43"/>
  <c r="AV202" i="43" s="1"/>
  <c r="AA202" i="43"/>
  <c r="AB203" i="43"/>
  <c r="AV203" i="43" s="1"/>
  <c r="AA203" i="43"/>
  <c r="AB204" i="43"/>
  <c r="AV204" i="43" s="1"/>
  <c r="AA204" i="43"/>
  <c r="AB212" i="43"/>
  <c r="AV212" i="43" s="1"/>
  <c r="AB245" i="43"/>
  <c r="AV245" i="43" s="1"/>
  <c r="AA245" i="43"/>
  <c r="AB246" i="43"/>
  <c r="AV246" i="43" s="1"/>
  <c r="AA246" i="43"/>
  <c r="AB247" i="43"/>
  <c r="AV247" i="43" s="1"/>
  <c r="AA247" i="43"/>
  <c r="AB255" i="43"/>
  <c r="AV255" i="43" s="1"/>
  <c r="AB295" i="43"/>
  <c r="AV295" i="43" s="1"/>
  <c r="AA295" i="43"/>
  <c r="AA300" i="43"/>
  <c r="AB300" i="43"/>
  <c r="AV300" i="43" s="1"/>
  <c r="AB311" i="43"/>
  <c r="AV311" i="43" s="1"/>
  <c r="AA311" i="43"/>
  <c r="AA314" i="43"/>
  <c r="AB314" i="43"/>
  <c r="AV314" i="43" s="1"/>
  <c r="AB318" i="43"/>
  <c r="AV318" i="43" s="1"/>
  <c r="AA318" i="43"/>
  <c r="AB342" i="43"/>
  <c r="AV342" i="43" s="1"/>
  <c r="AA342" i="43"/>
  <c r="AB347" i="43"/>
  <c r="AV347" i="43" s="1"/>
  <c r="AA347" i="43"/>
  <c r="AB348" i="43"/>
  <c r="AV348" i="43" s="1"/>
  <c r="AA348" i="43"/>
  <c r="AA159" i="43"/>
  <c r="AA165" i="43"/>
  <c r="AA170" i="43"/>
  <c r="AA172" i="43"/>
  <c r="AA177" i="43"/>
  <c r="AA179" i="43"/>
  <c r="AA183" i="43"/>
  <c r="AB209" i="43"/>
  <c r="AV209" i="43" s="1"/>
  <c r="AA209" i="43"/>
  <c r="AB210" i="43"/>
  <c r="AV210" i="43" s="1"/>
  <c r="AA210" i="43"/>
  <c r="AB211" i="43"/>
  <c r="AV211" i="43" s="1"/>
  <c r="AA211" i="43"/>
  <c r="AA221" i="43"/>
  <c r="AB252" i="43"/>
  <c r="AV252" i="43" s="1"/>
  <c r="AA252" i="43"/>
  <c r="AB253" i="43"/>
  <c r="AV253" i="43" s="1"/>
  <c r="AA253" i="43"/>
  <c r="AB254" i="43"/>
  <c r="AV254" i="43" s="1"/>
  <c r="AA254" i="43"/>
  <c r="AB264" i="43"/>
  <c r="AV264" i="43" s="1"/>
  <c r="AA265" i="43"/>
  <c r="AB159" i="43"/>
  <c r="AV159" i="43" s="1"/>
  <c r="AA164" i="43"/>
  <c r="AA171" i="43"/>
  <c r="AA178" i="43"/>
  <c r="AB186" i="43"/>
  <c r="AV186" i="43" s="1"/>
  <c r="AA186" i="43"/>
  <c r="AA212" i="43"/>
  <c r="AB216" i="43"/>
  <c r="AV216" i="43" s="1"/>
  <c r="AA216" i="43"/>
  <c r="AB217" i="43"/>
  <c r="AV217" i="43" s="1"/>
  <c r="AA217" i="43"/>
  <c r="AB218" i="43"/>
  <c r="AV218" i="43" s="1"/>
  <c r="AA218" i="43"/>
  <c r="AB227" i="43"/>
  <c r="AV227" i="43" s="1"/>
  <c r="AA228" i="43"/>
  <c r="AA255" i="43"/>
  <c r="AB260" i="43"/>
  <c r="AV260" i="43" s="1"/>
  <c r="AA260" i="43"/>
  <c r="AB261" i="43"/>
  <c r="AV261" i="43" s="1"/>
  <c r="AA261" i="43"/>
  <c r="AB280" i="43"/>
  <c r="AV280" i="43" s="1"/>
  <c r="AA280" i="43"/>
  <c r="AA292" i="43"/>
  <c r="AB292" i="43"/>
  <c r="AV292" i="43" s="1"/>
  <c r="AB293" i="43"/>
  <c r="AV293" i="43" s="1"/>
  <c r="AA293" i="43"/>
  <c r="AB189" i="43"/>
  <c r="AV189" i="43" s="1"/>
  <c r="AB191" i="43"/>
  <c r="AV191" i="43" s="1"/>
  <c r="AA192" i="43"/>
  <c r="AB223" i="43"/>
  <c r="AV223" i="43" s="1"/>
  <c r="AA223" i="43"/>
  <c r="AB224" i="43"/>
  <c r="AV224" i="43" s="1"/>
  <c r="AA224" i="43"/>
  <c r="AB234" i="43"/>
  <c r="AV234" i="43" s="1"/>
  <c r="AA235" i="43"/>
  <c r="AB268" i="43"/>
  <c r="AV268" i="43" s="1"/>
  <c r="AA268" i="43"/>
  <c r="AB269" i="43"/>
  <c r="AV269" i="43" s="1"/>
  <c r="AA269" i="43"/>
  <c r="AB270" i="43"/>
  <c r="AV270" i="43" s="1"/>
  <c r="AA270" i="43"/>
  <c r="AA278" i="43"/>
  <c r="AB278" i="43"/>
  <c r="AV278" i="43" s="1"/>
  <c r="AA285" i="43"/>
  <c r="AB285" i="43"/>
  <c r="AV285" i="43" s="1"/>
  <c r="AB147" i="43"/>
  <c r="AV147" i="43" s="1"/>
  <c r="AB154" i="43"/>
  <c r="AV154" i="43" s="1"/>
  <c r="AB161" i="43"/>
  <c r="AV161" i="43" s="1"/>
  <c r="AB164" i="43"/>
  <c r="AV164" i="43" s="1"/>
  <c r="AB166" i="43"/>
  <c r="AV166" i="43" s="1"/>
  <c r="AB171" i="43"/>
  <c r="AV171" i="43" s="1"/>
  <c r="AB173" i="43"/>
  <c r="AV173" i="43" s="1"/>
  <c r="AB176" i="43"/>
  <c r="AV176" i="43" s="1"/>
  <c r="AB178" i="43"/>
  <c r="AV178" i="43" s="1"/>
  <c r="AB190" i="43"/>
  <c r="AV190" i="43" s="1"/>
  <c r="AA190" i="43"/>
  <c r="AB198" i="43"/>
  <c r="AV198" i="43" s="1"/>
  <c r="AA199" i="43"/>
  <c r="AA227" i="43"/>
  <c r="AB228" i="43"/>
  <c r="AV228" i="43" s="1"/>
  <c r="AB230" i="43"/>
  <c r="AV230" i="43" s="1"/>
  <c r="AA230" i="43"/>
  <c r="AB233" i="43"/>
  <c r="AV233" i="43" s="1"/>
  <c r="AA233" i="43"/>
  <c r="AB241" i="43"/>
  <c r="AV241" i="43" s="1"/>
  <c r="AA242" i="43"/>
  <c r="AA185" i="43"/>
  <c r="AB196" i="43"/>
  <c r="AV196" i="43" s="1"/>
  <c r="AA196" i="43"/>
  <c r="AB197" i="43"/>
  <c r="AV197" i="43" s="1"/>
  <c r="AA197" i="43"/>
  <c r="AB205" i="43"/>
  <c r="AV205" i="43" s="1"/>
  <c r="AB239" i="43"/>
  <c r="AV239" i="43" s="1"/>
  <c r="AA239" i="43"/>
  <c r="AB240" i="43"/>
  <c r="AV240" i="43" s="1"/>
  <c r="AA240" i="43"/>
  <c r="AB248" i="43"/>
  <c r="AV248" i="43" s="1"/>
  <c r="AB275" i="43"/>
  <c r="AV275" i="43" s="1"/>
  <c r="AB282" i="43"/>
  <c r="AV282" i="43" s="1"/>
  <c r="AB294" i="43"/>
  <c r="AV294" i="43" s="1"/>
  <c r="AA294" i="43"/>
  <c r="AB310" i="43"/>
  <c r="AV310" i="43" s="1"/>
  <c r="AA310" i="43"/>
  <c r="AA338" i="43"/>
  <c r="AB338" i="43"/>
  <c r="AV338" i="43" s="1"/>
  <c r="AB340" i="43"/>
  <c r="AV340" i="43" s="1"/>
  <c r="AA340" i="43"/>
  <c r="AB341" i="43"/>
  <c r="AV341" i="43" s="1"/>
  <c r="AA341" i="43"/>
  <c r="AB309" i="43"/>
  <c r="AV309" i="43" s="1"/>
  <c r="AA309" i="43"/>
  <c r="AB327" i="43"/>
  <c r="AV327" i="43" s="1"/>
  <c r="AA327" i="43"/>
  <c r="AA330" i="43"/>
  <c r="AB330" i="43"/>
  <c r="AV330" i="43" s="1"/>
  <c r="AB334" i="43"/>
  <c r="AV334" i="43" s="1"/>
  <c r="AA334" i="43"/>
  <c r="AA290" i="43"/>
  <c r="AB304" i="43"/>
  <c r="AV304" i="43" s="1"/>
  <c r="AA304" i="43"/>
  <c r="AA307" i="43"/>
  <c r="AB307" i="43"/>
  <c r="AV307" i="43" s="1"/>
  <c r="AB326" i="43"/>
  <c r="AV326" i="43" s="1"/>
  <c r="AA326" i="43"/>
  <c r="AB356" i="43"/>
  <c r="AV356" i="43" s="1"/>
  <c r="AA356" i="43"/>
  <c r="AA359" i="43"/>
  <c r="AB359" i="43"/>
  <c r="AV359" i="43" s="1"/>
  <c r="AA193" i="43"/>
  <c r="AA208" i="43"/>
  <c r="AA215" i="43"/>
  <c r="AA222" i="43"/>
  <c r="AA229" i="43"/>
  <c r="AA236" i="43"/>
  <c r="AA251" i="43"/>
  <c r="AB271" i="43"/>
  <c r="AV271" i="43" s="1"/>
  <c r="AA281" i="43"/>
  <c r="AB303" i="43"/>
  <c r="AV303" i="43" s="1"/>
  <c r="AA303" i="43"/>
  <c r="AB355" i="43"/>
  <c r="AV355" i="43" s="1"/>
  <c r="AA355" i="43"/>
  <c r="AB279" i="43"/>
  <c r="AV279" i="43" s="1"/>
  <c r="AB286" i="43"/>
  <c r="AV286" i="43" s="1"/>
  <c r="AB290" i="43"/>
  <c r="AV290" i="43" s="1"/>
  <c r="AB291" i="43"/>
  <c r="AV291" i="43" s="1"/>
  <c r="AA291" i="43"/>
  <c r="AB302" i="43"/>
  <c r="AV302" i="43" s="1"/>
  <c r="AA302" i="43"/>
  <c r="AB319" i="43"/>
  <c r="AV319" i="43" s="1"/>
  <c r="AA319" i="43"/>
  <c r="AA321" i="43"/>
  <c r="AB321" i="43"/>
  <c r="AV321" i="43" s="1"/>
  <c r="AB349" i="43"/>
  <c r="AV349" i="43" s="1"/>
  <c r="AA349" i="43"/>
  <c r="AA352" i="43"/>
  <c r="AB352" i="43"/>
  <c r="AV352" i="43" s="1"/>
  <c r="AB354" i="43"/>
  <c r="AV354" i="43" s="1"/>
  <c r="AA354" i="43"/>
  <c r="AA320" i="43"/>
  <c r="AA337" i="43"/>
  <c r="AA343" i="43"/>
  <c r="AB386" i="43"/>
  <c r="AV386" i="43" s="1"/>
  <c r="AA386" i="43"/>
  <c r="AB387" i="43"/>
  <c r="AV387" i="43" s="1"/>
  <c r="AA387" i="43"/>
  <c r="AB390" i="43"/>
  <c r="AV390" i="43" s="1"/>
  <c r="AA391" i="43"/>
  <c r="AB422" i="43"/>
  <c r="AV422" i="43" s="1"/>
  <c r="AA422" i="43"/>
  <c r="AA424" i="43"/>
  <c r="AB320" i="43"/>
  <c r="AV320" i="43" s="1"/>
  <c r="AB337" i="43"/>
  <c r="AV337" i="43" s="1"/>
  <c r="AB343" i="43"/>
  <c r="AV343" i="43" s="1"/>
  <c r="AB401" i="43"/>
  <c r="AV401" i="43" s="1"/>
  <c r="AA401" i="43"/>
  <c r="AB402" i="43"/>
  <c r="AV402" i="43" s="1"/>
  <c r="AA402" i="43"/>
  <c r="AB403" i="43"/>
  <c r="AV403" i="43" s="1"/>
  <c r="AA403" i="43"/>
  <c r="AA405" i="43"/>
  <c r="AB425" i="43"/>
  <c r="AV425" i="43" s="1"/>
  <c r="AA425" i="43"/>
  <c r="AB426" i="43"/>
  <c r="AV426" i="43" s="1"/>
  <c r="AA426" i="43"/>
  <c r="AB430" i="43"/>
  <c r="AV430" i="43" s="1"/>
  <c r="AB371" i="43"/>
  <c r="AV371" i="43" s="1"/>
  <c r="AA371" i="43"/>
  <c r="AB372" i="43"/>
  <c r="AV372" i="43" s="1"/>
  <c r="AA372" i="43"/>
  <c r="AA377" i="43"/>
  <c r="AB394" i="43"/>
  <c r="AV394" i="43" s="1"/>
  <c r="AA394" i="43"/>
  <c r="AB395" i="43"/>
  <c r="AV395" i="43" s="1"/>
  <c r="AA395" i="43"/>
  <c r="AB409" i="43"/>
  <c r="AV409" i="43" s="1"/>
  <c r="AA410" i="43"/>
  <c r="AB437" i="43"/>
  <c r="AV437" i="43" s="1"/>
  <c r="AA438" i="43"/>
  <c r="AB378" i="43"/>
  <c r="AV378" i="43" s="1"/>
  <c r="AA378" i="43"/>
  <c r="AB379" i="43"/>
  <c r="AV379" i="43" s="1"/>
  <c r="AA379" i="43"/>
  <c r="AB380" i="43"/>
  <c r="AV380" i="43" s="1"/>
  <c r="AA380" i="43"/>
  <c r="AB381" i="43"/>
  <c r="AV381" i="43" s="1"/>
  <c r="AA381" i="43"/>
  <c r="AB411" i="43"/>
  <c r="AV411" i="43" s="1"/>
  <c r="AA411" i="43"/>
  <c r="AB412" i="43"/>
  <c r="AV412" i="43" s="1"/>
  <c r="AA412" i="43"/>
  <c r="AB432" i="43"/>
  <c r="AV432" i="43" s="1"/>
  <c r="AA432" i="43"/>
  <c r="AB433" i="43"/>
  <c r="AV433" i="43" s="1"/>
  <c r="AA433" i="43"/>
  <c r="AB436" i="43"/>
  <c r="AV436" i="43" s="1"/>
  <c r="AA436" i="43"/>
  <c r="AB439" i="43"/>
  <c r="AV439" i="43" s="1"/>
  <c r="AA439" i="43"/>
  <c r="AB440" i="43"/>
  <c r="AV440" i="43" s="1"/>
  <c r="AA440" i="43"/>
  <c r="AB444" i="43"/>
  <c r="AV444" i="43" s="1"/>
  <c r="AA445" i="43"/>
  <c r="AA301" i="43"/>
  <c r="AA308" i="43"/>
  <c r="AB364" i="43"/>
  <c r="AV364" i="43" s="1"/>
  <c r="AA364" i="43"/>
  <c r="AB365" i="43"/>
  <c r="AV365" i="43" s="1"/>
  <c r="AA365" i="43"/>
  <c r="AB377" i="43"/>
  <c r="AV377" i="43" s="1"/>
  <c r="AA398" i="43"/>
  <c r="AA409" i="43"/>
  <c r="AB410" i="43"/>
  <c r="AV410" i="43" s="1"/>
  <c r="AB416" i="43"/>
  <c r="AV416" i="43" s="1"/>
  <c r="AA417" i="43"/>
  <c r="AA437" i="43"/>
  <c r="AB438" i="43"/>
  <c r="AV438" i="43" s="1"/>
  <c r="AB446" i="43"/>
  <c r="AV446" i="43" s="1"/>
  <c r="AA446" i="43"/>
  <c r="AB447" i="43"/>
  <c r="AV447" i="43" s="1"/>
  <c r="AA447" i="43"/>
  <c r="AB450" i="43"/>
  <c r="AV450" i="43" s="1"/>
  <c r="AA450" i="43"/>
  <c r="AA452" i="43"/>
  <c r="AA460" i="43"/>
  <c r="AB385" i="43"/>
  <c r="AV385" i="43" s="1"/>
  <c r="AA385" i="43"/>
  <c r="AB418" i="43"/>
  <c r="AV418" i="43" s="1"/>
  <c r="AA418" i="43"/>
  <c r="AB419" i="43"/>
  <c r="AV419" i="43" s="1"/>
  <c r="AA419" i="43"/>
  <c r="AA444" i="43"/>
  <c r="AB445" i="43"/>
  <c r="AV445" i="43" s="1"/>
  <c r="AB453" i="43"/>
  <c r="AV453" i="43" s="1"/>
  <c r="AA453" i="43"/>
  <c r="AB454" i="43"/>
  <c r="AV454" i="43" s="1"/>
  <c r="AA454" i="43"/>
  <c r="AB457" i="43"/>
  <c r="AV457" i="43" s="1"/>
  <c r="AA457" i="43"/>
  <c r="AB360" i="43"/>
  <c r="AV360" i="43" s="1"/>
  <c r="AA396" i="43"/>
  <c r="AB404" i="43"/>
  <c r="AV404" i="43" s="1"/>
  <c r="AA415" i="43"/>
  <c r="AB423" i="43"/>
  <c r="AV423" i="43" s="1"/>
  <c r="AA429" i="43"/>
  <c r="AA443" i="43"/>
  <c r="AB451" i="43"/>
  <c r="AV451" i="43" s="1"/>
  <c r="AB366" i="43"/>
  <c r="AV366" i="43" s="1"/>
  <c r="AB396" i="43"/>
  <c r="AV396" i="43" s="1"/>
  <c r="AB415" i="43"/>
  <c r="AV415" i="43" s="1"/>
  <c r="AB429" i="43"/>
  <c r="AV429" i="43" s="1"/>
  <c r="AB443" i="43"/>
  <c r="AV443" i="43" s="1"/>
  <c r="AA461" i="43"/>
  <c r="AV42" i="44" l="1"/>
  <c r="AY19" i="44"/>
  <c r="AY42" i="44"/>
  <c r="AY63" i="44"/>
  <c r="AV105" i="44"/>
  <c r="AW113" i="44"/>
  <c r="AW70" i="44"/>
  <c r="AY91" i="44"/>
  <c r="AV124" i="44"/>
  <c r="AV95" i="44"/>
  <c r="AY130" i="44"/>
  <c r="AW130" i="44"/>
  <c r="AV113" i="44"/>
  <c r="AV35" i="44"/>
  <c r="AY49" i="44"/>
  <c r="AY70" i="44"/>
  <c r="AV28" i="44"/>
  <c r="AW63" i="44"/>
  <c r="AV70" i="44"/>
  <c r="AV101" i="44"/>
  <c r="AV56" i="44"/>
  <c r="AY84" i="44"/>
  <c r="AW101" i="44"/>
  <c r="AW95" i="44"/>
  <c r="AW56" i="44"/>
  <c r="AY35" i="44"/>
  <c r="AV91" i="44"/>
  <c r="AV63" i="44"/>
  <c r="AY101" i="44"/>
  <c r="AY124" i="44"/>
  <c r="AY28" i="44"/>
  <c r="AY95" i="44"/>
  <c r="AW91" i="44"/>
  <c r="AW49" i="44"/>
  <c r="AV49" i="44"/>
  <c r="AW28" i="44"/>
  <c r="AV130" i="44"/>
  <c r="AY56" i="44"/>
  <c r="AV19" i="44"/>
  <c r="AW84" i="44"/>
  <c r="AW42" i="44"/>
  <c r="AW105" i="44"/>
  <c r="AV84" i="44"/>
  <c r="AV77" i="44"/>
  <c r="AY113" i="44"/>
  <c r="AY105" i="44"/>
  <c r="AY77" i="44"/>
  <c r="AW124" i="44"/>
  <c r="AW77" i="44"/>
  <c r="AW35" i="44"/>
  <c r="AW19" i="44"/>
  <c r="AA23" i="43"/>
  <c r="AT23" i="43"/>
  <c r="AT27" i="43" s="1"/>
  <c r="AB146" i="43"/>
  <c r="AV146" i="43" s="1"/>
  <c r="AV151" i="43" s="1"/>
  <c r="AT146" i="43"/>
  <c r="AT151" i="43" s="1"/>
  <c r="AB40" i="43"/>
  <c r="AV40" i="43" s="1"/>
  <c r="AV42" i="43" s="1"/>
  <c r="AC60" i="43"/>
  <c r="AW60" i="43" s="1"/>
  <c r="AW63" i="43" s="1"/>
  <c r="AA408" i="43"/>
  <c r="AA413" i="43" s="1"/>
  <c r="AC345" i="43"/>
  <c r="AW345" i="43" s="1"/>
  <c r="AW350" i="43" s="1"/>
  <c r="AC169" i="43"/>
  <c r="AW169" i="43" s="1"/>
  <c r="AW174" i="43" s="1"/>
  <c r="AB126" i="43"/>
  <c r="AV126" i="43" s="1"/>
  <c r="AV132" i="43" s="1"/>
  <c r="AC36" i="43"/>
  <c r="AW36" i="43" s="1"/>
  <c r="AW39" i="43" s="1"/>
  <c r="AC306" i="43"/>
  <c r="AW306" i="43" s="1"/>
  <c r="AW312" i="43" s="1"/>
  <c r="AB323" i="43"/>
  <c r="AV323" i="43" s="1"/>
  <c r="AV324" i="43" s="1"/>
  <c r="AC103" i="43"/>
  <c r="AW103" i="43" s="1"/>
  <c r="AW105" i="43" s="1"/>
  <c r="AC71" i="43"/>
  <c r="AW71" i="43" s="1"/>
  <c r="AW75" i="43" s="1"/>
  <c r="AC117" i="43"/>
  <c r="AW117" i="43" s="1"/>
  <c r="AW120" i="43" s="1"/>
  <c r="AC442" i="43"/>
  <c r="AW442" i="43" s="1"/>
  <c r="AW448" i="43" s="1"/>
  <c r="AC421" i="43"/>
  <c r="AW421" i="43" s="1"/>
  <c r="AW427" i="43" s="1"/>
  <c r="AC325" i="43"/>
  <c r="AW325" i="43" s="1"/>
  <c r="AW328" i="43" s="1"/>
  <c r="AC257" i="43"/>
  <c r="AW257" i="43" s="1"/>
  <c r="AW258" i="43" s="1"/>
  <c r="AC207" i="43"/>
  <c r="AW207" i="43" s="1"/>
  <c r="AW213" i="43" s="1"/>
  <c r="AC64" i="43"/>
  <c r="AW64" i="43" s="1"/>
  <c r="AW67" i="43" s="1"/>
  <c r="AC23" i="43"/>
  <c r="AW23" i="43" s="1"/>
  <c r="AW27" i="43" s="1"/>
  <c r="AC284" i="43"/>
  <c r="AW284" i="43" s="1"/>
  <c r="AW288" i="43" s="1"/>
  <c r="AC175" i="43"/>
  <c r="AW175" i="43" s="1"/>
  <c r="AW180" i="43" s="1"/>
  <c r="AC363" i="43"/>
  <c r="AW363" i="43" s="1"/>
  <c r="AW369" i="43" s="1"/>
  <c r="AC297" i="43"/>
  <c r="AW297" i="43" s="1"/>
  <c r="AW298" i="43" s="1"/>
  <c r="AC393" i="43"/>
  <c r="AW393" i="43" s="1"/>
  <c r="AW399" i="43" s="1"/>
  <c r="AC289" i="43"/>
  <c r="AW289" i="43" s="1"/>
  <c r="AW296" i="43" s="1"/>
  <c r="AC244" i="43"/>
  <c r="AW244" i="43" s="1"/>
  <c r="AW249" i="43" s="1"/>
  <c r="AC114" i="43"/>
  <c r="AW114" i="43" s="1"/>
  <c r="AW116" i="43" s="1"/>
  <c r="AC32" i="43"/>
  <c r="AW32" i="43" s="1"/>
  <c r="AW35" i="43" s="1"/>
  <c r="AC459" i="43"/>
  <c r="AW459" i="43" s="1"/>
  <c r="AW462" i="43" s="1"/>
  <c r="AC238" i="43"/>
  <c r="AW238" i="43" s="1"/>
  <c r="AW243" i="43" s="1"/>
  <c r="AC181" i="43"/>
  <c r="AW181" i="43" s="1"/>
  <c r="AW187" i="43" s="1"/>
  <c r="AC91" i="43"/>
  <c r="AW91" i="43" s="1"/>
  <c r="AW94" i="43" s="1"/>
  <c r="AC146" i="43"/>
  <c r="AW146" i="43" s="1"/>
  <c r="AW151" i="43" s="1"/>
  <c r="AC19" i="43"/>
  <c r="AW19" i="43" s="1"/>
  <c r="AW22" i="43" s="1"/>
  <c r="AB259" i="43"/>
  <c r="AV259" i="43" s="1"/>
  <c r="AV262" i="43" s="1"/>
  <c r="AC188" i="43"/>
  <c r="AW188" i="43" s="1"/>
  <c r="AW194" i="43" s="1"/>
  <c r="AC389" i="43"/>
  <c r="AW389" i="43" s="1"/>
  <c r="AW392" i="43" s="1"/>
  <c r="AC263" i="43"/>
  <c r="AW263" i="43" s="1"/>
  <c r="AW266" i="43" s="1"/>
  <c r="AC140" i="43"/>
  <c r="AW140" i="43" s="1"/>
  <c r="AW145" i="43" s="1"/>
  <c r="AC110" i="43"/>
  <c r="AW110" i="43" s="1"/>
  <c r="AW113" i="43" s="1"/>
  <c r="AC28" i="43"/>
  <c r="AW28" i="43" s="1"/>
  <c r="AW31" i="43" s="1"/>
  <c r="AC383" i="43"/>
  <c r="AW383" i="43" s="1"/>
  <c r="AW388" i="43" s="1"/>
  <c r="AC220" i="43"/>
  <c r="AW220" i="43" s="1"/>
  <c r="AW225" i="43" s="1"/>
  <c r="AC95" i="43"/>
  <c r="AW95" i="43" s="1"/>
  <c r="AW98" i="43" s="1"/>
  <c r="AC14" i="43"/>
  <c r="AW14" i="43" s="1"/>
  <c r="AW18" i="43" s="1"/>
  <c r="AC456" i="43"/>
  <c r="AW456" i="43" s="1"/>
  <c r="AW458" i="43" s="1"/>
  <c r="AC435" i="43"/>
  <c r="AW435" i="43" s="1"/>
  <c r="AW441" i="43" s="1"/>
  <c r="AC414" i="43"/>
  <c r="AW414" i="43" s="1"/>
  <c r="AW420" i="43" s="1"/>
  <c r="AC317" i="43"/>
  <c r="AW317" i="43" s="1"/>
  <c r="AW322" i="43" s="1"/>
  <c r="AB250" i="43"/>
  <c r="AV250" i="43" s="1"/>
  <c r="AV256" i="43" s="1"/>
  <c r="AC121" i="43"/>
  <c r="AW121" i="43" s="1"/>
  <c r="AW125" i="43" s="1"/>
  <c r="AC56" i="43"/>
  <c r="AW56" i="43" s="1"/>
  <c r="AW59" i="43" s="1"/>
  <c r="AC351" i="43"/>
  <c r="AW351" i="43" s="1"/>
  <c r="AW357" i="43" s="1"/>
  <c r="AC277" i="43"/>
  <c r="AW277" i="43" s="1"/>
  <c r="AW283" i="43" s="1"/>
  <c r="AA68" i="43"/>
  <c r="AC400" i="43"/>
  <c r="AW400" i="43" s="1"/>
  <c r="AW406" i="43" s="1"/>
  <c r="AA43" i="43"/>
  <c r="AC50" i="43"/>
  <c r="AW50" i="43" s="1"/>
  <c r="AW52" i="43" s="1"/>
  <c r="AC370" i="43"/>
  <c r="AW370" i="43" s="1"/>
  <c r="AW373" i="43" s="1"/>
  <c r="AB267" i="43"/>
  <c r="AV267" i="43" s="1"/>
  <c r="AV272" i="43" s="1"/>
  <c r="AB201" i="43"/>
  <c r="AV201" i="43" s="1"/>
  <c r="AV206" i="43" s="1"/>
  <c r="AC106" i="43"/>
  <c r="AW106" i="43" s="1"/>
  <c r="AW109" i="43" s="1"/>
  <c r="AC329" i="43"/>
  <c r="AW329" i="43" s="1"/>
  <c r="AW332" i="43" s="1"/>
  <c r="AC336" i="43"/>
  <c r="AW336" i="43" s="1"/>
  <c r="AW344" i="43" s="1"/>
  <c r="AC195" i="43"/>
  <c r="AW195" i="43" s="1"/>
  <c r="AW200" i="43" s="1"/>
  <c r="AC152" i="43"/>
  <c r="AW152" i="43" s="1"/>
  <c r="AW157" i="43" s="1"/>
  <c r="AC83" i="43"/>
  <c r="AW83" i="43" s="1"/>
  <c r="AW86" i="43" s="1"/>
  <c r="AB76" i="43"/>
  <c r="AV76" i="43" s="1"/>
  <c r="AV79" i="43" s="1"/>
  <c r="AC158" i="43"/>
  <c r="AW158" i="43" s="1"/>
  <c r="AW162" i="43" s="1"/>
  <c r="AC99" i="43"/>
  <c r="AW99" i="43" s="1"/>
  <c r="AW102" i="43" s="1"/>
  <c r="AC374" i="43"/>
  <c r="AW374" i="43" s="1"/>
  <c r="AW375" i="43" s="1"/>
  <c r="AC226" i="43"/>
  <c r="AW226" i="43" s="1"/>
  <c r="AW231" i="43" s="1"/>
  <c r="AC133" i="43"/>
  <c r="AW133" i="43" s="1"/>
  <c r="AW139" i="43" s="1"/>
  <c r="AC53" i="43"/>
  <c r="AW53" i="43" s="1"/>
  <c r="AW55" i="43" s="1"/>
  <c r="AC313" i="43"/>
  <c r="AW313" i="43" s="1"/>
  <c r="AW316" i="43" s="1"/>
  <c r="AC376" i="43"/>
  <c r="AW376" i="43" s="1"/>
  <c r="AW382" i="43" s="1"/>
  <c r="AB163" i="43"/>
  <c r="AV163" i="43" s="1"/>
  <c r="AV168" i="43" s="1"/>
  <c r="AC87" i="43"/>
  <c r="AW87" i="43" s="1"/>
  <c r="AW90" i="43" s="1"/>
  <c r="AC358" i="43"/>
  <c r="AW358" i="43" s="1"/>
  <c r="AW362" i="43" s="1"/>
  <c r="AC449" i="43"/>
  <c r="AW449" i="43" s="1"/>
  <c r="AW455" i="43" s="1"/>
  <c r="AC428" i="43"/>
  <c r="AW428" i="43" s="1"/>
  <c r="AW434" i="43" s="1"/>
  <c r="AC333" i="43"/>
  <c r="AW333" i="43" s="1"/>
  <c r="AW335" i="43" s="1"/>
  <c r="AC273" i="43"/>
  <c r="AW273" i="43" s="1"/>
  <c r="AW276" i="43" s="1"/>
  <c r="AC214" i="43"/>
  <c r="AW214" i="43" s="1"/>
  <c r="AW219" i="43" s="1"/>
  <c r="AC80" i="43"/>
  <c r="AW80" i="43" s="1"/>
  <c r="AW82" i="43" s="1"/>
  <c r="AC47" i="43"/>
  <c r="AW47" i="43" s="1"/>
  <c r="AW49" i="43" s="1"/>
  <c r="AC299" i="43"/>
  <c r="AW299" i="43" s="1"/>
  <c r="AW305" i="43" s="1"/>
  <c r="AC232" i="43"/>
  <c r="AW232" i="43" s="1"/>
  <c r="AW237" i="43" s="1"/>
  <c r="AG54" i="44"/>
  <c r="AS54" i="44" s="1"/>
  <c r="AA325" i="43"/>
  <c r="AB421" i="43"/>
  <c r="AV421" i="43" s="1"/>
  <c r="AV427" i="43" s="1"/>
  <c r="AB257" i="43"/>
  <c r="AV257" i="43" s="1"/>
  <c r="AV258" i="43" s="1"/>
  <c r="AB32" i="43"/>
  <c r="AV32" i="43" s="1"/>
  <c r="AV35" i="43" s="1"/>
  <c r="AB19" i="43"/>
  <c r="AV19" i="43" s="1"/>
  <c r="AV22" i="43" s="1"/>
  <c r="AA393" i="43"/>
  <c r="AA238" i="43"/>
  <c r="AA114" i="43"/>
  <c r="AB459" i="43"/>
  <c r="AV459" i="43" s="1"/>
  <c r="AV462" i="43" s="1"/>
  <c r="AB393" i="43"/>
  <c r="AV393" i="43" s="1"/>
  <c r="AV399" i="43" s="1"/>
  <c r="AB114" i="43"/>
  <c r="AV114" i="43" s="1"/>
  <c r="AV116" i="43" s="1"/>
  <c r="AA244" i="43"/>
  <c r="AA32" i="43"/>
  <c r="AA289" i="43"/>
  <c r="AB238" i="43"/>
  <c r="AV238" i="43" s="1"/>
  <c r="AV243" i="43" s="1"/>
  <c r="AA19" i="43"/>
  <c r="AA146" i="43"/>
  <c r="AA91" i="43"/>
  <c r="AB181" i="43"/>
  <c r="AV181" i="43" s="1"/>
  <c r="AV187" i="43" s="1"/>
  <c r="AB91" i="43"/>
  <c r="AV91" i="43" s="1"/>
  <c r="AV94" i="43" s="1"/>
  <c r="AA103" i="43"/>
  <c r="AA284" i="43"/>
  <c r="AA40" i="43"/>
  <c r="AA306" i="43"/>
  <c r="AA60" i="43"/>
  <c r="AA158" i="43"/>
  <c r="AB43" i="43"/>
  <c r="AV43" i="43" s="1"/>
  <c r="AV46" i="43" s="1"/>
  <c r="AA71" i="43"/>
  <c r="AA421" i="43"/>
  <c r="AB284" i="43"/>
  <c r="AV284" i="43" s="1"/>
  <c r="AV288" i="43" s="1"/>
  <c r="AB103" i="43"/>
  <c r="AV103" i="43" s="1"/>
  <c r="AV105" i="43" s="1"/>
  <c r="AB36" i="43"/>
  <c r="AV36" i="43" s="1"/>
  <c r="AV39" i="43" s="1"/>
  <c r="AB325" i="43"/>
  <c r="AV325" i="43" s="1"/>
  <c r="AV328" i="43" s="1"/>
  <c r="AA207" i="43"/>
  <c r="AB169" i="43"/>
  <c r="AV169" i="43" s="1"/>
  <c r="AV174" i="43" s="1"/>
  <c r="AB345" i="43"/>
  <c r="AV345" i="43" s="1"/>
  <c r="AV350" i="43" s="1"/>
  <c r="AB64" i="43"/>
  <c r="AV64" i="43" s="1"/>
  <c r="AV67" i="43" s="1"/>
  <c r="AA169" i="43"/>
  <c r="AB306" i="43"/>
  <c r="AV306" i="43" s="1"/>
  <c r="AV312" i="43" s="1"/>
  <c r="AA323" i="43"/>
  <c r="AB442" i="43"/>
  <c r="AV442" i="43" s="1"/>
  <c r="AV448" i="43" s="1"/>
  <c r="AA345" i="43"/>
  <c r="AA117" i="43"/>
  <c r="AA175" i="43"/>
  <c r="AA442" i="43"/>
  <c r="AA257" i="43"/>
  <c r="AB71" i="43"/>
  <c r="AV71" i="43" s="1"/>
  <c r="AV75" i="43" s="1"/>
  <c r="AA126" i="43"/>
  <c r="AB175" i="43"/>
  <c r="AV175" i="43" s="1"/>
  <c r="AV180" i="43" s="1"/>
  <c r="AA259" i="43"/>
  <c r="AA36" i="43"/>
  <c r="AA181" i="43"/>
  <c r="AC43" i="43"/>
  <c r="AW43" i="43" s="1"/>
  <c r="AW46" i="43" s="1"/>
  <c r="AA459" i="43"/>
  <c r="AB244" i="43"/>
  <c r="AV244" i="43" s="1"/>
  <c r="AV249" i="43" s="1"/>
  <c r="AB23" i="43"/>
  <c r="AV23" i="43" s="1"/>
  <c r="AV27" i="43" s="1"/>
  <c r="AB117" i="43"/>
  <c r="AV117" i="43" s="1"/>
  <c r="AV120" i="43" s="1"/>
  <c r="AB289" i="43"/>
  <c r="AV289" i="43" s="1"/>
  <c r="AV296" i="43" s="1"/>
  <c r="AA297" i="43"/>
  <c r="AA188" i="43"/>
  <c r="AB363" i="43"/>
  <c r="AV363" i="43" s="1"/>
  <c r="AV369" i="43" s="1"/>
  <c r="AB297" i="43"/>
  <c r="AV297" i="43" s="1"/>
  <c r="AV298" i="43" s="1"/>
  <c r="AB188" i="43"/>
  <c r="AV188" i="43" s="1"/>
  <c r="AV194" i="43" s="1"/>
  <c r="AA99" i="43"/>
  <c r="AB50" i="43"/>
  <c r="AV50" i="43" s="1"/>
  <c r="AV52" i="43" s="1"/>
  <c r="AA363" i="43"/>
  <c r="AB99" i="43"/>
  <c r="AV99" i="43" s="1"/>
  <c r="AV102" i="43" s="1"/>
  <c r="AA50" i="43"/>
  <c r="AB400" i="43"/>
  <c r="AV400" i="43" s="1"/>
  <c r="AV406" i="43" s="1"/>
  <c r="AA400" i="43"/>
  <c r="AB60" i="43"/>
  <c r="AV60" i="43" s="1"/>
  <c r="AV63" i="43" s="1"/>
  <c r="AC40" i="43"/>
  <c r="AW40" i="43" s="1"/>
  <c r="AW42" i="43" s="1"/>
  <c r="AG36" i="44"/>
  <c r="AS36" i="44" s="1"/>
  <c r="AA121" i="43"/>
  <c r="AA358" i="43"/>
  <c r="AA163" i="43"/>
  <c r="AB158" i="43"/>
  <c r="AV158" i="43" s="1"/>
  <c r="AV162" i="43" s="1"/>
  <c r="AC259" i="43"/>
  <c r="AW259" i="43" s="1"/>
  <c r="AW262" i="43" s="1"/>
  <c r="AA374" i="43"/>
  <c r="AB358" i="43"/>
  <c r="AV358" i="43" s="1"/>
  <c r="AV362" i="43" s="1"/>
  <c r="AB299" i="43"/>
  <c r="AV299" i="43" s="1"/>
  <c r="AV305" i="43" s="1"/>
  <c r="AB408" i="43"/>
  <c r="AV408" i="43" s="1"/>
  <c r="AV413" i="43" s="1"/>
  <c r="AA232" i="43"/>
  <c r="AA133" i="43"/>
  <c r="AA376" i="43"/>
  <c r="AA273" i="43"/>
  <c r="AB232" i="43"/>
  <c r="AV232" i="43" s="1"/>
  <c r="AV237" i="43" s="1"/>
  <c r="AA299" i="43"/>
  <c r="AA87" i="43"/>
  <c r="AB273" i="43"/>
  <c r="AV273" i="43" s="1"/>
  <c r="AV276" i="43" s="1"/>
  <c r="AB376" i="43"/>
  <c r="AV376" i="43" s="1"/>
  <c r="AV382" i="43" s="1"/>
  <c r="AB87" i="43"/>
  <c r="AV87" i="43" s="1"/>
  <c r="AV90" i="43" s="1"/>
  <c r="AB80" i="43"/>
  <c r="AV80" i="43" s="1"/>
  <c r="AV82" i="43" s="1"/>
  <c r="AC163" i="43"/>
  <c r="AW163" i="43" s="1"/>
  <c r="AW168" i="43" s="1"/>
  <c r="AB374" i="43"/>
  <c r="AV374" i="43" s="1"/>
  <c r="AV375" i="43" s="1"/>
  <c r="AA428" i="43"/>
  <c r="AA333" i="43"/>
  <c r="AA449" i="43"/>
  <c r="AB428" i="43"/>
  <c r="AV428" i="43" s="1"/>
  <c r="AV434" i="43" s="1"/>
  <c r="AA313" i="43"/>
  <c r="AB333" i="43"/>
  <c r="AV333" i="43" s="1"/>
  <c r="AV335" i="43" s="1"/>
  <c r="AA226" i="43"/>
  <c r="AA214" i="43"/>
  <c r="AB133" i="43"/>
  <c r="AV133" i="43" s="1"/>
  <c r="AV139" i="43" s="1"/>
  <c r="AB53" i="43"/>
  <c r="AV53" i="43" s="1"/>
  <c r="AV55" i="43" s="1"/>
  <c r="AA47" i="43"/>
  <c r="AB449" i="43"/>
  <c r="AV449" i="43" s="1"/>
  <c r="AV455" i="43" s="1"/>
  <c r="AB313" i="43"/>
  <c r="AV313" i="43" s="1"/>
  <c r="AV316" i="43" s="1"/>
  <c r="AB226" i="43"/>
  <c r="AV226" i="43" s="1"/>
  <c r="AV231" i="43" s="1"/>
  <c r="AB214" i="43"/>
  <c r="AV214" i="43" s="1"/>
  <c r="AV219" i="43" s="1"/>
  <c r="AB47" i="43"/>
  <c r="AV47" i="43" s="1"/>
  <c r="AV49" i="43" s="1"/>
  <c r="AA53" i="43"/>
  <c r="AA80" i="43"/>
  <c r="AB336" i="43"/>
  <c r="AV336" i="43" s="1"/>
  <c r="AV344" i="43" s="1"/>
  <c r="AA195" i="43"/>
  <c r="AB207" i="43"/>
  <c r="AV207" i="43" s="1"/>
  <c r="AV213" i="43" s="1"/>
  <c r="AC126" i="43"/>
  <c r="AW126" i="43" s="1"/>
  <c r="AW132" i="43" s="1"/>
  <c r="AC323" i="43"/>
  <c r="AW323" i="43" s="1"/>
  <c r="AW324" i="43" s="1"/>
  <c r="AB195" i="43"/>
  <c r="AV195" i="43" s="1"/>
  <c r="AV200" i="43" s="1"/>
  <c r="AA83" i="43"/>
  <c r="AA267" i="43"/>
  <c r="AB370" i="43"/>
  <c r="AV370" i="43" s="1"/>
  <c r="AV373" i="43" s="1"/>
  <c r="AB83" i="43"/>
  <c r="AV83" i="43" s="1"/>
  <c r="AV86" i="43" s="1"/>
  <c r="AC267" i="43"/>
  <c r="AW267" i="43" s="1"/>
  <c r="AW272" i="43" s="1"/>
  <c r="AB152" i="43"/>
  <c r="AV152" i="43" s="1"/>
  <c r="AV157" i="43" s="1"/>
  <c r="AA76" i="43"/>
  <c r="AB329" i="43"/>
  <c r="AV329" i="43" s="1"/>
  <c r="AV332" i="43" s="1"/>
  <c r="AA106" i="43"/>
  <c r="AA329" i="43"/>
  <c r="AA201" i="43"/>
  <c r="AA370" i="43"/>
  <c r="AA336" i="43"/>
  <c r="AA152" i="43"/>
  <c r="AB106" i="43"/>
  <c r="AV106" i="43" s="1"/>
  <c r="AV109" i="43" s="1"/>
  <c r="AA64" i="43"/>
  <c r="AB110" i="43"/>
  <c r="AV110" i="43" s="1"/>
  <c r="AV113" i="43" s="1"/>
  <c r="AB140" i="43"/>
  <c r="AV140" i="43" s="1"/>
  <c r="AV145" i="43" s="1"/>
  <c r="AA263" i="43"/>
  <c r="AC201" i="43"/>
  <c r="AW201" i="43" s="1"/>
  <c r="AW206" i="43" s="1"/>
  <c r="AA110" i="43"/>
  <c r="AC76" i="43"/>
  <c r="AW76" i="43" s="1"/>
  <c r="AW79" i="43" s="1"/>
  <c r="AB95" i="43"/>
  <c r="AV95" i="43" s="1"/>
  <c r="AV98" i="43" s="1"/>
  <c r="AB263" i="43"/>
  <c r="AV263" i="43" s="1"/>
  <c r="AV266" i="43" s="1"/>
  <c r="AB56" i="43"/>
  <c r="AV56" i="43" s="1"/>
  <c r="AV59" i="43" s="1"/>
  <c r="AC68" i="43"/>
  <c r="AW68" i="43" s="1"/>
  <c r="AW70" i="43" s="1"/>
  <c r="AA277" i="43"/>
  <c r="AA95" i="43"/>
  <c r="AB14" i="43"/>
  <c r="AV14" i="43" s="1"/>
  <c r="AV18" i="43" s="1"/>
  <c r="AA28" i="43"/>
  <c r="AA140" i="43"/>
  <c r="AA56" i="43"/>
  <c r="AB68" i="43"/>
  <c r="AV68" i="43" s="1"/>
  <c r="AV70" i="43" s="1"/>
  <c r="AA414" i="43"/>
  <c r="AA435" i="43"/>
  <c r="AB351" i="43"/>
  <c r="AV351" i="43" s="1"/>
  <c r="AV357" i="43" s="1"/>
  <c r="AB277" i="43"/>
  <c r="AV277" i="43" s="1"/>
  <c r="AV283" i="43" s="1"/>
  <c r="AA250" i="43"/>
  <c r="AA317" i="43"/>
  <c r="AB121" i="43"/>
  <c r="AV121" i="43" s="1"/>
  <c r="AV125" i="43" s="1"/>
  <c r="AA14" i="43"/>
  <c r="AB28" i="43"/>
  <c r="AV28" i="43" s="1"/>
  <c r="AV31" i="43" s="1"/>
  <c r="AA383" i="43"/>
  <c r="AC250" i="43"/>
  <c r="AW250" i="43" s="1"/>
  <c r="AW256" i="43" s="1"/>
  <c r="AA389" i="43"/>
  <c r="AA456" i="43"/>
  <c r="AB414" i="43"/>
  <c r="AV414" i="43" s="1"/>
  <c r="AV420" i="43" s="1"/>
  <c r="AB435" i="43"/>
  <c r="AV435" i="43" s="1"/>
  <c r="AV441" i="43" s="1"/>
  <c r="AA351" i="43"/>
  <c r="AB317" i="43"/>
  <c r="AV317" i="43" s="1"/>
  <c r="AV322" i="43" s="1"/>
  <c r="AB389" i="43"/>
  <c r="AV389" i="43" s="1"/>
  <c r="AV392" i="43" s="1"/>
  <c r="AB383" i="43"/>
  <c r="AV383" i="43" s="1"/>
  <c r="AV388" i="43" s="1"/>
  <c r="AB456" i="43"/>
  <c r="AV456" i="43" s="1"/>
  <c r="AV458" i="43" s="1"/>
  <c r="AB220" i="43"/>
  <c r="AV220" i="43" s="1"/>
  <c r="AV225" i="43" s="1"/>
  <c r="AA220" i="43"/>
  <c r="AC408" i="43"/>
  <c r="AW408" i="43" s="1"/>
  <c r="AW413" i="43" s="1"/>
  <c r="V413" i="43"/>
  <c r="AG101" i="43"/>
  <c r="AS101" i="43" s="1"/>
  <c r="AG47" i="44"/>
  <c r="AS47" i="44" s="1"/>
  <c r="AG81" i="44"/>
  <c r="AS81" i="44" s="1"/>
  <c r="AG78" i="44"/>
  <c r="AS78" i="44" s="1"/>
  <c r="AG173" i="43"/>
  <c r="AS173" i="43" s="1"/>
  <c r="AG236" i="43"/>
  <c r="AS236" i="43" s="1"/>
  <c r="AG222" i="43"/>
  <c r="AS222" i="43" s="1"/>
  <c r="AG48" i="44"/>
  <c r="AS48" i="44" s="1"/>
  <c r="AG61" i="44"/>
  <c r="AS61" i="44" s="1"/>
  <c r="AG60" i="44"/>
  <c r="AS60" i="44" s="1"/>
  <c r="AG89" i="44"/>
  <c r="AS89" i="44" s="1"/>
  <c r="AG121" i="44"/>
  <c r="AS121" i="44" s="1"/>
  <c r="AG104" i="43"/>
  <c r="AS104" i="43" s="1"/>
  <c r="AG69" i="44"/>
  <c r="AS69" i="44" s="1"/>
  <c r="AG20" i="44"/>
  <c r="AS20" i="44" s="1"/>
  <c r="AG127" i="44"/>
  <c r="AS127" i="44" s="1"/>
  <c r="AG94" i="44"/>
  <c r="AS94" i="44" s="1"/>
  <c r="AG44" i="44"/>
  <c r="AS44" i="44" s="1"/>
  <c r="AG90" i="44"/>
  <c r="AS90" i="44" s="1"/>
  <c r="AG40" i="44"/>
  <c r="AS40" i="44" s="1"/>
  <c r="AG32" i="44"/>
  <c r="AS32" i="44" s="1"/>
  <c r="AG39" i="44"/>
  <c r="AS39" i="44" s="1"/>
  <c r="AG62" i="44"/>
  <c r="AS62" i="44" s="1"/>
  <c r="AG76" i="44"/>
  <c r="AS76" i="44" s="1"/>
  <c r="AG64" i="44"/>
  <c r="AS64" i="44" s="1"/>
  <c r="AG104" i="44"/>
  <c r="AS104" i="44" s="1"/>
  <c r="AG26" i="44"/>
  <c r="AS26" i="44" s="1"/>
  <c r="AG86" i="44"/>
  <c r="AS86" i="44" s="1"/>
  <c r="AG184" i="43"/>
  <c r="AS184" i="43" s="1"/>
  <c r="AG315" i="43"/>
  <c r="AS315" i="43" s="1"/>
  <c r="AG114" i="44"/>
  <c r="AS114" i="44" s="1"/>
  <c r="AS115" i="44" s="1"/>
  <c r="AG61" i="43"/>
  <c r="AS61" i="43" s="1"/>
  <c r="AG229" i="43"/>
  <c r="AS229" i="43" s="1"/>
  <c r="AG118" i="43"/>
  <c r="AS118" i="43" s="1"/>
  <c r="AG77" i="43"/>
  <c r="AS77" i="43" s="1"/>
  <c r="AG138" i="43"/>
  <c r="AS138" i="43" s="1"/>
  <c r="AG461" i="43"/>
  <c r="AS461" i="43" s="1"/>
  <c r="AG275" i="43"/>
  <c r="AS275" i="43" s="1"/>
  <c r="AG153" i="43"/>
  <c r="AS153" i="43" s="1"/>
  <c r="AG431" i="43"/>
  <c r="AS431" i="43" s="1"/>
  <c r="AG199" i="43"/>
  <c r="AS199" i="43" s="1"/>
  <c r="AG429" i="43"/>
  <c r="AS429" i="43" s="1"/>
  <c r="AG368" i="43"/>
  <c r="AS368" i="43" s="1"/>
  <c r="AG147" i="43"/>
  <c r="AS147" i="43" s="1"/>
  <c r="AG235" i="43"/>
  <c r="AS235" i="43" s="1"/>
  <c r="AG286" i="43"/>
  <c r="AS286" i="43" s="1"/>
  <c r="AG177" i="43"/>
  <c r="AS177" i="43" s="1"/>
  <c r="AG360" i="43"/>
  <c r="AS360" i="43" s="1"/>
  <c r="AG451" i="43"/>
  <c r="AS451" i="43" s="1"/>
  <c r="AG154" i="43"/>
  <c r="AS154" i="43" s="1"/>
  <c r="AG390" i="43"/>
  <c r="AS390" i="43" s="1"/>
  <c r="AG353" i="43"/>
  <c r="AS353" i="43" s="1"/>
  <c r="AG281" i="43"/>
  <c r="AS281" i="43" s="1"/>
  <c r="AG69" i="43"/>
  <c r="AS69" i="43" s="1"/>
  <c r="AG282" i="43"/>
  <c r="AS282" i="43" s="1"/>
  <c r="AG83" i="44"/>
  <c r="AS83" i="44" s="1"/>
  <c r="AG14" i="44"/>
  <c r="AS14" i="44" s="1"/>
  <c r="AG119" i="44"/>
  <c r="AS119" i="44" s="1"/>
  <c r="AG55" i="44"/>
  <c r="AS55" i="44" s="1"/>
  <c r="AG106" i="44"/>
  <c r="AS106" i="44" s="1"/>
  <c r="AS107" i="44" s="1"/>
  <c r="AG111" i="44"/>
  <c r="AS111" i="44" s="1"/>
  <c r="AG108" i="44"/>
  <c r="AS108" i="44" s="1"/>
  <c r="AG45" i="44"/>
  <c r="AS45" i="44" s="1"/>
  <c r="AG103" i="44"/>
  <c r="AS103" i="44" s="1"/>
  <c r="AG112" i="44"/>
  <c r="AS112" i="44" s="1"/>
  <c r="AG17" i="44"/>
  <c r="AS17" i="44" s="1"/>
  <c r="AG21" i="44"/>
  <c r="AS21" i="44" s="1"/>
  <c r="AG128" i="44"/>
  <c r="AS128" i="44" s="1"/>
  <c r="AG73" i="44"/>
  <c r="AS73" i="44" s="1"/>
  <c r="AG88" i="44"/>
  <c r="AS88" i="44" s="1"/>
  <c r="AG18" i="44"/>
  <c r="AS18" i="44" s="1"/>
  <c r="AG24" i="44"/>
  <c r="AS24" i="44" s="1"/>
  <c r="AG41" i="44"/>
  <c r="AS41" i="44" s="1"/>
  <c r="AG74" i="44"/>
  <c r="AS74" i="44" s="1"/>
  <c r="AG98" i="44"/>
  <c r="AS98" i="44" s="1"/>
  <c r="AG75" i="44"/>
  <c r="AS75" i="44" s="1"/>
  <c r="AG53" i="44"/>
  <c r="AS53" i="44" s="1"/>
  <c r="AG118" i="44"/>
  <c r="AS118" i="44" s="1"/>
  <c r="AG66" i="44"/>
  <c r="AS66" i="44" s="1"/>
  <c r="AG100" i="44"/>
  <c r="AS100" i="44" s="1"/>
  <c r="AG122" i="44"/>
  <c r="AS122" i="44" s="1"/>
  <c r="AG85" i="44"/>
  <c r="AS85" i="44" s="1"/>
  <c r="AG97" i="44"/>
  <c r="AS97" i="44" s="1"/>
  <c r="AG16" i="44"/>
  <c r="AS16" i="44" s="1"/>
  <c r="AG116" i="44"/>
  <c r="AS116" i="44" s="1"/>
  <c r="AG34" i="44"/>
  <c r="AS34" i="44" s="1"/>
  <c r="AG79" i="44"/>
  <c r="AS79" i="44" s="1"/>
  <c r="AG301" i="43"/>
  <c r="AS301" i="43" s="1"/>
  <c r="AG339" i="43"/>
  <c r="AS339" i="43" s="1"/>
  <c r="AG251" i="43"/>
  <c r="AS251" i="43" s="1"/>
  <c r="AG208" i="43"/>
  <c r="AS208" i="43" s="1"/>
  <c r="AG185" i="43"/>
  <c r="AS185" i="43" s="1"/>
  <c r="AG161" i="43"/>
  <c r="AS161" i="43" s="1"/>
  <c r="AG112" i="43"/>
  <c r="AS112" i="43" s="1"/>
  <c r="AG51" i="43"/>
  <c r="AS51" i="43" s="1"/>
  <c r="AG367" i="43"/>
  <c r="AS367" i="43" s="1"/>
  <c r="AG167" i="43"/>
  <c r="AS167" i="43" s="1"/>
  <c r="AG88" i="43"/>
  <c r="AS88" i="43" s="1"/>
  <c r="AG397" i="43"/>
  <c r="AS397" i="43" s="1"/>
  <c r="AG361" i="43"/>
  <c r="AS361" i="43" s="1"/>
  <c r="AG430" i="43"/>
  <c r="AS430" i="43" s="1"/>
  <c r="AG346" i="43"/>
  <c r="AS346" i="43" s="1"/>
  <c r="AG72" i="43"/>
  <c r="AS72" i="43" s="1"/>
  <c r="AG62" i="43"/>
  <c r="AS62" i="43" s="1"/>
  <c r="AG143" i="43"/>
  <c r="AS143" i="43" s="1"/>
  <c r="AG93" i="43"/>
  <c r="AS93" i="43" s="1"/>
  <c r="AG366" i="43"/>
  <c r="AS366" i="43" s="1"/>
  <c r="AG450" i="43"/>
  <c r="AS450" i="43" s="1"/>
  <c r="AG447" i="43"/>
  <c r="AS447" i="43" s="1"/>
  <c r="AG437" i="43"/>
  <c r="AS437" i="43" s="1"/>
  <c r="AG398" i="43"/>
  <c r="AS398" i="43" s="1"/>
  <c r="AG394" i="43"/>
  <c r="AS394" i="43" s="1"/>
  <c r="AG391" i="43"/>
  <c r="AS391" i="43" s="1"/>
  <c r="AG248" i="43"/>
  <c r="AS248" i="43" s="1"/>
  <c r="AG166" i="43"/>
  <c r="AS166" i="43" s="1"/>
  <c r="AG270" i="43"/>
  <c r="AS270" i="43" s="1"/>
  <c r="AG268" i="43"/>
  <c r="AS268" i="43" s="1"/>
  <c r="AG191" i="43"/>
  <c r="AS191" i="43" s="1"/>
  <c r="AG96" i="43"/>
  <c r="AS96" i="43" s="1"/>
  <c r="AG115" i="43"/>
  <c r="AS115" i="43" s="1"/>
  <c r="AG41" i="43"/>
  <c r="AS41" i="43" s="1"/>
  <c r="AG182" i="43"/>
  <c r="AS182" i="43" s="1"/>
  <c r="AG215" i="43"/>
  <c r="AS215" i="43" s="1"/>
  <c r="AG85" i="43"/>
  <c r="AS85" i="43" s="1"/>
  <c r="AG134" i="43"/>
  <c r="AS134" i="43" s="1"/>
  <c r="AG271" i="43"/>
  <c r="AS271" i="43" s="1"/>
  <c r="AG404" i="43"/>
  <c r="AS404" i="43" s="1"/>
  <c r="AG354" i="43"/>
  <c r="AS354" i="43" s="1"/>
  <c r="AG349" i="43"/>
  <c r="AS349" i="43" s="1"/>
  <c r="AG319" i="43"/>
  <c r="AS319" i="43" s="1"/>
  <c r="AG176" i="43"/>
  <c r="AS176" i="43" s="1"/>
  <c r="AG347" i="43"/>
  <c r="AS347" i="43" s="1"/>
  <c r="AG342" i="43"/>
  <c r="AS342" i="43" s="1"/>
  <c r="AG155" i="43"/>
  <c r="AS155" i="43" s="1"/>
  <c r="AG141" i="43"/>
  <c r="AS141" i="43" s="1"/>
  <c r="AG128" i="43"/>
  <c r="AS128" i="43" s="1"/>
  <c r="AG409" i="43"/>
  <c r="AS409" i="43" s="1"/>
  <c r="AG410" i="43"/>
  <c r="AS410" i="43" s="1"/>
  <c r="AG395" i="43"/>
  <c r="AS395" i="43" s="1"/>
  <c r="AG38" i="43"/>
  <c r="AS38" i="43" s="1"/>
  <c r="AG130" i="43"/>
  <c r="AS130" i="43" s="1"/>
  <c r="AG48" i="43"/>
  <c r="AS48" i="43" s="1"/>
  <c r="AG26" i="43"/>
  <c r="AS26" i="43" s="1"/>
  <c r="AG150" i="43"/>
  <c r="AS150" i="43" s="1"/>
  <c r="AG274" i="43"/>
  <c r="AS274" i="43" s="1"/>
  <c r="AG43" i="44"/>
  <c r="AS43" i="44" s="1"/>
  <c r="AG22" i="44"/>
  <c r="AS22" i="44" s="1"/>
  <c r="AG58" i="44"/>
  <c r="AS58" i="44" s="1"/>
  <c r="AG27" i="44"/>
  <c r="AS27" i="44" s="1"/>
  <c r="AG23" i="44"/>
  <c r="AS23" i="44" s="1"/>
  <c r="AG71" i="44"/>
  <c r="AS71" i="44" s="1"/>
  <c r="AG31" i="44"/>
  <c r="AS31" i="44" s="1"/>
  <c r="AG110" i="44"/>
  <c r="AS110" i="44" s="1"/>
  <c r="AG102" i="44"/>
  <c r="AS102" i="44" s="1"/>
  <c r="AG92" i="44"/>
  <c r="AS92" i="44" s="1"/>
  <c r="AG96" i="44"/>
  <c r="AS96" i="44" s="1"/>
  <c r="AG80" i="44"/>
  <c r="AS80" i="44" s="1"/>
  <c r="AG50" i="44"/>
  <c r="AS50" i="44" s="1"/>
  <c r="AG33" i="44"/>
  <c r="AS33" i="44" s="1"/>
  <c r="AG30" i="44"/>
  <c r="AS30" i="44" s="1"/>
  <c r="AG82" i="44"/>
  <c r="AS82" i="44" s="1"/>
  <c r="AG59" i="44"/>
  <c r="AS59" i="44" s="1"/>
  <c r="AG109" i="44"/>
  <c r="AS109" i="44" s="1"/>
  <c r="AG38" i="44"/>
  <c r="AS38" i="44" s="1"/>
  <c r="AG87" i="44"/>
  <c r="AS87" i="44" s="1"/>
  <c r="AG126" i="44"/>
  <c r="AS126" i="44" s="1"/>
  <c r="AG37" i="44"/>
  <c r="AS37" i="44" s="1"/>
  <c r="AG25" i="44"/>
  <c r="AS25" i="44" s="1"/>
  <c r="AG46" i="44"/>
  <c r="AS46" i="44" s="1"/>
  <c r="AG57" i="44"/>
  <c r="AS57" i="44" s="1"/>
  <c r="AG120" i="44"/>
  <c r="AS120" i="44" s="1"/>
  <c r="AG15" i="44"/>
  <c r="AS15" i="44" s="1"/>
  <c r="AG68" i="44"/>
  <c r="AS68" i="44" s="1"/>
  <c r="AG123" i="44"/>
  <c r="AS123" i="44" s="1"/>
  <c r="AG51" i="44"/>
  <c r="AS51" i="44" s="1"/>
  <c r="AG67" i="44"/>
  <c r="AS67" i="44" s="1"/>
  <c r="AG125" i="44"/>
  <c r="AS125" i="44" s="1"/>
  <c r="AG129" i="44"/>
  <c r="AS129" i="44" s="1"/>
  <c r="AG117" i="44"/>
  <c r="AS117" i="44" s="1"/>
  <c r="AG65" i="44"/>
  <c r="AS65" i="44" s="1"/>
  <c r="AG29" i="44"/>
  <c r="AS29" i="44" s="1"/>
  <c r="AG52" i="44"/>
  <c r="AS52" i="44" s="1"/>
  <c r="AG99" i="44"/>
  <c r="AS99" i="44" s="1"/>
  <c r="AG72" i="44"/>
  <c r="AS72" i="44" s="1"/>
  <c r="AG93" i="44"/>
  <c r="AS93" i="44" s="1"/>
  <c r="AG423" i="43"/>
  <c r="AS423" i="43" s="1"/>
  <c r="AG384" i="43"/>
  <c r="AS384" i="43" s="1"/>
  <c r="AG452" i="43"/>
  <c r="AS452" i="43" s="1"/>
  <c r="AG308" i="43"/>
  <c r="AS308" i="43" s="1"/>
  <c r="AG438" i="43"/>
  <c r="AS438" i="43" s="1"/>
  <c r="AG405" i="43"/>
  <c r="AS405" i="43" s="1"/>
  <c r="AG424" i="43"/>
  <c r="AS424" i="43" s="1"/>
  <c r="AG387" i="43"/>
  <c r="AS387" i="43" s="1"/>
  <c r="AG290" i="43"/>
  <c r="AS290" i="43" s="1"/>
  <c r="AG327" i="43"/>
  <c r="AS327" i="43" s="1"/>
  <c r="AG241" i="43"/>
  <c r="AS241" i="43" s="1"/>
  <c r="AG293" i="43"/>
  <c r="AS293" i="43" s="1"/>
  <c r="AG280" i="43"/>
  <c r="AS280" i="43" s="1"/>
  <c r="AG261" i="43"/>
  <c r="AS261" i="43" s="1"/>
  <c r="AG218" i="43"/>
  <c r="AS218" i="43" s="1"/>
  <c r="AG216" i="43"/>
  <c r="AS216" i="43" s="1"/>
  <c r="AG264" i="43"/>
  <c r="AS264" i="43" s="1"/>
  <c r="AG221" i="43"/>
  <c r="AS221" i="43" s="1"/>
  <c r="AG210" i="43"/>
  <c r="AS210" i="43" s="1"/>
  <c r="AG165" i="43"/>
  <c r="AS165" i="43" s="1"/>
  <c r="AG203" i="43"/>
  <c r="AS203" i="43" s="1"/>
  <c r="AG142" i="43"/>
  <c r="AS142" i="43" s="1"/>
  <c r="AG119" i="43"/>
  <c r="AS119" i="43" s="1"/>
  <c r="AG15" i="43"/>
  <c r="AS15" i="43" s="1"/>
  <c r="AG44" i="43"/>
  <c r="AS44" i="43" s="1"/>
  <c r="AG34" i="43"/>
  <c r="AS34" i="43" s="1"/>
  <c r="AG377" i="43"/>
  <c r="AS377" i="43" s="1"/>
  <c r="AG403" i="43"/>
  <c r="AS403" i="43" s="1"/>
  <c r="AG401" i="43"/>
  <c r="AS401" i="43" s="1"/>
  <c r="AG331" i="43"/>
  <c r="AS331" i="43" s="1"/>
  <c r="AG340" i="43"/>
  <c r="AS340" i="43" s="1"/>
  <c r="AG294" i="43"/>
  <c r="AS294" i="43" s="1"/>
  <c r="AG205" i="43"/>
  <c r="AS205" i="43" s="1"/>
  <c r="AG189" i="43"/>
  <c r="AS189" i="43" s="1"/>
  <c r="AG311" i="43"/>
  <c r="AS311" i="43" s="1"/>
  <c r="AG295" i="43"/>
  <c r="AS295" i="43" s="1"/>
  <c r="AG24" i="43"/>
  <c r="AS24" i="43" s="1"/>
  <c r="AG302" i="43"/>
  <c r="AS302" i="43" s="1"/>
  <c r="AG291" i="43"/>
  <c r="AS291" i="43" s="1"/>
  <c r="AG193" i="43"/>
  <c r="AS193" i="43" s="1"/>
  <c r="AG269" i="43"/>
  <c r="AS269" i="43" s="1"/>
  <c r="AG179" i="43"/>
  <c r="AS179" i="43" s="1"/>
  <c r="AG159" i="43"/>
  <c r="AS159" i="43" s="1"/>
  <c r="AG122" i="43"/>
  <c r="AS122" i="43" s="1"/>
  <c r="AG97" i="43"/>
  <c r="AS97" i="43" s="1"/>
  <c r="AG58" i="43"/>
  <c r="AS58" i="43" s="1"/>
  <c r="AG25" i="43"/>
  <c r="AS25" i="43" s="1"/>
  <c r="AG417" i="43"/>
  <c r="AS417" i="43" s="1"/>
  <c r="AG440" i="43"/>
  <c r="AS440" i="43" s="1"/>
  <c r="AG386" i="43"/>
  <c r="AS386" i="43" s="1"/>
  <c r="AG326" i="43"/>
  <c r="AS326" i="43" s="1"/>
  <c r="AG304" i="43"/>
  <c r="AS304" i="43" s="1"/>
  <c r="AG334" i="43"/>
  <c r="AS334" i="43" s="1"/>
  <c r="AG260" i="43"/>
  <c r="AS260" i="43" s="1"/>
  <c r="AG228" i="43"/>
  <c r="AS228" i="43" s="1"/>
  <c r="AG217" i="43"/>
  <c r="AS217" i="43" s="1"/>
  <c r="AG178" i="43"/>
  <c r="AS178" i="43" s="1"/>
  <c r="AG211" i="43"/>
  <c r="AS211" i="43" s="1"/>
  <c r="AG209" i="43"/>
  <c r="AS209" i="43" s="1"/>
  <c r="AG204" i="43"/>
  <c r="AS204" i="43" s="1"/>
  <c r="AG202" i="43"/>
  <c r="AS202" i="43" s="1"/>
  <c r="AG144" i="43"/>
  <c r="AS144" i="43" s="1"/>
  <c r="AG74" i="43"/>
  <c r="AS74" i="43" s="1"/>
  <c r="AG16" i="43"/>
  <c r="AS16" i="43" s="1"/>
  <c r="AG287" i="43"/>
  <c r="AS287" i="43" s="1"/>
  <c r="AG135" i="43"/>
  <c r="AS135" i="43" s="1"/>
  <c r="AG446" i="43"/>
  <c r="AS446" i="43" s="1"/>
  <c r="AG416" i="43"/>
  <c r="AS416" i="43" s="1"/>
  <c r="AG402" i="43"/>
  <c r="AS402" i="43" s="1"/>
  <c r="AG343" i="43"/>
  <c r="AS343" i="43" s="1"/>
  <c r="AG320" i="43"/>
  <c r="AS320" i="43" s="1"/>
  <c r="AG279" i="43"/>
  <c r="AS279" i="43" s="1"/>
  <c r="AG341" i="43"/>
  <c r="AS341" i="43" s="1"/>
  <c r="AG310" i="43"/>
  <c r="AS310" i="43" s="1"/>
  <c r="AG198" i="43"/>
  <c r="AS198" i="43" s="1"/>
  <c r="AG234" i="43"/>
  <c r="AS234" i="43" s="1"/>
  <c r="AG348" i="43"/>
  <c r="AS348" i="43" s="1"/>
  <c r="AG318" i="43"/>
  <c r="AS318" i="43" s="1"/>
  <c r="AG17" i="43"/>
  <c r="AS17" i="43" s="1"/>
  <c r="AG457" i="43"/>
  <c r="AS457" i="43" s="1"/>
  <c r="AG454" i="43"/>
  <c r="AS454" i="43" s="1"/>
  <c r="AG444" i="43"/>
  <c r="AS444" i="43" s="1"/>
  <c r="AG418" i="43"/>
  <c r="AS418" i="43" s="1"/>
  <c r="AG239" i="43"/>
  <c r="AS239" i="43" s="1"/>
  <c r="AG197" i="43"/>
  <c r="AS197" i="43" s="1"/>
  <c r="AG233" i="43"/>
  <c r="AS233" i="43" s="1"/>
  <c r="AG230" i="43"/>
  <c r="AS230" i="43" s="1"/>
  <c r="AG285" i="43"/>
  <c r="AS285" i="43" s="1"/>
  <c r="AG192" i="43"/>
  <c r="AS192" i="43" s="1"/>
  <c r="AG212" i="43"/>
  <c r="AS212" i="43" s="1"/>
  <c r="AG254" i="43"/>
  <c r="AS254" i="43" s="1"/>
  <c r="AG252" i="43"/>
  <c r="AS252" i="43" s="1"/>
  <c r="AG183" i="43"/>
  <c r="AS183" i="43" s="1"/>
  <c r="AG246" i="43"/>
  <c r="AS246" i="43" s="1"/>
  <c r="AG124" i="43"/>
  <c r="AS124" i="43" s="1"/>
  <c r="AG108" i="43"/>
  <c r="AS108" i="43" s="1"/>
  <c r="AG92" i="43"/>
  <c r="AS92" i="43" s="1"/>
  <c r="AG415" i="43"/>
  <c r="AS415" i="43" s="1"/>
  <c r="AG365" i="43"/>
  <c r="AS365" i="43" s="1"/>
  <c r="AG432" i="43"/>
  <c r="AS432" i="43" s="1"/>
  <c r="AG411" i="43"/>
  <c r="AS411" i="43" s="1"/>
  <c r="AG380" i="43"/>
  <c r="AS380" i="43" s="1"/>
  <c r="AG378" i="43"/>
  <c r="AS378" i="43" s="1"/>
  <c r="AG371" i="43"/>
  <c r="AS371" i="43" s="1"/>
  <c r="AG426" i="43"/>
  <c r="AS426" i="43" s="1"/>
  <c r="AG352" i="43"/>
  <c r="AS352" i="43" s="1"/>
  <c r="AG321" i="43"/>
  <c r="AS321" i="43" s="1"/>
  <c r="AG307" i="43"/>
  <c r="AS307" i="43" s="1"/>
  <c r="AG338" i="43"/>
  <c r="AS338" i="43" s="1"/>
  <c r="AG223" i="43"/>
  <c r="AS223" i="43" s="1"/>
  <c r="AG292" i="43"/>
  <c r="AS292" i="43" s="1"/>
  <c r="AG186" i="43"/>
  <c r="AS186" i="43" s="1"/>
  <c r="AG314" i="43"/>
  <c r="AS314" i="43" s="1"/>
  <c r="AG300" i="43"/>
  <c r="AS300" i="43" s="1"/>
  <c r="AG136" i="43"/>
  <c r="AS136" i="43" s="1"/>
  <c r="AG148" i="43"/>
  <c r="AS148" i="43" s="1"/>
  <c r="AG149" i="43"/>
  <c r="AS149" i="43" s="1"/>
  <c r="AG89" i="43"/>
  <c r="AS89" i="43" s="1"/>
  <c r="AG160" i="43"/>
  <c r="AS160" i="43" s="1"/>
  <c r="AG107" i="43"/>
  <c r="AS107" i="43" s="1"/>
  <c r="AG54" i="43"/>
  <c r="AS54" i="43" s="1"/>
  <c r="AG439" i="43"/>
  <c r="AS439" i="43" s="1"/>
  <c r="AG127" i="43"/>
  <c r="AS127" i="43" s="1"/>
  <c r="AG111" i="43"/>
  <c r="AS111" i="43" s="1"/>
  <c r="AG78" i="43"/>
  <c r="AS78" i="43" s="1"/>
  <c r="AG66" i="43"/>
  <c r="AS66" i="43" s="1"/>
  <c r="AG443" i="43"/>
  <c r="AS443" i="43" s="1"/>
  <c r="AG453" i="43"/>
  <c r="AS453" i="43" s="1"/>
  <c r="AG419" i="43"/>
  <c r="AS419" i="43" s="1"/>
  <c r="AG460" i="43"/>
  <c r="AS460" i="43" s="1"/>
  <c r="AG422" i="43"/>
  <c r="AS422" i="43" s="1"/>
  <c r="AG337" i="43"/>
  <c r="AS337" i="43" s="1"/>
  <c r="AG355" i="43"/>
  <c r="AS355" i="43" s="1"/>
  <c r="AG359" i="43"/>
  <c r="AS359" i="43" s="1"/>
  <c r="AG309" i="43"/>
  <c r="AS309" i="43" s="1"/>
  <c r="AG240" i="43"/>
  <c r="AS240" i="43" s="1"/>
  <c r="AG196" i="43"/>
  <c r="AS196" i="43" s="1"/>
  <c r="AG242" i="43"/>
  <c r="AS242" i="43" s="1"/>
  <c r="AG255" i="43"/>
  <c r="AS255" i="43" s="1"/>
  <c r="AG164" i="43"/>
  <c r="AS164" i="43" s="1"/>
  <c r="AG265" i="43"/>
  <c r="AS265" i="43" s="1"/>
  <c r="AG253" i="43"/>
  <c r="AS253" i="43" s="1"/>
  <c r="AG172" i="43"/>
  <c r="AS172" i="43" s="1"/>
  <c r="AG247" i="43"/>
  <c r="AS247" i="43" s="1"/>
  <c r="AG245" i="43"/>
  <c r="AS245" i="43" s="1"/>
  <c r="AG131" i="43"/>
  <c r="AS131" i="43" s="1"/>
  <c r="AG100" i="43"/>
  <c r="AS100" i="43" s="1"/>
  <c r="AG84" i="43"/>
  <c r="AS84" i="43" s="1"/>
  <c r="AG30" i="43"/>
  <c r="AS30" i="43" s="1"/>
  <c r="AG129" i="43"/>
  <c r="AS129" i="43" s="1"/>
  <c r="AG81" i="43"/>
  <c r="AS81" i="43" s="1"/>
  <c r="AG156" i="43"/>
  <c r="AS156" i="43" s="1"/>
  <c r="AG123" i="43"/>
  <c r="AS123" i="43" s="1"/>
  <c r="AG45" i="43"/>
  <c r="AS45" i="43" s="1"/>
  <c r="AG445" i="43"/>
  <c r="AS445" i="43" s="1"/>
  <c r="AG396" i="43"/>
  <c r="AS396" i="43" s="1"/>
  <c r="AG385" i="43"/>
  <c r="AS385" i="43" s="1"/>
  <c r="AG364" i="43"/>
  <c r="AS364" i="43" s="1"/>
  <c r="AG436" i="43"/>
  <c r="AS436" i="43" s="1"/>
  <c r="AG433" i="43"/>
  <c r="AS433" i="43" s="1"/>
  <c r="AG412" i="43"/>
  <c r="AS412" i="43" s="1"/>
  <c r="AG381" i="43"/>
  <c r="AS381" i="43" s="1"/>
  <c r="AG379" i="43"/>
  <c r="AS379" i="43" s="1"/>
  <c r="AG372" i="43"/>
  <c r="AS372" i="43" s="1"/>
  <c r="AG425" i="43"/>
  <c r="AS425" i="43" s="1"/>
  <c r="AG303" i="43"/>
  <c r="AS303" i="43" s="1"/>
  <c r="AG356" i="43"/>
  <c r="AS356" i="43" s="1"/>
  <c r="AG330" i="43"/>
  <c r="AS330" i="43" s="1"/>
  <c r="AG227" i="43"/>
  <c r="AS227" i="43" s="1"/>
  <c r="AG190" i="43"/>
  <c r="AS190" i="43" s="1"/>
  <c r="AG278" i="43"/>
  <c r="AS278" i="43" s="1"/>
  <c r="AG224" i="43"/>
  <c r="AS224" i="43" s="1"/>
  <c r="AG171" i="43"/>
  <c r="AS171" i="43" s="1"/>
  <c r="AG170" i="43"/>
  <c r="AS170" i="43" s="1"/>
  <c r="AG137" i="43"/>
  <c r="AS137" i="43" s="1"/>
  <c r="AG57" i="43"/>
  <c r="AS57" i="43" s="1"/>
  <c r="AG33" i="43"/>
  <c r="AS33" i="43" s="1"/>
  <c r="AG65" i="43"/>
  <c r="AS65" i="43" s="1"/>
  <c r="AG73" i="43"/>
  <c r="AS73" i="43" s="1"/>
  <c r="AG20" i="43"/>
  <c r="AS20" i="43" s="1"/>
  <c r="AG21" i="43"/>
  <c r="AS21" i="43" s="1"/>
  <c r="AG29" i="43"/>
  <c r="AS29" i="43" s="1"/>
  <c r="AG37" i="43"/>
  <c r="AS37" i="43" s="1"/>
  <c r="AS49" i="44" l="1"/>
  <c r="AS91" i="44"/>
  <c r="AS63" i="44"/>
  <c r="AS56" i="44"/>
  <c r="AS77" i="44"/>
  <c r="AS19" i="44"/>
  <c r="AS28" i="44"/>
  <c r="AS101" i="44"/>
  <c r="AS113" i="44"/>
  <c r="AS130" i="44"/>
  <c r="AS95" i="44"/>
  <c r="AS124" i="44"/>
  <c r="AS70" i="44"/>
  <c r="AS84" i="44"/>
  <c r="AS105" i="44"/>
  <c r="AS35" i="44"/>
  <c r="AS42" i="44"/>
  <c r="AG146" i="43"/>
  <c r="AS146" i="43" s="1"/>
  <c r="AS151" i="43" s="1"/>
  <c r="AG323" i="43"/>
  <c r="AS323" i="43" s="1"/>
  <c r="AS324" i="43" s="1"/>
  <c r="AB413" i="43"/>
  <c r="AC413" i="43"/>
  <c r="AG23" i="43"/>
  <c r="AS23" i="43" s="1"/>
  <c r="AS27" i="43" s="1"/>
  <c r="AG336" i="43"/>
  <c r="AS336" i="43" s="1"/>
  <c r="AS344" i="43" s="1"/>
  <c r="AG325" i="43"/>
  <c r="AS325" i="43" s="1"/>
  <c r="AS328" i="43" s="1"/>
  <c r="AG238" i="43"/>
  <c r="AS238" i="43" s="1"/>
  <c r="AS243" i="43" s="1"/>
  <c r="AG71" i="43"/>
  <c r="AS71" i="43" s="1"/>
  <c r="AS75" i="43" s="1"/>
  <c r="AG393" i="43"/>
  <c r="AS393" i="43" s="1"/>
  <c r="AS399" i="43" s="1"/>
  <c r="AG421" i="43"/>
  <c r="AS421" i="43" s="1"/>
  <c r="AS427" i="43" s="1"/>
  <c r="AG19" i="43"/>
  <c r="AS19" i="43" s="1"/>
  <c r="AS22" i="43" s="1"/>
  <c r="AG257" i="43"/>
  <c r="AS257" i="43" s="1"/>
  <c r="AS258" i="43" s="1"/>
  <c r="AG114" i="43"/>
  <c r="AS114" i="43" s="1"/>
  <c r="AS116" i="43" s="1"/>
  <c r="AG345" i="43"/>
  <c r="AS345" i="43" s="1"/>
  <c r="AS350" i="43" s="1"/>
  <c r="AG91" i="43"/>
  <c r="AS91" i="43" s="1"/>
  <c r="AS94" i="43" s="1"/>
  <c r="AG32" i="43"/>
  <c r="AS32" i="43" s="1"/>
  <c r="AS35" i="43" s="1"/>
  <c r="AG244" i="43"/>
  <c r="AS244" i="43" s="1"/>
  <c r="AS249" i="43" s="1"/>
  <c r="AG459" i="43"/>
  <c r="AS459" i="43" s="1"/>
  <c r="AS462" i="43" s="1"/>
  <c r="AG284" i="43"/>
  <c r="AS284" i="43" s="1"/>
  <c r="AS288" i="43" s="1"/>
  <c r="AG289" i="43"/>
  <c r="AS289" i="43" s="1"/>
  <c r="AS296" i="43" s="1"/>
  <c r="AG181" i="43"/>
  <c r="AS181" i="43" s="1"/>
  <c r="AS187" i="43" s="1"/>
  <c r="AG103" i="43"/>
  <c r="AS103" i="43" s="1"/>
  <c r="AS105" i="43" s="1"/>
  <c r="AG40" i="43"/>
  <c r="AS40" i="43" s="1"/>
  <c r="AS42" i="43" s="1"/>
  <c r="AG60" i="43"/>
  <c r="AS60" i="43" s="1"/>
  <c r="AS63" i="43" s="1"/>
  <c r="AG175" i="43"/>
  <c r="AS175" i="43" s="1"/>
  <c r="AS180" i="43" s="1"/>
  <c r="AG117" i="43"/>
  <c r="AS117" i="43" s="1"/>
  <c r="AS120" i="43" s="1"/>
  <c r="AG36" i="43"/>
  <c r="AS36" i="43" s="1"/>
  <c r="AS39" i="43" s="1"/>
  <c r="AG306" i="43"/>
  <c r="AS306" i="43" s="1"/>
  <c r="AS312" i="43" s="1"/>
  <c r="AG158" i="43"/>
  <c r="AS158" i="43" s="1"/>
  <c r="AS162" i="43" s="1"/>
  <c r="AG43" i="43"/>
  <c r="AS43" i="43" s="1"/>
  <c r="AS46" i="43" s="1"/>
  <c r="AG442" i="43"/>
  <c r="AS442" i="43" s="1"/>
  <c r="AS448" i="43" s="1"/>
  <c r="AG169" i="43"/>
  <c r="AS169" i="43" s="1"/>
  <c r="AS174" i="43" s="1"/>
  <c r="AG64" i="43"/>
  <c r="AS64" i="43" s="1"/>
  <c r="AS67" i="43" s="1"/>
  <c r="AG126" i="43"/>
  <c r="AS126" i="43" s="1"/>
  <c r="AS132" i="43" s="1"/>
  <c r="AG207" i="43"/>
  <c r="AS207" i="43" s="1"/>
  <c r="AS213" i="43" s="1"/>
  <c r="AG259" i="43"/>
  <c r="AS259" i="43" s="1"/>
  <c r="AS262" i="43" s="1"/>
  <c r="AG14" i="43"/>
  <c r="AS14" i="43" s="1"/>
  <c r="AS18" i="43" s="1"/>
  <c r="AG297" i="43"/>
  <c r="AS297" i="43" s="1"/>
  <c r="AS298" i="43" s="1"/>
  <c r="AG232" i="43"/>
  <c r="AS232" i="43" s="1"/>
  <c r="AS237" i="43" s="1"/>
  <c r="AG363" i="43"/>
  <c r="AS363" i="43" s="1"/>
  <c r="AS369" i="43" s="1"/>
  <c r="AG53" i="43"/>
  <c r="AS53" i="43" s="1"/>
  <c r="AS55" i="43" s="1"/>
  <c r="AG47" i="43"/>
  <c r="AS47" i="43" s="1"/>
  <c r="AS49" i="43" s="1"/>
  <c r="AG299" i="43"/>
  <c r="AS299" i="43" s="1"/>
  <c r="AS305" i="43" s="1"/>
  <c r="AG400" i="43"/>
  <c r="AS400" i="43" s="1"/>
  <c r="AS406" i="43" s="1"/>
  <c r="AG99" i="43"/>
  <c r="AS99" i="43" s="1"/>
  <c r="AS102" i="43" s="1"/>
  <c r="AG121" i="43"/>
  <c r="AS121" i="43" s="1"/>
  <c r="AS125" i="43" s="1"/>
  <c r="AG428" i="43"/>
  <c r="AS428" i="43" s="1"/>
  <c r="AS434" i="43" s="1"/>
  <c r="AG188" i="43"/>
  <c r="AS188" i="43" s="1"/>
  <c r="AS194" i="43" s="1"/>
  <c r="AG50" i="43"/>
  <c r="AS50" i="43" s="1"/>
  <c r="AS52" i="43" s="1"/>
  <c r="AG133" i="43"/>
  <c r="AS133" i="43" s="1"/>
  <c r="AS139" i="43" s="1"/>
  <c r="AG87" i="43"/>
  <c r="AS87" i="43" s="1"/>
  <c r="AS90" i="43" s="1"/>
  <c r="AG163" i="43"/>
  <c r="AS163" i="43" s="1"/>
  <c r="AS168" i="43" s="1"/>
  <c r="AG313" i="43"/>
  <c r="AS313" i="43" s="1"/>
  <c r="AS316" i="43" s="1"/>
  <c r="AG80" i="43"/>
  <c r="AS80" i="43" s="1"/>
  <c r="AS82" i="43" s="1"/>
  <c r="AG358" i="43"/>
  <c r="AS358" i="43" s="1"/>
  <c r="AS362" i="43" s="1"/>
  <c r="AG214" i="43"/>
  <c r="AS214" i="43" s="1"/>
  <c r="AS219" i="43" s="1"/>
  <c r="AG374" i="43"/>
  <c r="AS374" i="43" s="1"/>
  <c r="AS375" i="43" s="1"/>
  <c r="AG273" i="43"/>
  <c r="AS273" i="43" s="1"/>
  <c r="AS276" i="43" s="1"/>
  <c r="AG449" i="43"/>
  <c r="AS449" i="43" s="1"/>
  <c r="AS455" i="43" s="1"/>
  <c r="AG376" i="43"/>
  <c r="AS376" i="43" s="1"/>
  <c r="AS382" i="43" s="1"/>
  <c r="AG226" i="43"/>
  <c r="AS226" i="43" s="1"/>
  <c r="AS231" i="43" s="1"/>
  <c r="AG195" i="43"/>
  <c r="AS195" i="43" s="1"/>
  <c r="AS200" i="43" s="1"/>
  <c r="AG333" i="43"/>
  <c r="AS333" i="43" s="1"/>
  <c r="AS335" i="43" s="1"/>
  <c r="AG28" i="43"/>
  <c r="AS28" i="43" s="1"/>
  <c r="AS31" i="43" s="1"/>
  <c r="AG220" i="43"/>
  <c r="AS220" i="43" s="1"/>
  <c r="AS225" i="43" s="1"/>
  <c r="AG351" i="43"/>
  <c r="AS351" i="43" s="1"/>
  <c r="AS357" i="43" s="1"/>
  <c r="AG140" i="43"/>
  <c r="AS140" i="43" s="1"/>
  <c r="AS145" i="43" s="1"/>
  <c r="AG263" i="43"/>
  <c r="AS263" i="43" s="1"/>
  <c r="AS266" i="43" s="1"/>
  <c r="AG68" i="43"/>
  <c r="AS68" i="43" s="1"/>
  <c r="AS70" i="43" s="1"/>
  <c r="AG267" i="43"/>
  <c r="AS267" i="43" s="1"/>
  <c r="AS272" i="43" s="1"/>
  <c r="AG317" i="43"/>
  <c r="AS317" i="43" s="1"/>
  <c r="AS322" i="43" s="1"/>
  <c r="AG110" i="43"/>
  <c r="AS110" i="43" s="1"/>
  <c r="AS113" i="43" s="1"/>
  <c r="AG329" i="43"/>
  <c r="AS329" i="43" s="1"/>
  <c r="AS332" i="43" s="1"/>
  <c r="AG383" i="43"/>
  <c r="AS383" i="43" s="1"/>
  <c r="AS388" i="43" s="1"/>
  <c r="AG83" i="43"/>
  <c r="AS83" i="43" s="1"/>
  <c r="AS86" i="43" s="1"/>
  <c r="AG370" i="43"/>
  <c r="AS370" i="43" s="1"/>
  <c r="AS373" i="43" s="1"/>
  <c r="AG201" i="43"/>
  <c r="AS201" i="43" s="1"/>
  <c r="AS206" i="43" s="1"/>
  <c r="AG389" i="43"/>
  <c r="AS389" i="43" s="1"/>
  <c r="AS392" i="43" s="1"/>
  <c r="AG277" i="43"/>
  <c r="AS277" i="43" s="1"/>
  <c r="AS283" i="43" s="1"/>
  <c r="AG106" i="43"/>
  <c r="AS106" i="43" s="1"/>
  <c r="AS109" i="43" s="1"/>
  <c r="AG250" i="43"/>
  <c r="AS250" i="43" s="1"/>
  <c r="AS256" i="43" s="1"/>
  <c r="AG152" i="43"/>
  <c r="AS152" i="43" s="1"/>
  <c r="AS157" i="43" s="1"/>
  <c r="AG76" i="43"/>
  <c r="AS76" i="43" s="1"/>
  <c r="AS79" i="43" s="1"/>
  <c r="AG414" i="43"/>
  <c r="AS414" i="43" s="1"/>
  <c r="AS420" i="43" s="1"/>
  <c r="AG95" i="43"/>
  <c r="AS95" i="43" s="1"/>
  <c r="AS98" i="43" s="1"/>
  <c r="AG56" i="43"/>
  <c r="AS56" i="43" s="1"/>
  <c r="AS59" i="43" s="1"/>
  <c r="AG435" i="43"/>
  <c r="AS435" i="43" s="1"/>
  <c r="AS441" i="43" s="1"/>
  <c r="AG456" i="43"/>
  <c r="AS456" i="43" s="1"/>
  <c r="AS458" i="43" s="1"/>
  <c r="AG408" i="43"/>
  <c r="AS408" i="43" s="1"/>
  <c r="AS413" i="43" s="1"/>
  <c r="AG413" i="43" l="1"/>
  <c r="AL13" i="44" l="1"/>
  <c r="AQ42" i="44"/>
  <c r="AQ49" i="44"/>
  <c r="AP107" i="44"/>
  <c r="AQ107" i="44"/>
  <c r="AP113" i="44"/>
  <c r="AP115" i="44"/>
  <c r="AQ115" i="44"/>
  <c r="AQ12" i="44"/>
  <c r="BA12" i="44" s="1"/>
  <c r="BA13" i="44" s="1"/>
  <c r="AP12" i="44"/>
  <c r="AO462" i="43"/>
  <c r="AN462" i="43"/>
  <c r="AM462" i="43"/>
  <c r="AL462" i="43"/>
  <c r="AK462" i="43"/>
  <c r="AO458" i="43"/>
  <c r="AN458" i="43"/>
  <c r="AM458" i="43"/>
  <c r="AL458" i="43"/>
  <c r="AK458" i="43"/>
  <c r="AO455" i="43"/>
  <c r="AN455" i="43"/>
  <c r="AM455" i="43"/>
  <c r="AL455" i="43"/>
  <c r="AK455" i="43"/>
  <c r="AO448" i="43"/>
  <c r="AN448" i="43"/>
  <c r="AM448" i="43"/>
  <c r="AL448" i="43"/>
  <c r="AK448" i="43"/>
  <c r="AO441" i="43"/>
  <c r="AN441" i="43"/>
  <c r="AM441" i="43"/>
  <c r="AL441" i="43"/>
  <c r="AK441" i="43"/>
  <c r="AO434" i="43"/>
  <c r="AN434" i="43"/>
  <c r="AM434" i="43"/>
  <c r="AL434" i="43"/>
  <c r="AK434" i="43"/>
  <c r="AO427" i="43"/>
  <c r="AN427" i="43"/>
  <c r="AM427" i="43"/>
  <c r="AL427" i="43"/>
  <c r="AK427" i="43"/>
  <c r="AO420" i="43"/>
  <c r="AN420" i="43"/>
  <c r="AM420" i="43"/>
  <c r="AL420" i="43"/>
  <c r="AK420" i="43"/>
  <c r="AO406" i="43"/>
  <c r="AN406" i="43"/>
  <c r="AM406" i="43"/>
  <c r="AL406" i="43"/>
  <c r="AK406" i="43"/>
  <c r="AO399" i="43"/>
  <c r="AN399" i="43"/>
  <c r="AM399" i="43"/>
  <c r="AL399" i="43"/>
  <c r="AK399" i="43"/>
  <c r="AO392" i="43"/>
  <c r="AN392" i="43"/>
  <c r="AM392" i="43"/>
  <c r="AL392" i="43"/>
  <c r="AK392" i="43"/>
  <c r="AO388" i="43"/>
  <c r="AN388" i="43"/>
  <c r="AM388" i="43"/>
  <c r="AL388" i="43"/>
  <c r="AK388" i="43"/>
  <c r="AO382" i="43"/>
  <c r="AN382" i="43"/>
  <c r="AM382" i="43"/>
  <c r="AL382" i="43"/>
  <c r="AK382" i="43"/>
  <c r="AO375" i="43"/>
  <c r="AN375" i="43"/>
  <c r="AM375" i="43"/>
  <c r="AL375" i="43"/>
  <c r="AK375" i="43"/>
  <c r="AO373" i="43"/>
  <c r="AN373" i="43"/>
  <c r="AM373" i="43"/>
  <c r="AL373" i="43"/>
  <c r="AK373" i="43"/>
  <c r="AO369" i="43"/>
  <c r="AN369" i="43"/>
  <c r="AM369" i="43"/>
  <c r="AL369" i="43"/>
  <c r="AK369" i="43"/>
  <c r="AO362" i="43"/>
  <c r="AN362" i="43"/>
  <c r="AM362" i="43"/>
  <c r="AL362" i="43"/>
  <c r="AK362" i="43"/>
  <c r="AO357" i="43"/>
  <c r="AN357" i="43"/>
  <c r="AM357" i="43"/>
  <c r="AL357" i="43"/>
  <c r="AK357" i="43"/>
  <c r="AO350" i="43"/>
  <c r="AN350" i="43"/>
  <c r="AM350" i="43"/>
  <c r="AL350" i="43"/>
  <c r="AK350" i="43"/>
  <c r="AO344" i="43"/>
  <c r="AN344" i="43"/>
  <c r="AM344" i="43"/>
  <c r="AL344" i="43"/>
  <c r="AK344" i="43"/>
  <c r="AO335" i="43"/>
  <c r="AN335" i="43"/>
  <c r="AM335" i="43"/>
  <c r="AL335" i="43"/>
  <c r="AK335" i="43"/>
  <c r="AO332" i="43"/>
  <c r="AN332" i="43"/>
  <c r="AM332" i="43"/>
  <c r="AL332" i="43"/>
  <c r="AK332" i="43"/>
  <c r="AO328" i="43"/>
  <c r="AN328" i="43"/>
  <c r="AM328" i="43"/>
  <c r="AL328" i="43"/>
  <c r="AK328" i="43"/>
  <c r="AO324" i="43"/>
  <c r="AN324" i="43"/>
  <c r="AM324" i="43"/>
  <c r="AL324" i="43"/>
  <c r="AK324" i="43"/>
  <c r="AO322" i="43"/>
  <c r="AN322" i="43"/>
  <c r="AM322" i="43"/>
  <c r="AL322" i="43"/>
  <c r="AK322" i="43"/>
  <c r="AO316" i="43"/>
  <c r="AN316" i="43"/>
  <c r="AM316" i="43"/>
  <c r="AL316" i="43"/>
  <c r="AK316" i="43"/>
  <c r="AO312" i="43"/>
  <c r="AN312" i="43"/>
  <c r="AM312" i="43"/>
  <c r="AL312" i="43"/>
  <c r="AK312" i="43"/>
  <c r="AO305" i="43"/>
  <c r="AN305" i="43"/>
  <c r="AM305" i="43"/>
  <c r="AL305" i="43"/>
  <c r="AK305" i="43"/>
  <c r="AO298" i="43"/>
  <c r="AN298" i="43"/>
  <c r="AM298" i="43"/>
  <c r="AL298" i="43"/>
  <c r="AK298" i="43"/>
  <c r="AO296" i="43"/>
  <c r="AN296" i="43"/>
  <c r="AM296" i="43"/>
  <c r="AL296" i="43"/>
  <c r="AK296" i="43"/>
  <c r="AO288" i="43"/>
  <c r="AN288" i="43"/>
  <c r="AM288" i="43"/>
  <c r="AL288" i="43"/>
  <c r="AK288" i="43"/>
  <c r="AO283" i="43"/>
  <c r="AN283" i="43"/>
  <c r="AM283" i="43"/>
  <c r="AL283" i="43"/>
  <c r="AK283" i="43"/>
  <c r="AO276" i="43"/>
  <c r="AN276" i="43"/>
  <c r="AM276" i="43"/>
  <c r="AL276" i="43"/>
  <c r="AK276" i="43"/>
  <c r="AO272" i="43"/>
  <c r="AN272" i="43"/>
  <c r="AM272" i="43"/>
  <c r="AL272" i="43"/>
  <c r="AK272" i="43"/>
  <c r="AO266" i="43"/>
  <c r="AN266" i="43"/>
  <c r="AM266" i="43"/>
  <c r="AL266" i="43"/>
  <c r="AK266" i="43"/>
  <c r="AO262" i="43"/>
  <c r="AN262" i="43"/>
  <c r="AM262" i="43"/>
  <c r="AL262" i="43"/>
  <c r="AK262" i="43"/>
  <c r="AO258" i="43"/>
  <c r="AN258" i="43"/>
  <c r="AM258" i="43"/>
  <c r="AL258" i="43"/>
  <c r="AK258" i="43"/>
  <c r="AO256" i="43"/>
  <c r="AN256" i="43"/>
  <c r="AM256" i="43"/>
  <c r="AL256" i="43"/>
  <c r="AK256" i="43"/>
  <c r="AO249" i="43"/>
  <c r="AN249" i="43"/>
  <c r="AM249" i="43"/>
  <c r="AL249" i="43"/>
  <c r="AK249" i="43"/>
  <c r="AO243" i="43"/>
  <c r="AN243" i="43"/>
  <c r="AM243" i="43"/>
  <c r="AL243" i="43"/>
  <c r="AK243" i="43"/>
  <c r="AO237" i="43"/>
  <c r="AN237" i="43"/>
  <c r="AM237" i="43"/>
  <c r="AL237" i="43"/>
  <c r="AK237" i="43"/>
  <c r="AO231" i="43"/>
  <c r="AN231" i="43"/>
  <c r="AM231" i="43"/>
  <c r="AL231" i="43"/>
  <c r="AK231" i="43"/>
  <c r="AO225" i="43"/>
  <c r="AN225" i="43"/>
  <c r="AM225" i="43"/>
  <c r="AL225" i="43"/>
  <c r="AK225" i="43"/>
  <c r="AO219" i="43"/>
  <c r="AN219" i="43"/>
  <c r="AM219" i="43"/>
  <c r="AL219" i="43"/>
  <c r="AK219" i="43"/>
  <c r="AO213" i="43"/>
  <c r="AN213" i="43"/>
  <c r="AM213" i="43"/>
  <c r="AL213" i="43"/>
  <c r="AK213" i="43"/>
  <c r="AO206" i="43"/>
  <c r="AN206" i="43"/>
  <c r="AM206" i="43"/>
  <c r="AL206" i="43"/>
  <c r="AK206" i="43"/>
  <c r="AO200" i="43"/>
  <c r="AN200" i="43"/>
  <c r="AM200" i="43"/>
  <c r="AL200" i="43"/>
  <c r="AK200" i="43"/>
  <c r="AO194" i="43"/>
  <c r="AN194" i="43"/>
  <c r="AM194" i="43"/>
  <c r="AL194" i="43"/>
  <c r="AK194" i="43"/>
  <c r="AO187" i="43"/>
  <c r="AN187" i="43"/>
  <c r="AM187" i="43"/>
  <c r="AL187" i="43"/>
  <c r="AK187" i="43"/>
  <c r="AO180" i="43"/>
  <c r="AN180" i="43"/>
  <c r="AM180" i="43"/>
  <c r="AL180" i="43"/>
  <c r="AK180" i="43"/>
  <c r="AO174" i="43"/>
  <c r="AN174" i="43"/>
  <c r="AM174" i="43"/>
  <c r="AL174" i="43"/>
  <c r="AK174" i="43"/>
  <c r="AO168" i="43"/>
  <c r="AN168" i="43"/>
  <c r="AM168" i="43"/>
  <c r="AL168" i="43"/>
  <c r="AK168" i="43"/>
  <c r="AO162" i="43"/>
  <c r="AN162" i="43"/>
  <c r="AM162" i="43"/>
  <c r="AL162" i="43"/>
  <c r="AK162" i="43"/>
  <c r="AO157" i="43"/>
  <c r="AN157" i="43"/>
  <c r="AM157" i="43"/>
  <c r="AL157" i="43"/>
  <c r="AK157" i="43"/>
  <c r="AO151" i="43"/>
  <c r="AN151" i="43"/>
  <c r="AM151" i="43"/>
  <c r="AL151" i="43"/>
  <c r="AK151" i="43"/>
  <c r="AO145" i="43"/>
  <c r="AN145" i="43"/>
  <c r="AM145" i="43"/>
  <c r="AL145" i="43"/>
  <c r="AK145" i="43"/>
  <c r="AO139" i="43"/>
  <c r="AN139" i="43"/>
  <c r="AM139" i="43"/>
  <c r="AL139" i="43"/>
  <c r="AK139" i="43"/>
  <c r="AO132" i="43"/>
  <c r="AN132" i="43"/>
  <c r="AM132" i="43"/>
  <c r="AL132" i="43"/>
  <c r="AK132" i="43"/>
  <c r="AO125" i="43"/>
  <c r="AN125" i="43"/>
  <c r="AM125" i="43"/>
  <c r="AL125" i="43"/>
  <c r="AK125" i="43"/>
  <c r="AO120" i="43"/>
  <c r="AN120" i="43"/>
  <c r="AM120" i="43"/>
  <c r="AL120" i="43"/>
  <c r="AK120" i="43"/>
  <c r="AO116" i="43"/>
  <c r="AN116" i="43"/>
  <c r="AM116" i="43"/>
  <c r="AL116" i="43"/>
  <c r="AK116" i="43"/>
  <c r="AO113" i="43"/>
  <c r="AN113" i="43"/>
  <c r="AM113" i="43"/>
  <c r="AL113" i="43"/>
  <c r="AK113" i="43"/>
  <c r="AO109" i="43"/>
  <c r="AN109" i="43"/>
  <c r="AM109" i="43"/>
  <c r="AL109" i="43"/>
  <c r="AK109" i="43"/>
  <c r="AO105" i="43"/>
  <c r="AN105" i="43"/>
  <c r="AM105" i="43"/>
  <c r="AL105" i="43"/>
  <c r="AK105" i="43"/>
  <c r="AO102" i="43"/>
  <c r="AN102" i="43"/>
  <c r="AM102" i="43"/>
  <c r="AL102" i="43"/>
  <c r="AK102" i="43"/>
  <c r="AO98" i="43"/>
  <c r="AN98" i="43"/>
  <c r="AM98" i="43"/>
  <c r="AL98" i="43"/>
  <c r="AK98" i="43"/>
  <c r="AO94" i="43"/>
  <c r="AN94" i="43"/>
  <c r="AM94" i="43"/>
  <c r="AL94" i="43"/>
  <c r="AK94" i="43"/>
  <c r="AO90" i="43"/>
  <c r="AN90" i="43"/>
  <c r="AM90" i="43"/>
  <c r="AL90" i="43"/>
  <c r="AK90" i="43"/>
  <c r="AO86" i="43"/>
  <c r="AN86" i="43"/>
  <c r="AM86" i="43"/>
  <c r="AL86" i="43"/>
  <c r="AK86" i="43"/>
  <c r="AO82" i="43"/>
  <c r="AN82" i="43"/>
  <c r="AM82" i="43"/>
  <c r="AL82" i="43"/>
  <c r="AK82" i="43"/>
  <c r="AO79" i="43"/>
  <c r="AN79" i="43"/>
  <c r="AM79" i="43"/>
  <c r="AL79" i="43"/>
  <c r="AK79" i="43"/>
  <c r="AO75" i="43"/>
  <c r="AN75" i="43"/>
  <c r="AM75" i="43"/>
  <c r="AL75" i="43"/>
  <c r="AK75" i="43"/>
  <c r="AO70" i="43"/>
  <c r="AN70" i="43"/>
  <c r="AM70" i="43"/>
  <c r="AL70" i="43"/>
  <c r="AK70" i="43"/>
  <c r="AO67" i="43"/>
  <c r="AN67" i="43"/>
  <c r="AM67" i="43"/>
  <c r="AL67" i="43"/>
  <c r="AK67" i="43"/>
  <c r="AO63" i="43"/>
  <c r="AN63" i="43"/>
  <c r="AM63" i="43"/>
  <c r="AL63" i="43"/>
  <c r="AK63" i="43"/>
  <c r="AO59" i="43"/>
  <c r="AN59" i="43"/>
  <c r="AM59" i="43"/>
  <c r="AL59" i="43"/>
  <c r="AK59" i="43"/>
  <c r="AO55" i="43"/>
  <c r="AN55" i="43"/>
  <c r="AM55" i="43"/>
  <c r="AL55" i="43"/>
  <c r="AK55" i="43"/>
  <c r="AO52" i="43"/>
  <c r="AN52" i="43"/>
  <c r="AM52" i="43"/>
  <c r="AL52" i="43"/>
  <c r="AK52" i="43"/>
  <c r="AO49" i="43"/>
  <c r="AN49" i="43"/>
  <c r="AM49" i="43"/>
  <c r="AL49" i="43"/>
  <c r="AK49" i="43"/>
  <c r="AO46" i="43"/>
  <c r="AN46" i="43"/>
  <c r="AM46" i="43"/>
  <c r="AL46" i="43"/>
  <c r="AK46" i="43"/>
  <c r="AO42" i="43"/>
  <c r="AN42" i="43"/>
  <c r="AM42" i="43"/>
  <c r="AL42" i="43"/>
  <c r="AK42" i="43"/>
  <c r="AO39" i="43"/>
  <c r="AN39" i="43"/>
  <c r="AM39" i="43"/>
  <c r="AL39" i="43"/>
  <c r="AK39" i="43"/>
  <c r="AO35" i="43"/>
  <c r="AN35" i="43"/>
  <c r="AM35" i="43"/>
  <c r="AL35" i="43"/>
  <c r="AK35" i="43"/>
  <c r="AO31" i="43"/>
  <c r="AN31" i="43"/>
  <c r="AM31" i="43"/>
  <c r="AL31" i="43"/>
  <c r="AK31" i="43"/>
  <c r="AO27" i="43"/>
  <c r="AN27" i="43"/>
  <c r="AM27" i="43"/>
  <c r="AL27" i="43"/>
  <c r="AK27" i="43"/>
  <c r="AO22" i="43"/>
  <c r="AN22" i="43"/>
  <c r="AM22" i="43"/>
  <c r="AL22" i="43"/>
  <c r="AK22" i="43"/>
  <c r="AO18" i="43"/>
  <c r="AN18" i="43"/>
  <c r="AM18" i="43"/>
  <c r="AL18" i="43"/>
  <c r="AK18" i="43"/>
  <c r="AO13" i="43"/>
  <c r="AN13" i="43"/>
  <c r="AM13" i="43"/>
  <c r="AL13" i="43"/>
  <c r="AK13" i="43"/>
  <c r="S462" i="43"/>
  <c r="S458" i="43"/>
  <c r="S455" i="43"/>
  <c r="S448" i="43"/>
  <c r="S441" i="43"/>
  <c r="S434" i="43"/>
  <c r="S427" i="43"/>
  <c r="S420" i="43"/>
  <c r="S406" i="43"/>
  <c r="S399" i="43"/>
  <c r="S392" i="43"/>
  <c r="S388" i="43"/>
  <c r="S382" i="43"/>
  <c r="S375" i="43"/>
  <c r="S373" i="43"/>
  <c r="S369" i="43"/>
  <c r="S362" i="43"/>
  <c r="S357" i="43"/>
  <c r="S350" i="43"/>
  <c r="S344" i="43"/>
  <c r="S335" i="43"/>
  <c r="S332" i="43"/>
  <c r="S328" i="43"/>
  <c r="S324" i="43"/>
  <c r="S322" i="43"/>
  <c r="S316" i="43"/>
  <c r="S312" i="43"/>
  <c r="S305" i="43"/>
  <c r="S298" i="43"/>
  <c r="S296" i="43"/>
  <c r="S288" i="43"/>
  <c r="S283" i="43"/>
  <c r="S276" i="43"/>
  <c r="S272" i="43"/>
  <c r="S266" i="43"/>
  <c r="S262" i="43"/>
  <c r="S258" i="43"/>
  <c r="S256" i="43"/>
  <c r="S249" i="43"/>
  <c r="S243" i="43"/>
  <c r="S237" i="43"/>
  <c r="S231" i="43"/>
  <c r="S225" i="43"/>
  <c r="S219" i="43"/>
  <c r="S213" i="43"/>
  <c r="S206" i="43"/>
  <c r="S200" i="43"/>
  <c r="S194" i="43"/>
  <c r="S187" i="43"/>
  <c r="S180" i="43"/>
  <c r="S174" i="43"/>
  <c r="S168" i="43"/>
  <c r="S162" i="43"/>
  <c r="S157" i="43"/>
  <c r="S151" i="43"/>
  <c r="S145" i="43"/>
  <c r="S139" i="43"/>
  <c r="S132" i="43"/>
  <c r="S125" i="43"/>
  <c r="S120" i="43"/>
  <c r="S116" i="43"/>
  <c r="S113" i="43"/>
  <c r="S109" i="43"/>
  <c r="S105" i="43"/>
  <c r="S102" i="43"/>
  <c r="S98" i="43"/>
  <c r="S94" i="43"/>
  <c r="S90" i="43"/>
  <c r="S86" i="43"/>
  <c r="S82" i="43"/>
  <c r="S79" i="43"/>
  <c r="S75" i="43"/>
  <c r="S70" i="43"/>
  <c r="S67" i="43"/>
  <c r="S63" i="43"/>
  <c r="S59" i="43"/>
  <c r="S55" i="43"/>
  <c r="S52" i="43"/>
  <c r="S49" i="43"/>
  <c r="S46" i="43"/>
  <c r="S42" i="43"/>
  <c r="S39" i="43"/>
  <c r="S35" i="43"/>
  <c r="S31" i="43"/>
  <c r="S27" i="43"/>
  <c r="S22" i="43"/>
  <c r="S18" i="43"/>
  <c r="S13" i="43"/>
  <c r="AP13" i="44" l="1"/>
  <c r="AZ12" i="44"/>
  <c r="AZ13" i="44" s="1"/>
  <c r="S463" i="43"/>
  <c r="L13" i="47" s="1"/>
  <c r="AM463" i="43"/>
  <c r="AF13" i="47" s="1"/>
  <c r="AN463" i="43"/>
  <c r="AG13" i="47" s="1"/>
  <c r="AO463" i="43"/>
  <c r="AH13" i="47" s="1"/>
  <c r="AK463" i="43"/>
  <c r="AD13" i="47" s="1"/>
  <c r="AL463" i="43"/>
  <c r="AE13" i="47" s="1"/>
  <c r="AP77" i="44"/>
  <c r="AQ124" i="44"/>
  <c r="AQ113" i="44"/>
  <c r="AR95" i="44"/>
  <c r="AR19" i="44"/>
  <c r="AP130" i="44"/>
  <c r="AR124" i="44"/>
  <c r="AQ77" i="44"/>
  <c r="AP28" i="44"/>
  <c r="AQ28" i="44"/>
  <c r="AQ130" i="44"/>
  <c r="AR107" i="44"/>
  <c r="AP101" i="44"/>
  <c r="AQ91" i="44"/>
  <c r="AQ35" i="44"/>
  <c r="AP63" i="44"/>
  <c r="AQ105" i="44"/>
  <c r="AP91" i="44"/>
  <c r="AQ84" i="44"/>
  <c r="AQ70" i="44"/>
  <c r="AQ63" i="44"/>
  <c r="AQ56" i="44"/>
  <c r="AQ19" i="44"/>
  <c r="AP42" i="44"/>
  <c r="AP124" i="44"/>
  <c r="AR12" i="44"/>
  <c r="AR130" i="44"/>
  <c r="AR115" i="44"/>
  <c r="AR49" i="44"/>
  <c r="AQ13" i="44"/>
  <c r="AQ95" i="44"/>
  <c r="AP70" i="44"/>
  <c r="AP95" i="44"/>
  <c r="AR35" i="44"/>
  <c r="AP19" i="44"/>
  <c r="AP35" i="44"/>
  <c r="AP49" i="44"/>
  <c r="AP56" i="44"/>
  <c r="AP105" i="44"/>
  <c r="AQ101" i="44"/>
  <c r="AP84" i="44"/>
  <c r="AR84" i="44"/>
  <c r="AR42" i="44"/>
  <c r="AR77" i="44"/>
  <c r="AR105" i="44"/>
  <c r="S130" i="44"/>
  <c r="S124" i="44"/>
  <c r="S115" i="44"/>
  <c r="S113" i="44"/>
  <c r="S107" i="44"/>
  <c r="S105" i="44"/>
  <c r="S101" i="44"/>
  <c r="S95" i="44"/>
  <c r="S91" i="44"/>
  <c r="S84" i="44"/>
  <c r="S77" i="44"/>
  <c r="S70" i="44"/>
  <c r="S63" i="44"/>
  <c r="S56" i="44"/>
  <c r="S49" i="44"/>
  <c r="S42" i="44"/>
  <c r="S35" i="44"/>
  <c r="S28" i="44"/>
  <c r="S19" i="44"/>
  <c r="S13" i="44"/>
  <c r="AR13" i="44" l="1"/>
  <c r="AY12" i="44"/>
  <c r="AY13" i="44" s="1"/>
  <c r="AR28" i="44"/>
  <c r="AR91" i="44"/>
  <c r="AR56" i="44"/>
  <c r="AR101" i="44"/>
  <c r="AR63" i="44"/>
  <c r="AR113" i="44"/>
  <c r="AR70" i="44"/>
  <c r="AE462" i="43" l="1"/>
  <c r="AE458" i="43"/>
  <c r="AE455" i="43"/>
  <c r="AE448" i="43"/>
  <c r="AE441" i="43"/>
  <c r="AE434" i="43"/>
  <c r="AE427" i="43"/>
  <c r="AE420" i="43"/>
  <c r="AE406" i="43"/>
  <c r="AE399" i="43"/>
  <c r="AE392" i="43"/>
  <c r="AE388" i="43"/>
  <c r="AE382" i="43"/>
  <c r="AE375" i="43"/>
  <c r="AE373" i="43"/>
  <c r="AE369" i="43"/>
  <c r="AE362" i="43"/>
  <c r="AE357" i="43"/>
  <c r="AE350" i="43"/>
  <c r="AE344" i="43"/>
  <c r="AE335" i="43"/>
  <c r="AE332" i="43"/>
  <c r="AE328" i="43"/>
  <c r="AE324" i="43"/>
  <c r="AE322" i="43"/>
  <c r="AE316" i="43"/>
  <c r="AE312" i="43"/>
  <c r="AE305" i="43"/>
  <c r="AE298" i="43"/>
  <c r="AE296" i="43"/>
  <c r="AE288" i="43"/>
  <c r="AE283" i="43"/>
  <c r="AE276" i="43"/>
  <c r="AE272" i="43"/>
  <c r="AE266" i="43"/>
  <c r="AE262" i="43"/>
  <c r="AE258" i="43"/>
  <c r="AE256" i="43"/>
  <c r="AE249" i="43"/>
  <c r="AE243" i="43"/>
  <c r="AE237" i="43"/>
  <c r="AE231" i="43"/>
  <c r="AE225" i="43"/>
  <c r="AE219" i="43"/>
  <c r="AE213" i="43"/>
  <c r="AE206" i="43"/>
  <c r="AE200" i="43"/>
  <c r="AE194" i="43"/>
  <c r="AE187" i="43"/>
  <c r="AE180" i="43"/>
  <c r="AE174" i="43"/>
  <c r="AE168" i="43"/>
  <c r="AE162" i="43"/>
  <c r="AE157" i="43"/>
  <c r="AE151" i="43"/>
  <c r="AE145" i="43"/>
  <c r="AE139" i="43"/>
  <c r="AE132" i="43"/>
  <c r="AE125" i="43"/>
  <c r="AE120" i="43"/>
  <c r="AE116" i="43"/>
  <c r="AE113" i="43"/>
  <c r="AE109" i="43"/>
  <c r="AE105" i="43"/>
  <c r="AE102" i="43"/>
  <c r="AE98" i="43"/>
  <c r="AE94" i="43"/>
  <c r="AE90" i="43"/>
  <c r="AE86" i="43"/>
  <c r="AE82" i="43"/>
  <c r="AE79" i="43"/>
  <c r="AE75" i="43"/>
  <c r="AE70" i="43"/>
  <c r="AE67" i="43"/>
  <c r="AE63" i="43"/>
  <c r="AE59" i="43"/>
  <c r="AE55" i="43"/>
  <c r="AE52" i="43"/>
  <c r="AE49" i="43"/>
  <c r="AE46" i="43"/>
  <c r="AE42" i="43"/>
  <c r="AE39" i="43"/>
  <c r="AE35" i="43"/>
  <c r="AE31" i="43"/>
  <c r="AE27" i="43"/>
  <c r="AE22" i="43"/>
  <c r="AE18" i="43"/>
  <c r="AE13" i="43"/>
  <c r="AE463" i="43" l="1"/>
  <c r="X13" i="47" s="1"/>
  <c r="R463" i="43"/>
  <c r="K13" i="47" s="1"/>
  <c r="AH463" i="43"/>
  <c r="W463" i="43"/>
  <c r="P13" i="47" s="1"/>
  <c r="AI463" i="43"/>
  <c r="X463" i="43"/>
  <c r="Q13" i="47" s="1"/>
  <c r="Y463" i="43"/>
  <c r="R13" i="47" s="1"/>
  <c r="Y130" i="44"/>
  <c r="Y124" i="44"/>
  <c r="Y115" i="44"/>
  <c r="Y113" i="44"/>
  <c r="Y107" i="44"/>
  <c r="Y105" i="44"/>
  <c r="Y101" i="44"/>
  <c r="Y95" i="44"/>
  <c r="Y91" i="44"/>
  <c r="Y84" i="44"/>
  <c r="Y77" i="44"/>
  <c r="Y70" i="44"/>
  <c r="Y63" i="44"/>
  <c r="Y56" i="44"/>
  <c r="Y49" i="44"/>
  <c r="Y42" i="44"/>
  <c r="Y35" i="44"/>
  <c r="Y28" i="44"/>
  <c r="Y19" i="44"/>
  <c r="Y13" i="44"/>
  <c r="AQ464" i="43" l="1"/>
  <c r="AB13" i="47"/>
  <c r="AP464" i="43"/>
  <c r="AA13" i="47"/>
  <c r="T130" i="44"/>
  <c r="T124" i="44"/>
  <c r="T115" i="44"/>
  <c r="T113" i="44"/>
  <c r="T107" i="44"/>
  <c r="T105" i="44"/>
  <c r="T101" i="44"/>
  <c r="T95" i="44"/>
  <c r="T91" i="44"/>
  <c r="T84" i="44"/>
  <c r="T77" i="44"/>
  <c r="T70" i="44"/>
  <c r="T63" i="44"/>
  <c r="T56" i="44"/>
  <c r="T49" i="44"/>
  <c r="T42" i="44"/>
  <c r="T35" i="44"/>
  <c r="T28" i="44"/>
  <c r="T19" i="44"/>
  <c r="T13" i="44"/>
  <c r="T462" i="43"/>
  <c r="T458" i="43"/>
  <c r="T455" i="43"/>
  <c r="T448" i="43"/>
  <c r="T441" i="43"/>
  <c r="T434" i="43"/>
  <c r="T427" i="43"/>
  <c r="T420" i="43"/>
  <c r="T406" i="43"/>
  <c r="T399" i="43"/>
  <c r="T392" i="43"/>
  <c r="T388" i="43"/>
  <c r="T382" i="43"/>
  <c r="T375" i="43"/>
  <c r="T373" i="43"/>
  <c r="T369" i="43"/>
  <c r="T362" i="43"/>
  <c r="T357" i="43"/>
  <c r="T350" i="43"/>
  <c r="T344" i="43"/>
  <c r="T335" i="43"/>
  <c r="T332" i="43"/>
  <c r="T328" i="43"/>
  <c r="T324" i="43"/>
  <c r="T322" i="43"/>
  <c r="T316" i="43"/>
  <c r="T312" i="43"/>
  <c r="T305" i="43"/>
  <c r="T298" i="43"/>
  <c r="T296" i="43"/>
  <c r="T288" i="43"/>
  <c r="T283" i="43"/>
  <c r="T276" i="43"/>
  <c r="T272" i="43"/>
  <c r="T266" i="43"/>
  <c r="T262" i="43"/>
  <c r="T258" i="43"/>
  <c r="T256" i="43"/>
  <c r="T249" i="43"/>
  <c r="T243" i="43"/>
  <c r="T237" i="43"/>
  <c r="T231" i="43"/>
  <c r="T225" i="43"/>
  <c r="T219" i="43"/>
  <c r="T213" i="43"/>
  <c r="T206" i="43"/>
  <c r="T200" i="43"/>
  <c r="T194" i="43"/>
  <c r="T187" i="43"/>
  <c r="T180" i="43"/>
  <c r="T174" i="43"/>
  <c r="T168" i="43"/>
  <c r="T162" i="43"/>
  <c r="T157" i="43"/>
  <c r="T151" i="43"/>
  <c r="T145" i="43"/>
  <c r="T139" i="43"/>
  <c r="T132" i="43"/>
  <c r="T125" i="43"/>
  <c r="T120" i="43"/>
  <c r="T116" i="43"/>
  <c r="T113" i="43"/>
  <c r="T109" i="43"/>
  <c r="T105" i="43"/>
  <c r="T102" i="43"/>
  <c r="T98" i="43"/>
  <c r="T94" i="43"/>
  <c r="T90" i="43"/>
  <c r="T86" i="43"/>
  <c r="T82" i="43"/>
  <c r="T79" i="43"/>
  <c r="T75" i="43"/>
  <c r="T70" i="43"/>
  <c r="T67" i="43"/>
  <c r="T63" i="43"/>
  <c r="T59" i="43"/>
  <c r="T55" i="43"/>
  <c r="T52" i="43"/>
  <c r="T49" i="43"/>
  <c r="T46" i="43"/>
  <c r="T42" i="43"/>
  <c r="T39" i="43"/>
  <c r="T35" i="43"/>
  <c r="T31" i="43"/>
  <c r="T27" i="43"/>
  <c r="T22" i="43"/>
  <c r="T18" i="43"/>
  <c r="T13" i="43"/>
  <c r="AO130" i="44"/>
  <c r="AN130" i="44"/>
  <c r="AM130" i="44"/>
  <c r="AO124" i="44"/>
  <c r="AN124" i="44"/>
  <c r="AM124" i="44"/>
  <c r="AO115" i="44"/>
  <c r="AN115" i="44"/>
  <c r="AM115" i="44"/>
  <c r="AO113" i="44"/>
  <c r="AN113" i="44"/>
  <c r="AM113" i="44"/>
  <c r="AO107" i="44"/>
  <c r="AN107" i="44"/>
  <c r="AM107" i="44"/>
  <c r="AO105" i="44"/>
  <c r="AN105" i="44"/>
  <c r="AM105" i="44"/>
  <c r="AO101" i="44"/>
  <c r="AN101" i="44"/>
  <c r="AM101" i="44"/>
  <c r="AO95" i="44"/>
  <c r="AN95" i="44"/>
  <c r="AM95" i="44"/>
  <c r="AO91" i="44"/>
  <c r="AN91" i="44"/>
  <c r="AM91" i="44"/>
  <c r="AO84" i="44"/>
  <c r="AN84" i="44"/>
  <c r="AM84" i="44"/>
  <c r="AO77" i="44"/>
  <c r="AN77" i="44"/>
  <c r="AM77" i="44"/>
  <c r="AO70" i="44"/>
  <c r="AN70" i="44"/>
  <c r="AM70" i="44"/>
  <c r="AO63" i="44"/>
  <c r="AN63" i="44"/>
  <c r="AM63" i="44"/>
  <c r="AO56" i="44"/>
  <c r="AN56" i="44"/>
  <c r="AM56" i="44"/>
  <c r="AO49" i="44"/>
  <c r="AN49" i="44"/>
  <c r="AM49" i="44"/>
  <c r="AO42" i="44"/>
  <c r="AN42" i="44"/>
  <c r="AM42" i="44"/>
  <c r="AO35" i="44"/>
  <c r="AN35" i="44"/>
  <c r="AM35" i="44"/>
  <c r="AO28" i="44"/>
  <c r="AN28" i="44"/>
  <c r="AM28" i="44"/>
  <c r="AO19" i="44"/>
  <c r="AN19" i="44"/>
  <c r="AM19" i="44"/>
  <c r="AO13" i="44"/>
  <c r="AN13" i="44"/>
  <c r="AM13" i="44"/>
  <c r="AM135" i="44"/>
  <c r="AN135" i="44"/>
  <c r="AO135" i="44"/>
  <c r="AM136" i="44"/>
  <c r="AN136" i="44"/>
  <c r="AO136" i="44"/>
  <c r="AM137" i="44"/>
  <c r="AN137" i="44"/>
  <c r="AO137" i="44"/>
  <c r="AM138" i="44"/>
  <c r="AN138" i="44"/>
  <c r="AO138" i="44"/>
  <c r="AM139" i="44"/>
  <c r="AN139" i="44"/>
  <c r="AO139" i="44"/>
  <c r="AP139" i="44"/>
  <c r="AQ139" i="44"/>
  <c r="AR139" i="44"/>
  <c r="AM140" i="44"/>
  <c r="AN140" i="44"/>
  <c r="AO140" i="44"/>
  <c r="AP140" i="44"/>
  <c r="AQ140" i="44"/>
  <c r="AR140" i="44"/>
  <c r="AM141" i="44"/>
  <c r="AN141" i="44"/>
  <c r="AO141" i="44"/>
  <c r="AM142" i="44"/>
  <c r="AN142" i="44"/>
  <c r="AO142" i="44"/>
  <c r="AM143" i="44"/>
  <c r="AN143" i="44"/>
  <c r="AO143" i="44"/>
  <c r="AM144" i="44"/>
  <c r="AN144" i="44"/>
  <c r="AO144" i="44"/>
  <c r="AP471" i="43"/>
  <c r="AQ471" i="43"/>
  <c r="AP472" i="43"/>
  <c r="AQ472" i="43"/>
  <c r="AQ463" i="43"/>
  <c r="AJ13" i="47" s="1"/>
  <c r="AP463" i="43"/>
  <c r="AI13" i="47" s="1"/>
  <c r="AM467" i="43"/>
  <c r="AM468" i="43"/>
  <c r="AM469" i="43"/>
  <c r="AM470" i="43"/>
  <c r="AM471" i="43"/>
  <c r="AM472" i="43"/>
  <c r="AM473" i="43"/>
  <c r="AM474" i="43"/>
  <c r="AM475" i="43"/>
  <c r="AM476" i="43"/>
  <c r="S135" i="44"/>
  <c r="T135" i="44"/>
  <c r="S136" i="44"/>
  <c r="T136" i="44"/>
  <c r="S137" i="44"/>
  <c r="T137" i="44"/>
  <c r="S138" i="44"/>
  <c r="T138" i="44"/>
  <c r="S139" i="44"/>
  <c r="T139" i="44"/>
  <c r="S140" i="44"/>
  <c r="T140" i="44"/>
  <c r="S141" i="44"/>
  <c r="T141" i="44"/>
  <c r="S142" i="44"/>
  <c r="T142" i="44"/>
  <c r="S143" i="44"/>
  <c r="T143" i="44"/>
  <c r="S144" i="44"/>
  <c r="T144" i="44"/>
  <c r="S467" i="43"/>
  <c r="T467" i="43"/>
  <c r="S468" i="43"/>
  <c r="T468" i="43"/>
  <c r="S469" i="43"/>
  <c r="T469" i="43"/>
  <c r="S470" i="43"/>
  <c r="T470" i="43"/>
  <c r="S471" i="43"/>
  <c r="T471" i="43"/>
  <c r="S472" i="43"/>
  <c r="T472" i="43"/>
  <c r="S473" i="43"/>
  <c r="T473" i="43"/>
  <c r="S474" i="43"/>
  <c r="T474" i="43"/>
  <c r="S475" i="43"/>
  <c r="T475" i="43"/>
  <c r="S476" i="43"/>
  <c r="T476" i="43"/>
  <c r="M31" i="47" l="1"/>
  <c r="M28" i="47"/>
  <c r="M29" i="47"/>
  <c r="AI31" i="47"/>
  <c r="L34" i="47"/>
  <c r="L31" i="47"/>
  <c r="L28" i="47"/>
  <c r="AF35" i="47"/>
  <c r="AF33" i="47"/>
  <c r="AF32" i="47"/>
  <c r="AF31" i="47"/>
  <c r="AF29" i="47"/>
  <c r="AF27" i="47"/>
  <c r="M36" i="47"/>
  <c r="M33" i="47"/>
  <c r="M30" i="47"/>
  <c r="M27" i="47"/>
  <c r="L36" i="47"/>
  <c r="L33" i="47"/>
  <c r="L30" i="47"/>
  <c r="L27" i="47"/>
  <c r="AJ32" i="47"/>
  <c r="AJ31" i="47"/>
  <c r="M34" i="47"/>
  <c r="M35" i="47"/>
  <c r="M32" i="47"/>
  <c r="AF36" i="47"/>
  <c r="AF34" i="47"/>
  <c r="AI32" i="47"/>
  <c r="AF30" i="47"/>
  <c r="AF28" i="47"/>
  <c r="L35" i="47"/>
  <c r="L32" i="47"/>
  <c r="L29" i="47"/>
  <c r="AR464" i="43"/>
  <c r="T463" i="43"/>
  <c r="M13" i="47" s="1"/>
  <c r="T131" i="44"/>
  <c r="M14" i="47" s="1"/>
  <c r="AM131" i="44"/>
  <c r="AF14" i="47" s="1"/>
  <c r="S131" i="44"/>
  <c r="L14" i="47" s="1"/>
  <c r="AQ143" i="44"/>
  <c r="AQ475" i="43"/>
  <c r="AQ468" i="43"/>
  <c r="AQ467" i="43"/>
  <c r="AQ476" i="43"/>
  <c r="AP476" i="43"/>
  <c r="AP475" i="43"/>
  <c r="AQ470" i="43"/>
  <c r="AQ469" i="43"/>
  <c r="AQ474" i="43"/>
  <c r="AQ473" i="43"/>
  <c r="AP470" i="43"/>
  <c r="AP469" i="43"/>
  <c r="AP474" i="43"/>
  <c r="AP468" i="43"/>
  <c r="AP473" i="43"/>
  <c r="AP467" i="43"/>
  <c r="AM466" i="43"/>
  <c r="AQ138" i="44"/>
  <c r="AQ144" i="44"/>
  <c r="AQ141" i="44"/>
  <c r="AQ142" i="44"/>
  <c r="AQ136" i="44"/>
  <c r="AP142" i="44"/>
  <c r="AQ137" i="44"/>
  <c r="AP136" i="44"/>
  <c r="AQ135" i="44"/>
  <c r="AP143" i="44"/>
  <c r="AI35" i="47" s="1"/>
  <c r="AP141" i="44"/>
  <c r="AP137" i="44"/>
  <c r="AN134" i="44"/>
  <c r="AP135" i="44"/>
  <c r="AM134" i="44"/>
  <c r="AO134" i="44"/>
  <c r="AP144" i="44"/>
  <c r="AP138" i="44"/>
  <c r="S134" i="44"/>
  <c r="T134" i="44"/>
  <c r="S466" i="43"/>
  <c r="T466" i="43"/>
  <c r="AJ30" i="47" l="1"/>
  <c r="AJ34" i="47"/>
  <c r="AJ27" i="47"/>
  <c r="AJ36" i="47"/>
  <c r="AI34" i="47"/>
  <c r="AI33" i="47"/>
  <c r="AJ33" i="47"/>
  <c r="AI36" i="47"/>
  <c r="AI30" i="47"/>
  <c r="AJ35" i="47"/>
  <c r="AI27" i="47"/>
  <c r="AI28" i="47"/>
  <c r="AJ29" i="47"/>
  <c r="AI29" i="47"/>
  <c r="AJ28" i="47"/>
  <c r="AF23" i="47"/>
  <c r="M23" i="47"/>
  <c r="L23" i="47"/>
  <c r="AR144" i="44"/>
  <c r="AR135" i="44"/>
  <c r="AR143" i="44"/>
  <c r="AQ466" i="43"/>
  <c r="AQ134" i="44"/>
  <c r="AP466" i="43"/>
  <c r="AR141" i="44"/>
  <c r="AR137" i="44"/>
  <c r="AR142" i="44"/>
  <c r="AP134" i="44"/>
  <c r="AR136" i="44"/>
  <c r="AR138" i="44"/>
  <c r="AF26" i="47"/>
  <c r="M26" i="47"/>
  <c r="L26" i="47"/>
  <c r="AR465" i="43" l="1"/>
  <c r="AR133" i="44"/>
  <c r="AR134" i="44"/>
  <c r="Z462" i="43" l="1"/>
  <c r="AF458" i="43"/>
  <c r="Z458" i="43"/>
  <c r="V458" i="43"/>
  <c r="Z455" i="43"/>
  <c r="AF448" i="43"/>
  <c r="AF441" i="43"/>
  <c r="V434" i="43"/>
  <c r="Z399" i="43"/>
  <c r="AF388" i="43"/>
  <c r="AF382" i="43"/>
  <c r="AF375" i="43"/>
  <c r="Z375" i="43"/>
  <c r="Z335" i="43"/>
  <c r="AF332" i="43"/>
  <c r="AF324" i="43"/>
  <c r="Z324" i="43"/>
  <c r="V324" i="43"/>
  <c r="AF322" i="43"/>
  <c r="AF298" i="43"/>
  <c r="Z298" i="43"/>
  <c r="V298" i="43"/>
  <c r="Z288" i="43"/>
  <c r="V276" i="43"/>
  <c r="Z272" i="43"/>
  <c r="AF262" i="43"/>
  <c r="Z262" i="43"/>
  <c r="V262" i="43"/>
  <c r="AF258" i="43"/>
  <c r="Z258" i="43"/>
  <c r="V258" i="43"/>
  <c r="Z180" i="43" l="1"/>
  <c r="AF187" i="43"/>
  <c r="Z213" i="43"/>
  <c r="Z243" i="43"/>
  <c r="AF406" i="43"/>
  <c r="AF151" i="43"/>
  <c r="AF145" i="43"/>
  <c r="AF157" i="43"/>
  <c r="AF392" i="43"/>
  <c r="Z373" i="43"/>
  <c r="V296" i="43"/>
  <c r="V312" i="43"/>
  <c r="V328" i="43"/>
  <c r="V427" i="43"/>
  <c r="AF180" i="43"/>
  <c r="Z200" i="43"/>
  <c r="Z206" i="43"/>
  <c r="AF213" i="43"/>
  <c r="Z237" i="43"/>
  <c r="AF243" i="43"/>
  <c r="Z249" i="43"/>
  <c r="Z256" i="43"/>
  <c r="V266" i="43"/>
  <c r="AF272" i="43"/>
  <c r="Z276" i="43"/>
  <c r="V283" i="43"/>
  <c r="AF288" i="43"/>
  <c r="Z296" i="43"/>
  <c r="V305" i="43"/>
  <c r="Z312" i="43"/>
  <c r="V316" i="43"/>
  <c r="Z328" i="43"/>
  <c r="AF335" i="43"/>
  <c r="V344" i="43"/>
  <c r="V350" i="43"/>
  <c r="V357" i="43"/>
  <c r="Z362" i="43"/>
  <c r="V369" i="43"/>
  <c r="V373" i="43"/>
  <c r="AF399" i="43"/>
  <c r="V420" i="43"/>
  <c r="Z427" i="43"/>
  <c r="Z434" i="43"/>
  <c r="AF455" i="43"/>
  <c r="AF462" i="43"/>
  <c r="Z194" i="43"/>
  <c r="AF200" i="43"/>
  <c r="AF206" i="43"/>
  <c r="Z219" i="43"/>
  <c r="Z225" i="43"/>
  <c r="Z231" i="43"/>
  <c r="AF237" i="43"/>
  <c r="AF249" i="43"/>
  <c r="AF256" i="43"/>
  <c r="Z266" i="43"/>
  <c r="AF276" i="43"/>
  <c r="Z283" i="43"/>
  <c r="AF296" i="43"/>
  <c r="Z305" i="43"/>
  <c r="AF312" i="43"/>
  <c r="Z316" i="43"/>
  <c r="V322" i="43"/>
  <c r="AF328" i="43"/>
  <c r="V332" i="43"/>
  <c r="Z344" i="43"/>
  <c r="Z350" i="43"/>
  <c r="Z357" i="43"/>
  <c r="AF362" i="43"/>
  <c r="Z369" i="43"/>
  <c r="V382" i="43"/>
  <c r="V388" i="43"/>
  <c r="V392" i="43"/>
  <c r="V406" i="43"/>
  <c r="Z420" i="43"/>
  <c r="AF427" i="43"/>
  <c r="AF434" i="43"/>
  <c r="V441" i="43"/>
  <c r="V448" i="43"/>
  <c r="V362" i="43"/>
  <c r="Z145" i="43"/>
  <c r="Z151" i="43"/>
  <c r="Z157" i="43"/>
  <c r="Z187" i="43"/>
  <c r="AF194" i="43"/>
  <c r="AF219" i="43"/>
  <c r="AF225" i="43"/>
  <c r="AF231" i="43"/>
  <c r="AF266" i="43"/>
  <c r="V272" i="43"/>
  <c r="AF283" i="43"/>
  <c r="V288" i="43"/>
  <c r="AF305" i="43"/>
  <c r="AF316" i="43"/>
  <c r="Z322" i="43"/>
  <c r="Z332" i="43"/>
  <c r="V335" i="43"/>
  <c r="AF344" i="43"/>
  <c r="AF350" i="43"/>
  <c r="AF357" i="43"/>
  <c r="AF369" i="43"/>
  <c r="AF373" i="43"/>
  <c r="AC375" i="43"/>
  <c r="V375" i="43"/>
  <c r="Z382" i="43"/>
  <c r="Z388" i="43"/>
  <c r="Z392" i="43"/>
  <c r="V399" i="43"/>
  <c r="Z406" i="43"/>
  <c r="AF420" i="43"/>
  <c r="Z441" i="43"/>
  <c r="Z448" i="43"/>
  <c r="V455" i="43"/>
  <c r="V462" i="43"/>
  <c r="AC298" i="43"/>
  <c r="AA298" i="43"/>
  <c r="AB258" i="43"/>
  <c r="AA258" i="43"/>
  <c r="AC258" i="43"/>
  <c r="AC324" i="43"/>
  <c r="AB324" i="43"/>
  <c r="AA324" i="43"/>
  <c r="AC332" i="43"/>
  <c r="AC335" i="43"/>
  <c r="AB335" i="43"/>
  <c r="AA335" i="43"/>
  <c r="AC328" i="43"/>
  <c r="AB298" i="43"/>
  <c r="AA375" i="43"/>
  <c r="AB375" i="43"/>
  <c r="AB458" i="43"/>
  <c r="AC266" i="43" l="1"/>
  <c r="AA392" i="43"/>
  <c r="AA328" i="43"/>
  <c r="AC462" i="43"/>
  <c r="AC276" i="43"/>
  <c r="AC441" i="43"/>
  <c r="AC455" i="43"/>
  <c r="AB420" i="43"/>
  <c r="AA388" i="43"/>
  <c r="AB373" i="43"/>
  <c r="AC399" i="43"/>
  <c r="AA312" i="43"/>
  <c r="AA288" i="43"/>
  <c r="AA262" i="43"/>
  <c r="AB369" i="43"/>
  <c r="AA441" i="43"/>
  <c r="AB399" i="43"/>
  <c r="AB332" i="43"/>
  <c r="AA219" i="43"/>
  <c r="V219" i="43"/>
  <c r="AA427" i="43"/>
  <c r="AC420" i="43"/>
  <c r="AB406" i="43"/>
  <c r="AB441" i="43"/>
  <c r="AB434" i="43"/>
  <c r="AA462" i="43"/>
  <c r="AC392" i="43"/>
  <c r="AC388" i="43"/>
  <c r="AB392" i="43"/>
  <c r="AA362" i="43"/>
  <c r="AB312" i="43"/>
  <c r="AB296" i="43"/>
  <c r="AC382" i="43"/>
  <c r="AB350" i="43"/>
  <c r="AA316" i="43"/>
  <c r="AB322" i="43"/>
  <c r="AB305" i="43"/>
  <c r="AA305" i="43"/>
  <c r="AC187" i="43"/>
  <c r="V187" i="43"/>
  <c r="AA151" i="43"/>
  <c r="V151" i="43"/>
  <c r="AB256" i="43"/>
  <c r="V256" i="43"/>
  <c r="AC206" i="43"/>
  <c r="V206" i="43"/>
  <c r="AC249" i="43"/>
  <c r="V249" i="43"/>
  <c r="AB262" i="43"/>
  <c r="AC427" i="43"/>
  <c r="AC312" i="43"/>
  <c r="AA406" i="43"/>
  <c r="AC369" i="43"/>
  <c r="AC362" i="43"/>
  <c r="AC350" i="43"/>
  <c r="AC213" i="43"/>
  <c r="V213" i="43"/>
  <c r="AA434" i="43"/>
  <c r="AB427" i="43"/>
  <c r="AC406" i="43"/>
  <c r="AC434" i="43"/>
  <c r="AB462" i="43"/>
  <c r="AA455" i="43"/>
  <c r="AC373" i="43"/>
  <c r="AC344" i="43"/>
  <c r="AB288" i="43"/>
  <c r="AA382" i="43"/>
  <c r="AA350" i="43"/>
  <c r="AB316" i="43"/>
  <c r="AB283" i="43"/>
  <c r="AB272" i="43"/>
  <c r="AA276" i="43"/>
  <c r="AA266" i="43"/>
  <c r="AC322" i="43"/>
  <c r="AC283" i="43"/>
  <c r="AC272" i="43"/>
  <c r="AA357" i="43"/>
  <c r="AA458" i="43"/>
  <c r="AA243" i="43"/>
  <c r="V243" i="43"/>
  <c r="AB180" i="43"/>
  <c r="V180" i="43"/>
  <c r="AA420" i="43"/>
  <c r="AC225" i="43"/>
  <c r="V225" i="43"/>
  <c r="AC194" i="43"/>
  <c r="V194" i="43"/>
  <c r="AC262" i="43"/>
  <c r="AB344" i="43"/>
  <c r="AA322" i="43"/>
  <c r="AC448" i="43"/>
  <c r="AC231" i="43"/>
  <c r="V231" i="43"/>
  <c r="AC305" i="43"/>
  <c r="AB448" i="43"/>
  <c r="AC458" i="43"/>
  <c r="AB455" i="43"/>
  <c r="AC357" i="43"/>
  <c r="AA373" i="43"/>
  <c r="AA369" i="43"/>
  <c r="AA399" i="43"/>
  <c r="AA344" i="43"/>
  <c r="AB382" i="43"/>
  <c r="AA296" i="43"/>
  <c r="AC316" i="43"/>
  <c r="AB276" i="43"/>
  <c r="AB266" i="43"/>
  <c r="AA283" i="43"/>
  <c r="AA272" i="43"/>
  <c r="AA448" i="43"/>
  <c r="AB157" i="43"/>
  <c r="V157" i="43"/>
  <c r="AC145" i="43"/>
  <c r="V145" i="43"/>
  <c r="AB237" i="43"/>
  <c r="V237" i="43"/>
  <c r="AA200" i="43"/>
  <c r="V200" i="43"/>
  <c r="AC288" i="43"/>
  <c r="AB362" i="43"/>
  <c r="AB388" i="43"/>
  <c r="AA332" i="43"/>
  <c r="AB357" i="43"/>
  <c r="AB328" i="43"/>
  <c r="AC296" i="43"/>
  <c r="AG375" i="43"/>
  <c r="AG115" i="44"/>
  <c r="AB151" i="43"/>
  <c r="AA249" i="43"/>
  <c r="AG298" i="43"/>
  <c r="AG258" i="43"/>
  <c r="AA225" i="43"/>
  <c r="AA194" i="43"/>
  <c r="AA180" i="43"/>
  <c r="AG324" i="43"/>
  <c r="AC243" i="43"/>
  <c r="AB225" i="43"/>
  <c r="AB194" i="43"/>
  <c r="AG107" i="44"/>
  <c r="AC237" i="43"/>
  <c r="AA157" i="43"/>
  <c r="AA145" i="43"/>
  <c r="AA237" i="43"/>
  <c r="AB145" i="43"/>
  <c r="AC200" i="43"/>
  <c r="AB200" i="43"/>
  <c r="AC157" i="43"/>
  <c r="AB249" i="43"/>
  <c r="AB206" i="43"/>
  <c r="AC219" i="43"/>
  <c r="AB231" i="43"/>
  <c r="AA231" i="43"/>
  <c r="AB213" i="43"/>
  <c r="AA213" i="43"/>
  <c r="AC151" i="43"/>
  <c r="AA187" i="43"/>
  <c r="AA256" i="43"/>
  <c r="AB187" i="43"/>
  <c r="AC256" i="43"/>
  <c r="AC180" i="43"/>
  <c r="AG441" i="43" l="1"/>
  <c r="AG262" i="43"/>
  <c r="AG434" i="43"/>
  <c r="AG462" i="43"/>
  <c r="AG448" i="43"/>
  <c r="AG219" i="43"/>
  <c r="AB219" i="43"/>
  <c r="AG373" i="43"/>
  <c r="AG344" i="43"/>
  <c r="AG206" i="43"/>
  <c r="AA206" i="43"/>
  <c r="AG312" i="43"/>
  <c r="AG388" i="43"/>
  <c r="AG406" i="43"/>
  <c r="AG316" i="43"/>
  <c r="AG399" i="43"/>
  <c r="AG322" i="43"/>
  <c r="AG458" i="43"/>
  <c r="AG332" i="43"/>
  <c r="AG362" i="43"/>
  <c r="AG427" i="43"/>
  <c r="AG288" i="43"/>
  <c r="AG357" i="43"/>
  <c r="AG243" i="43"/>
  <c r="AB243" i="43"/>
  <c r="AG266" i="43"/>
  <c r="AG350" i="43"/>
  <c r="AG392" i="43"/>
  <c r="AG272" i="43"/>
  <c r="AG455" i="43"/>
  <c r="AG283" i="43"/>
  <c r="AG305" i="43"/>
  <c r="AG296" i="43"/>
  <c r="AG276" i="43"/>
  <c r="AG420" i="43"/>
  <c r="AG328" i="43"/>
  <c r="AG335" i="43"/>
  <c r="AG382" i="43"/>
  <c r="AG369" i="43"/>
  <c r="AG151" i="43"/>
  <c r="AG249" i="43"/>
  <c r="AG95" i="44"/>
  <c r="AG28" i="44"/>
  <c r="AG101" i="44"/>
  <c r="AG49" i="44"/>
  <c r="AG157" i="43"/>
  <c r="AG237" i="43"/>
  <c r="AG187" i="43"/>
  <c r="AG145" i="43"/>
  <c r="AG231" i="43"/>
  <c r="AG200" i="43"/>
  <c r="AG194" i="43"/>
  <c r="AG225" i="43"/>
  <c r="AG256" i="43"/>
  <c r="AG213" i="43"/>
  <c r="AG180" i="43"/>
  <c r="AG113" i="44"/>
  <c r="AG63" i="44"/>
  <c r="AG35" i="44"/>
  <c r="AG42" i="44"/>
  <c r="AG84" i="44"/>
  <c r="AG70" i="44"/>
  <c r="AG124" i="44"/>
  <c r="AG105" i="44"/>
  <c r="AG130" i="44"/>
  <c r="AG56" i="44"/>
  <c r="AG77" i="44"/>
  <c r="AG91" i="44"/>
  <c r="R467" i="43" l="1"/>
  <c r="R468" i="43"/>
  <c r="R469" i="43"/>
  <c r="R470" i="43"/>
  <c r="R471" i="43"/>
  <c r="R472" i="43"/>
  <c r="R473" i="43"/>
  <c r="R474" i="43"/>
  <c r="R475" i="43"/>
  <c r="R476" i="43"/>
  <c r="R466" i="43" l="1"/>
  <c r="U462" i="43" l="1"/>
  <c r="U458" i="43"/>
  <c r="U455" i="43"/>
  <c r="U448" i="43"/>
  <c r="U441" i="43"/>
  <c r="U434" i="43"/>
  <c r="U427" i="43"/>
  <c r="U420" i="43"/>
  <c r="U406" i="43"/>
  <c r="U399" i="43"/>
  <c r="U392" i="43"/>
  <c r="U388" i="43"/>
  <c r="U382" i="43"/>
  <c r="U375" i="43"/>
  <c r="U373" i="43"/>
  <c r="U369" i="43"/>
  <c r="U362" i="43"/>
  <c r="U357" i="43"/>
  <c r="U350" i="43"/>
  <c r="U344" i="43"/>
  <c r="U335" i="43"/>
  <c r="U332" i="43"/>
  <c r="U328" i="43"/>
  <c r="U324" i="43"/>
  <c r="U322" i="43"/>
  <c r="U316" i="43"/>
  <c r="U312" i="43"/>
  <c r="U305" i="43"/>
  <c r="U298" i="43"/>
  <c r="U296" i="43"/>
  <c r="U288" i="43"/>
  <c r="U283" i="43"/>
  <c r="U276" i="43"/>
  <c r="U272" i="43"/>
  <c r="U266" i="43"/>
  <c r="U262" i="43"/>
  <c r="U258" i="43"/>
  <c r="U256" i="43"/>
  <c r="U249" i="43"/>
  <c r="U243" i="43"/>
  <c r="U237" i="43"/>
  <c r="U231" i="43"/>
  <c r="U225" i="43"/>
  <c r="U219" i="43"/>
  <c r="U213" i="43"/>
  <c r="U206" i="43"/>
  <c r="U200" i="43"/>
  <c r="U194" i="43"/>
  <c r="U187" i="43"/>
  <c r="U180" i="43"/>
  <c r="U174" i="43"/>
  <c r="U168" i="43"/>
  <c r="U162" i="43"/>
  <c r="U157" i="43"/>
  <c r="U151" i="43"/>
  <c r="U145" i="43"/>
  <c r="U139" i="43"/>
  <c r="U132" i="43"/>
  <c r="U125" i="43"/>
  <c r="U120" i="43"/>
  <c r="U116" i="43"/>
  <c r="U113" i="43"/>
  <c r="U109" i="43"/>
  <c r="U105" i="43"/>
  <c r="U102" i="43"/>
  <c r="U98" i="43"/>
  <c r="U94" i="43"/>
  <c r="U90" i="43"/>
  <c r="U86" i="43"/>
  <c r="U82" i="43"/>
  <c r="U79" i="43"/>
  <c r="U75" i="43"/>
  <c r="U70" i="43"/>
  <c r="U67" i="43"/>
  <c r="U63" i="43"/>
  <c r="U59" i="43"/>
  <c r="U55" i="43"/>
  <c r="U52" i="43"/>
  <c r="U49" i="43"/>
  <c r="U46" i="43"/>
  <c r="U42" i="43"/>
  <c r="U39" i="43"/>
  <c r="U35" i="43"/>
  <c r="U31" i="43"/>
  <c r="U27" i="43"/>
  <c r="U22" i="43"/>
  <c r="U18" i="43"/>
  <c r="U13" i="43"/>
  <c r="AL130" i="44"/>
  <c r="AK130" i="44"/>
  <c r="AE130" i="44"/>
  <c r="X130" i="44"/>
  <c r="U130" i="44"/>
  <c r="AL124" i="44"/>
  <c r="AK124" i="44"/>
  <c r="AE124" i="44"/>
  <c r="X124" i="44"/>
  <c r="U124" i="44"/>
  <c r="AL115" i="44"/>
  <c r="AK115" i="44"/>
  <c r="AE115" i="44"/>
  <c r="X115" i="44"/>
  <c r="U115" i="44"/>
  <c r="AL113" i="44"/>
  <c r="AK113" i="44"/>
  <c r="AE113" i="44"/>
  <c r="X113" i="44"/>
  <c r="U113" i="44"/>
  <c r="AL107" i="44"/>
  <c r="AK107" i="44"/>
  <c r="AE107" i="44"/>
  <c r="X107" i="44"/>
  <c r="U107" i="44"/>
  <c r="AL105" i="44"/>
  <c r="AK105" i="44"/>
  <c r="AE105" i="44"/>
  <c r="X105" i="44"/>
  <c r="U105" i="44"/>
  <c r="AL101" i="44"/>
  <c r="AK101" i="44"/>
  <c r="AE101" i="44"/>
  <c r="X101" i="44"/>
  <c r="U101" i="44"/>
  <c r="AL95" i="44"/>
  <c r="AK95" i="44"/>
  <c r="AE95" i="44"/>
  <c r="X95" i="44"/>
  <c r="U95" i="44"/>
  <c r="AL91" i="44"/>
  <c r="AK91" i="44"/>
  <c r="AE91" i="44"/>
  <c r="X91" i="44"/>
  <c r="U91" i="44"/>
  <c r="AL84" i="44"/>
  <c r="AK84" i="44"/>
  <c r="AE84" i="44"/>
  <c r="X84" i="44"/>
  <c r="U84" i="44"/>
  <c r="AL77" i="44"/>
  <c r="AK77" i="44"/>
  <c r="AE77" i="44"/>
  <c r="X77" i="44"/>
  <c r="U77" i="44"/>
  <c r="AL70" i="44"/>
  <c r="AK70" i="44"/>
  <c r="AE70" i="44"/>
  <c r="X70" i="44"/>
  <c r="U70" i="44"/>
  <c r="AL63" i="44"/>
  <c r="AK63" i="44"/>
  <c r="AE63" i="44"/>
  <c r="X63" i="44"/>
  <c r="U63" i="44"/>
  <c r="AL56" i="44"/>
  <c r="AK56" i="44"/>
  <c r="AE56" i="44"/>
  <c r="X56" i="44"/>
  <c r="U56" i="44"/>
  <c r="AL49" i="44"/>
  <c r="AK49" i="44"/>
  <c r="AE49" i="44"/>
  <c r="X49" i="44"/>
  <c r="U49" i="44"/>
  <c r="AL42" i="44"/>
  <c r="AK42" i="44"/>
  <c r="AE42" i="44"/>
  <c r="X42" i="44"/>
  <c r="U42" i="44"/>
  <c r="AL35" i="44"/>
  <c r="AK35" i="44"/>
  <c r="AE35" i="44"/>
  <c r="X35" i="44"/>
  <c r="U35" i="44"/>
  <c r="AL28" i="44"/>
  <c r="AK28" i="44"/>
  <c r="AE28" i="44"/>
  <c r="X28" i="44"/>
  <c r="U28" i="44"/>
  <c r="AL19" i="44"/>
  <c r="AK19" i="44"/>
  <c r="AE19" i="44"/>
  <c r="X19" i="44"/>
  <c r="U19" i="44"/>
  <c r="AK13" i="44"/>
  <c r="AE13" i="44"/>
  <c r="X13" i="44"/>
  <c r="U13" i="44"/>
  <c r="AF174" i="43"/>
  <c r="Z174" i="43"/>
  <c r="Z162" i="43"/>
  <c r="AF139" i="43"/>
  <c r="Z139" i="43"/>
  <c r="AF132" i="43"/>
  <c r="AF125" i="43"/>
  <c r="Z116" i="43"/>
  <c r="AF113" i="43"/>
  <c r="Z105" i="43"/>
  <c r="AF102" i="43"/>
  <c r="Z90" i="43"/>
  <c r="AF86" i="43"/>
  <c r="Z79" i="43"/>
  <c r="Z75" i="43"/>
  <c r="Z63" i="43"/>
  <c r="AF59" i="43"/>
  <c r="AF52" i="43"/>
  <c r="AF49" i="43"/>
  <c r="Z49" i="43"/>
  <c r="AF46" i="43"/>
  <c r="Z39" i="43"/>
  <c r="AF35" i="43"/>
  <c r="AF12" i="43"/>
  <c r="AF13" i="43" s="1"/>
  <c r="Z12" i="43"/>
  <c r="Q12" i="43"/>
  <c r="Q13" i="43" s="1"/>
  <c r="AF115" i="44"/>
  <c r="Z115" i="44"/>
  <c r="V115" i="44"/>
  <c r="AF107" i="44"/>
  <c r="Z107" i="44"/>
  <c r="AF12" i="44"/>
  <c r="Z12" i="44"/>
  <c r="AU12" i="44" s="1"/>
  <c r="AU13" i="44" s="1"/>
  <c r="Q12" i="44"/>
  <c r="V12" i="44" s="1"/>
  <c r="AT12" i="44" s="1"/>
  <c r="AT13" i="44" s="1"/>
  <c r="AF13" i="44" l="1"/>
  <c r="AX12" i="44"/>
  <c r="AX13" i="44" s="1"/>
  <c r="U463" i="43"/>
  <c r="N13" i="47" s="1"/>
  <c r="Z13" i="44"/>
  <c r="V13" i="44"/>
  <c r="AC12" i="44"/>
  <c r="Z13" i="43"/>
  <c r="AU12" i="43"/>
  <c r="AU13" i="43" s="1"/>
  <c r="Z52" i="43"/>
  <c r="AF70" i="43"/>
  <c r="AF42" i="43"/>
  <c r="AF55" i="43"/>
  <c r="AF82" i="43"/>
  <c r="AF31" i="43"/>
  <c r="Z46" i="43"/>
  <c r="AF98" i="43"/>
  <c r="Z18" i="43"/>
  <c r="Z22" i="43"/>
  <c r="AF39" i="43"/>
  <c r="Z42" i="43"/>
  <c r="Z55" i="43"/>
  <c r="AF63" i="43"/>
  <c r="Z67" i="43"/>
  <c r="AF75" i="43"/>
  <c r="AF79" i="43"/>
  <c r="Z82" i="43"/>
  <c r="AF90" i="43"/>
  <c r="Z94" i="43"/>
  <c r="AF105" i="43"/>
  <c r="AF116" i="43"/>
  <c r="AF162" i="43"/>
  <c r="AF18" i="43"/>
  <c r="AF22" i="43"/>
  <c r="Z27" i="43"/>
  <c r="Z31" i="43"/>
  <c r="AF67" i="43"/>
  <c r="Z70" i="43"/>
  <c r="AF94" i="43"/>
  <c r="Z98" i="43"/>
  <c r="Z109" i="43"/>
  <c r="Z120" i="43"/>
  <c r="Z168" i="43"/>
  <c r="AF27" i="43"/>
  <c r="Z35" i="43"/>
  <c r="Z59" i="43"/>
  <c r="Z86" i="43"/>
  <c r="Z102" i="43"/>
  <c r="AF109" i="43"/>
  <c r="Z113" i="43"/>
  <c r="AF120" i="43"/>
  <c r="Z125" i="43"/>
  <c r="Z132" i="43"/>
  <c r="AF168" i="43"/>
  <c r="V139" i="43"/>
  <c r="AO131" i="44"/>
  <c r="AH14" i="47" s="1"/>
  <c r="AN131" i="44"/>
  <c r="AG14" i="47" s="1"/>
  <c r="AF91" i="44"/>
  <c r="Z105" i="44"/>
  <c r="AF42" i="44"/>
  <c r="Z42" i="44"/>
  <c r="AF95" i="44"/>
  <c r="AF56" i="44"/>
  <c r="AF63" i="44"/>
  <c r="AF70" i="44"/>
  <c r="AF101" i="44"/>
  <c r="AF113" i="44"/>
  <c r="AF130" i="44"/>
  <c r="AF19" i="44"/>
  <c r="AF35" i="44"/>
  <c r="AF28" i="44"/>
  <c r="AF49" i="44"/>
  <c r="AF77" i="44"/>
  <c r="Z113" i="44"/>
  <c r="Z77" i="44"/>
  <c r="Z84" i="44"/>
  <c r="Q105" i="44"/>
  <c r="Z28" i="44"/>
  <c r="V28" i="44"/>
  <c r="Z49" i="44"/>
  <c r="Z70" i="44"/>
  <c r="Z35" i="44"/>
  <c r="Z56" i="44"/>
  <c r="V56" i="44"/>
  <c r="Z95" i="44"/>
  <c r="V95" i="44"/>
  <c r="V31" i="43"/>
  <c r="V52" i="43"/>
  <c r="V174" i="43"/>
  <c r="V18" i="43"/>
  <c r="V27" i="43"/>
  <c r="V35" i="43"/>
  <c r="V79" i="43"/>
  <c r="V82" i="43"/>
  <c r="V102" i="43"/>
  <c r="V105" i="43"/>
  <c r="V22" i="43"/>
  <c r="V39" i="43"/>
  <c r="V42" i="43"/>
  <c r="V59" i="43"/>
  <c r="V67" i="43"/>
  <c r="V116" i="43"/>
  <c r="V132" i="43"/>
  <c r="V12" i="43"/>
  <c r="V98" i="43"/>
  <c r="V70" i="43"/>
  <c r="V86" i="43"/>
  <c r="V109" i="43"/>
  <c r="V113" i="43"/>
  <c r="V168" i="43"/>
  <c r="Q130" i="44"/>
  <c r="Z63" i="44"/>
  <c r="V77" i="44"/>
  <c r="AF84" i="44"/>
  <c r="Q91" i="44"/>
  <c r="AF105" i="44"/>
  <c r="AF124" i="44"/>
  <c r="Z124" i="44"/>
  <c r="Q124" i="44"/>
  <c r="Z130" i="44"/>
  <c r="Z19" i="44"/>
  <c r="Z91" i="44"/>
  <c r="Z101" i="44"/>
  <c r="V63" i="44"/>
  <c r="Q63" i="44"/>
  <c r="V35" i="44"/>
  <c r="Q35" i="44"/>
  <c r="Q13" i="44"/>
  <c r="Q28" i="44"/>
  <c r="Q42" i="44"/>
  <c r="V42" i="44"/>
  <c r="Q56" i="44"/>
  <c r="Q70" i="44"/>
  <c r="V70" i="44"/>
  <c r="Q84" i="44"/>
  <c r="V84" i="44"/>
  <c r="Q95" i="44"/>
  <c r="V105" i="44"/>
  <c r="Q113" i="44"/>
  <c r="V113" i="44"/>
  <c r="AA107" i="44"/>
  <c r="Q19" i="44"/>
  <c r="V19" i="44"/>
  <c r="Q49" i="44"/>
  <c r="V49" i="44"/>
  <c r="Q77" i="44"/>
  <c r="Q101" i="44"/>
  <c r="V101" i="44"/>
  <c r="Q107" i="44"/>
  <c r="V107" i="44"/>
  <c r="Q115" i="44"/>
  <c r="AR463" i="43"/>
  <c r="AK13" i="47" s="1"/>
  <c r="AB12" i="44"/>
  <c r="AA12" i="44"/>
  <c r="AA13" i="44" s="1"/>
  <c r="AC115" i="44"/>
  <c r="AB115" i="44"/>
  <c r="AC107" i="44"/>
  <c r="AC13" i="44" l="1"/>
  <c r="AW12" i="44"/>
  <c r="AW13" i="44" s="1"/>
  <c r="AB13" i="44"/>
  <c r="AV12" i="44"/>
  <c r="AV13" i="44" s="1"/>
  <c r="Z463" i="43"/>
  <c r="S13" i="47" s="1"/>
  <c r="AF463" i="43"/>
  <c r="Y13" i="47" s="1"/>
  <c r="Q463" i="43"/>
  <c r="J13" i="47" s="1"/>
  <c r="V13" i="43"/>
  <c r="AC12" i="43"/>
  <c r="AC13" i="43" s="1"/>
  <c r="AC139" i="43"/>
  <c r="AA125" i="43"/>
  <c r="V125" i="43"/>
  <c r="AB49" i="43"/>
  <c r="V49" i="43"/>
  <c r="AB63" i="43"/>
  <c r="V63" i="43"/>
  <c r="AA120" i="43"/>
  <c r="V120" i="43"/>
  <c r="AB162" i="43"/>
  <c r="V162" i="43"/>
  <c r="AA94" i="43"/>
  <c r="V94" i="43"/>
  <c r="AA90" i="43"/>
  <c r="V90" i="43"/>
  <c r="AA46" i="43"/>
  <c r="V46" i="43"/>
  <c r="AB55" i="43"/>
  <c r="V55" i="43"/>
  <c r="AA75" i="43"/>
  <c r="V75" i="43"/>
  <c r="AB116" i="43"/>
  <c r="AC162" i="43"/>
  <c r="AC49" i="43"/>
  <c r="AG19" i="44"/>
  <c r="AA139" i="43"/>
  <c r="AB139" i="43"/>
  <c r="AA49" i="43"/>
  <c r="AP131" i="44"/>
  <c r="AI14" i="47" s="1"/>
  <c r="AQ131" i="44"/>
  <c r="AC102" i="43"/>
  <c r="AA102" i="43"/>
  <c r="AC35" i="43"/>
  <c r="AB22" i="43"/>
  <c r="AC39" i="43"/>
  <c r="AB91" i="44"/>
  <c r="AB35" i="44"/>
  <c r="AC35" i="44"/>
  <c r="AA18" i="43"/>
  <c r="AB67" i="43"/>
  <c r="AB174" i="43"/>
  <c r="AA22" i="43"/>
  <c r="AC174" i="43"/>
  <c r="AA39" i="43"/>
  <c r="AC67" i="43"/>
  <c r="AA113" i="43"/>
  <c r="AB113" i="43"/>
  <c r="AB31" i="43"/>
  <c r="AA116" i="43"/>
  <c r="AC116" i="43"/>
  <c r="AC113" i="43"/>
  <c r="AA31" i="43"/>
  <c r="AB39" i="43"/>
  <c r="AB52" i="43"/>
  <c r="AB125" i="43"/>
  <c r="AC31" i="43"/>
  <c r="AA67" i="43"/>
  <c r="AC22" i="43"/>
  <c r="AB79" i="43"/>
  <c r="AB120" i="43"/>
  <c r="AA124" i="44"/>
  <c r="AC77" i="44"/>
  <c r="AC19" i="44"/>
  <c r="AB124" i="44"/>
  <c r="AC95" i="44"/>
  <c r="AC101" i="44"/>
  <c r="AB63" i="44"/>
  <c r="AA91" i="44"/>
  <c r="AC70" i="44"/>
  <c r="AC42" i="44"/>
  <c r="AB70" i="44"/>
  <c r="AB42" i="44"/>
  <c r="AA113" i="44"/>
  <c r="AC56" i="44"/>
  <c r="AC98" i="43"/>
  <c r="AA98" i="43"/>
  <c r="AA55" i="43"/>
  <c r="AC79" i="43"/>
  <c r="AA82" i="43"/>
  <c r="AA79" i="43"/>
  <c r="AB98" i="43"/>
  <c r="AA132" i="43"/>
  <c r="AA12" i="43"/>
  <c r="AA13" i="43" s="1"/>
  <c r="AC70" i="43"/>
  <c r="AA35" i="43"/>
  <c r="AC132" i="43"/>
  <c r="AA70" i="43"/>
  <c r="AB102" i="43"/>
  <c r="AA52" i="43"/>
  <c r="AC52" i="43"/>
  <c r="AA59" i="43"/>
  <c r="AB132" i="43"/>
  <c r="AB12" i="43"/>
  <c r="AB13" i="43" s="1"/>
  <c r="AB59" i="43"/>
  <c r="AB109" i="43"/>
  <c r="AC59" i="43"/>
  <c r="AB70" i="43"/>
  <c r="AB35" i="43"/>
  <c r="AC63" i="43"/>
  <c r="AA63" i="43"/>
  <c r="AC105" i="43"/>
  <c r="AB105" i="43"/>
  <c r="AC27" i="43"/>
  <c r="AB27" i="43"/>
  <c r="AA109" i="43"/>
  <c r="AA86" i="43"/>
  <c r="AC109" i="43"/>
  <c r="AC168" i="43"/>
  <c r="AB42" i="43"/>
  <c r="AB86" i="43"/>
  <c r="AC90" i="43"/>
  <c r="AB90" i="43"/>
  <c r="AC46" i="43"/>
  <c r="AB46" i="43"/>
  <c r="AC120" i="43"/>
  <c r="AC94" i="43"/>
  <c r="AB94" i="43"/>
  <c r="AA168" i="43"/>
  <c r="AB18" i="43"/>
  <c r="AB168" i="43"/>
  <c r="AC42" i="43"/>
  <c r="AB82" i="43"/>
  <c r="AC86" i="43"/>
  <c r="AC125" i="43"/>
  <c r="AA105" i="43"/>
  <c r="AA27" i="43"/>
  <c r="AC18" i="43"/>
  <c r="AA42" i="43"/>
  <c r="AC82" i="43"/>
  <c r="AC55" i="43"/>
  <c r="AC75" i="43"/>
  <c r="AB75" i="43"/>
  <c r="AB95" i="44"/>
  <c r="AA84" i="44"/>
  <c r="AA115" i="44"/>
  <c r="AB113" i="44"/>
  <c r="AB49" i="44"/>
  <c r="AB19" i="44"/>
  <c r="AC63" i="44"/>
  <c r="AB77" i="44"/>
  <c r="AA49" i="44"/>
  <c r="AA130" i="44"/>
  <c r="AA95" i="44"/>
  <c r="AB130" i="44"/>
  <c r="AB107" i="44"/>
  <c r="AA101" i="44"/>
  <c r="AA105" i="44"/>
  <c r="AB56" i="44"/>
  <c r="AC49" i="44"/>
  <c r="AB84" i="44"/>
  <c r="AA56" i="44"/>
  <c r="AA19" i="44"/>
  <c r="AA28" i="44"/>
  <c r="AA77" i="44"/>
  <c r="V124" i="44"/>
  <c r="AC91" i="44"/>
  <c r="V91" i="44"/>
  <c r="AC130" i="44"/>
  <c r="V130" i="44"/>
  <c r="AC105" i="44"/>
  <c r="AB28" i="44"/>
  <c r="AB101" i="44"/>
  <c r="AC124" i="44"/>
  <c r="AB105" i="44"/>
  <c r="AA70" i="44"/>
  <c r="AC84" i="44"/>
  <c r="AA42" i="44"/>
  <c r="AC113" i="44"/>
  <c r="AA63" i="44"/>
  <c r="AC28" i="44"/>
  <c r="AA35" i="44"/>
  <c r="AG12" i="44"/>
  <c r="AJ14" i="47" l="1"/>
  <c r="AJ23" i="47" s="1"/>
  <c r="AG13" i="44"/>
  <c r="AS12" i="44"/>
  <c r="AS13" i="44" s="1"/>
  <c r="V463" i="43"/>
  <c r="O13" i="47" s="1"/>
  <c r="AC463" i="43"/>
  <c r="V13" i="47" s="1"/>
  <c r="AB463" i="43"/>
  <c r="U13" i="47" s="1"/>
  <c r="AI23" i="47"/>
  <c r="AR132" i="44"/>
  <c r="AG174" i="43"/>
  <c r="AA174" i="43"/>
  <c r="AG162" i="43"/>
  <c r="AA162" i="43"/>
  <c r="AG86" i="43"/>
  <c r="AG35" i="43"/>
  <c r="AG55" i="43"/>
  <c r="AG22" i="43"/>
  <c r="AG49" i="43"/>
  <c r="AG105" i="43"/>
  <c r="AG109" i="43"/>
  <c r="AG63" i="43"/>
  <c r="AG116" i="43"/>
  <c r="AG94" i="43"/>
  <c r="AG42" i="43"/>
  <c r="AG27" i="43"/>
  <c r="AG168" i="43"/>
  <c r="AG82" i="43"/>
  <c r="AG98" i="43"/>
  <c r="AG31" i="43"/>
  <c r="AG39" i="43"/>
  <c r="AG46" i="43"/>
  <c r="AG120" i="43"/>
  <c r="AG125" i="43"/>
  <c r="AG90" i="43"/>
  <c r="AG70" i="43"/>
  <c r="AG59" i="43"/>
  <c r="AG52" i="43"/>
  <c r="AG132" i="43"/>
  <c r="AG79" i="43"/>
  <c r="AG67" i="43"/>
  <c r="AG113" i="43"/>
  <c r="AG18" i="43"/>
  <c r="AG102" i="43"/>
  <c r="AG139" i="43"/>
  <c r="AG75" i="43"/>
  <c r="AR131" i="44"/>
  <c r="AK14" i="47" s="1"/>
  <c r="AG12" i="43"/>
  <c r="AG13" i="43" s="1"/>
  <c r="AA463" i="43" l="1"/>
  <c r="T13" i="47" s="1"/>
  <c r="AG463" i="43"/>
  <c r="Z13" i="47" s="1"/>
  <c r="AK135" i="44"/>
  <c r="AL135" i="44"/>
  <c r="AK136" i="44"/>
  <c r="AL136" i="44"/>
  <c r="AK137" i="44"/>
  <c r="AL137" i="44"/>
  <c r="AK138" i="44"/>
  <c r="AL138" i="44"/>
  <c r="AK139" i="44"/>
  <c r="AL139" i="44"/>
  <c r="AK140" i="44"/>
  <c r="AL140" i="44"/>
  <c r="AK141" i="44"/>
  <c r="AL141" i="44"/>
  <c r="AK142" i="44"/>
  <c r="AL142" i="44"/>
  <c r="AK143" i="44"/>
  <c r="AL143" i="44"/>
  <c r="AK144" i="44"/>
  <c r="AL144" i="44"/>
  <c r="AK467" i="43"/>
  <c r="AL467" i="43"/>
  <c r="AK468" i="43"/>
  <c r="AL468" i="43"/>
  <c r="AK469" i="43"/>
  <c r="AL469" i="43"/>
  <c r="AK470" i="43"/>
  <c r="AL470" i="43"/>
  <c r="AK471" i="43"/>
  <c r="AL471" i="43"/>
  <c r="AK472" i="43"/>
  <c r="AL472" i="43"/>
  <c r="AK473" i="43"/>
  <c r="AL473" i="43"/>
  <c r="AK474" i="43"/>
  <c r="AL474" i="43"/>
  <c r="AK475" i="43"/>
  <c r="AL475" i="43"/>
  <c r="AK476" i="43"/>
  <c r="AL476" i="43"/>
  <c r="AD29" i="47" l="1"/>
  <c r="AD34" i="47"/>
  <c r="AD31" i="47"/>
  <c r="AD28" i="47"/>
  <c r="AE34" i="47"/>
  <c r="AE31" i="47"/>
  <c r="AE28" i="47"/>
  <c r="AE36" i="47"/>
  <c r="AE33" i="47"/>
  <c r="AE30" i="47"/>
  <c r="AE27" i="47"/>
  <c r="AD36" i="47"/>
  <c r="AD33" i="47"/>
  <c r="AD30" i="47"/>
  <c r="AD27" i="47"/>
  <c r="AE35" i="47"/>
  <c r="AE32" i="47"/>
  <c r="AE29" i="47"/>
  <c r="AD35" i="47"/>
  <c r="AD32" i="47"/>
  <c r="AL466" i="43"/>
  <c r="AK466" i="43"/>
  <c r="AK131" i="44"/>
  <c r="AD14" i="47" s="1"/>
  <c r="AL134" i="44"/>
  <c r="AL131" i="44"/>
  <c r="AE14" i="47" s="1"/>
  <c r="AK134" i="44"/>
  <c r="AE23" i="47" l="1"/>
  <c r="AD23" i="47"/>
  <c r="AE26" i="47"/>
  <c r="AD26" i="47"/>
  <c r="W135" i="44"/>
  <c r="W136" i="44"/>
  <c r="W137" i="44"/>
  <c r="W138" i="44"/>
  <c r="W139" i="44"/>
  <c r="W140" i="44"/>
  <c r="W141" i="44"/>
  <c r="W142" i="44"/>
  <c r="W143" i="44"/>
  <c r="W144" i="44"/>
  <c r="W131" i="44" l="1"/>
  <c r="P14" i="47" s="1"/>
  <c r="W134" i="44"/>
  <c r="P23" i="47" l="1"/>
  <c r="Q132" i="44"/>
  <c r="Q464" i="43"/>
  <c r="W464" i="43" l="1"/>
  <c r="R131" i="44"/>
  <c r="K14" i="47" l="1"/>
  <c r="K23" i="47" s="1"/>
  <c r="J135" i="44"/>
  <c r="M135" i="44"/>
  <c r="O135" i="44"/>
  <c r="P135" i="44"/>
  <c r="R135" i="44"/>
  <c r="K27" i="47" s="1"/>
  <c r="U135" i="44"/>
  <c r="X135" i="44"/>
  <c r="Y135" i="44"/>
  <c r="AD135" i="44"/>
  <c r="W27" i="47" s="1"/>
  <c r="AE135" i="44"/>
  <c r="AH135" i="44"/>
  <c r="AI135" i="44"/>
  <c r="AJ135" i="44"/>
  <c r="AC27" i="47" s="1"/>
  <c r="J136" i="44"/>
  <c r="M136" i="44"/>
  <c r="O136" i="44"/>
  <c r="P136" i="44"/>
  <c r="R136" i="44"/>
  <c r="K28" i="47" s="1"/>
  <c r="U136" i="44"/>
  <c r="X136" i="44"/>
  <c r="Y136" i="44"/>
  <c r="AD136" i="44"/>
  <c r="W28" i="47" s="1"/>
  <c r="AE136" i="44"/>
  <c r="AH136" i="44"/>
  <c r="AI136" i="44"/>
  <c r="AJ136" i="44"/>
  <c r="AC28" i="47" s="1"/>
  <c r="J137" i="44"/>
  <c r="M137" i="44"/>
  <c r="O137" i="44"/>
  <c r="P137" i="44"/>
  <c r="R137" i="44"/>
  <c r="K29" i="47" s="1"/>
  <c r="U137" i="44"/>
  <c r="X137" i="44"/>
  <c r="Y137" i="44"/>
  <c r="AD137" i="44"/>
  <c r="W29" i="47" s="1"/>
  <c r="AE137" i="44"/>
  <c r="AH137" i="44"/>
  <c r="AI137" i="44"/>
  <c r="AJ137" i="44"/>
  <c r="AC29" i="47" s="1"/>
  <c r="J138" i="44"/>
  <c r="M138" i="44"/>
  <c r="O138" i="44"/>
  <c r="P138" i="44"/>
  <c r="R138" i="44"/>
  <c r="K30" i="47" s="1"/>
  <c r="U138" i="44"/>
  <c r="X138" i="44"/>
  <c r="Y138" i="44"/>
  <c r="AD138" i="44"/>
  <c r="W30" i="47" s="1"/>
  <c r="AE138" i="44"/>
  <c r="AH138" i="44"/>
  <c r="AI138" i="44"/>
  <c r="AJ138" i="44"/>
  <c r="AC30" i="47" s="1"/>
  <c r="I139" i="44"/>
  <c r="J139" i="44"/>
  <c r="M139" i="44"/>
  <c r="N139" i="44"/>
  <c r="O139" i="44"/>
  <c r="P139" i="44"/>
  <c r="Q139" i="44"/>
  <c r="R139" i="44"/>
  <c r="K31" i="47" s="1"/>
  <c r="U139" i="44"/>
  <c r="V139" i="44"/>
  <c r="X139" i="44"/>
  <c r="Y139" i="44"/>
  <c r="Z139" i="44"/>
  <c r="AA139" i="44"/>
  <c r="AB139" i="44"/>
  <c r="AC139" i="44"/>
  <c r="AD139" i="44"/>
  <c r="W31" i="47" s="1"/>
  <c r="AE139" i="44"/>
  <c r="AF139" i="44"/>
  <c r="AG139" i="44"/>
  <c r="AH139" i="44"/>
  <c r="AI139" i="44"/>
  <c r="AJ139" i="44"/>
  <c r="AC31" i="47" s="1"/>
  <c r="AS139" i="44"/>
  <c r="AT139" i="44"/>
  <c r="AU139" i="44"/>
  <c r="AV139" i="44"/>
  <c r="AW139" i="44"/>
  <c r="AX139" i="44"/>
  <c r="AY139" i="44"/>
  <c r="AZ139" i="44"/>
  <c r="BA139" i="44"/>
  <c r="I140" i="44"/>
  <c r="J140" i="44"/>
  <c r="M140" i="44"/>
  <c r="N140" i="44"/>
  <c r="O140" i="44"/>
  <c r="P140" i="44"/>
  <c r="Q140" i="44"/>
  <c r="R140" i="44"/>
  <c r="K32" i="47" s="1"/>
  <c r="U140" i="44"/>
  <c r="V140" i="44"/>
  <c r="X140" i="44"/>
  <c r="Y140" i="44"/>
  <c r="Z140" i="44"/>
  <c r="AA140" i="44"/>
  <c r="AB140" i="44"/>
  <c r="AC140" i="44"/>
  <c r="AD140" i="44"/>
  <c r="W32" i="47" s="1"/>
  <c r="AE140" i="44"/>
  <c r="AF140" i="44"/>
  <c r="AG140" i="44"/>
  <c r="AH140" i="44"/>
  <c r="AI140" i="44"/>
  <c r="AJ140" i="44"/>
  <c r="AC32" i="47" s="1"/>
  <c r="AS140" i="44"/>
  <c r="AT140" i="44"/>
  <c r="AU140" i="44"/>
  <c r="AV140" i="44"/>
  <c r="AW140" i="44"/>
  <c r="AX140" i="44"/>
  <c r="AY140" i="44"/>
  <c r="AZ140" i="44"/>
  <c r="BA140" i="44"/>
  <c r="J141" i="44"/>
  <c r="M141" i="44"/>
  <c r="O141" i="44"/>
  <c r="P141" i="44"/>
  <c r="R141" i="44"/>
  <c r="K33" i="47" s="1"/>
  <c r="U141" i="44"/>
  <c r="X141" i="44"/>
  <c r="Y141" i="44"/>
  <c r="AD141" i="44"/>
  <c r="W33" i="47" s="1"/>
  <c r="AE141" i="44"/>
  <c r="AH141" i="44"/>
  <c r="AI141" i="44"/>
  <c r="AJ141" i="44"/>
  <c r="AC33" i="47" s="1"/>
  <c r="J142" i="44"/>
  <c r="M142" i="44"/>
  <c r="O142" i="44"/>
  <c r="P142" i="44"/>
  <c r="R142" i="44"/>
  <c r="K34" i="47" s="1"/>
  <c r="U142" i="44"/>
  <c r="X142" i="44"/>
  <c r="Y142" i="44"/>
  <c r="AD142" i="44"/>
  <c r="W34" i="47" s="1"/>
  <c r="AE142" i="44"/>
  <c r="AH142" i="44"/>
  <c r="AI142" i="44"/>
  <c r="AJ142" i="44"/>
  <c r="AC34" i="47" s="1"/>
  <c r="J143" i="44"/>
  <c r="M143" i="44"/>
  <c r="O143" i="44"/>
  <c r="P143" i="44"/>
  <c r="R143" i="44"/>
  <c r="K35" i="47" s="1"/>
  <c r="U143" i="44"/>
  <c r="X143" i="44"/>
  <c r="Y143" i="44"/>
  <c r="AD143" i="44"/>
  <c r="W35" i="47" s="1"/>
  <c r="AE143" i="44"/>
  <c r="AH143" i="44"/>
  <c r="AI143" i="44"/>
  <c r="AJ143" i="44"/>
  <c r="AC35" i="47" s="1"/>
  <c r="J144" i="44"/>
  <c r="M144" i="44"/>
  <c r="O144" i="44"/>
  <c r="P144" i="44"/>
  <c r="R144" i="44"/>
  <c r="K36" i="47" s="1"/>
  <c r="U144" i="44"/>
  <c r="X144" i="44"/>
  <c r="Y144" i="44"/>
  <c r="AD144" i="44"/>
  <c r="W36" i="47" s="1"/>
  <c r="AE144" i="44"/>
  <c r="AH144" i="44"/>
  <c r="AI144" i="44"/>
  <c r="AJ144" i="44"/>
  <c r="AC36" i="47" s="1"/>
  <c r="J467" i="43"/>
  <c r="M467" i="43"/>
  <c r="O467" i="43"/>
  <c r="P467" i="43"/>
  <c r="U467" i="43"/>
  <c r="W467" i="43"/>
  <c r="P27" i="47" s="1"/>
  <c r="X467" i="43"/>
  <c r="Y467" i="43"/>
  <c r="AE467" i="43"/>
  <c r="AH467" i="43"/>
  <c r="AI467" i="43"/>
  <c r="AN467" i="43"/>
  <c r="AG27" i="47" s="1"/>
  <c r="AO467" i="43"/>
  <c r="AH27" i="47" s="1"/>
  <c r="J468" i="43"/>
  <c r="M468" i="43"/>
  <c r="O468" i="43"/>
  <c r="P468" i="43"/>
  <c r="U468" i="43"/>
  <c r="W468" i="43"/>
  <c r="P28" i="47" s="1"/>
  <c r="X468" i="43"/>
  <c r="Y468" i="43"/>
  <c r="AE468" i="43"/>
  <c r="AH468" i="43"/>
  <c r="AI468" i="43"/>
  <c r="AN468" i="43"/>
  <c r="AG28" i="47" s="1"/>
  <c r="AO468" i="43"/>
  <c r="AH28" i="47" s="1"/>
  <c r="J469" i="43"/>
  <c r="M469" i="43"/>
  <c r="O469" i="43"/>
  <c r="P469" i="43"/>
  <c r="U469" i="43"/>
  <c r="W469" i="43"/>
  <c r="P29" i="47" s="1"/>
  <c r="X469" i="43"/>
  <c r="Y469" i="43"/>
  <c r="AE469" i="43"/>
  <c r="AH469" i="43"/>
  <c r="AI469" i="43"/>
  <c r="AN469" i="43"/>
  <c r="AG29" i="47" s="1"/>
  <c r="AO469" i="43"/>
  <c r="AH29" i="47" s="1"/>
  <c r="J470" i="43"/>
  <c r="M470" i="43"/>
  <c r="O470" i="43"/>
  <c r="P470" i="43"/>
  <c r="U470" i="43"/>
  <c r="W470" i="43"/>
  <c r="P30" i="47" s="1"/>
  <c r="X470" i="43"/>
  <c r="Y470" i="43"/>
  <c r="AE470" i="43"/>
  <c r="AH470" i="43"/>
  <c r="AI470" i="43"/>
  <c r="AN470" i="43"/>
  <c r="AG30" i="47" s="1"/>
  <c r="AO470" i="43"/>
  <c r="AH30" i="47" s="1"/>
  <c r="I471" i="43"/>
  <c r="J471" i="43"/>
  <c r="M471" i="43"/>
  <c r="N471" i="43"/>
  <c r="O471" i="43"/>
  <c r="P471" i="43"/>
  <c r="Q471" i="43"/>
  <c r="U471" i="43"/>
  <c r="V471" i="43"/>
  <c r="W471" i="43"/>
  <c r="P31" i="47" s="1"/>
  <c r="X471" i="43"/>
  <c r="Y471" i="43"/>
  <c r="Z471" i="43"/>
  <c r="AA471" i="43"/>
  <c r="AB471" i="43"/>
  <c r="AC471" i="43"/>
  <c r="AE471" i="43"/>
  <c r="AF471" i="43"/>
  <c r="AG471" i="43"/>
  <c r="AH471" i="43"/>
  <c r="AI471" i="43"/>
  <c r="AN471" i="43"/>
  <c r="AG31" i="47" s="1"/>
  <c r="AO471" i="43"/>
  <c r="AH31" i="47" s="1"/>
  <c r="AR471" i="43"/>
  <c r="AK31" i="47" s="1"/>
  <c r="AS471" i="43"/>
  <c r="AT471" i="43"/>
  <c r="AU471" i="43"/>
  <c r="AV471" i="43"/>
  <c r="AW471" i="43"/>
  <c r="AX471" i="43"/>
  <c r="AY471" i="43"/>
  <c r="AZ471" i="43"/>
  <c r="BA471" i="43"/>
  <c r="I472" i="43"/>
  <c r="J472" i="43"/>
  <c r="M472" i="43"/>
  <c r="N472" i="43"/>
  <c r="O472" i="43"/>
  <c r="P472" i="43"/>
  <c r="Q472" i="43"/>
  <c r="U472" i="43"/>
  <c r="V472" i="43"/>
  <c r="W472" i="43"/>
  <c r="P32" i="47" s="1"/>
  <c r="X472" i="43"/>
  <c r="Y472" i="43"/>
  <c r="Z472" i="43"/>
  <c r="AA472" i="43"/>
  <c r="AB472" i="43"/>
  <c r="AC472" i="43"/>
  <c r="AE472" i="43"/>
  <c r="AF472" i="43"/>
  <c r="AG472" i="43"/>
  <c r="AH472" i="43"/>
  <c r="AI472" i="43"/>
  <c r="AN472" i="43"/>
  <c r="AG32" i="47" s="1"/>
  <c r="AO472" i="43"/>
  <c r="AH32" i="47" s="1"/>
  <c r="AR472" i="43"/>
  <c r="AK32" i="47" s="1"/>
  <c r="AS472" i="43"/>
  <c r="AT472" i="43"/>
  <c r="AU472" i="43"/>
  <c r="AV472" i="43"/>
  <c r="AW472" i="43"/>
  <c r="AX472" i="43"/>
  <c r="AY472" i="43"/>
  <c r="AZ472" i="43"/>
  <c r="BA472" i="43"/>
  <c r="J473" i="43"/>
  <c r="M473" i="43"/>
  <c r="O473" i="43"/>
  <c r="P473" i="43"/>
  <c r="U473" i="43"/>
  <c r="W473" i="43"/>
  <c r="P33" i="47" s="1"/>
  <c r="X473" i="43"/>
  <c r="Y473" i="43"/>
  <c r="AE473" i="43"/>
  <c r="AH473" i="43"/>
  <c r="AI473" i="43"/>
  <c r="AN473" i="43"/>
  <c r="AG33" i="47" s="1"/>
  <c r="AO473" i="43"/>
  <c r="AH33" i="47" s="1"/>
  <c r="J474" i="43"/>
  <c r="M474" i="43"/>
  <c r="O474" i="43"/>
  <c r="P474" i="43"/>
  <c r="U474" i="43"/>
  <c r="W474" i="43"/>
  <c r="P34" i="47" s="1"/>
  <c r="X474" i="43"/>
  <c r="Y474" i="43"/>
  <c r="AE474" i="43"/>
  <c r="AH474" i="43"/>
  <c r="AI474" i="43"/>
  <c r="AN474" i="43"/>
  <c r="AG34" i="47" s="1"/>
  <c r="AO474" i="43"/>
  <c r="AH34" i="47" s="1"/>
  <c r="J475" i="43"/>
  <c r="M475" i="43"/>
  <c r="O475" i="43"/>
  <c r="P475" i="43"/>
  <c r="U475" i="43"/>
  <c r="W475" i="43"/>
  <c r="P35" i="47" s="1"/>
  <c r="X475" i="43"/>
  <c r="Y475" i="43"/>
  <c r="AE475" i="43"/>
  <c r="AH475" i="43"/>
  <c r="AI475" i="43"/>
  <c r="AN475" i="43"/>
  <c r="AG35" i="47" s="1"/>
  <c r="AO475" i="43"/>
  <c r="AH35" i="47" s="1"/>
  <c r="J476" i="43"/>
  <c r="M476" i="43"/>
  <c r="O476" i="43"/>
  <c r="P476" i="43"/>
  <c r="U476" i="43"/>
  <c r="W476" i="43"/>
  <c r="P36" i="47" s="1"/>
  <c r="X476" i="43"/>
  <c r="Y476" i="43"/>
  <c r="AE476" i="43"/>
  <c r="AH476" i="43"/>
  <c r="AI476" i="43"/>
  <c r="AN476" i="43"/>
  <c r="AG36" i="47" s="1"/>
  <c r="AO476" i="43"/>
  <c r="AH36" i="47" s="1"/>
  <c r="BA12" i="43"/>
  <c r="BA13" i="43" s="1"/>
  <c r="AX12" i="43"/>
  <c r="AX13" i="43" s="1"/>
  <c r="AB36" i="47" l="1"/>
  <c r="N36" i="47"/>
  <c r="Q35" i="47"/>
  <c r="C35" i="47"/>
  <c r="R34" i="47"/>
  <c r="F34" i="47"/>
  <c r="H33" i="47"/>
  <c r="AQ32" i="47"/>
  <c r="Q32" i="47"/>
  <c r="H32" i="47"/>
  <c r="AS31" i="47"/>
  <c r="AM31" i="47"/>
  <c r="Y31" i="47"/>
  <c r="S31" i="47"/>
  <c r="J31" i="47"/>
  <c r="B31" i="47"/>
  <c r="R30" i="47"/>
  <c r="F30" i="47"/>
  <c r="H29" i="47"/>
  <c r="X28" i="47"/>
  <c r="I28" i="47"/>
  <c r="AA27" i="47"/>
  <c r="AA36" i="47"/>
  <c r="AB35" i="47"/>
  <c r="N35" i="47"/>
  <c r="Q34" i="47"/>
  <c r="C34" i="47"/>
  <c r="R33" i="47"/>
  <c r="F33" i="47"/>
  <c r="AP32" i="47"/>
  <c r="AB32" i="47"/>
  <c r="V32" i="47"/>
  <c r="O32" i="47"/>
  <c r="G32" i="47"/>
  <c r="AR31" i="47"/>
  <c r="AL31" i="47"/>
  <c r="X31" i="47"/>
  <c r="R31" i="47"/>
  <c r="I31" i="47"/>
  <c r="Q30" i="47"/>
  <c r="C30" i="47"/>
  <c r="R29" i="47"/>
  <c r="F29" i="47"/>
  <c r="H28" i="47"/>
  <c r="X27" i="47"/>
  <c r="I27" i="47"/>
  <c r="X36" i="47"/>
  <c r="I36" i="47"/>
  <c r="AA35" i="47"/>
  <c r="AB34" i="47"/>
  <c r="N34" i="47"/>
  <c r="Q33" i="47"/>
  <c r="C33" i="47"/>
  <c r="AO32" i="47"/>
  <c r="AA32" i="47"/>
  <c r="U32" i="47"/>
  <c r="N32" i="47"/>
  <c r="F32" i="47"/>
  <c r="AQ31" i="47"/>
  <c r="Q31" i="47"/>
  <c r="H31" i="47"/>
  <c r="AB30" i="47"/>
  <c r="N30" i="47"/>
  <c r="Q29" i="47"/>
  <c r="C29" i="47"/>
  <c r="R28" i="47"/>
  <c r="F28" i="47"/>
  <c r="H27" i="47"/>
  <c r="H36" i="47"/>
  <c r="X35" i="47"/>
  <c r="I35" i="47"/>
  <c r="AA34" i="47"/>
  <c r="AB33" i="47"/>
  <c r="N33" i="47"/>
  <c r="AT32" i="47"/>
  <c r="AN32" i="47"/>
  <c r="Z32" i="47"/>
  <c r="T32" i="47"/>
  <c r="C32" i="47"/>
  <c r="AP31" i="47"/>
  <c r="AB31" i="47"/>
  <c r="V31" i="47"/>
  <c r="O31" i="47"/>
  <c r="G31" i="47"/>
  <c r="AA30" i="47"/>
  <c r="AB29" i="47"/>
  <c r="N29" i="47"/>
  <c r="Q28" i="47"/>
  <c r="C28" i="47"/>
  <c r="R27" i="47"/>
  <c r="F27" i="47"/>
  <c r="R36" i="47"/>
  <c r="F36" i="47"/>
  <c r="H35" i="47"/>
  <c r="X34" i="47"/>
  <c r="I34" i="47"/>
  <c r="AA33" i="47"/>
  <c r="AS32" i="47"/>
  <c r="AM32" i="47"/>
  <c r="Y32" i="47"/>
  <c r="S32" i="47"/>
  <c r="J32" i="47"/>
  <c r="B32" i="47"/>
  <c r="AO31" i="47"/>
  <c r="AA31" i="47"/>
  <c r="U31" i="47"/>
  <c r="N31" i="47"/>
  <c r="F31" i="47"/>
  <c r="X30" i="47"/>
  <c r="I30" i="47"/>
  <c r="AA29" i="47"/>
  <c r="AB28" i="47"/>
  <c r="N28" i="47"/>
  <c r="Q27" i="47"/>
  <c r="C27" i="47"/>
  <c r="Q36" i="47"/>
  <c r="C36" i="47"/>
  <c r="R35" i="47"/>
  <c r="F35" i="47"/>
  <c r="H34" i="47"/>
  <c r="X33" i="47"/>
  <c r="I33" i="47"/>
  <c r="AR32" i="47"/>
  <c r="AL32" i="47"/>
  <c r="X32" i="47"/>
  <c r="R32" i="47"/>
  <c r="I32" i="47"/>
  <c r="AT31" i="47"/>
  <c r="AN31" i="47"/>
  <c r="Z31" i="47"/>
  <c r="T31" i="47"/>
  <c r="C31" i="47"/>
  <c r="H30" i="47"/>
  <c r="X29" i="47"/>
  <c r="I29" i="47"/>
  <c r="AA28" i="47"/>
  <c r="AB27" i="47"/>
  <c r="N27" i="47"/>
  <c r="W26" i="47"/>
  <c r="AC26" i="47"/>
  <c r="M466" i="43"/>
  <c r="O134" i="44"/>
  <c r="M134" i="44"/>
  <c r="P134" i="44"/>
  <c r="J134" i="44"/>
  <c r="Z137" i="44"/>
  <c r="N474" i="43"/>
  <c r="Q475" i="43"/>
  <c r="N136" i="44"/>
  <c r="N138" i="44"/>
  <c r="Q476" i="43"/>
  <c r="AF469" i="43"/>
  <c r="AH23" i="47"/>
  <c r="N469" i="43"/>
  <c r="N470" i="43"/>
  <c r="AG23" i="47"/>
  <c r="AF144" i="44"/>
  <c r="Z467" i="43"/>
  <c r="N144" i="44"/>
  <c r="AJ131" i="44"/>
  <c r="X131" i="44"/>
  <c r="Q14" i="47" s="1"/>
  <c r="Q474" i="43"/>
  <c r="AF470" i="43"/>
  <c r="Q142" i="44"/>
  <c r="N135" i="44"/>
  <c r="AF473" i="43"/>
  <c r="Q141" i="44"/>
  <c r="AF467" i="43"/>
  <c r="Z473" i="43"/>
  <c r="Z468" i="43"/>
  <c r="Z474" i="43"/>
  <c r="N475" i="43"/>
  <c r="Q469" i="43"/>
  <c r="Q470" i="43"/>
  <c r="AX137" i="44"/>
  <c r="AF137" i="44"/>
  <c r="Y29" i="47" s="1"/>
  <c r="AU142" i="44"/>
  <c r="Z142" i="44"/>
  <c r="Q135" i="44"/>
  <c r="AF143" i="44"/>
  <c r="Y35" i="47" s="1"/>
  <c r="Q138" i="44"/>
  <c r="AO466" i="43"/>
  <c r="AH466" i="43"/>
  <c r="AE131" i="44"/>
  <c r="X14" i="47" s="1"/>
  <c r="AF142" i="44"/>
  <c r="AF138" i="44"/>
  <c r="Y30" i="47" s="1"/>
  <c r="Z136" i="44"/>
  <c r="Q136" i="44"/>
  <c r="N476" i="43"/>
  <c r="Q473" i="43"/>
  <c r="AF475" i="43"/>
  <c r="Z143" i="44"/>
  <c r="Z475" i="43"/>
  <c r="Z476" i="43"/>
  <c r="Z141" i="44"/>
  <c r="N467" i="43"/>
  <c r="AF468" i="43"/>
  <c r="AX474" i="43"/>
  <c r="AF474" i="43"/>
  <c r="Z469" i="43"/>
  <c r="N137" i="44"/>
  <c r="AX142" i="44"/>
  <c r="Z135" i="44"/>
  <c r="S27" i="47" s="1"/>
  <c r="N143" i="44"/>
  <c r="AU138" i="44"/>
  <c r="Z138" i="44"/>
  <c r="BA138" i="44"/>
  <c r="AF476" i="43"/>
  <c r="N141" i="44"/>
  <c r="Q468" i="43"/>
  <c r="AF141" i="44"/>
  <c r="Y33" i="47" s="1"/>
  <c r="Q467" i="43"/>
  <c r="N473" i="43"/>
  <c r="N468" i="43"/>
  <c r="Z470" i="43"/>
  <c r="Q137" i="44"/>
  <c r="J29" i="47" s="1"/>
  <c r="N142" i="44"/>
  <c r="AF135" i="44"/>
  <c r="AF136" i="44"/>
  <c r="Q143" i="44"/>
  <c r="J35" i="47" s="1"/>
  <c r="AX138" i="44"/>
  <c r="Z144" i="44"/>
  <c r="Q144" i="44"/>
  <c r="J36" i="47" s="1"/>
  <c r="AH131" i="44"/>
  <c r="AA14" i="47" s="1"/>
  <c r="AN466" i="43"/>
  <c r="Y466" i="43"/>
  <c r="U466" i="43"/>
  <c r="P466" i="43"/>
  <c r="Y131" i="44"/>
  <c r="R14" i="47" s="1"/>
  <c r="AI131" i="44"/>
  <c r="AB14" i="47" s="1"/>
  <c r="U131" i="44"/>
  <c r="N14" i="47" s="1"/>
  <c r="AD131" i="44"/>
  <c r="W14" i="47" s="1"/>
  <c r="X466" i="43"/>
  <c r="O466" i="43"/>
  <c r="AI466" i="43"/>
  <c r="AE466" i="43"/>
  <c r="W466" i="43"/>
  <c r="J466" i="43"/>
  <c r="U134" i="44"/>
  <c r="AI134" i="44"/>
  <c r="AQ133" i="44" s="1"/>
  <c r="AE134" i="44"/>
  <c r="R134" i="44"/>
  <c r="AJ134" i="44"/>
  <c r="X134" i="44"/>
  <c r="AH134" i="44"/>
  <c r="AD134" i="44"/>
  <c r="Y134" i="44"/>
  <c r="AZ12" i="43"/>
  <c r="AZ13" i="43" s="1"/>
  <c r="G35" i="47" l="1"/>
  <c r="G29" i="47"/>
  <c r="G34" i="47"/>
  <c r="S33" i="47"/>
  <c r="Y28" i="47"/>
  <c r="G33" i="47"/>
  <c r="S34" i="47"/>
  <c r="AQ34" i="47"/>
  <c r="Y27" i="47"/>
  <c r="S30" i="47"/>
  <c r="J34" i="47"/>
  <c r="S35" i="47"/>
  <c r="G30" i="47"/>
  <c r="S36" i="47"/>
  <c r="Y34" i="47"/>
  <c r="J27" i="47"/>
  <c r="J33" i="47"/>
  <c r="G28" i="47"/>
  <c r="G27" i="47"/>
  <c r="G36" i="47"/>
  <c r="J28" i="47"/>
  <c r="S29" i="47"/>
  <c r="S28" i="47"/>
  <c r="J30" i="47"/>
  <c r="Y36" i="47"/>
  <c r="AC14" i="47"/>
  <c r="AC23" i="47" s="1"/>
  <c r="AQ465" i="43"/>
  <c r="AP465" i="43"/>
  <c r="BA463" i="43"/>
  <c r="AT13" i="47" s="1"/>
  <c r="AX463" i="43"/>
  <c r="AQ13" i="47" s="1"/>
  <c r="AZ463" i="43"/>
  <c r="AS13" i="47" s="1"/>
  <c r="N23" i="47"/>
  <c r="Q23" i="47"/>
  <c r="R23" i="47"/>
  <c r="C23" i="47"/>
  <c r="X23" i="47"/>
  <c r="AP132" i="44"/>
  <c r="AA23" i="47"/>
  <c r="AQ132" i="44"/>
  <c r="AB23" i="47"/>
  <c r="W23" i="47"/>
  <c r="H23" i="47"/>
  <c r="AP133" i="44"/>
  <c r="I23" i="47"/>
  <c r="F23" i="47"/>
  <c r="AF133" i="44"/>
  <c r="AF132" i="44"/>
  <c r="Z132" i="44"/>
  <c r="Z465" i="43"/>
  <c r="AF465" i="43"/>
  <c r="AF464" i="43"/>
  <c r="Z464" i="43"/>
  <c r="V464" i="43"/>
  <c r="Z133" i="44"/>
  <c r="N132" i="44"/>
  <c r="N465" i="43"/>
  <c r="N464" i="43"/>
  <c r="N133" i="44"/>
  <c r="N134" i="44"/>
  <c r="V474" i="43"/>
  <c r="AT474" i="43"/>
  <c r="AA137" i="44"/>
  <c r="V138" i="44"/>
  <c r="AA142" i="44"/>
  <c r="AT142" i="44"/>
  <c r="AU470" i="43"/>
  <c r="AN30" i="47" s="1"/>
  <c r="AA474" i="43"/>
  <c r="AV12" i="43"/>
  <c r="AV13" i="43" s="1"/>
  <c r="AT12" i="43"/>
  <c r="AT13" i="43" s="1"/>
  <c r="BA476" i="43"/>
  <c r="AR476" i="43"/>
  <c r="AK36" i="47" s="1"/>
  <c r="AA144" i="44"/>
  <c r="AZ144" i="44"/>
  <c r="Q134" i="44"/>
  <c r="V133" i="44" s="1"/>
  <c r="AF134" i="44"/>
  <c r="AZ136" i="44"/>
  <c r="AB141" i="44"/>
  <c r="BA136" i="44"/>
  <c r="AA138" i="44"/>
  <c r="I143" i="44"/>
  <c r="AA136" i="44"/>
  <c r="V136" i="44"/>
  <c r="AT136" i="44"/>
  <c r="I144" i="44"/>
  <c r="AX470" i="43"/>
  <c r="AQ30" i="47" s="1"/>
  <c r="AZ143" i="44"/>
  <c r="BA142" i="44"/>
  <c r="I137" i="44"/>
  <c r="BA475" i="43"/>
  <c r="Z466" i="43"/>
  <c r="Q466" i="43"/>
  <c r="V465" i="43" s="1"/>
  <c r="AZ473" i="43"/>
  <c r="V475" i="43"/>
  <c r="I142" i="44"/>
  <c r="V473" i="43"/>
  <c r="I474" i="43"/>
  <c r="AR468" i="43"/>
  <c r="AK28" i="47" s="1"/>
  <c r="AU476" i="43"/>
  <c r="AU467" i="43"/>
  <c r="BA473" i="43"/>
  <c r="AZ137" i="44"/>
  <c r="AX135" i="44"/>
  <c r="BA467" i="43"/>
  <c r="I136" i="44"/>
  <c r="I141" i="44"/>
  <c r="AX473" i="43"/>
  <c r="AY142" i="44"/>
  <c r="BA144" i="44"/>
  <c r="AR475" i="43"/>
  <c r="AK35" i="47" s="1"/>
  <c r="AZ467" i="43"/>
  <c r="I473" i="43"/>
  <c r="I476" i="43"/>
  <c r="AT141" i="44"/>
  <c r="AR469" i="43"/>
  <c r="AK29" i="47" s="1"/>
  <c r="AZ475" i="43"/>
  <c r="AY474" i="43"/>
  <c r="AR474" i="43"/>
  <c r="AK34" i="47" s="1"/>
  <c r="AZ474" i="43"/>
  <c r="AU475" i="43"/>
  <c r="AZ468" i="43"/>
  <c r="Z134" i="44"/>
  <c r="AX136" i="44"/>
  <c r="AZ470" i="43"/>
  <c r="AR467" i="43"/>
  <c r="AK27" i="47" s="1"/>
  <c r="V469" i="43"/>
  <c r="I470" i="43"/>
  <c r="AZ469" i="43"/>
  <c r="I475" i="43"/>
  <c r="AR473" i="43"/>
  <c r="AK33" i="47" s="1"/>
  <c r="I468" i="43"/>
  <c r="AZ141" i="44"/>
  <c r="BA137" i="44"/>
  <c r="AF131" i="44"/>
  <c r="Y14" i="47" s="1"/>
  <c r="AX468" i="43"/>
  <c r="N466" i="43"/>
  <c r="AU473" i="43"/>
  <c r="V142" i="44"/>
  <c r="Z131" i="44"/>
  <c r="S14" i="47" s="1"/>
  <c r="AU135" i="44"/>
  <c r="AX141" i="44"/>
  <c r="V144" i="44"/>
  <c r="BA143" i="44"/>
  <c r="BA468" i="43"/>
  <c r="AU141" i="44"/>
  <c r="AU144" i="44"/>
  <c r="AF466" i="43"/>
  <c r="AZ138" i="44"/>
  <c r="BA469" i="43"/>
  <c r="AZ476" i="43"/>
  <c r="I469" i="43"/>
  <c r="AX467" i="43"/>
  <c r="I467" i="43"/>
  <c r="V476" i="43"/>
  <c r="AY138" i="44"/>
  <c r="AZ142" i="44"/>
  <c r="I135" i="44"/>
  <c r="BA141" i="44"/>
  <c r="AU137" i="44"/>
  <c r="V467" i="43"/>
  <c r="AX476" i="43"/>
  <c r="AU136" i="44"/>
  <c r="BA470" i="43"/>
  <c r="AT30" i="47" s="1"/>
  <c r="AX475" i="43"/>
  <c r="AX143" i="44"/>
  <c r="BA135" i="44"/>
  <c r="AU474" i="43"/>
  <c r="AN34" i="47" s="1"/>
  <c r="AU468" i="43"/>
  <c r="V141" i="44"/>
  <c r="AX144" i="44"/>
  <c r="AU469" i="43"/>
  <c r="AR470" i="43"/>
  <c r="AK30" i="47" s="1"/>
  <c r="AX469" i="43"/>
  <c r="AQ29" i="47" s="1"/>
  <c r="AZ135" i="44"/>
  <c r="Q131" i="44"/>
  <c r="V135" i="44"/>
  <c r="V137" i="44"/>
  <c r="V143" i="44"/>
  <c r="O35" i="47" s="1"/>
  <c r="BA474" i="43"/>
  <c r="V468" i="43"/>
  <c r="I138" i="44"/>
  <c r="V470" i="43"/>
  <c r="AU143" i="44"/>
  <c r="AW12" i="43"/>
  <c r="AW13" i="43" s="1"/>
  <c r="AY12" i="43"/>
  <c r="AY13" i="43" s="1"/>
  <c r="AT27" i="47" l="1"/>
  <c r="B30" i="47"/>
  <c r="O34" i="47"/>
  <c r="AN36" i="47"/>
  <c r="AN27" i="47"/>
  <c r="O27" i="47"/>
  <c r="AS27" i="47"/>
  <c r="AS33" i="47"/>
  <c r="AS30" i="47"/>
  <c r="AQ33" i="47"/>
  <c r="AT33" i="47"/>
  <c r="AT36" i="47"/>
  <c r="AS34" i="47"/>
  <c r="AT35" i="47"/>
  <c r="AN35" i="47"/>
  <c r="O29" i="47"/>
  <c r="O33" i="47"/>
  <c r="B27" i="47"/>
  <c r="AN33" i="47"/>
  <c r="AT29" i="47"/>
  <c r="AQ27" i="47"/>
  <c r="B36" i="47"/>
  <c r="AT28" i="47"/>
  <c r="AN28" i="47"/>
  <c r="AR34" i="47"/>
  <c r="AS29" i="47"/>
  <c r="AM34" i="47"/>
  <c r="B34" i="47"/>
  <c r="B29" i="47"/>
  <c r="O28" i="47"/>
  <c r="AS28" i="47"/>
  <c r="T34" i="47"/>
  <c r="O36" i="47"/>
  <c r="B33" i="47"/>
  <c r="AT34" i="47"/>
  <c r="O30" i="47"/>
  <c r="AQ35" i="47"/>
  <c r="AN29" i="47"/>
  <c r="AQ28" i="47"/>
  <c r="B28" i="47"/>
  <c r="AS35" i="47"/>
  <c r="B35" i="47"/>
  <c r="AQ36" i="47"/>
  <c r="AS36" i="47"/>
  <c r="J14" i="47"/>
  <c r="J23" i="47" s="1"/>
  <c r="AT463" i="43"/>
  <c r="AM13" i="47" s="1"/>
  <c r="AU463" i="43"/>
  <c r="AN13" i="47" s="1"/>
  <c r="AY463" i="43"/>
  <c r="AR13" i="47" s="1"/>
  <c r="S23" i="47"/>
  <c r="Y23" i="47"/>
  <c r="E23" i="47"/>
  <c r="D23" i="47"/>
  <c r="G23" i="47"/>
  <c r="V132" i="44"/>
  <c r="W132" i="44"/>
  <c r="I133" i="44"/>
  <c r="I132" i="44"/>
  <c r="I465" i="43"/>
  <c r="I464" i="43"/>
  <c r="AC470" i="43"/>
  <c r="AT138" i="44"/>
  <c r="AB137" i="44"/>
  <c r="AT144" i="44"/>
  <c r="AT470" i="43"/>
  <c r="AW474" i="43"/>
  <c r="AB470" i="43"/>
  <c r="AT137" i="44"/>
  <c r="AC137" i="44"/>
  <c r="AC138" i="44"/>
  <c r="AC136" i="44"/>
  <c r="AB144" i="44"/>
  <c r="AC143" i="44"/>
  <c r="AW143" i="44"/>
  <c r="AV142" i="44"/>
  <c r="AS142" i="44"/>
  <c r="AB136" i="44"/>
  <c r="AB138" i="44"/>
  <c r="AC141" i="44"/>
  <c r="AG144" i="44"/>
  <c r="AC144" i="44"/>
  <c r="AY473" i="43"/>
  <c r="AB476" i="43"/>
  <c r="AC474" i="43"/>
  <c r="AA143" i="44"/>
  <c r="AG141" i="44"/>
  <c r="AT143" i="44"/>
  <c r="AC469" i="43"/>
  <c r="AB474" i="43"/>
  <c r="AT476" i="43"/>
  <c r="AT473" i="43"/>
  <c r="AM33" i="47" s="1"/>
  <c r="AB475" i="43"/>
  <c r="AA470" i="43"/>
  <c r="T30" i="47" s="1"/>
  <c r="AA141" i="44"/>
  <c r="AB143" i="44"/>
  <c r="AY144" i="44"/>
  <c r="AX131" i="44"/>
  <c r="AQ14" i="47" s="1"/>
  <c r="BA131" i="44"/>
  <c r="AT14" i="47" s="1"/>
  <c r="AC475" i="43"/>
  <c r="AC468" i="43"/>
  <c r="BA466" i="43"/>
  <c r="AB467" i="43"/>
  <c r="AU131" i="44"/>
  <c r="AN14" i="47" s="1"/>
  <c r="AC135" i="44"/>
  <c r="AA467" i="43"/>
  <c r="AC467" i="43"/>
  <c r="AA135" i="44"/>
  <c r="AV138" i="44"/>
  <c r="AW470" i="43"/>
  <c r="BA134" i="44"/>
  <c r="I134" i="44"/>
  <c r="AT467" i="43"/>
  <c r="AY137" i="44"/>
  <c r="AB135" i="44"/>
  <c r="U27" i="47" s="1"/>
  <c r="AY135" i="44"/>
  <c r="V134" i="44"/>
  <c r="AA133" i="44" s="1"/>
  <c r="AY143" i="44"/>
  <c r="V466" i="43"/>
  <c r="AA465" i="43" s="1"/>
  <c r="AX466" i="43"/>
  <c r="AV474" i="43"/>
  <c r="AT468" i="43"/>
  <c r="AM28" i="47" s="1"/>
  <c r="AY469" i="43"/>
  <c r="AX134" i="44"/>
  <c r="AB473" i="43"/>
  <c r="U33" i="47" s="1"/>
  <c r="AV473" i="43"/>
  <c r="AA473" i="43"/>
  <c r="AY468" i="43"/>
  <c r="AB469" i="43"/>
  <c r="AT135" i="44"/>
  <c r="AY141" i="44"/>
  <c r="AZ134" i="44"/>
  <c r="AR466" i="43"/>
  <c r="AB142" i="44"/>
  <c r="AY136" i="44"/>
  <c r="AA475" i="43"/>
  <c r="AT475" i="43"/>
  <c r="AC476" i="43"/>
  <c r="AU466" i="43"/>
  <c r="AA468" i="43"/>
  <c r="T28" i="47" s="1"/>
  <c r="AY470" i="43"/>
  <c r="AR30" i="47" s="1"/>
  <c r="AY476" i="43"/>
  <c r="AA469" i="43"/>
  <c r="T29" i="47" s="1"/>
  <c r="V131" i="44"/>
  <c r="O14" i="47" s="1"/>
  <c r="AZ131" i="44"/>
  <c r="AS14" i="47" s="1"/>
  <c r="AV137" i="44"/>
  <c r="AV143" i="44"/>
  <c r="I466" i="43"/>
  <c r="AU134" i="44"/>
  <c r="AW142" i="44"/>
  <c r="AC142" i="44"/>
  <c r="V34" i="47" s="1"/>
  <c r="AV136" i="44"/>
  <c r="AZ466" i="43"/>
  <c r="AA476" i="43"/>
  <c r="T36" i="47" s="1"/>
  <c r="AC473" i="43"/>
  <c r="AY475" i="43"/>
  <c r="AB468" i="43"/>
  <c r="AT469" i="43"/>
  <c r="AY467" i="43"/>
  <c r="AR33" i="47" l="1"/>
  <c r="AP34" i="47"/>
  <c r="U34" i="47"/>
  <c r="V35" i="47"/>
  <c r="T27" i="47"/>
  <c r="AR29" i="47"/>
  <c r="U35" i="47"/>
  <c r="T33" i="47"/>
  <c r="V30" i="47"/>
  <c r="AM36" i="47"/>
  <c r="AM27" i="47"/>
  <c r="AR35" i="47"/>
  <c r="AM35" i="47"/>
  <c r="V36" i="47"/>
  <c r="AO34" i="47"/>
  <c r="V29" i="47"/>
  <c r="U29" i="47"/>
  <c r="AR28" i="47"/>
  <c r="V27" i="47"/>
  <c r="AM29" i="47"/>
  <c r="AM30" i="47"/>
  <c r="AR27" i="47"/>
  <c r="T35" i="47"/>
  <c r="V33" i="47"/>
  <c r="AR36" i="47"/>
  <c r="U30" i="47"/>
  <c r="U36" i="47"/>
  <c r="U28" i="47"/>
  <c r="V28" i="47"/>
  <c r="AV463" i="43"/>
  <c r="AO13" i="47" s="1"/>
  <c r="AT23" i="47"/>
  <c r="AQ23" i="47"/>
  <c r="AK23" i="47"/>
  <c r="O23" i="47"/>
  <c r="AS23" i="47"/>
  <c r="AN23" i="47"/>
  <c r="AA132" i="44"/>
  <c r="AA464" i="43"/>
  <c r="AY465" i="43"/>
  <c r="AY133" i="44"/>
  <c r="AG137" i="44"/>
  <c r="AY132" i="44"/>
  <c r="AY464" i="43"/>
  <c r="AW463" i="43"/>
  <c r="AP13" i="47" s="1"/>
  <c r="AV476" i="43"/>
  <c r="AV470" i="43"/>
  <c r="AO30" i="47" s="1"/>
  <c r="AS474" i="43"/>
  <c r="AL34" i="47" s="1"/>
  <c r="AW138" i="44"/>
  <c r="AP30" i="47" s="1"/>
  <c r="AV131" i="44"/>
  <c r="AO14" i="47" s="1"/>
  <c r="AG142" i="44"/>
  <c r="AW137" i="44"/>
  <c r="AG138" i="44"/>
  <c r="AT134" i="44"/>
  <c r="AW141" i="44"/>
  <c r="AW144" i="44"/>
  <c r="AV144" i="44"/>
  <c r="AG143" i="44"/>
  <c r="AA131" i="44"/>
  <c r="T14" i="47" s="1"/>
  <c r="AV141" i="44"/>
  <c r="AO33" i="47" s="1"/>
  <c r="AA134" i="44"/>
  <c r="AG474" i="43"/>
  <c r="AG476" i="43"/>
  <c r="Z36" i="47" s="1"/>
  <c r="AS12" i="43"/>
  <c r="AS13" i="43" s="1"/>
  <c r="AG469" i="43"/>
  <c r="AG470" i="43"/>
  <c r="AT131" i="44"/>
  <c r="AM14" i="47" s="1"/>
  <c r="AG136" i="44"/>
  <c r="AS136" i="44"/>
  <c r="AG475" i="43"/>
  <c r="AY131" i="44"/>
  <c r="AR14" i="47" s="1"/>
  <c r="AG135" i="44"/>
  <c r="AC134" i="44"/>
  <c r="AG467" i="43"/>
  <c r="AW473" i="43"/>
  <c r="AC131" i="44"/>
  <c r="V14" i="47" s="1"/>
  <c r="AG468" i="43"/>
  <c r="AW136" i="44"/>
  <c r="AC466" i="43"/>
  <c r="AB466" i="43"/>
  <c r="AA466" i="43"/>
  <c r="AV475" i="43"/>
  <c r="AO35" i="47" s="1"/>
  <c r="AS137" i="44"/>
  <c r="AY134" i="44"/>
  <c r="AG473" i="43"/>
  <c r="Z33" i="47" s="1"/>
  <c r="AT466" i="43"/>
  <c r="AW469" i="43"/>
  <c r="AB134" i="44"/>
  <c r="AV469" i="43"/>
  <c r="AO29" i="47" s="1"/>
  <c r="AW467" i="43"/>
  <c r="AV467" i="43"/>
  <c r="AV135" i="44"/>
  <c r="AB131" i="44"/>
  <c r="U14" i="47" s="1"/>
  <c r="AY466" i="43"/>
  <c r="AW476" i="43"/>
  <c r="AV468" i="43"/>
  <c r="AO28" i="47" s="1"/>
  <c r="AS470" i="43"/>
  <c r="AW135" i="44"/>
  <c r="AW475" i="43"/>
  <c r="AP35" i="47" s="1"/>
  <c r="AW468" i="43"/>
  <c r="AP28" i="47" l="1"/>
  <c r="Z27" i="47"/>
  <c r="Z29" i="47"/>
  <c r="Z30" i="47"/>
  <c r="Z35" i="47"/>
  <c r="AP29" i="47"/>
  <c r="AO36" i="47"/>
  <c r="Z34" i="47"/>
  <c r="AP27" i="47"/>
  <c r="AO27" i="47"/>
  <c r="Z28" i="47"/>
  <c r="AP36" i="47"/>
  <c r="AP33" i="47"/>
  <c r="AR23" i="47"/>
  <c r="T23" i="47"/>
  <c r="V23" i="47"/>
  <c r="U23" i="47"/>
  <c r="AM23" i="47"/>
  <c r="AG132" i="44"/>
  <c r="AG464" i="43"/>
  <c r="AG465" i="43"/>
  <c r="AG133" i="44"/>
  <c r="AS144" i="44"/>
  <c r="AS141" i="44"/>
  <c r="AS138" i="44"/>
  <c r="AL30" i="47" s="1"/>
  <c r="AW131" i="44"/>
  <c r="AP14" i="47" s="1"/>
  <c r="AV134" i="44"/>
  <c r="AS143" i="44"/>
  <c r="AG131" i="44"/>
  <c r="Z14" i="47" s="1"/>
  <c r="AS476" i="43"/>
  <c r="AS473" i="43"/>
  <c r="AG134" i="44"/>
  <c r="AS469" i="43"/>
  <c r="AL29" i="47" s="1"/>
  <c r="AS135" i="44"/>
  <c r="AS131" i="44"/>
  <c r="AL14" i="47" s="1"/>
  <c r="AW134" i="44"/>
  <c r="AG466" i="43"/>
  <c r="AV466" i="43"/>
  <c r="AS467" i="43"/>
  <c r="AS468" i="43"/>
  <c r="AL28" i="47" s="1"/>
  <c r="AS475" i="43"/>
  <c r="AW466" i="43"/>
  <c r="AL27" i="47" l="1"/>
  <c r="AL35" i="47"/>
  <c r="AL33" i="47"/>
  <c r="AL36" i="47"/>
  <c r="AS463" i="43"/>
  <c r="Z23" i="47"/>
  <c r="AP23" i="47"/>
  <c r="AO23" i="47"/>
  <c r="AS133" i="44"/>
  <c r="AS465" i="43"/>
  <c r="AS464" i="43"/>
  <c r="AS132" i="44"/>
  <c r="AS134" i="44"/>
  <c r="AS466" i="43"/>
  <c r="K26" i="47"/>
  <c r="D26" i="47"/>
  <c r="AL13" i="47" l="1"/>
  <c r="AL23" i="47" s="1"/>
  <c r="AR26" i="47"/>
  <c r="AA26" i="47" l="1"/>
  <c r="B23" i="47" l="1"/>
  <c r="G24" i="47" l="1"/>
  <c r="B24" i="47"/>
  <c r="E26" i="47"/>
  <c r="AJ26" i="47" l="1"/>
  <c r="F26" i="47" l="1"/>
  <c r="AK24" i="47"/>
  <c r="N26" i="47"/>
  <c r="C26" i="47"/>
  <c r="Y26" i="47"/>
  <c r="AI26" i="47"/>
  <c r="AK25" i="47" s="1"/>
  <c r="R26" i="47"/>
  <c r="G26" i="47"/>
  <c r="B26" i="47"/>
  <c r="AG26" i="47"/>
  <c r="AH26" i="47"/>
  <c r="H26" i="47"/>
  <c r="AK26" i="47"/>
  <c r="B25" i="47" l="1"/>
  <c r="AJ24" i="47"/>
  <c r="Q26" i="47"/>
  <c r="AB26" i="47"/>
  <c r="AJ25" i="47" s="1"/>
  <c r="X26" i="47" l="1"/>
  <c r="AQ26" i="47"/>
  <c r="Y25" i="47" l="1"/>
  <c r="Y24" i="47"/>
  <c r="AI24" i="47"/>
  <c r="AT26" i="47"/>
  <c r="AS26" i="47"/>
  <c r="AI25" i="47"/>
  <c r="AR24" i="47" l="1"/>
  <c r="AR25" i="47"/>
  <c r="I26" i="47" l="1"/>
  <c r="G25" i="47" s="1"/>
  <c r="J26" i="47" l="1"/>
  <c r="O25" i="47" s="1"/>
  <c r="P26" i="47" l="1"/>
  <c r="S25" i="47" s="1"/>
  <c r="O24" i="47" l="1"/>
  <c r="P24" i="47"/>
  <c r="J24" i="47"/>
  <c r="S24" i="47"/>
  <c r="AM26" i="47"/>
  <c r="S26" i="47"/>
  <c r="T24" i="47"/>
  <c r="AN26" i="47"/>
  <c r="O26" i="47"/>
  <c r="T25" i="47" l="1"/>
  <c r="V26" i="47"/>
  <c r="T26" i="47"/>
  <c r="Z24" i="47" l="1"/>
  <c r="AL24" i="47"/>
  <c r="U26" i="47"/>
  <c r="Z25" i="47" s="1"/>
  <c r="AP26" i="47"/>
  <c r="Z26" i="47"/>
  <c r="AO26" i="47" l="1"/>
  <c r="AL25" i="47" s="1"/>
  <c r="AL26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U374" authorId="0" shapeId="0" xr:uid="{EC20E4DF-4C86-4B67-A8D2-6192BBC8A66E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DOFIN. sam. ŠJ</t>
        </r>
      </text>
    </comment>
    <comment ref="AO374" authorId="0" shapeId="0" xr:uid="{52D6E210-F485-42CB-A320-3080C27441CB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DOFIN. sam. ŠJ</t>
        </r>
      </text>
    </comment>
    <comment ref="U408" authorId="0" shapeId="0" xr:uid="{EFB42DF1-3612-4A9C-98B6-61402D55A8A6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Sloučení MŠ Křižany se ZŠ Křižany od 1. 1. 2024</t>
        </r>
      </text>
    </comment>
    <comment ref="AN408" authorId="0" shapeId="0" xr:uid="{4A08650C-1D26-443E-9546-D2F9CA59BFB5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Sloučení MŠ Křižany se ZŠ Křižany od 1. 1. 2024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</authors>
  <commentList>
    <comment ref="U12" authorId="0" shapeId="0" xr:uid="{01050998-4CA7-4315-9A8D-CE22E169EB28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DOFIN. sam. ŠJ</t>
        </r>
      </text>
    </comment>
    <comment ref="AO12" authorId="0" shapeId="0" xr:uid="{270F1836-C3C0-45FC-AC55-10066028538E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DOFIN. sam. ŠJ</t>
        </r>
      </text>
    </comment>
    <comment ref="U14" authorId="0" shapeId="0" xr:uid="{3A56CD33-1F36-4277-97A2-442903197B0E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§ 42 na 8M</t>
        </r>
      </text>
    </comment>
    <comment ref="AN14" authorId="0" shapeId="0" xr:uid="{BF4962DD-4C4D-4FC6-B705-141690F50C2F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§ 42 na 8M</t>
        </r>
      </text>
    </comment>
    <comment ref="U75" authorId="0" shapeId="0" xr:uid="{CE887523-4D74-4BCD-8399-D6628A1B797A}">
      <text>
        <r>
          <rPr>
            <b/>
            <sz val="9"/>
            <color indexed="81"/>
            <rFont val="Tahoma"/>
            <family val="2"/>
            <charset val="238"/>
          </rPr>
          <t>Parmová Kateřina:</t>
        </r>
        <r>
          <rPr>
            <sz val="9"/>
            <color indexed="81"/>
            <rFont val="Tahoma"/>
            <family val="2"/>
            <charset val="238"/>
          </rPr>
          <t xml:space="preserve">
překračování kapacity o 4 žáky (úprava normativu nadtarifních složek)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39" authorId="0" shapeId="0" xr:uid="{740FAF2F-E950-40E9-80F7-7E8EA8C87C9E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změna výuky v DPČ, od ledna do úvazku</t>
        </r>
      </text>
    </comment>
    <comment ref="U42" authorId="0" shapeId="0" xr:uid="{9A7F8EE0-5BF0-42B8-B0F0-5F758DC32478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vykázáni žáci v ŠD na kapacitu ŠD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U100" authorId="0" shapeId="0" xr:uid="{920662B5-09ED-4028-A1B0-634A7E45D71F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vzdělávání podle §42 (1-8/2024)</t>
        </r>
      </text>
    </comment>
    <comment ref="U170" authorId="0" shapeId="0" xr:uid="{2AEF87D7-F44C-40D6-BF99-0C7FD905DC73}">
      <text>
        <r>
          <rPr>
            <b/>
            <sz val="11"/>
            <color indexed="81"/>
            <rFont val="Tahoma"/>
            <family val="2"/>
            <charset val="238"/>
          </rPr>
          <t>Luňáčková Miroslava:</t>
        </r>
        <r>
          <rPr>
            <sz val="11"/>
            <color indexed="81"/>
            <rFont val="Tahoma"/>
            <family val="2"/>
            <charset val="238"/>
          </rPr>
          <t xml:space="preserve">
vykázáni žáci v ŠD na kapacitu ŠD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Křiváková Kalíková Kateřina</author>
  </authors>
  <commentList>
    <comment ref="U193" authorId="0" shapeId="0" xr:uid="{BE3AF9C0-9EA2-4497-95D0-F8EEAA824E5C}">
      <text>
        <r>
          <rPr>
            <b/>
            <sz val="9"/>
            <color indexed="81"/>
            <rFont val="Tahoma"/>
            <family val="2"/>
            <charset val="238"/>
          </rPr>
          <t>Křiváková Kalíková Kateřina:</t>
        </r>
        <r>
          <rPr>
            <sz val="9"/>
            <color indexed="81"/>
            <rFont val="Tahoma"/>
            <family val="2"/>
            <charset val="238"/>
          </rPr>
          <t xml:space="preserve">
převod na odstupné z platů </t>
        </r>
      </text>
    </comment>
  </commentList>
</comments>
</file>

<file path=xl/sharedStrings.xml><?xml version="1.0" encoding="utf-8"?>
<sst xmlns="http://schemas.openxmlformats.org/spreadsheetml/2006/main" count="6132" uniqueCount="875">
  <si>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</si>
  <si>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</si>
  <si>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</si>
  <si>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</si>
  <si>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</si>
  <si>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</si>
  <si>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</si>
  <si>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</si>
  <si>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</si>
  <si>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</si>
  <si>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</si>
  <si>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</si>
  <si>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</si>
  <si>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</si>
  <si>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</si>
  <si>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</si>
  <si>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</si>
  <si>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</si>
  <si>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</si>
  <si>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</si>
  <si>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</si>
  <si>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</si>
  <si>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</si>
  <si>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</si>
  <si>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</si>
  <si>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</si>
  <si>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</si>
  <si>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</si>
  <si>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</si>
  <si>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</si>
  <si>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</si>
  <si>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</si>
  <si>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</si>
  <si>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</si>
  <si>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</si>
  <si>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</si>
  <si>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</si>
  <si>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</si>
  <si>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</si>
  <si>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</si>
  <si>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</si>
  <si>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</si>
  <si>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</si>
  <si>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</si>
  <si>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</si>
  <si>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</si>
  <si>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</si>
  <si>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</si>
  <si>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</si>
  <si>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</si>
  <si>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</si>
  <si>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</si>
  <si>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</si>
  <si>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</si>
  <si>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</si>
  <si>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</si>
  <si>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</si>
  <si>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</si>
  <si>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</si>
  <si>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</si>
  <si>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</si>
  <si>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</si>
  <si>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</si>
  <si>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</si>
  <si>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</si>
  <si>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</si>
  <si>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</si>
  <si>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</si>
  <si>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</si>
  <si>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</si>
  <si>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</si>
  <si>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</si>
  <si>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</si>
  <si>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</si>
  <si>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</si>
  <si>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</si>
  <si>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</si>
  <si>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</si>
  <si>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</si>
  <si>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</si>
  <si>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</si>
  <si>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</si>
  <si>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</si>
  <si>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</si>
  <si>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</si>
  <si>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</si>
  <si>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</si>
  <si>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</si>
  <si>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</si>
  <si>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</si>
  <si>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</si>
  <si>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</si>
  <si>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</si>
  <si>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</si>
  <si>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</si>
  <si>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</si>
  <si>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</si>
  <si>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</si>
  <si>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</si>
  <si>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</si>
  <si>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</si>
  <si>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</si>
  <si>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</si>
  <si>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</si>
  <si>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</si>
  <si>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</si>
  <si>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</si>
  <si>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</si>
  <si>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</si>
  <si>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</si>
  <si>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</si>
  <si>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</si>
  <si>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</si>
  <si>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 621</t>
  </si>
  <si>
    <t>MŠ Velké Hamry I.621</t>
  </si>
  <si>
    <t>MŠ Velké Hamry I.621 Celkem</t>
  </si>
  <si>
    <t>ZŠ a MŠ Velké Hamry II. 212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</si>
  <si>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</si>
  <si>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</si>
  <si>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</si>
  <si>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</si>
  <si>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</si>
  <si>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</si>
  <si>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</si>
  <si>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</si>
  <si>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</si>
  <si>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</si>
  <si>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</si>
  <si>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</si>
  <si>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</si>
  <si>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</si>
  <si>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</si>
  <si>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</si>
  <si>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</si>
  <si>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</si>
  <si>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</si>
  <si>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</si>
  <si>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</si>
  <si>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</si>
  <si>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</si>
  <si>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</si>
  <si>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</si>
  <si>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</si>
  <si>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</si>
  <si>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</si>
  <si>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</si>
  <si>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</si>
  <si>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</si>
  <si>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</si>
  <si>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</si>
  <si>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</si>
  <si>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</si>
  <si>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</si>
  <si>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</si>
  <si>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</si>
  <si>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</si>
  <si>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</si>
  <si>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</si>
  <si>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</si>
  <si>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</si>
  <si>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</si>
  <si>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</si>
  <si>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</si>
  <si>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</si>
  <si>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</si>
  <si>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</si>
  <si>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</si>
  <si>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</si>
  <si>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</si>
  <si>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</si>
  <si>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</si>
  <si>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</si>
  <si>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</si>
  <si>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</si>
  <si>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</si>
  <si>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</si>
  <si>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</si>
  <si>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</si>
  <si>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</si>
  <si>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</si>
  <si>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</si>
  <si>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</si>
  <si>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</si>
  <si>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</si>
  <si>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</si>
  <si>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</si>
  <si>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</si>
  <si>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</si>
  <si>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</si>
  <si>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</si>
  <si>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</si>
  <si>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</si>
  <si>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</si>
  <si>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</si>
  <si>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</si>
  <si>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</si>
  <si>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</si>
  <si>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</si>
  <si>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</si>
  <si>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</si>
  <si>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</si>
  <si>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</si>
  <si>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</si>
  <si>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</si>
  <si>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</si>
  <si>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</si>
  <si>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</si>
  <si>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</si>
  <si>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</si>
  <si>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</si>
  <si>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</si>
  <si>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</si>
  <si>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</si>
  <si>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</si>
  <si>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</si>
  <si>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</si>
  <si>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</si>
  <si>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</si>
  <si>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</si>
  <si>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</si>
  <si>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</t>
  </si>
  <si>
    <t>ZŠ a MŠ Mimoň, Mírová 81 Celkem</t>
  </si>
  <si>
    <t>ZŠ a MŠ Mimoň, Pod Ralskem 572</t>
  </si>
  <si>
    <t>ZŠ a MŠ Mimoň, Pod Ralskem 572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</si>
  <si>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</si>
  <si>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</si>
  <si>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</si>
  <si>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</si>
  <si>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</si>
  <si>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</si>
  <si>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</si>
  <si>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</si>
  <si>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</si>
  <si>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</si>
  <si>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</si>
  <si>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</si>
  <si>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</si>
  <si>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</si>
  <si>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</si>
  <si>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</si>
  <si>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</si>
  <si>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</si>
  <si>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</si>
  <si>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</si>
  <si>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</si>
  <si>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</si>
  <si>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</si>
  <si>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</si>
  <si>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</si>
  <si>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</si>
  <si>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</si>
  <si>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</si>
  <si>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</si>
  <si>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</si>
  <si>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</si>
  <si>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</si>
  <si>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</si>
  <si>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</si>
  <si>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</si>
  <si>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</si>
  <si>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</si>
  <si>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</si>
  <si>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</si>
  <si>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</si>
  <si>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</si>
  <si>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</si>
  <si>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</si>
  <si>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</si>
  <si>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</si>
  <si>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</si>
  <si>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</si>
  <si>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</si>
  <si>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</si>
  <si>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</si>
  <si>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</si>
  <si>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</si>
  <si>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</si>
  <si>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</si>
  <si>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</si>
  <si>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</si>
  <si>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ped.</t>
  </si>
  <si>
    <t>neped.</t>
  </si>
  <si>
    <t>PLATY</t>
  </si>
  <si>
    <t>OON</t>
  </si>
  <si>
    <t>Mzdové prostředky celkem</t>
  </si>
  <si>
    <t xml:space="preserve">FKSP          </t>
  </si>
  <si>
    <t>převody (platy-dohody)</t>
  </si>
  <si>
    <t>Podpůrná opatření</t>
  </si>
  <si>
    <t>Individuální úpravy</t>
  </si>
  <si>
    <t>Převody do OON</t>
  </si>
  <si>
    <t xml:space="preserve">Dohody </t>
  </si>
  <si>
    <t>Odstupné</t>
  </si>
  <si>
    <t>Individ. úpravy</t>
  </si>
  <si>
    <t>PLATY_UPR</t>
  </si>
  <si>
    <t>OON_UPR</t>
  </si>
  <si>
    <t>ODST_UPR</t>
  </si>
  <si>
    <t>MP_UPR</t>
  </si>
  <si>
    <t>ODV_UPR</t>
  </si>
  <si>
    <t>FKSP_UPR</t>
  </si>
  <si>
    <t>ONIV_UPR</t>
  </si>
  <si>
    <t>ONIVPO_UPR</t>
  </si>
  <si>
    <t>celkem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</si>
  <si>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</si>
  <si>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</si>
  <si>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</si>
  <si>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</si>
  <si>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</si>
  <si>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</si>
  <si>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</si>
  <si>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</si>
  <si>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</si>
  <si>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</si>
  <si>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</si>
  <si>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</si>
  <si>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</si>
  <si>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</si>
  <si>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</si>
  <si>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</si>
  <si>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</si>
  <si>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</si>
  <si>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</si>
  <si>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</si>
  <si>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</si>
  <si>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</si>
  <si>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</si>
  <si>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</si>
  <si>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</si>
  <si>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</si>
  <si>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</si>
  <si>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</si>
  <si>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</si>
  <si>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</si>
  <si>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</si>
  <si>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</si>
  <si>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</si>
  <si>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</si>
  <si>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</si>
  <si>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</si>
  <si>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</si>
  <si>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</si>
  <si>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</si>
  <si>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</si>
  <si>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</si>
  <si>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</si>
  <si>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</si>
  <si>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</si>
  <si>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</si>
  <si>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</si>
  <si>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</si>
  <si>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</si>
  <si>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</si>
  <si>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</si>
  <si>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</si>
  <si>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</si>
  <si>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</si>
  <si>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</si>
  <si>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</si>
  <si>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</si>
  <si>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</si>
  <si>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</si>
  <si>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</si>
  <si>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</si>
  <si>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</si>
  <si>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</si>
  <si>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</si>
  <si>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</si>
  <si>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</si>
  <si>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</si>
  <si>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</si>
  <si>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</si>
  <si>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</si>
  <si>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</si>
  <si>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</si>
  <si>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</si>
  <si>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</si>
  <si>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</si>
  <si>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</si>
  <si>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</si>
  <si>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</si>
  <si>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</si>
  <si>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</si>
  <si>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</si>
  <si>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</si>
  <si>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</si>
  <si>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</si>
  <si>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</si>
  <si>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</si>
  <si>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</si>
  <si>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</si>
  <si>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</si>
  <si>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</si>
  <si>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</si>
  <si>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</si>
  <si>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</si>
  <si>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</si>
  <si>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</si>
  <si>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</si>
  <si>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</si>
  <si>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</si>
  <si>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</si>
  <si>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</si>
  <si>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</si>
  <si>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</si>
  <si>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</si>
  <si>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</si>
  <si>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</si>
  <si>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</si>
  <si>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</si>
  <si>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</si>
  <si>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</si>
  <si>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</si>
  <si>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</si>
  <si>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</si>
  <si>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</si>
  <si>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</si>
  <si>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</si>
  <si>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</si>
  <si>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</si>
  <si>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</si>
  <si>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</si>
  <si>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</si>
  <si>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</si>
  <si>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</si>
  <si>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</si>
  <si>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</si>
  <si>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</si>
  <si>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</si>
  <si>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</si>
  <si>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</si>
  <si>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</si>
  <si>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</si>
  <si>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</si>
  <si>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</si>
  <si>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</si>
  <si>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</si>
  <si>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</si>
  <si>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</si>
  <si>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</si>
  <si>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</si>
  <si>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</si>
  <si>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</si>
  <si>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</si>
  <si>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</si>
  <si>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</si>
  <si>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</si>
  <si>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</si>
  <si>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</si>
  <si>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</si>
  <si>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</si>
  <si>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</si>
  <si>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</si>
  <si>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</si>
  <si>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</si>
  <si>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</si>
  <si>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</si>
  <si>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MŠ Rokytnice n. J., Dolní Rokytnice 210</t>
  </si>
  <si>
    <t>MŠ Rokytnice n. J., Dolní Rokytnice 210 Celkem</t>
  </si>
  <si>
    <t>MŠ Rokytnice n. J., Horní Rokytnice 555</t>
  </si>
  <si>
    <t>MŠ Rokytnice n. J., Horní Rokytnice 555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</si>
  <si>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</si>
  <si>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</si>
  <si>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</si>
  <si>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</si>
  <si>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</si>
  <si>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</si>
  <si>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</si>
  <si>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</si>
  <si>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</si>
  <si>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</si>
  <si>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</si>
  <si>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</si>
  <si>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</si>
  <si>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</si>
  <si>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</si>
  <si>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Alešova 1140</t>
  </si>
  <si>
    <t>MŠ Turnov, Alešova 1140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</si>
  <si>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</si>
  <si>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</si>
  <si>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</si>
  <si>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</si>
  <si>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</si>
  <si>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</si>
  <si>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</si>
  <si>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</si>
  <si>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</si>
  <si>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</si>
  <si>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</si>
  <si>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</si>
  <si>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</si>
  <si>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</si>
  <si>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</si>
  <si>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</si>
  <si>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</si>
  <si>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</si>
  <si>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</si>
  <si>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</si>
  <si>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</si>
  <si>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</si>
  <si>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</si>
  <si>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</si>
  <si>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</si>
  <si>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</si>
  <si>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</si>
  <si>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</si>
  <si>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</si>
  <si>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</si>
  <si>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</si>
  <si>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</si>
  <si>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</si>
  <si>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</si>
  <si>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</si>
  <si>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</si>
  <si>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</si>
  <si>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</si>
  <si>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</si>
  <si>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</si>
  <si>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</si>
  <si>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</si>
  <si>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</si>
  <si>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</si>
  <si>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</si>
  <si>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</si>
  <si>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</si>
  <si>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</si>
  <si>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</si>
  <si>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</si>
  <si>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</si>
  <si>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</si>
  <si>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</si>
  <si>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</si>
  <si>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</si>
  <si>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</si>
  <si>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</si>
  <si>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</si>
  <si>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</si>
  <si>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</si>
  <si>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</si>
  <si>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</si>
  <si>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</si>
  <si>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</si>
  <si>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</si>
  <si>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</si>
  <si>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</si>
  <si>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</si>
  <si>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</si>
  <si>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</si>
  <si>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</si>
  <si>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</si>
  <si>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</si>
  <si>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</si>
  <si>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</si>
  <si>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</si>
  <si>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</si>
  <si>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</si>
  <si>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</si>
  <si>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</si>
  <si>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</si>
  <si>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</si>
  <si>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</si>
  <si>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</si>
  <si>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</si>
  <si>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</si>
  <si>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</si>
  <si>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</si>
  <si>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</si>
  <si>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</si>
  <si>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</si>
  <si>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</si>
  <si>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</si>
  <si>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</si>
  <si>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</si>
  <si>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</si>
  <si>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</si>
  <si>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</si>
  <si>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</si>
  <si>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</si>
  <si>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</si>
  <si>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</si>
  <si>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</si>
  <si>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</si>
  <si>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</si>
  <si>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</si>
  <si>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</si>
  <si>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</si>
  <si>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</si>
  <si>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</si>
  <si>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</si>
  <si>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</si>
  <si>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</si>
  <si>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</si>
  <si>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</si>
  <si>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</si>
  <si>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</si>
  <si>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</si>
  <si>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</si>
  <si>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</si>
  <si>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</si>
  <si>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</si>
  <si>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</si>
  <si>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</si>
  <si>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</si>
  <si>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</si>
  <si>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</si>
  <si>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</si>
  <si>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</si>
  <si>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</si>
  <si>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</si>
  <si>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</si>
  <si>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</si>
  <si>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</si>
  <si>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</si>
  <si>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</si>
  <si>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</si>
  <si>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</si>
  <si>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</si>
  <si>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</si>
  <si>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</si>
  <si>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</si>
  <si>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</si>
  <si>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</si>
  <si>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</si>
  <si>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</si>
  <si>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</si>
  <si>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</si>
  <si>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</si>
  <si>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</si>
  <si>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</si>
  <si>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</si>
  <si>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</si>
  <si>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</si>
  <si>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</si>
  <si>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</si>
  <si>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</si>
  <si>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</si>
  <si>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</si>
  <si>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</si>
  <si>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</si>
  <si>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</si>
  <si>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</si>
  <si>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</si>
  <si>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</si>
  <si>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</si>
  <si>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</si>
  <si>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</si>
  <si>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</si>
  <si>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</si>
  <si>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</si>
  <si>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</si>
  <si>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</si>
  <si>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</si>
  <si>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</si>
  <si>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</si>
  <si>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</si>
  <si>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</si>
  <si>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</si>
  <si>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</si>
  <si>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</si>
  <si>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</si>
  <si>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</si>
  <si>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</si>
  <si>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</si>
  <si>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</si>
  <si>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</si>
  <si>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</si>
  <si>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</si>
  <si>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</si>
  <si>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</si>
  <si>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</si>
  <si>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</si>
  <si>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</si>
  <si>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</si>
  <si>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</si>
  <si>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</si>
  <si>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</si>
  <si>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</si>
  <si>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</si>
  <si>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</si>
  <si>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</si>
  <si>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</si>
  <si>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</si>
  <si>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</si>
  <si>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</si>
  <si>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</si>
  <si>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</si>
  <si>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</si>
  <si>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</si>
  <si>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</si>
  <si>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</si>
  <si>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</si>
  <si>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</si>
  <si>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</si>
  <si>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</si>
  <si>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</si>
  <si>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</si>
  <si>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</si>
  <si>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</si>
  <si>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</si>
  <si>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</si>
  <si>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</si>
  <si>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</si>
  <si>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</si>
  <si>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</si>
  <si>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</si>
  <si>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</si>
  <si>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</si>
  <si>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</si>
  <si>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</si>
  <si>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</si>
  <si>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</si>
  <si>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</si>
  <si>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MŠ Jablonné v Podj., Liberecká 76</t>
  </si>
  <si>
    <t>MŠ Jablonné v Podj., Liberecká 76 Celkem</t>
  </si>
  <si>
    <t>ZŠ a ZUŠ Jablonné v Podj., U Školy 98</t>
  </si>
  <si>
    <t>ZŠ a ZUŠ Jablonné v Podj., U Školy 98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</si>
  <si>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</si>
  <si>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</si>
  <si>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</si>
  <si>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</si>
  <si>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</si>
  <si>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</si>
  <si>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</si>
  <si>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</si>
  <si>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</si>
  <si>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</si>
  <si>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</si>
  <si>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</si>
  <si>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</si>
  <si>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</si>
  <si>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</si>
  <si>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</si>
  <si>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</si>
  <si>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</si>
  <si>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</si>
  <si>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</si>
  <si>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</si>
  <si>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</si>
  <si>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</si>
  <si>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</si>
  <si>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</si>
  <si>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</si>
  <si>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</si>
  <si>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</si>
  <si>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</si>
  <si>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</si>
  <si>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</si>
  <si>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</si>
  <si>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</si>
  <si>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</si>
  <si>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</si>
  <si>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</si>
  <si>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</si>
  <si>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</si>
  <si>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</si>
  <si>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</si>
  <si>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</si>
  <si>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</si>
  <si>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</si>
  <si>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</si>
  <si>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</si>
  <si>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</si>
  <si>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</si>
  <si>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</si>
  <si>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</si>
  <si>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</si>
  <si>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</si>
  <si>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</si>
  <si>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</si>
  <si>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</si>
  <si>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</si>
  <si>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</si>
  <si>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</si>
  <si>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</si>
  <si>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</si>
  <si>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</si>
  <si>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</si>
  <si>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</si>
  <si>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</si>
  <si>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</si>
  <si>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</si>
  <si>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</si>
  <si>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</si>
  <si>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</si>
  <si>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</si>
  <si>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</si>
  <si>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</si>
  <si>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</si>
  <si>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r>
      <t xml:space="preserve">ZŠ a ZUŠ Hrádek n. N., Komenského 478 - </t>
    </r>
    <r>
      <rPr>
        <b/>
        <sz val="8"/>
        <color rgb="FFFF0000"/>
        <rFont val="Arial CE"/>
        <charset val="238"/>
      </rPr>
      <t>nově od 1. 9. 2020</t>
    </r>
  </si>
  <si>
    <t>ZŠ a ZUŠ Hrádek n. N., Komenského 478 Celkem</t>
  </si>
  <si>
    <t>Masarykova ZŠ Tanvald, Školní 416</t>
  </si>
  <si>
    <t xml:space="preserve">AP ŠD </t>
  </si>
  <si>
    <t>MŠ Jilemnice, Roztocká 994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</si>
  <si>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</si>
  <si>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</si>
  <si>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</si>
  <si>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</si>
  <si>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</si>
  <si>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</si>
  <si>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</si>
  <si>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</si>
  <si>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</si>
  <si>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</si>
  <si>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OON do Phmax</t>
  </si>
  <si>
    <t>z toho v Kč:</t>
  </si>
  <si>
    <t>z toho:</t>
  </si>
  <si>
    <t xml:space="preserve">z toho:           </t>
  </si>
  <si>
    <t xml:space="preserve">MŠ Šimonovice 482 </t>
  </si>
  <si>
    <t>MŠ Šimonovice 482 Celkem</t>
  </si>
  <si>
    <t>ZŠ Jablonné v Podj., Komenského 453 Celkem</t>
  </si>
  <si>
    <t>Vážená paní ředitelko, vážený pane řediteli,</t>
  </si>
  <si>
    <t>1)</t>
  </si>
  <si>
    <t>2)</t>
  </si>
  <si>
    <t>Zpracoval: OŠMTS KÚ LK, oddělení financování přímých nákladů</t>
  </si>
  <si>
    <t>ZŠ a MŠ Stružnice 69</t>
  </si>
  <si>
    <t>ZŠ a MŠ Stružnice 69 Celkem</t>
  </si>
  <si>
    <t>MŠ Treperka a waldorfská Semily, Pod Vartou 858</t>
  </si>
  <si>
    <t xml:space="preserve">ZŠ a MŠ Stružnice 69 </t>
  </si>
  <si>
    <t>ZŠ a MŠ Holany 93</t>
  </si>
  <si>
    <t>PHškoly</t>
  </si>
  <si>
    <t>výkonů</t>
  </si>
  <si>
    <t xml:space="preserve">Změna PHškoly/   výkonů </t>
  </si>
  <si>
    <t>Jazyková příprava cizinců</t>
  </si>
  <si>
    <t>PLATY úprava celkem</t>
  </si>
  <si>
    <t>3)</t>
  </si>
  <si>
    <t>ZŠ a MŠ Benecko 150</t>
  </si>
  <si>
    <t>ZŠ a MŠ Benecko 150 Celkem</t>
  </si>
  <si>
    <r>
      <t>ZŠ a MŠ Benecko 150</t>
    </r>
    <r>
      <rPr>
        <sz val="8"/>
        <color indexed="10"/>
        <rFont val="Arial"/>
        <family val="2"/>
        <charset val="238"/>
      </rPr>
      <t xml:space="preserve"> - nově</t>
    </r>
  </si>
  <si>
    <t xml:space="preserve"> </t>
  </si>
  <si>
    <t>Rozpis rozpočtu přímých NIV na rok 2024</t>
  </si>
  <si>
    <t>Normativní rozpis rozpočtu na rok 2024</t>
  </si>
  <si>
    <t>Dále Vám předkládáme úpravu rozpisu rozpočtu přímých NIV, která obsahuje:</t>
  </si>
  <si>
    <t>Rozdíl požadavku bude dorovnán po obdržení nových závazných úkazatelů ze strany MŠMT.</t>
  </si>
  <si>
    <t>4)</t>
  </si>
  <si>
    <t>5)</t>
  </si>
  <si>
    <t>6)</t>
  </si>
  <si>
    <t>zvýšení rozpočtu - řešení § 42 ŠZ, prostředky přiděleny na 8 měsíců;</t>
  </si>
  <si>
    <t xml:space="preserve">zvýšení rozpočtu na bezplatnou jazykovou přípravu organizovanou podle § 10 a § 11 vyhlášky 48/2005 Sb. dle předložených požadavků </t>
  </si>
  <si>
    <t>ZŠ a MŠ Křižany, Žibřidice 271</t>
  </si>
  <si>
    <t>ZŠ a MŠ Křižany, Žibřidice 271 Celkem</t>
  </si>
  <si>
    <r>
      <t xml:space="preserve">ZŠ a MŠ Křižany, Žibřidice 271 - </t>
    </r>
    <r>
      <rPr>
        <b/>
        <sz val="8"/>
        <color rgb="FFFF0000"/>
        <rFont val="Arial CE"/>
        <charset val="238"/>
      </rPr>
      <t>MŠ</t>
    </r>
    <r>
      <rPr>
        <sz val="8"/>
        <rFont val="Arial CE"/>
        <charset val="238"/>
      </rPr>
      <t xml:space="preserve"> </t>
    </r>
    <r>
      <rPr>
        <b/>
        <sz val="8"/>
        <color rgb="FFFF0000"/>
        <rFont val="Arial CE"/>
        <charset val="238"/>
      </rPr>
      <t>nově od 1. 1. 2024</t>
    </r>
  </si>
  <si>
    <t>Stav k 1. 1.</t>
  </si>
  <si>
    <t>+ sběr leden,únor</t>
  </si>
  <si>
    <t>Úprava rozpisu</t>
  </si>
  <si>
    <t>změna</t>
  </si>
  <si>
    <t>Základní škola a Středisko volného času, Rokytnice nad Jizerou, příspěvková organizace</t>
  </si>
  <si>
    <t>Základní škola a Středisko volného času, Rokytnice nad Jizerou, celkem</t>
  </si>
  <si>
    <t>100 % OON (dohody) na hodiny do PHMax - hodiny vykázané v odd. VIII. výkazu P1c-01 k 30. 9. 2023, prostředky jsou přiděleny na celorok (počítáno na 10 měsíců)</t>
  </si>
  <si>
    <t>s hodinovou dotací ZŠ - 619 Kč/hod, MŠ - 366 Kč/hod a ŠD - 331 Kč/hod, SŠ - 629 Kč/hod;</t>
  </si>
  <si>
    <t>navýšení rozpočtu o prostředky na podpůrná opatření (PO) podle stavu personálních PO k 1. 1. 2024 a násl. za sběr měsíců leden, únor a případně korekce vykázaných PO;</t>
  </si>
  <si>
    <t>na počet hodin od tzv. "určených škol" na období leden - červen 2024 s hodinovou dotací 619 Kč/hod;</t>
  </si>
  <si>
    <t>Zaměstnanci celkem</t>
  </si>
  <si>
    <t>ZAMĚSTNANCI</t>
  </si>
  <si>
    <t>zaměstnanci úprava celkem</t>
  </si>
  <si>
    <t>a rozpis dalších finančních prostředků stanovených krajským úřadem na rok 2024.</t>
  </si>
  <si>
    <t>přesuny z prostředků na platy do OON (dohody) na základě požadavků ze škol k termínu sběru 19. 2. 2024;</t>
  </si>
  <si>
    <t>předkládáme Vám roční výši rozpočtu přímých nákladů pro školy a školní družiny stanovených MŠMT na rok 2024</t>
  </si>
  <si>
    <t>přidělení 100% požadavku na odstupné (OON), pokud škola prokázala oprávněnost výpovědi z pracovního poměru s nárokem na výplatu odstupného;</t>
  </si>
  <si>
    <t>7)</t>
  </si>
  <si>
    <t>úprava (snížení) rozpočtu stanoveného z MŠMT v případě překračováni rejstříkové kapacity školy</t>
  </si>
  <si>
    <t xml:space="preserve">Vzhledem k výši rezervy na OON bylo nutno krátit požadavky na OON (dohody) na 65% jejich výše. </t>
  </si>
  <si>
    <t>Počet zaměstnanců celkem (ped. i neped.) je nově ukazatel orientační.</t>
  </si>
  <si>
    <t>Pozn.:</t>
  </si>
  <si>
    <t>Informace ke zrušení závaznosti limitu počtu zaměstnanců pro rok 2024</t>
  </si>
  <si>
    <t>Limit zaměstnanců budeme nadále evidovat jako ukazatel orientační.</t>
  </si>
  <si>
    <t>Komentář k rozpisu rozpočtu přímých NIV k 20. 3. 2024  (obecní školství)</t>
  </si>
  <si>
    <t>V Liberci dne 20. 3. 2024</t>
  </si>
  <si>
    <t>Rozpočet přímých nákladů k 20. 3. 2024</t>
  </si>
  <si>
    <t>Zrušení závaznosti limitu zaměstnanců bude promítnuto do úpravy směrnice MŠMT čj. 14281/2018, o závazných zásadách pro rozpisy a návrhy rozpisů</t>
  </si>
  <si>
    <t>finančních prostředků státního rozpočtu krajskými úřady a obecními úřady obcí s rozšířenou působností.</t>
  </si>
  <si>
    <t>organizací regionálního školství územních samosprávných celků v roce 2024. MŠMT nás o tomto informovalo svým dopisem čj. MSMT-1334/2024-2 z 27.2.2024.</t>
  </si>
  <si>
    <t>Usnesením vlády České republiky ze dne 21. února 2024 č. 126 vláda vyslovila souhlas se zrušením závaznosti limitu počtu zaměstnanců příspěvkových</t>
  </si>
  <si>
    <t xml:space="preserve">a v „Krajské metodice rozpisu přímých výdajů právnických osob vykonávajících činnost škol a školských zařízení zřizovaných obcemi </t>
  </si>
  <si>
    <t>Další podrobnosti k normativnímu rozpisu rozpočtu jsou uvedeny v "Informaci k rozpisu rozpočtu přímých NIV na rok 2024" (Č.j. KULK 24981/2024)</t>
  </si>
  <si>
    <t>a krajem pro rok 2024" (č. j. KULK  24724/2024)  dostupné na www.EDULK.cz</t>
  </si>
  <si>
    <t>Žádosti škol o úpravu rozpočtu z důvodu významných změn jsou evidovány na OŠMTS, do rozpočtu budou změny promítnuty v další úpravě rozpočtu.</t>
  </si>
  <si>
    <t>(po navýšení rezervy finančních prostředků z MŠMT)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</si>
</sst>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K_č_-;\-* #,##0.00\ _K_č_-;_-* &quot;-&quot;??\ _K_č_-;_-@_-"/>
  </numFmts>
  <fonts count="54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sz val="8"/>
      <color rgb="FFFF0000"/>
      <name val="Arial CE"/>
      <charset val="238"/>
    </font>
    <font>
      <b/>
      <u/>
      <sz val="10"/>
      <name val="Arial"/>
      <family val="2"/>
      <charset val="238"/>
    </font>
    <font>
      <b/>
      <u/>
      <sz val="8"/>
      <name val="Arial"/>
      <family val="2"/>
      <charset val="238"/>
    </font>
    <font>
      <sz val="8"/>
      <name val="Arial"/>
      <family val="2"/>
      <charset val="238"/>
    </font>
    <font>
      <sz val="8"/>
      <color indexed="10"/>
      <name val="Arial"/>
      <family val="2"/>
      <charset val="238"/>
    </font>
    <font>
      <b/>
      <i/>
      <sz val="1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1"/>
      <color indexed="81"/>
      <name val="Tahoma"/>
      <family val="2"/>
      <charset val="238"/>
    </font>
    <font>
      <sz val="11"/>
      <color indexed="81"/>
      <name val="Tahoma"/>
      <family val="2"/>
      <charset val="238"/>
    </font>
    <font>
      <b/>
      <sz val="10"/>
      <color rgb="FFFF0000"/>
      <name val="Arial CE"/>
      <charset val="238"/>
    </font>
    <font>
      <b/>
      <u/>
      <sz val="11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 tint="-0.14999847407452621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4">
    <xf numFmtId="0" fontId="0" fillId="0" borderId="0"/>
    <xf numFmtId="164" fontId="16" fillId="0" borderId="0" applyFont="0" applyFill="0" applyBorder="0" applyAlignment="0" applyProtection="0"/>
    <xf numFmtId="0" fontId="16" fillId="0" borderId="0"/>
    <xf numFmtId="0" fontId="6" fillId="0" borderId="0"/>
    <xf numFmtId="0" fontId="11" fillId="0" borderId="0"/>
    <xf numFmtId="0" fontId="5" fillId="0" borderId="0"/>
    <xf numFmtId="0" fontId="38" fillId="0" borderId="0"/>
    <xf numFmtId="0" fontId="11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841">
    <xf numFmtId="0" fontId="0" fillId="0" borderId="0" xfId="0"/>
    <xf numFmtId="0" fontId="14" fillId="0" borderId="2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7" fillId="0" borderId="0" xfId="0" applyFont="1"/>
    <xf numFmtId="4" fontId="8" fillId="0" borderId="0" xfId="0" applyNumberFormat="1" applyFont="1"/>
    <xf numFmtId="0" fontId="8" fillId="0" borderId="0" xfId="0" applyFont="1"/>
    <xf numFmtId="0" fontId="10" fillId="0" borderId="0" xfId="0" applyFont="1"/>
    <xf numFmtId="4" fontId="0" fillId="0" borderId="0" xfId="0" applyNumberFormat="1"/>
    <xf numFmtId="3" fontId="0" fillId="0" borderId="0" xfId="0" applyNumberFormat="1"/>
    <xf numFmtId="0" fontId="8" fillId="0" borderId="0" xfId="0" applyFont="1" applyAlignment="1">
      <alignment horizontal="center"/>
    </xf>
    <xf numFmtId="0" fontId="19" fillId="0" borderId="0" xfId="0" applyFont="1"/>
    <xf numFmtId="4" fontId="9" fillId="0" borderId="0" xfId="0" applyNumberFormat="1" applyFont="1"/>
    <xf numFmtId="0" fontId="20" fillId="0" borderId="0" xfId="0" applyFont="1"/>
    <xf numFmtId="4" fontId="8" fillId="0" borderId="1" xfId="0" applyNumberFormat="1" applyFont="1" applyBorder="1"/>
    <xf numFmtId="0" fontId="12" fillId="3" borderId="1" xfId="2" applyFont="1" applyFill="1" applyBorder="1" applyAlignment="1">
      <alignment horizontal="center"/>
    </xf>
    <xf numFmtId="3" fontId="8" fillId="0" borderId="0" xfId="0" applyNumberFormat="1" applyFont="1"/>
    <xf numFmtId="3" fontId="8" fillId="0" borderId="1" xfId="0" applyNumberFormat="1" applyFont="1" applyBorder="1"/>
    <xf numFmtId="4" fontId="8" fillId="0" borderId="10" xfId="0" applyNumberFormat="1" applyFont="1" applyBorder="1"/>
    <xf numFmtId="0" fontId="13" fillId="3" borderId="1" xfId="0" applyFont="1" applyFill="1" applyBorder="1" applyAlignment="1">
      <alignment horizontal="center"/>
    </xf>
    <xf numFmtId="0" fontId="14" fillId="0" borderId="15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0" fontId="14" fillId="0" borderId="40" xfId="0" applyFont="1" applyBorder="1" applyAlignment="1">
      <alignment horizontal="left"/>
    </xf>
    <xf numFmtId="0" fontId="21" fillId="0" borderId="0" xfId="0" applyFont="1" applyAlignment="1">
      <alignment horizontal="center"/>
    </xf>
    <xf numFmtId="0" fontId="21" fillId="0" borderId="0" xfId="0" applyFont="1"/>
    <xf numFmtId="3" fontId="21" fillId="0" borderId="8" xfId="0" applyNumberFormat="1" applyFont="1" applyBorder="1"/>
    <xf numFmtId="3" fontId="21" fillId="0" borderId="1" xfId="0" applyNumberFormat="1" applyFont="1" applyBorder="1"/>
    <xf numFmtId="4" fontId="21" fillId="0" borderId="1" xfId="0" applyNumberFormat="1" applyFont="1" applyBorder="1"/>
    <xf numFmtId="3" fontId="21" fillId="0" borderId="11" xfId="0" applyNumberFormat="1" applyFont="1" applyBorder="1"/>
    <xf numFmtId="3" fontId="21" fillId="0" borderId="12" xfId="0" applyNumberFormat="1" applyFont="1" applyBorder="1"/>
    <xf numFmtId="0" fontId="13" fillId="4" borderId="18" xfId="0" applyFont="1" applyFill="1" applyBorder="1" applyAlignment="1">
      <alignment horizontal="center"/>
    </xf>
    <xf numFmtId="3" fontId="21" fillId="0" borderId="4" xfId="0" applyNumberFormat="1" applyFont="1" applyBorder="1"/>
    <xf numFmtId="3" fontId="21" fillId="0" borderId="37" xfId="0" applyNumberFormat="1" applyFont="1" applyBorder="1"/>
    <xf numFmtId="0" fontId="13" fillId="3" borderId="21" xfId="0" applyFont="1" applyFill="1" applyBorder="1" applyAlignment="1">
      <alignment horizontal="center"/>
    </xf>
    <xf numFmtId="3" fontId="15" fillId="4" borderId="18" xfId="0" applyNumberFormat="1" applyFont="1" applyFill="1" applyBorder="1"/>
    <xf numFmtId="4" fontId="15" fillId="4" borderId="18" xfId="0" applyNumberFormat="1" applyFont="1" applyFill="1" applyBorder="1"/>
    <xf numFmtId="4" fontId="15" fillId="4" borderId="19" xfId="0" applyNumberFormat="1" applyFont="1" applyFill="1" applyBorder="1"/>
    <xf numFmtId="0" fontId="12" fillId="2" borderId="20" xfId="2" applyFont="1" applyFill="1" applyBorder="1" applyAlignment="1">
      <alignment horizontal="center" vertical="center" wrapText="1"/>
    </xf>
    <xf numFmtId="3" fontId="13" fillId="5" borderId="12" xfId="2" applyNumberFormat="1" applyFont="1" applyFill="1" applyBorder="1" applyAlignment="1">
      <alignment horizontal="center" vertical="center" wrapText="1"/>
    </xf>
    <xf numFmtId="3" fontId="21" fillId="0" borderId="28" xfId="0" applyNumberFormat="1" applyFont="1" applyBorder="1"/>
    <xf numFmtId="4" fontId="13" fillId="3" borderId="10" xfId="0" applyNumberFormat="1" applyFont="1" applyFill="1" applyBorder="1"/>
    <xf numFmtId="4" fontId="13" fillId="3" borderId="10" xfId="0" applyNumberFormat="1" applyFont="1" applyFill="1" applyBorder="1" applyAlignment="1">
      <alignment horizontal="right"/>
    </xf>
    <xf numFmtId="0" fontId="21" fillId="0" borderId="0" xfId="0" applyFont="1" applyAlignment="1">
      <alignment horizontal="left"/>
    </xf>
    <xf numFmtId="0" fontId="0" fillId="0" borderId="0" xfId="0" applyAlignment="1">
      <alignment horizontal="left"/>
    </xf>
    <xf numFmtId="0" fontId="9" fillId="0" borderId="9" xfId="0" applyFont="1" applyBorder="1" applyAlignment="1">
      <alignment horizontal="left"/>
    </xf>
    <xf numFmtId="0" fontId="18" fillId="0" borderId="0" xfId="0" applyFont="1"/>
    <xf numFmtId="0" fontId="32" fillId="3" borderId="1" xfId="4" applyFont="1" applyFill="1" applyBorder="1" applyAlignment="1">
      <alignment horizontal="center"/>
    </xf>
    <xf numFmtId="0" fontId="13" fillId="3" borderId="1" xfId="4" applyFont="1" applyFill="1" applyBorder="1" applyAlignment="1">
      <alignment horizontal="center"/>
    </xf>
    <xf numFmtId="0" fontId="34" fillId="3" borderId="1" xfId="4" applyFont="1" applyFill="1" applyBorder="1" applyAlignment="1">
      <alignment horizontal="center"/>
    </xf>
    <xf numFmtId="0" fontId="31" fillId="3" borderId="1" xfId="4" applyFont="1" applyFill="1" applyBorder="1" applyAlignment="1">
      <alignment horizontal="center"/>
    </xf>
    <xf numFmtId="0" fontId="32" fillId="3" borderId="21" xfId="4" applyFont="1" applyFill="1" applyBorder="1" applyAlignment="1">
      <alignment horizontal="center"/>
    </xf>
    <xf numFmtId="0" fontId="18" fillId="0" borderId="0" xfId="0" applyFont="1" applyAlignment="1">
      <alignment horizontal="left"/>
    </xf>
    <xf numFmtId="0" fontId="36" fillId="0" borderId="0" xfId="5" applyFont="1" applyAlignment="1">
      <alignment horizontal="right"/>
    </xf>
    <xf numFmtId="0" fontId="36" fillId="0" borderId="0" xfId="5" applyFont="1" applyAlignment="1">
      <alignment horizontal="center"/>
    </xf>
    <xf numFmtId="3" fontId="36" fillId="0" borderId="0" xfId="5" applyNumberFormat="1" applyFont="1"/>
    <xf numFmtId="3" fontId="5" fillId="0" borderId="0" xfId="5" applyNumberFormat="1"/>
    <xf numFmtId="4" fontId="5" fillId="0" borderId="0" xfId="5" applyNumberFormat="1"/>
    <xf numFmtId="0" fontId="36" fillId="0" borderId="0" xfId="5" applyFont="1"/>
    <xf numFmtId="0" fontId="37" fillId="0" borderId="0" xfId="5" applyFont="1" applyAlignment="1">
      <alignment horizontal="right"/>
    </xf>
    <xf numFmtId="0" fontId="37" fillId="0" borderId="0" xfId="5" applyFont="1"/>
    <xf numFmtId="0" fontId="36" fillId="0" borderId="0" xfId="5" applyFont="1" applyAlignment="1">
      <alignment horizontal="center" vertical="center"/>
    </xf>
    <xf numFmtId="0" fontId="37" fillId="0" borderId="0" xfId="5" applyFont="1" applyAlignment="1">
      <alignment vertical="center"/>
    </xf>
    <xf numFmtId="0" fontId="37" fillId="0" borderId="17" xfId="5" applyFont="1" applyBorder="1" applyAlignment="1">
      <alignment horizontal="center" vertical="center"/>
    </xf>
    <xf numFmtId="0" fontId="37" fillId="0" borderId="18" xfId="5" applyFont="1" applyBorder="1" applyAlignment="1">
      <alignment horizontal="center" vertical="center"/>
    </xf>
    <xf numFmtId="0" fontId="7" fillId="0" borderId="1" xfId="5" applyFont="1" applyBorder="1" applyAlignment="1">
      <alignment horizontal="right"/>
    </xf>
    <xf numFmtId="0" fontId="7" fillId="0" borderId="1" xfId="5" applyFont="1" applyBorder="1" applyAlignment="1" applyProtection="1">
      <alignment horizontal="right"/>
      <protection locked="0"/>
    </xf>
    <xf numFmtId="0" fontId="7" fillId="0" borderId="1" xfId="5" applyFont="1" applyBorder="1"/>
    <xf numFmtId="0" fontId="7" fillId="0" borderId="1" xfId="5" applyFont="1" applyBorder="1" applyAlignment="1">
      <alignment horizontal="center"/>
    </xf>
    <xf numFmtId="0" fontId="7" fillId="0" borderId="9" xfId="5" applyFont="1" applyBorder="1"/>
    <xf numFmtId="3" fontId="7" fillId="0" borderId="1" xfId="5" applyNumberFormat="1" applyFont="1" applyBorder="1"/>
    <xf numFmtId="0" fontId="13" fillId="3" borderId="1" xfId="5" applyFont="1" applyFill="1" applyBorder="1" applyAlignment="1">
      <alignment horizontal="right"/>
    </xf>
    <xf numFmtId="0" fontId="13" fillId="3" borderId="1" xfId="5" applyFont="1" applyFill="1" applyBorder="1" applyAlignment="1" applyProtection="1">
      <alignment horizontal="right"/>
      <protection locked="0"/>
    </xf>
    <xf numFmtId="0" fontId="13" fillId="3" borderId="1" xfId="5" applyFont="1" applyFill="1" applyBorder="1"/>
    <xf numFmtId="0" fontId="13" fillId="3" borderId="1" xfId="5" applyFont="1" applyFill="1" applyBorder="1" applyAlignment="1">
      <alignment horizontal="center"/>
    </xf>
    <xf numFmtId="0" fontId="13" fillId="3" borderId="9" xfId="5" applyFont="1" applyFill="1" applyBorder="1"/>
    <xf numFmtId="3" fontId="13" fillId="3" borderId="1" xfId="5" applyNumberFormat="1" applyFont="1" applyFill="1" applyBorder="1"/>
    <xf numFmtId="4" fontId="13" fillId="3" borderId="1" xfId="5" applyNumberFormat="1" applyFont="1" applyFill="1" applyBorder="1"/>
    <xf numFmtId="4" fontId="13" fillId="3" borderId="10" xfId="5" applyNumberFormat="1" applyFont="1" applyFill="1" applyBorder="1"/>
    <xf numFmtId="0" fontId="8" fillId="0" borderId="1" xfId="5" applyFont="1" applyBorder="1"/>
    <xf numFmtId="3" fontId="13" fillId="3" borderId="1" xfId="5" applyNumberFormat="1" applyFont="1" applyFill="1" applyBorder="1" applyAlignment="1">
      <alignment horizontal="right"/>
    </xf>
    <xf numFmtId="4" fontId="13" fillId="3" borderId="1" xfId="5" applyNumberFormat="1" applyFont="1" applyFill="1" applyBorder="1" applyAlignment="1">
      <alignment horizontal="right"/>
    </xf>
    <xf numFmtId="4" fontId="13" fillId="3" borderId="10" xfId="5" applyNumberFormat="1" applyFont="1" applyFill="1" applyBorder="1" applyAlignment="1">
      <alignment horizontal="right"/>
    </xf>
    <xf numFmtId="0" fontId="7" fillId="0" borderId="1" xfId="5" applyFont="1" applyBorder="1" applyAlignment="1">
      <alignment wrapText="1"/>
    </xf>
    <xf numFmtId="3" fontId="37" fillId="3" borderId="1" xfId="5" applyNumberFormat="1" applyFont="1" applyFill="1" applyBorder="1"/>
    <xf numFmtId="4" fontId="37" fillId="3" borderId="1" xfId="5" applyNumberFormat="1" applyFont="1" applyFill="1" applyBorder="1"/>
    <xf numFmtId="4" fontId="37" fillId="3" borderId="10" xfId="5" applyNumberFormat="1" applyFont="1" applyFill="1" applyBorder="1"/>
    <xf numFmtId="3" fontId="13" fillId="7" borderId="18" xfId="5" applyNumberFormat="1" applyFont="1" applyFill="1" applyBorder="1"/>
    <xf numFmtId="3" fontId="37" fillId="0" borderId="0" xfId="5" applyNumberFormat="1" applyFont="1" applyAlignment="1">
      <alignment horizontal="right"/>
    </xf>
    <xf numFmtId="4" fontId="37" fillId="0" borderId="0" xfId="5" applyNumberFormat="1" applyFont="1" applyAlignment="1">
      <alignment horizontal="right"/>
    </xf>
    <xf numFmtId="4" fontId="36" fillId="0" borderId="0" xfId="5" applyNumberFormat="1" applyFont="1"/>
    <xf numFmtId="0" fontId="36" fillId="0" borderId="0" xfId="5" applyFont="1" applyAlignment="1">
      <alignment horizontal="left"/>
    </xf>
    <xf numFmtId="0" fontId="5" fillId="0" borderId="0" xfId="5"/>
    <xf numFmtId="0" fontId="5" fillId="0" borderId="0" xfId="5" applyAlignment="1">
      <alignment horizontal="center"/>
    </xf>
    <xf numFmtId="0" fontId="25" fillId="0" borderId="0" xfId="5" applyFont="1"/>
    <xf numFmtId="0" fontId="25" fillId="0" borderId="0" xfId="5" applyFont="1" applyAlignment="1">
      <alignment horizontal="center" vertical="center" wrapText="1"/>
    </xf>
    <xf numFmtId="0" fontId="8" fillId="0" borderId="1" xfId="5" applyFont="1" applyBorder="1" applyProtection="1">
      <protection locked="0"/>
    </xf>
    <xf numFmtId="0" fontId="8" fillId="0" borderId="1" xfId="5" applyFont="1" applyBorder="1" applyAlignment="1">
      <alignment horizontal="center"/>
    </xf>
    <xf numFmtId="0" fontId="8" fillId="0" borderId="9" xfId="5" applyFont="1" applyBorder="1"/>
    <xf numFmtId="0" fontId="27" fillId="0" borderId="0" xfId="5" applyFont="1"/>
    <xf numFmtId="0" fontId="14" fillId="3" borderId="1" xfId="5" applyFont="1" applyFill="1" applyBorder="1"/>
    <xf numFmtId="0" fontId="14" fillId="3" borderId="1" xfId="5" applyFont="1" applyFill="1" applyBorder="1" applyProtection="1">
      <protection locked="0"/>
    </xf>
    <xf numFmtId="0" fontId="14" fillId="3" borderId="1" xfId="5" applyFont="1" applyFill="1" applyBorder="1" applyAlignment="1">
      <alignment horizontal="center"/>
    </xf>
    <xf numFmtId="0" fontId="8" fillId="3" borderId="1" xfId="5" applyFont="1" applyFill="1" applyBorder="1"/>
    <xf numFmtId="0" fontId="8" fillId="3" borderId="9" xfId="5" applyFont="1" applyFill="1" applyBorder="1"/>
    <xf numFmtId="0" fontId="8" fillId="2" borderId="1" xfId="5" applyFont="1" applyFill="1" applyBorder="1"/>
    <xf numFmtId="4" fontId="14" fillId="3" borderId="10" xfId="5" applyNumberFormat="1" applyFont="1" applyFill="1" applyBorder="1"/>
    <xf numFmtId="0" fontId="8" fillId="0" borderId="1" xfId="5" applyFont="1" applyBorder="1" applyAlignment="1">
      <alignment wrapText="1"/>
    </xf>
    <xf numFmtId="0" fontId="8" fillId="0" borderId="1" xfId="5" applyFont="1" applyBorder="1" applyAlignment="1">
      <alignment horizontal="center" wrapText="1"/>
    </xf>
    <xf numFmtId="0" fontId="14" fillId="3" borderId="1" xfId="5" applyFont="1" applyFill="1" applyBorder="1" applyAlignment="1">
      <alignment horizontal="center" wrapText="1"/>
    </xf>
    <xf numFmtId="4" fontId="14" fillId="3" borderId="10" xfId="5" applyNumberFormat="1" applyFont="1" applyFill="1" applyBorder="1" applyAlignment="1">
      <alignment horizontal="right"/>
    </xf>
    <xf numFmtId="0" fontId="14" fillId="3" borderId="21" xfId="5" applyFont="1" applyFill="1" applyBorder="1"/>
    <xf numFmtId="0" fontId="14" fillId="3" borderId="21" xfId="5" applyFont="1" applyFill="1" applyBorder="1" applyProtection="1">
      <protection locked="0"/>
    </xf>
    <xf numFmtId="0" fontId="14" fillId="3" borderId="21" xfId="5" applyFont="1" applyFill="1" applyBorder="1" applyAlignment="1">
      <alignment horizontal="center" wrapText="1"/>
    </xf>
    <xf numFmtId="0" fontId="8" fillId="3" borderId="21" xfId="5" applyFont="1" applyFill="1" applyBorder="1"/>
    <xf numFmtId="0" fontId="8" fillId="3" borderId="30" xfId="5" applyFont="1" applyFill="1" applyBorder="1"/>
    <xf numFmtId="0" fontId="27" fillId="0" borderId="0" xfId="5" applyFont="1" applyAlignment="1">
      <alignment horizontal="center"/>
    </xf>
    <xf numFmtId="3" fontId="14" fillId="0" borderId="0" xfId="5" applyNumberFormat="1" applyFont="1" applyAlignment="1">
      <alignment horizontal="center"/>
    </xf>
    <xf numFmtId="3" fontId="23" fillId="0" borderId="0" xfId="5" applyNumberFormat="1" applyFont="1" applyAlignment="1">
      <alignment horizontal="center" vertical="center"/>
    </xf>
    <xf numFmtId="0" fontId="37" fillId="0" borderId="0" xfId="5" applyFont="1" applyAlignment="1">
      <alignment horizontal="center"/>
    </xf>
    <xf numFmtId="0" fontId="20" fillId="0" borderId="0" xfId="0" applyFont="1" applyAlignment="1">
      <alignment horizontal="center"/>
    </xf>
    <xf numFmtId="0" fontId="25" fillId="0" borderId="0" xfId="5" applyFont="1" applyAlignment="1">
      <alignment horizontal="center"/>
    </xf>
    <xf numFmtId="3" fontId="8" fillId="0" borderId="8" xfId="5" applyNumberFormat="1" applyFont="1" applyBorder="1" applyAlignment="1">
      <alignment horizontal="center"/>
    </xf>
    <xf numFmtId="3" fontId="14" fillId="3" borderId="8" xfId="5" applyNumberFormat="1" applyFont="1" applyFill="1" applyBorder="1" applyAlignment="1">
      <alignment horizontal="center"/>
    </xf>
    <xf numFmtId="3" fontId="14" fillId="3" borderId="26" xfId="5" applyNumberFormat="1" applyFont="1" applyFill="1" applyBorder="1" applyAlignment="1">
      <alignment horizontal="center"/>
    </xf>
    <xf numFmtId="0" fontId="37" fillId="0" borderId="18" xfId="5" applyFont="1" applyBorder="1" applyAlignment="1">
      <alignment horizontal="center" vertical="center" wrapText="1"/>
    </xf>
    <xf numFmtId="0" fontId="22" fillId="0" borderId="0" xfId="5" applyFont="1"/>
    <xf numFmtId="0" fontId="7" fillId="0" borderId="5" xfId="5" applyFont="1" applyBorder="1" applyAlignment="1">
      <alignment horizontal="center"/>
    </xf>
    <xf numFmtId="0" fontId="7" fillId="0" borderId="5" xfId="5" applyFont="1" applyBorder="1" applyAlignment="1">
      <alignment horizontal="right"/>
    </xf>
    <xf numFmtId="0" fontId="7" fillId="0" borderId="5" xfId="5" applyFont="1" applyBorder="1" applyAlignment="1" applyProtection="1">
      <alignment horizontal="right"/>
      <protection locked="0"/>
    </xf>
    <xf numFmtId="0" fontId="7" fillId="0" borderId="5" xfId="5" applyFont="1" applyBorder="1"/>
    <xf numFmtId="0" fontId="7" fillId="0" borderId="6" xfId="5" applyFont="1" applyBorder="1"/>
    <xf numFmtId="3" fontId="8" fillId="0" borderId="4" xfId="5" applyNumberFormat="1" applyFont="1" applyBorder="1" applyAlignment="1">
      <alignment horizontal="center"/>
    </xf>
    <xf numFmtId="0" fontId="8" fillId="0" borderId="5" xfId="5" applyFont="1" applyBorder="1"/>
    <xf numFmtId="0" fontId="8" fillId="0" borderId="5" xfId="5" applyFont="1" applyBorder="1" applyProtection="1">
      <protection locked="0"/>
    </xf>
    <xf numFmtId="0" fontId="8" fillId="0" borderId="5" xfId="5" applyFont="1" applyBorder="1" applyAlignment="1">
      <alignment horizontal="center"/>
    </xf>
    <xf numFmtId="0" fontId="8" fillId="0" borderId="6" xfId="5" applyFont="1" applyBorder="1"/>
    <xf numFmtId="0" fontId="22" fillId="8" borderId="17" xfId="5" applyFont="1" applyFill="1" applyBorder="1" applyAlignment="1">
      <alignment horizontal="center"/>
    </xf>
    <xf numFmtId="0" fontId="22" fillId="8" borderId="18" xfId="5" applyFont="1" applyFill="1" applyBorder="1" applyAlignment="1">
      <alignment horizontal="center"/>
    </xf>
    <xf numFmtId="0" fontId="22" fillId="8" borderId="20" xfId="5" applyFont="1" applyFill="1" applyBorder="1" applyAlignment="1">
      <alignment horizontal="center"/>
    </xf>
    <xf numFmtId="3" fontId="22" fillId="8" borderId="17" xfId="5" applyNumberFormat="1" applyFont="1" applyFill="1" applyBorder="1" applyAlignment="1">
      <alignment horizontal="center"/>
    </xf>
    <xf numFmtId="3" fontId="22" fillId="8" borderId="18" xfId="5" applyNumberFormat="1" applyFont="1" applyFill="1" applyBorder="1" applyAlignment="1">
      <alignment horizontal="center"/>
    </xf>
    <xf numFmtId="0" fontId="14" fillId="0" borderId="43" xfId="0" applyFont="1" applyBorder="1" applyAlignment="1">
      <alignment horizontal="left"/>
    </xf>
    <xf numFmtId="3" fontId="15" fillId="4" borderId="17" xfId="0" applyNumberFormat="1" applyFont="1" applyFill="1" applyBorder="1"/>
    <xf numFmtId="3" fontId="22" fillId="8" borderId="33" xfId="5" applyNumberFormat="1" applyFont="1" applyFill="1" applyBorder="1" applyAlignment="1">
      <alignment horizontal="center"/>
    </xf>
    <xf numFmtId="3" fontId="22" fillId="8" borderId="34" xfId="5" applyNumberFormat="1" applyFont="1" applyFill="1" applyBorder="1" applyAlignment="1">
      <alignment horizontal="center"/>
    </xf>
    <xf numFmtId="4" fontId="22" fillId="8" borderId="34" xfId="5" applyNumberFormat="1" applyFont="1" applyFill="1" applyBorder="1" applyAlignment="1">
      <alignment horizontal="center"/>
    </xf>
    <xf numFmtId="4" fontId="22" fillId="8" borderId="36" xfId="5" applyNumberFormat="1" applyFont="1" applyFill="1" applyBorder="1" applyAlignment="1">
      <alignment horizontal="center"/>
    </xf>
    <xf numFmtId="3" fontId="7" fillId="0" borderId="24" xfId="5" applyNumberFormat="1" applyFont="1" applyBorder="1"/>
    <xf numFmtId="4" fontId="21" fillId="0" borderId="12" xfId="0" applyNumberFormat="1" applyFont="1" applyBorder="1"/>
    <xf numFmtId="3" fontId="21" fillId="0" borderId="5" xfId="0" applyNumberFormat="1" applyFont="1" applyBorder="1"/>
    <xf numFmtId="4" fontId="21" fillId="0" borderId="5" xfId="0" applyNumberFormat="1" applyFont="1" applyBorder="1"/>
    <xf numFmtId="4" fontId="15" fillId="4" borderId="20" xfId="0" applyNumberFormat="1" applyFont="1" applyFill="1" applyBorder="1"/>
    <xf numFmtId="3" fontId="15" fillId="4" borderId="22" xfId="0" applyNumberFormat="1" applyFont="1" applyFill="1" applyBorder="1"/>
    <xf numFmtId="3" fontId="21" fillId="0" borderId="41" xfId="0" applyNumberFormat="1" applyFont="1" applyBorder="1"/>
    <xf numFmtId="0" fontId="14" fillId="0" borderId="16" xfId="0" applyFont="1" applyBorder="1" applyAlignment="1">
      <alignment horizontal="left"/>
    </xf>
    <xf numFmtId="0" fontId="13" fillId="3" borderId="1" xfId="2" applyFont="1" applyFill="1" applyBorder="1" applyAlignment="1">
      <alignment horizontal="center"/>
    </xf>
    <xf numFmtId="0" fontId="12" fillId="3" borderId="8" xfId="2" applyFont="1" applyFill="1" applyBorder="1" applyAlignment="1">
      <alignment horizontal="center"/>
    </xf>
    <xf numFmtId="0" fontId="13" fillId="3" borderId="1" xfId="0" applyFont="1" applyFill="1" applyBorder="1" applyAlignment="1">
      <alignment horizontal="left"/>
    </xf>
    <xf numFmtId="0" fontId="13" fillId="3" borderId="8" xfId="0" applyFont="1" applyFill="1" applyBorder="1" applyAlignment="1">
      <alignment horizontal="center"/>
    </xf>
    <xf numFmtId="0" fontId="12" fillId="3" borderId="26" xfId="2" applyFont="1" applyFill="1" applyBorder="1" applyAlignment="1">
      <alignment horizontal="center"/>
    </xf>
    <xf numFmtId="0" fontId="12" fillId="3" borderId="21" xfId="2" applyFont="1" applyFill="1" applyBorder="1" applyAlignment="1">
      <alignment horizontal="center"/>
    </xf>
    <xf numFmtId="0" fontId="13" fillId="3" borderId="21" xfId="2" applyFont="1" applyFill="1" applyBorder="1" applyAlignment="1">
      <alignment horizontal="center"/>
    </xf>
    <xf numFmtId="0" fontId="13" fillId="3" borderId="26" xfId="0" applyFont="1" applyFill="1" applyBorder="1" applyAlignment="1">
      <alignment horizontal="center"/>
    </xf>
    <xf numFmtId="0" fontId="13" fillId="3" borderId="21" xfId="0" applyFont="1" applyFill="1" applyBorder="1" applyAlignment="1">
      <alignment horizontal="left"/>
    </xf>
    <xf numFmtId="0" fontId="13" fillId="4" borderId="17" xfId="0" applyFont="1" applyFill="1" applyBorder="1" applyAlignment="1">
      <alignment horizontal="center"/>
    </xf>
    <xf numFmtId="0" fontId="13" fillId="4" borderId="18" xfId="0" applyFont="1" applyFill="1" applyBorder="1" applyAlignment="1">
      <alignment horizontal="left"/>
    </xf>
    <xf numFmtId="0" fontId="12" fillId="2" borderId="34" xfId="2" applyFont="1" applyFill="1" applyBorder="1" applyAlignment="1">
      <alignment horizontal="center" vertical="center"/>
    </xf>
    <xf numFmtId="0" fontId="13" fillId="3" borderId="1" xfId="0" applyFont="1" applyFill="1" applyBorder="1"/>
    <xf numFmtId="0" fontId="9" fillId="0" borderId="1" xfId="0" applyFont="1" applyBorder="1" applyAlignment="1">
      <alignment horizontal="left"/>
    </xf>
    <xf numFmtId="0" fontId="13" fillId="3" borderId="21" xfId="4" applyFont="1" applyFill="1" applyBorder="1" applyAlignment="1">
      <alignment horizontal="center"/>
    </xf>
    <xf numFmtId="3" fontId="8" fillId="0" borderId="8" xfId="0" applyNumberFormat="1" applyFont="1" applyBorder="1"/>
    <xf numFmtId="3" fontId="8" fillId="0" borderId="28" xfId="0" applyNumberFormat="1" applyFont="1" applyBorder="1"/>
    <xf numFmtId="4" fontId="8" fillId="0" borderId="9" xfId="0" applyNumberFormat="1" applyFont="1" applyBorder="1"/>
    <xf numFmtId="3" fontId="8" fillId="0" borderId="11" xfId="0" applyNumberFormat="1" applyFont="1" applyBorder="1"/>
    <xf numFmtId="3" fontId="8" fillId="0" borderId="12" xfId="0" applyNumberFormat="1" applyFont="1" applyBorder="1"/>
    <xf numFmtId="4" fontId="8" fillId="0" borderId="12" xfId="0" applyNumberFormat="1" applyFont="1" applyBorder="1"/>
    <xf numFmtId="4" fontId="8" fillId="0" borderId="14" xfId="0" applyNumberFormat="1" applyFont="1" applyBorder="1"/>
    <xf numFmtId="3" fontId="8" fillId="0" borderId="41" xfId="0" applyNumberFormat="1" applyFont="1" applyBorder="1"/>
    <xf numFmtId="4" fontId="8" fillId="0" borderId="13" xfId="0" applyNumberFormat="1" applyFont="1" applyBorder="1"/>
    <xf numFmtId="4" fontId="36" fillId="0" borderId="0" xfId="5" applyNumberFormat="1" applyFont="1" applyAlignment="1">
      <alignment horizontal="right"/>
    </xf>
    <xf numFmtId="0" fontId="15" fillId="0" borderId="62" xfId="0" applyFont="1" applyBorder="1"/>
    <xf numFmtId="0" fontId="15" fillId="0" borderId="3" xfId="0" applyFont="1" applyBorder="1"/>
    <xf numFmtId="0" fontId="15" fillId="0" borderId="40" xfId="0" applyFont="1" applyBorder="1"/>
    <xf numFmtId="4" fontId="22" fillId="8" borderId="35" xfId="5" applyNumberFormat="1" applyFont="1" applyFill="1" applyBorder="1" applyAlignment="1">
      <alignment horizontal="center"/>
    </xf>
    <xf numFmtId="4" fontId="36" fillId="0" borderId="0" xfId="5" applyNumberFormat="1" applyFont="1" applyAlignment="1">
      <alignment horizontal="center"/>
    </xf>
    <xf numFmtId="0" fontId="19" fillId="0" borderId="0" xfId="0" applyFont="1" applyAlignment="1">
      <alignment horizontal="left"/>
    </xf>
    <xf numFmtId="0" fontId="32" fillId="3" borderId="9" xfId="4" applyFont="1" applyFill="1" applyBorder="1" applyAlignment="1">
      <alignment horizontal="left"/>
    </xf>
    <xf numFmtId="0" fontId="13" fillId="3" borderId="9" xfId="4" applyFont="1" applyFill="1" applyBorder="1" applyAlignment="1">
      <alignment horizontal="left"/>
    </xf>
    <xf numFmtId="0" fontId="34" fillId="3" borderId="9" xfId="4" applyFont="1" applyFill="1" applyBorder="1" applyAlignment="1">
      <alignment horizontal="left"/>
    </xf>
    <xf numFmtId="0" fontId="31" fillId="3" borderId="9" xfId="4" applyFont="1" applyFill="1" applyBorder="1" applyAlignment="1">
      <alignment horizontal="left"/>
    </xf>
    <xf numFmtId="0" fontId="32" fillId="3" borderId="30" xfId="4" applyFont="1" applyFill="1" applyBorder="1" applyAlignment="1">
      <alignment horizontal="left"/>
    </xf>
    <xf numFmtId="0" fontId="13" fillId="3" borderId="9" xfId="0" applyFont="1" applyFill="1" applyBorder="1"/>
    <xf numFmtId="0" fontId="13" fillId="4" borderId="20" xfId="0" applyFont="1" applyFill="1" applyBorder="1"/>
    <xf numFmtId="4" fontId="22" fillId="8" borderId="18" xfId="5" applyNumberFormat="1" applyFont="1" applyFill="1" applyBorder="1" applyAlignment="1">
      <alignment horizontal="center"/>
    </xf>
    <xf numFmtId="4" fontId="22" fillId="8" borderId="19" xfId="5" applyNumberFormat="1" applyFont="1" applyFill="1" applyBorder="1" applyAlignment="1">
      <alignment horizontal="center"/>
    </xf>
    <xf numFmtId="0" fontId="7" fillId="0" borderId="1" xfId="5" applyFont="1" applyBorder="1" applyAlignment="1">
      <alignment horizontal="left"/>
    </xf>
    <xf numFmtId="0" fontId="13" fillId="3" borderId="12" xfId="5" applyFont="1" applyFill="1" applyBorder="1" applyAlignment="1">
      <alignment horizontal="left"/>
    </xf>
    <xf numFmtId="1" fontId="7" fillId="0" borderId="1" xfId="5" applyNumberFormat="1" applyFont="1" applyBorder="1" applyAlignment="1">
      <alignment horizontal="right"/>
    </xf>
    <xf numFmtId="49" fontId="7" fillId="0" borderId="1" xfId="5" applyNumberFormat="1" applyFont="1" applyBorder="1" applyAlignment="1">
      <alignment horizontal="right"/>
    </xf>
    <xf numFmtId="1" fontId="7" fillId="0" borderId="53" xfId="5" applyNumberFormat="1" applyFont="1" applyBorder="1" applyAlignment="1">
      <alignment horizontal="right"/>
    </xf>
    <xf numFmtId="0" fontId="7" fillId="0" borderId="28" xfId="5" applyFont="1" applyBorder="1" applyAlignment="1" applyProtection="1">
      <alignment horizontal="center"/>
      <protection locked="0"/>
    </xf>
    <xf numFmtId="0" fontId="7" fillId="0" borderId="9" xfId="5" applyFont="1" applyBorder="1" applyProtection="1">
      <protection locked="0"/>
    </xf>
    <xf numFmtId="0" fontId="13" fillId="3" borderId="8" xfId="5" applyFont="1" applyFill="1" applyBorder="1" applyAlignment="1">
      <alignment horizontal="center"/>
    </xf>
    <xf numFmtId="1" fontId="13" fillId="3" borderId="1" xfId="5" applyNumberFormat="1" applyFont="1" applyFill="1" applyBorder="1" applyAlignment="1">
      <alignment horizontal="right"/>
    </xf>
    <xf numFmtId="49" fontId="13" fillId="3" borderId="1" xfId="5" applyNumberFormat="1" applyFont="1" applyFill="1" applyBorder="1" applyAlignment="1">
      <alignment horizontal="right"/>
    </xf>
    <xf numFmtId="0" fontId="13" fillId="3" borderId="41" xfId="0" applyFont="1" applyFill="1" applyBorder="1" applyAlignment="1" applyProtection="1">
      <alignment horizontal="center"/>
      <protection locked="0"/>
    </xf>
    <xf numFmtId="0" fontId="13" fillId="3" borderId="13" xfId="0" applyFont="1" applyFill="1" applyBorder="1" applyProtection="1">
      <protection locked="0"/>
    </xf>
    <xf numFmtId="0" fontId="7" fillId="3" borderId="1" xfId="5" applyFont="1" applyFill="1" applyBorder="1" applyAlignment="1">
      <alignment horizontal="center"/>
    </xf>
    <xf numFmtId="0" fontId="7" fillId="0" borderId="1" xfId="5" applyFont="1" applyBorder="1" applyAlignment="1" applyProtection="1">
      <alignment horizontal="center"/>
      <protection locked="0"/>
    </xf>
    <xf numFmtId="0" fontId="7" fillId="0" borderId="1" xfId="5" applyFont="1" applyBorder="1" applyProtection="1">
      <protection locked="0"/>
    </xf>
    <xf numFmtId="0" fontId="7" fillId="0" borderId="1" xfId="0" applyFont="1" applyBorder="1"/>
    <xf numFmtId="0" fontId="7" fillId="0" borderId="8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1" xfId="0" applyFont="1" applyBorder="1" applyAlignment="1">
      <alignment horizontal="left"/>
    </xf>
    <xf numFmtId="0" fontId="7" fillId="0" borderId="9" xfId="0" applyFont="1" applyBorder="1"/>
    <xf numFmtId="0" fontId="9" fillId="0" borderId="1" xfId="0" applyFont="1" applyBorder="1"/>
    <xf numFmtId="0" fontId="9" fillId="0" borderId="8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0" borderId="9" xfId="0" applyFont="1" applyBorder="1"/>
    <xf numFmtId="0" fontId="7" fillId="0" borderId="1" xfId="4" applyFont="1" applyBorder="1"/>
    <xf numFmtId="0" fontId="31" fillId="0" borderId="1" xfId="4" applyFont="1" applyBorder="1" applyAlignment="1">
      <alignment horizontal="center"/>
    </xf>
    <xf numFmtId="0" fontId="14" fillId="3" borderId="8" xfId="4" applyFont="1" applyFill="1" applyBorder="1" applyAlignment="1">
      <alignment horizontal="center"/>
    </xf>
    <xf numFmtId="0" fontId="8" fillId="3" borderId="8" xfId="4" applyFont="1" applyFill="1" applyBorder="1" applyAlignment="1">
      <alignment horizontal="center"/>
    </xf>
    <xf numFmtId="0" fontId="8" fillId="3" borderId="26" xfId="4" applyFont="1" applyFill="1" applyBorder="1" applyAlignment="1">
      <alignment horizontal="center"/>
    </xf>
    <xf numFmtId="0" fontId="37" fillId="0" borderId="18" xfId="5" applyFont="1" applyBorder="1" applyAlignment="1">
      <alignment vertical="center" wrapText="1"/>
    </xf>
    <xf numFmtId="0" fontId="22" fillId="8" borderId="18" xfId="5" applyFont="1" applyFill="1" applyBorder="1"/>
    <xf numFmtId="0" fontId="9" fillId="0" borderId="4" xfId="2" applyFont="1" applyBorder="1" applyAlignment="1">
      <alignment horizontal="center"/>
    </xf>
    <xf numFmtId="0" fontId="9" fillId="0" borderId="5" xfId="2" applyFont="1" applyBorder="1" applyAlignment="1">
      <alignment horizontal="center"/>
    </xf>
    <xf numFmtId="0" fontId="9" fillId="0" borderId="5" xfId="2" applyFont="1" applyBorder="1"/>
    <xf numFmtId="0" fontId="11" fillId="0" borderId="0" xfId="0" applyFont="1"/>
    <xf numFmtId="0" fontId="12" fillId="3" borderId="1" xfId="2" applyFont="1" applyFill="1" applyBorder="1"/>
    <xf numFmtId="0" fontId="9" fillId="0" borderId="8" xfId="2" applyFont="1" applyBorder="1" applyAlignment="1">
      <alignment horizontal="center"/>
    </xf>
    <xf numFmtId="0" fontId="9" fillId="0" borderId="1" xfId="2" applyFont="1" applyBorder="1" applyAlignment="1">
      <alignment horizontal="center"/>
    </xf>
    <xf numFmtId="0" fontId="9" fillId="0" borderId="1" xfId="2" applyFont="1" applyBorder="1"/>
    <xf numFmtId="0" fontId="9" fillId="0" borderId="9" xfId="2" applyFont="1" applyBorder="1"/>
    <xf numFmtId="0" fontId="12" fillId="3" borderId="21" xfId="2" applyFont="1" applyFill="1" applyBorder="1"/>
    <xf numFmtId="0" fontId="12" fillId="4" borderId="17" xfId="2" applyFont="1" applyFill="1" applyBorder="1"/>
    <xf numFmtId="0" fontId="12" fillId="4" borderId="18" xfId="2" applyFont="1" applyFill="1" applyBorder="1"/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5" xfId="0" applyFont="1" applyBorder="1"/>
    <xf numFmtId="0" fontId="7" fillId="0" borderId="5" xfId="0" applyFont="1" applyBorder="1" applyAlignment="1">
      <alignment horizontal="left"/>
    </xf>
    <xf numFmtId="0" fontId="7" fillId="0" borderId="6" xfId="0" applyFont="1" applyBorder="1"/>
    <xf numFmtId="0" fontId="13" fillId="3" borderId="21" xfId="0" applyFont="1" applyFill="1" applyBorder="1"/>
    <xf numFmtId="0" fontId="13" fillId="3" borderId="30" xfId="0" applyFont="1" applyFill="1" applyBorder="1"/>
    <xf numFmtId="0" fontId="9" fillId="0" borderId="4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5" xfId="0" applyFont="1" applyBorder="1" applyAlignment="1">
      <alignment horizontal="left"/>
    </xf>
    <xf numFmtId="0" fontId="9" fillId="0" borderId="6" xfId="0" applyFont="1" applyBorder="1"/>
    <xf numFmtId="3" fontId="14" fillId="0" borderId="0" xfId="0" applyNumberFormat="1" applyFont="1"/>
    <xf numFmtId="3" fontId="27" fillId="0" borderId="0" xfId="5" applyNumberFormat="1" applyFont="1"/>
    <xf numFmtId="4" fontId="27" fillId="0" borderId="0" xfId="5" applyNumberFormat="1" applyFont="1"/>
    <xf numFmtId="4" fontId="21" fillId="0" borderId="7" xfId="0" applyNumberFormat="1" applyFont="1" applyBorder="1"/>
    <xf numFmtId="4" fontId="21" fillId="0" borderId="10" xfId="0" applyNumberFormat="1" applyFont="1" applyBorder="1"/>
    <xf numFmtId="4" fontId="21" fillId="0" borderId="14" xfId="0" applyNumberFormat="1" applyFont="1" applyBorder="1"/>
    <xf numFmtId="3" fontId="39" fillId="4" borderId="40" xfId="5" applyNumberFormat="1" applyFont="1" applyFill="1" applyBorder="1" applyAlignment="1">
      <alignment horizontal="center"/>
    </xf>
    <xf numFmtId="3" fontId="39" fillId="4" borderId="20" xfId="5" applyNumberFormat="1" applyFont="1" applyFill="1" applyBorder="1"/>
    <xf numFmtId="3" fontId="13" fillId="4" borderId="18" xfId="5" applyNumberFormat="1" applyFont="1" applyFill="1" applyBorder="1"/>
    <xf numFmtId="3" fontId="14" fillId="4" borderId="17" xfId="5" applyNumberFormat="1" applyFont="1" applyFill="1" applyBorder="1" applyAlignment="1">
      <alignment horizontal="center"/>
    </xf>
    <xf numFmtId="3" fontId="14" fillId="4" borderId="18" xfId="5" applyNumberFormat="1" applyFont="1" applyFill="1" applyBorder="1"/>
    <xf numFmtId="3" fontId="14" fillId="4" borderId="20" xfId="5" applyNumberFormat="1" applyFont="1" applyFill="1" applyBorder="1"/>
    <xf numFmtId="0" fontId="22" fillId="8" borderId="19" xfId="5" applyFont="1" applyFill="1" applyBorder="1" applyAlignment="1">
      <alignment horizontal="center"/>
    </xf>
    <xf numFmtId="0" fontId="9" fillId="0" borderId="7" xfId="2" applyFont="1" applyBorder="1"/>
    <xf numFmtId="0" fontId="12" fillId="3" borderId="10" xfId="2" applyFont="1" applyFill="1" applyBorder="1"/>
    <xf numFmtId="0" fontId="9" fillId="0" borderId="10" xfId="2" applyFont="1" applyBorder="1"/>
    <xf numFmtId="0" fontId="12" fillId="3" borderId="27" xfId="2" applyFont="1" applyFill="1" applyBorder="1"/>
    <xf numFmtId="0" fontId="12" fillId="4" borderId="19" xfId="2" applyFont="1" applyFill="1" applyBorder="1"/>
    <xf numFmtId="0" fontId="5" fillId="0" borderId="0" xfId="5" applyAlignment="1">
      <alignment horizontal="left"/>
    </xf>
    <xf numFmtId="0" fontId="4" fillId="0" borderId="0" xfId="8" applyAlignment="1">
      <alignment horizontal="center"/>
    </xf>
    <xf numFmtId="0" fontId="4" fillId="0" borderId="0" xfId="9"/>
    <xf numFmtId="0" fontId="4" fillId="0" borderId="0" xfId="8"/>
    <xf numFmtId="0" fontId="36" fillId="0" borderId="0" xfId="8" applyFont="1" applyAlignment="1">
      <alignment horizontal="center"/>
    </xf>
    <xf numFmtId="0" fontId="10" fillId="0" borderId="0" xfId="5" applyFont="1"/>
    <xf numFmtId="0" fontId="19" fillId="0" borderId="0" xfId="5" applyFont="1"/>
    <xf numFmtId="0" fontId="25" fillId="0" borderId="0" xfId="8" applyFont="1" applyAlignment="1">
      <alignment horizontal="center"/>
    </xf>
    <xf numFmtId="0" fontId="25" fillId="0" borderId="0" xfId="8" applyFont="1"/>
    <xf numFmtId="0" fontId="20" fillId="0" borderId="0" xfId="5" applyFont="1" applyAlignment="1">
      <alignment horizontal="left"/>
    </xf>
    <xf numFmtId="0" fontId="20" fillId="0" borderId="0" xfId="5" applyFont="1"/>
    <xf numFmtId="0" fontId="36" fillId="0" borderId="0" xfId="8" applyFont="1" applyAlignment="1">
      <alignment horizontal="center" vertical="center"/>
    </xf>
    <xf numFmtId="0" fontId="37" fillId="0" borderId="0" xfId="8" applyFont="1" applyAlignment="1">
      <alignment vertical="center"/>
    </xf>
    <xf numFmtId="0" fontId="37" fillId="0" borderId="17" xfId="8" applyFont="1" applyBorder="1" applyAlignment="1">
      <alignment horizontal="center" vertical="center"/>
    </xf>
    <xf numFmtId="0" fontId="37" fillId="0" borderId="18" xfId="8" applyFont="1" applyBorder="1" applyAlignment="1">
      <alignment horizontal="center" vertical="center"/>
    </xf>
    <xf numFmtId="0" fontId="37" fillId="0" borderId="18" xfId="8" applyFont="1" applyBorder="1" applyAlignment="1">
      <alignment horizontal="center" vertical="center" wrapText="1"/>
    </xf>
    <xf numFmtId="0" fontId="22" fillId="8" borderId="17" xfId="8" applyFont="1" applyFill="1" applyBorder="1" applyAlignment="1">
      <alignment horizontal="center"/>
    </xf>
    <xf numFmtId="0" fontId="22" fillId="8" borderId="18" xfId="8" applyFont="1" applyFill="1" applyBorder="1" applyAlignment="1">
      <alignment horizontal="center"/>
    </xf>
    <xf numFmtId="0" fontId="22" fillId="8" borderId="20" xfId="8" applyFont="1" applyFill="1" applyBorder="1" applyAlignment="1">
      <alignment horizontal="center"/>
    </xf>
    <xf numFmtId="0" fontId="22" fillId="0" borderId="0" xfId="8" applyFont="1"/>
    <xf numFmtId="0" fontId="27" fillId="0" borderId="4" xfId="9" applyFont="1" applyBorder="1" applyAlignment="1">
      <alignment horizontal="center"/>
    </xf>
    <xf numFmtId="0" fontId="9" fillId="0" borderId="5" xfId="9" applyFont="1" applyBorder="1" applyAlignment="1">
      <alignment horizontal="center"/>
    </xf>
    <xf numFmtId="0" fontId="27" fillId="0" borderId="5" xfId="9" applyFont="1" applyBorder="1" applyAlignment="1">
      <alignment horizontal="center"/>
    </xf>
    <xf numFmtId="0" fontId="7" fillId="0" borderId="37" xfId="9" applyFont="1" applyBorder="1"/>
    <xf numFmtId="0" fontId="9" fillId="0" borderId="6" xfId="9" applyFont="1" applyBorder="1"/>
    <xf numFmtId="0" fontId="24" fillId="3" borderId="8" xfId="9" applyFont="1" applyFill="1" applyBorder="1" applyAlignment="1">
      <alignment horizontal="center"/>
    </xf>
    <xf numFmtId="0" fontId="12" fillId="3" borderId="1" xfId="9" applyFont="1" applyFill="1" applyBorder="1" applyAlignment="1">
      <alignment horizontal="center"/>
    </xf>
    <xf numFmtId="0" fontId="24" fillId="3" borderId="1" xfId="9" applyFont="1" applyFill="1" applyBorder="1" applyAlignment="1">
      <alignment horizontal="center"/>
    </xf>
    <xf numFmtId="0" fontId="12" fillId="3" borderId="28" xfId="9" applyFont="1" applyFill="1" applyBorder="1"/>
    <xf numFmtId="0" fontId="9" fillId="3" borderId="1" xfId="9" applyFont="1" applyFill="1" applyBorder="1" applyAlignment="1">
      <alignment horizontal="center"/>
    </xf>
    <xf numFmtId="0" fontId="9" fillId="3" borderId="9" xfId="9" applyFont="1" applyFill="1" applyBorder="1"/>
    <xf numFmtId="4" fontId="13" fillId="3" borderId="10" xfId="9" applyNumberFormat="1" applyFont="1" applyFill="1" applyBorder="1"/>
    <xf numFmtId="0" fontId="27" fillId="0" borderId="8" xfId="9" applyFont="1" applyBorder="1" applyAlignment="1">
      <alignment horizontal="center"/>
    </xf>
    <xf numFmtId="0" fontId="27" fillId="0" borderId="1" xfId="9" applyFont="1" applyBorder="1" applyAlignment="1">
      <alignment horizontal="center"/>
    </xf>
    <xf numFmtId="0" fontId="26" fillId="0" borderId="59" xfId="9" applyFont="1" applyBorder="1" applyAlignment="1">
      <alignment horizontal="center"/>
    </xf>
    <xf numFmtId="0" fontId="27" fillId="0" borderId="28" xfId="9" applyFont="1" applyBorder="1"/>
    <xf numFmtId="0" fontId="27" fillId="0" borderId="9" xfId="9" applyFont="1" applyBorder="1"/>
    <xf numFmtId="0" fontId="27" fillId="0" borderId="9" xfId="9" applyFont="1" applyBorder="1" applyAlignment="1">
      <alignment horizontal="left"/>
    </xf>
    <xf numFmtId="0" fontId="9" fillId="0" borderId="9" xfId="5" applyFont="1" applyBorder="1" applyAlignment="1">
      <alignment horizontal="left"/>
    </xf>
    <xf numFmtId="0" fontId="28" fillId="3" borderId="59" xfId="9" applyFont="1" applyFill="1" applyBorder="1" applyAlignment="1">
      <alignment horizontal="center"/>
    </xf>
    <xf numFmtId="0" fontId="24" fillId="3" borderId="28" xfId="9" applyFont="1" applyFill="1" applyBorder="1"/>
    <xf numFmtId="0" fontId="24" fillId="3" borderId="9" xfId="9" applyFont="1" applyFill="1" applyBorder="1"/>
    <xf numFmtId="4" fontId="24" fillId="3" borderId="10" xfId="9" applyNumberFormat="1" applyFont="1" applyFill="1" applyBorder="1"/>
    <xf numFmtId="0" fontId="27" fillId="3" borderId="1" xfId="9" applyFont="1" applyFill="1" applyBorder="1" applyAlignment="1">
      <alignment horizontal="center"/>
    </xf>
    <xf numFmtId="0" fontId="27" fillId="3" borderId="9" xfId="9" applyFont="1" applyFill="1" applyBorder="1"/>
    <xf numFmtId="0" fontId="9" fillId="0" borderId="9" xfId="9" applyFont="1" applyBorder="1"/>
    <xf numFmtId="0" fontId="24" fillId="3" borderId="29" xfId="9" applyFont="1" applyFill="1" applyBorder="1"/>
    <xf numFmtId="0" fontId="27" fillId="3" borderId="21" xfId="9" applyFont="1" applyFill="1" applyBorder="1" applyAlignment="1">
      <alignment horizontal="center"/>
    </xf>
    <xf numFmtId="0" fontId="27" fillId="3" borderId="30" xfId="9" applyFont="1" applyFill="1" applyBorder="1"/>
    <xf numFmtId="0" fontId="27" fillId="0" borderId="29" xfId="9" applyFont="1" applyBorder="1"/>
    <xf numFmtId="0" fontId="27" fillId="0" borderId="21" xfId="9" applyFont="1" applyBorder="1" applyAlignment="1">
      <alignment horizontal="center"/>
    </xf>
    <xf numFmtId="0" fontId="27" fillId="0" borderId="30" xfId="9" applyFont="1" applyBorder="1"/>
    <xf numFmtId="0" fontId="24" fillId="3" borderId="26" xfId="9" applyFont="1" applyFill="1" applyBorder="1" applyAlignment="1">
      <alignment horizontal="center"/>
    </xf>
    <xf numFmtId="0" fontId="24" fillId="3" borderId="21" xfId="9" applyFont="1" applyFill="1" applyBorder="1" applyAlignment="1">
      <alignment horizontal="center"/>
    </xf>
    <xf numFmtId="0" fontId="29" fillId="5" borderId="17" xfId="9" applyFont="1" applyFill="1" applyBorder="1" applyAlignment="1">
      <alignment horizontal="center"/>
    </xf>
    <xf numFmtId="0" fontId="4" fillId="5" borderId="18" xfId="9" applyFill="1" applyBorder="1"/>
    <xf numFmtId="0" fontId="4" fillId="5" borderId="18" xfId="9" applyFill="1" applyBorder="1" applyAlignment="1">
      <alignment horizontal="center"/>
    </xf>
    <xf numFmtId="3" fontId="13" fillId="7" borderId="18" xfId="8" applyNumberFormat="1" applyFont="1" applyFill="1" applyBorder="1"/>
    <xf numFmtId="0" fontId="4" fillId="5" borderId="20" xfId="9" applyFill="1" applyBorder="1"/>
    <xf numFmtId="0" fontId="4" fillId="5" borderId="42" xfId="9" applyFill="1" applyBorder="1"/>
    <xf numFmtId="0" fontId="26" fillId="0" borderId="0" xfId="9" applyFont="1" applyAlignment="1">
      <alignment horizontal="center"/>
    </xf>
    <xf numFmtId="0" fontId="4" fillId="0" borderId="0" xfId="9" applyAlignment="1">
      <alignment horizontal="center"/>
    </xf>
    <xf numFmtId="0" fontId="14" fillId="0" borderId="0" xfId="9" applyFont="1"/>
    <xf numFmtId="0" fontId="8" fillId="0" borderId="0" xfId="5" applyFont="1" applyAlignment="1">
      <alignment horizontal="center"/>
    </xf>
    <xf numFmtId="0" fontId="8" fillId="0" borderId="0" xfId="5" applyFont="1"/>
    <xf numFmtId="0" fontId="8" fillId="0" borderId="0" xfId="5" applyFont="1" applyAlignment="1">
      <alignment horizontal="left"/>
    </xf>
    <xf numFmtId="3" fontId="4" fillId="0" borderId="0" xfId="9" applyNumberFormat="1"/>
    <xf numFmtId="4" fontId="4" fillId="0" borderId="0" xfId="9" applyNumberFormat="1"/>
    <xf numFmtId="0" fontId="25" fillId="0" borderId="0" xfId="9" applyFont="1"/>
    <xf numFmtId="0" fontId="8" fillId="0" borderId="5" xfId="9" applyFont="1" applyBorder="1" applyAlignment="1">
      <alignment horizontal="center"/>
    </xf>
    <xf numFmtId="1" fontId="8" fillId="0" borderId="5" xfId="9" applyNumberFormat="1" applyFont="1" applyBorder="1" applyAlignment="1">
      <alignment horizontal="center"/>
    </xf>
    <xf numFmtId="0" fontId="27" fillId="0" borderId="5" xfId="9" applyFont="1" applyBorder="1"/>
    <xf numFmtId="0" fontId="27" fillId="0" borderId="6" xfId="9" applyFont="1" applyBorder="1"/>
    <xf numFmtId="0" fontId="8" fillId="0" borderId="1" xfId="9" applyFont="1" applyBorder="1" applyAlignment="1">
      <alignment horizontal="center"/>
    </xf>
    <xf numFmtId="1" fontId="8" fillId="0" borderId="1" xfId="9" applyNumberFormat="1" applyFont="1" applyBorder="1" applyAlignment="1">
      <alignment horizontal="center"/>
    </xf>
    <xf numFmtId="0" fontId="27" fillId="0" borderId="1" xfId="9" applyFont="1" applyBorder="1"/>
    <xf numFmtId="0" fontId="14" fillId="3" borderId="8" xfId="9" applyFont="1" applyFill="1" applyBorder="1" applyAlignment="1">
      <alignment horizontal="center"/>
    </xf>
    <xf numFmtId="0" fontId="14" fillId="3" borderId="1" xfId="9" applyFont="1" applyFill="1" applyBorder="1" applyAlignment="1">
      <alignment horizontal="center"/>
    </xf>
    <xf numFmtId="1" fontId="14" fillId="3" borderId="1" xfId="9" applyNumberFormat="1" applyFont="1" applyFill="1" applyBorder="1" applyAlignment="1">
      <alignment horizontal="center"/>
    </xf>
    <xf numFmtId="0" fontId="24" fillId="3" borderId="1" xfId="9" applyFont="1" applyFill="1" applyBorder="1"/>
    <xf numFmtId="4" fontId="14" fillId="3" borderId="10" xfId="9" applyNumberFormat="1" applyFont="1" applyFill="1" applyBorder="1"/>
    <xf numFmtId="0" fontId="27" fillId="3" borderId="1" xfId="9" applyFont="1" applyFill="1" applyBorder="1"/>
    <xf numFmtId="1" fontId="27" fillId="0" borderId="1" xfId="9" applyNumberFormat="1" applyFont="1" applyBorder="1" applyAlignment="1">
      <alignment horizontal="center"/>
    </xf>
    <xf numFmtId="0" fontId="9" fillId="0" borderId="1" xfId="5" applyFont="1" applyBorder="1" applyAlignment="1">
      <alignment horizontal="left"/>
    </xf>
    <xf numFmtId="1" fontId="8" fillId="3" borderId="1" xfId="9" applyNumberFormat="1" applyFont="1" applyFill="1" applyBorder="1" applyAlignment="1">
      <alignment horizontal="center"/>
    </xf>
    <xf numFmtId="4" fontId="14" fillId="3" borderId="10" xfId="9" applyNumberFormat="1" applyFont="1" applyFill="1" applyBorder="1" applyAlignment="1">
      <alignment horizontal="right"/>
    </xf>
    <xf numFmtId="1" fontId="26" fillId="0" borderId="1" xfId="9" applyNumberFormat="1" applyFont="1" applyBorder="1" applyAlignment="1">
      <alignment horizontal="center"/>
    </xf>
    <xf numFmtId="0" fontId="14" fillId="3" borderId="26" xfId="9" applyFont="1" applyFill="1" applyBorder="1" applyAlignment="1">
      <alignment horizontal="center"/>
    </xf>
    <xf numFmtId="0" fontId="14" fillId="3" borderId="21" xfId="9" applyFont="1" applyFill="1" applyBorder="1" applyAlignment="1">
      <alignment horizontal="center"/>
    </xf>
    <xf numFmtId="1" fontId="14" fillId="3" borderId="21" xfId="9" applyNumberFormat="1" applyFont="1" applyFill="1" applyBorder="1" applyAlignment="1">
      <alignment horizontal="center"/>
    </xf>
    <xf numFmtId="0" fontId="24" fillId="3" borderId="21" xfId="9" applyFont="1" applyFill="1" applyBorder="1"/>
    <xf numFmtId="0" fontId="27" fillId="3" borderId="21" xfId="9" applyFont="1" applyFill="1" applyBorder="1"/>
    <xf numFmtId="0" fontId="26" fillId="5" borderId="17" xfId="9" applyFont="1" applyFill="1" applyBorder="1" applyAlignment="1">
      <alignment horizontal="center"/>
    </xf>
    <xf numFmtId="1" fontId="4" fillId="5" borderId="18" xfId="9" applyNumberFormat="1" applyFill="1" applyBorder="1" applyAlignment="1">
      <alignment horizontal="center"/>
    </xf>
    <xf numFmtId="1" fontId="4" fillId="0" borderId="0" xfId="9" applyNumberFormat="1" applyAlignment="1">
      <alignment horizontal="center"/>
    </xf>
    <xf numFmtId="0" fontId="8" fillId="0" borderId="37" xfId="9" applyFont="1" applyBorder="1"/>
    <xf numFmtId="0" fontId="8" fillId="0" borderId="6" xfId="9" applyFont="1" applyBorder="1"/>
    <xf numFmtId="0" fontId="8" fillId="0" borderId="9" xfId="9" applyFont="1" applyBorder="1"/>
    <xf numFmtId="1" fontId="24" fillId="3" borderId="1" xfId="9" applyNumberFormat="1" applyFont="1" applyFill="1" applyBorder="1" applyAlignment="1">
      <alignment horizontal="center"/>
    </xf>
    <xf numFmtId="0" fontId="14" fillId="3" borderId="9" xfId="9" applyFont="1" applyFill="1" applyBorder="1" applyAlignment="1">
      <alignment horizontal="left"/>
    </xf>
    <xf numFmtId="0" fontId="14" fillId="3" borderId="48" xfId="9" applyFont="1" applyFill="1" applyBorder="1" applyAlignment="1">
      <alignment horizontal="left"/>
    </xf>
    <xf numFmtId="0" fontId="8" fillId="0" borderId="28" xfId="9" applyFont="1" applyBorder="1"/>
    <xf numFmtId="0" fontId="14" fillId="3" borderId="28" xfId="9" applyFont="1" applyFill="1" applyBorder="1"/>
    <xf numFmtId="0" fontId="14" fillId="3" borderId="9" xfId="9" applyFont="1" applyFill="1" applyBorder="1"/>
    <xf numFmtId="0" fontId="14" fillId="3" borderId="48" xfId="9" applyFont="1" applyFill="1" applyBorder="1"/>
    <xf numFmtId="4" fontId="13" fillId="3" borderId="10" xfId="9" applyNumberFormat="1" applyFont="1" applyFill="1" applyBorder="1" applyAlignment="1">
      <alignment horizontal="right"/>
    </xf>
    <xf numFmtId="0" fontId="8" fillId="3" borderId="1" xfId="9" applyFont="1" applyFill="1" applyBorder="1" applyAlignment="1">
      <alignment horizontal="center"/>
    </xf>
    <xf numFmtId="0" fontId="8" fillId="3" borderId="9" xfId="9" applyFont="1" applyFill="1" applyBorder="1"/>
    <xf numFmtId="0" fontId="8" fillId="3" borderId="48" xfId="9" applyFont="1" applyFill="1" applyBorder="1"/>
    <xf numFmtId="0" fontId="8" fillId="0" borderId="29" xfId="9" applyFont="1" applyBorder="1"/>
    <xf numFmtId="0" fontId="8" fillId="0" borderId="21" xfId="9" applyFont="1" applyBorder="1" applyAlignment="1">
      <alignment horizontal="center"/>
    </xf>
    <xf numFmtId="0" fontId="14" fillId="3" borderId="29" xfId="9" applyFont="1" applyFill="1" applyBorder="1"/>
    <xf numFmtId="0" fontId="14" fillId="3" borderId="30" xfId="9" applyFont="1" applyFill="1" applyBorder="1"/>
    <xf numFmtId="0" fontId="14" fillId="3" borderId="49" xfId="9" applyFont="1" applyFill="1" applyBorder="1"/>
    <xf numFmtId="0" fontId="30" fillId="7" borderId="17" xfId="9" applyFont="1" applyFill="1" applyBorder="1" applyAlignment="1">
      <alignment horizontal="center"/>
    </xf>
    <xf numFmtId="0" fontId="13" fillId="7" borderId="18" xfId="9" applyFont="1" applyFill="1" applyBorder="1" applyAlignment="1">
      <alignment horizontal="center"/>
    </xf>
    <xf numFmtId="1" fontId="13" fillId="7" borderId="18" xfId="9" applyNumberFormat="1" applyFont="1" applyFill="1" applyBorder="1" applyAlignment="1">
      <alignment horizontal="center"/>
    </xf>
    <xf numFmtId="0" fontId="13" fillId="7" borderId="20" xfId="9" applyFont="1" applyFill="1" applyBorder="1"/>
    <xf numFmtId="1" fontId="22" fillId="0" borderId="0" xfId="9" applyNumberFormat="1" applyFont="1" applyAlignment="1">
      <alignment horizontal="center"/>
    </xf>
    <xf numFmtId="1" fontId="22" fillId="0" borderId="0" xfId="9" applyNumberFormat="1" applyFont="1"/>
    <xf numFmtId="0" fontId="14" fillId="0" borderId="0" xfId="5" applyFont="1" applyAlignment="1">
      <alignment horizontal="center"/>
    </xf>
    <xf numFmtId="0" fontId="27" fillId="0" borderId="0" xfId="8" applyFont="1" applyAlignment="1">
      <alignment horizontal="center"/>
    </xf>
    <xf numFmtId="0" fontId="24" fillId="0" borderId="0" xfId="8" applyFont="1" applyAlignment="1">
      <alignment horizontal="center"/>
    </xf>
    <xf numFmtId="0" fontId="24" fillId="0" borderId="17" xfId="8" applyFont="1" applyBorder="1" applyAlignment="1">
      <alignment horizontal="center" vertical="center"/>
    </xf>
    <xf numFmtId="0" fontId="27" fillId="8" borderId="17" xfId="8" applyFont="1" applyFill="1" applyBorder="1" applyAlignment="1">
      <alignment horizontal="center"/>
    </xf>
    <xf numFmtId="0" fontId="7" fillId="0" borderId="5" xfId="9" applyFont="1" applyBorder="1"/>
    <xf numFmtId="0" fontId="9" fillId="0" borderId="5" xfId="9" applyFont="1" applyBorder="1"/>
    <xf numFmtId="0" fontId="27" fillId="0" borderId="6" xfId="9" applyFont="1" applyBorder="1" applyAlignment="1">
      <alignment horizontal="left"/>
    </xf>
    <xf numFmtId="0" fontId="9" fillId="0" borderId="1" xfId="9" applyFont="1" applyBorder="1" applyAlignment="1">
      <alignment horizontal="center"/>
    </xf>
    <xf numFmtId="0" fontId="7" fillId="0" borderId="1" xfId="9" applyFont="1" applyBorder="1"/>
    <xf numFmtId="0" fontId="31" fillId="0" borderId="1" xfId="4" applyFont="1" applyBorder="1"/>
    <xf numFmtId="0" fontId="9" fillId="0" borderId="1" xfId="9" applyFont="1" applyBorder="1"/>
    <xf numFmtId="0" fontId="32" fillId="3" borderId="1" xfId="4" applyFont="1" applyFill="1" applyBorder="1"/>
    <xf numFmtId="4" fontId="12" fillId="3" borderId="10" xfId="9" applyNumberFormat="1" applyFont="1" applyFill="1" applyBorder="1" applyAlignment="1">
      <alignment horizontal="right"/>
    </xf>
    <xf numFmtId="0" fontId="7" fillId="0" borderId="1" xfId="4" applyFont="1" applyBorder="1" applyAlignment="1">
      <alignment horizontal="center"/>
    </xf>
    <xf numFmtId="0" fontId="7" fillId="0" borderId="9" xfId="4" applyFont="1" applyBorder="1" applyAlignment="1">
      <alignment horizontal="left"/>
    </xf>
    <xf numFmtId="0" fontId="13" fillId="3" borderId="1" xfId="4" applyFont="1" applyFill="1" applyBorder="1"/>
    <xf numFmtId="4" fontId="12" fillId="3" borderId="10" xfId="9" applyNumberFormat="1" applyFont="1" applyFill="1" applyBorder="1"/>
    <xf numFmtId="0" fontId="33" fillId="0" borderId="1" xfId="4" applyFont="1" applyBorder="1"/>
    <xf numFmtId="0" fontId="33" fillId="0" borderId="1" xfId="4" applyFont="1" applyBorder="1" applyAlignment="1">
      <alignment horizontal="center"/>
    </xf>
    <xf numFmtId="0" fontId="7" fillId="0" borderId="1" xfId="9" applyFont="1" applyBorder="1" applyAlignment="1">
      <alignment horizontal="center"/>
    </xf>
    <xf numFmtId="0" fontId="13" fillId="3" borderId="1" xfId="9" applyFont="1" applyFill="1" applyBorder="1"/>
    <xf numFmtId="0" fontId="13" fillId="3" borderId="1" xfId="9" applyFont="1" applyFill="1" applyBorder="1" applyAlignment="1">
      <alignment horizontal="center"/>
    </xf>
    <xf numFmtId="0" fontId="13" fillId="3" borderId="9" xfId="9" applyFont="1" applyFill="1" applyBorder="1" applyAlignment="1">
      <alignment horizontal="left"/>
    </xf>
    <xf numFmtId="0" fontId="34" fillId="3" borderId="1" xfId="4" applyFont="1" applyFill="1" applyBorder="1"/>
    <xf numFmtId="0" fontId="31" fillId="3" borderId="1" xfId="4" applyFont="1" applyFill="1" applyBorder="1"/>
    <xf numFmtId="0" fontId="7" fillId="3" borderId="1" xfId="9" applyFont="1" applyFill="1" applyBorder="1" applyAlignment="1">
      <alignment horizontal="center"/>
    </xf>
    <xf numFmtId="0" fontId="35" fillId="0" borderId="1" xfId="4" applyFont="1" applyBorder="1"/>
    <xf numFmtId="0" fontId="32" fillId="3" borderId="21" xfId="4" applyFont="1" applyFill="1" applyBorder="1"/>
    <xf numFmtId="0" fontId="8" fillId="7" borderId="17" xfId="9" applyFont="1" applyFill="1" applyBorder="1" applyAlignment="1">
      <alignment horizontal="center"/>
    </xf>
    <xf numFmtId="0" fontId="7" fillId="7" borderId="18" xfId="9" applyFont="1" applyFill="1" applyBorder="1" applyAlignment="1">
      <alignment horizontal="center"/>
    </xf>
    <xf numFmtId="0" fontId="7" fillId="7" borderId="18" xfId="9" applyFont="1" applyFill="1" applyBorder="1"/>
    <xf numFmtId="0" fontId="7" fillId="7" borderId="20" xfId="9" applyFont="1" applyFill="1" applyBorder="1" applyAlignment="1">
      <alignment horizontal="left"/>
    </xf>
    <xf numFmtId="0" fontId="27" fillId="0" borderId="0" xfId="9" applyFont="1" applyAlignment="1">
      <alignment horizontal="center"/>
    </xf>
    <xf numFmtId="0" fontId="4" fillId="0" borderId="0" xfId="9" applyAlignment="1">
      <alignment horizontal="left"/>
    </xf>
    <xf numFmtId="0" fontId="14" fillId="0" borderId="0" xfId="5" applyFont="1" applyAlignment="1">
      <alignment horizontal="left"/>
    </xf>
    <xf numFmtId="4" fontId="12" fillId="4" borderId="61" xfId="2" applyNumberFormat="1" applyFont="1" applyFill="1" applyBorder="1"/>
    <xf numFmtId="0" fontId="18" fillId="0" borderId="0" xfId="5" applyFont="1" applyAlignment="1">
      <alignment horizontal="left"/>
    </xf>
    <xf numFmtId="3" fontId="36" fillId="0" borderId="0" xfId="5" applyNumberFormat="1" applyFont="1" applyAlignment="1">
      <alignment horizontal="center"/>
    </xf>
    <xf numFmtId="0" fontId="15" fillId="0" borderId="66" xfId="0" applyFont="1" applyBorder="1"/>
    <xf numFmtId="4" fontId="12" fillId="3" borderId="9" xfId="2" applyNumberFormat="1" applyFont="1" applyFill="1" applyBorder="1"/>
    <xf numFmtId="4" fontId="12" fillId="3" borderId="13" xfId="2" applyNumberFormat="1" applyFont="1" applyFill="1" applyBorder="1"/>
    <xf numFmtId="4" fontId="22" fillId="8" borderId="56" xfId="5" applyNumberFormat="1" applyFont="1" applyFill="1" applyBorder="1" applyAlignment="1">
      <alignment horizontal="center"/>
    </xf>
    <xf numFmtId="0" fontId="8" fillId="3" borderId="37" xfId="9" applyFont="1" applyFill="1" applyBorder="1"/>
    <xf numFmtId="3" fontId="12" fillId="4" borderId="12" xfId="2" applyNumberFormat="1" applyFont="1" applyFill="1" applyBorder="1" applyAlignment="1">
      <alignment horizontal="center" vertical="center" wrapText="1"/>
    </xf>
    <xf numFmtId="3" fontId="14" fillId="0" borderId="21" xfId="0" applyNumberFormat="1" applyFont="1" applyBorder="1" applyAlignment="1">
      <alignment horizontal="center" vertical="center"/>
    </xf>
    <xf numFmtId="3" fontId="14" fillId="0" borderId="21" xfId="0" applyNumberFormat="1" applyFont="1" applyBorder="1" applyAlignment="1">
      <alignment horizontal="center" vertical="center" wrapText="1"/>
    </xf>
    <xf numFmtId="4" fontId="12" fillId="0" borderId="12" xfId="0" applyNumberFormat="1" applyFont="1" applyBorder="1" applyAlignment="1">
      <alignment horizontal="center" vertical="center" wrapText="1"/>
    </xf>
    <xf numFmtId="4" fontId="12" fillId="0" borderId="14" xfId="0" applyNumberFormat="1" applyFont="1" applyBorder="1" applyAlignment="1">
      <alignment horizontal="center" vertical="center" wrapText="1"/>
    </xf>
    <xf numFmtId="4" fontId="24" fillId="0" borderId="21" xfId="0" applyNumberFormat="1" applyFont="1" applyBorder="1" applyAlignment="1">
      <alignment horizontal="center" vertical="center" wrapText="1"/>
    </xf>
    <xf numFmtId="4" fontId="24" fillId="0" borderId="30" xfId="0" applyNumberFormat="1" applyFont="1" applyBorder="1" applyAlignment="1">
      <alignment horizontal="center" vertical="center" wrapText="1"/>
    </xf>
    <xf numFmtId="4" fontId="24" fillId="0" borderId="27" xfId="0" applyNumberFormat="1" applyFont="1" applyBorder="1" applyAlignment="1">
      <alignment horizontal="center" vertical="center" wrapText="1"/>
    </xf>
    <xf numFmtId="3" fontId="13" fillId="4" borderId="12" xfId="2" applyNumberFormat="1" applyFont="1" applyFill="1" applyBorder="1" applyAlignment="1">
      <alignment horizontal="center" vertical="center" wrapText="1"/>
    </xf>
    <xf numFmtId="3" fontId="36" fillId="0" borderId="23" xfId="5" applyNumberFormat="1" applyFont="1" applyBorder="1"/>
    <xf numFmtId="3" fontId="36" fillId="0" borderId="24" xfId="5" applyNumberFormat="1" applyFont="1" applyBorder="1"/>
    <xf numFmtId="4" fontId="36" fillId="0" borderId="24" xfId="5" applyNumberFormat="1" applyFont="1" applyBorder="1"/>
    <xf numFmtId="4" fontId="27" fillId="0" borderId="24" xfId="5" applyNumberFormat="1" applyFont="1" applyBorder="1"/>
    <xf numFmtId="3" fontId="8" fillId="0" borderId="46" xfId="5" applyNumberFormat="1" applyFont="1" applyBorder="1"/>
    <xf numFmtId="3" fontId="8" fillId="0" borderId="24" xfId="5" applyNumberFormat="1" applyFont="1" applyBorder="1"/>
    <xf numFmtId="4" fontId="8" fillId="0" borderId="24" xfId="5" applyNumberFormat="1" applyFont="1" applyBorder="1"/>
    <xf numFmtId="3" fontId="8" fillId="0" borderId="23" xfId="5" applyNumberFormat="1" applyFont="1" applyBorder="1"/>
    <xf numFmtId="4" fontId="8" fillId="0" borderId="25" xfId="5" applyNumberFormat="1" applyFont="1" applyBorder="1"/>
    <xf numFmtId="0" fontId="12" fillId="0" borderId="58" xfId="0" applyFont="1" applyBorder="1" applyAlignment="1">
      <alignment vertical="center" wrapText="1"/>
    </xf>
    <xf numFmtId="3" fontId="36" fillId="0" borderId="33" xfId="5" applyNumberFormat="1" applyFont="1" applyBorder="1"/>
    <xf numFmtId="3" fontId="36" fillId="0" borderId="34" xfId="5" applyNumberFormat="1" applyFont="1" applyBorder="1"/>
    <xf numFmtId="4" fontId="36" fillId="0" borderId="34" xfId="5" applyNumberFormat="1" applyFont="1" applyBorder="1"/>
    <xf numFmtId="4" fontId="27" fillId="0" borderId="34" xfId="5" applyNumberFormat="1" applyFont="1" applyBorder="1"/>
    <xf numFmtId="3" fontId="8" fillId="0" borderId="34" xfId="5" applyNumberFormat="1" applyFont="1" applyBorder="1"/>
    <xf numFmtId="4" fontId="8" fillId="0" borderId="34" xfId="5" applyNumberFormat="1" applyFont="1" applyBorder="1"/>
    <xf numFmtId="4" fontId="8" fillId="0" borderId="35" xfId="5" applyNumberFormat="1" applyFont="1" applyBorder="1"/>
    <xf numFmtId="3" fontId="36" fillId="0" borderId="1" xfId="5" applyNumberFormat="1" applyFont="1" applyBorder="1"/>
    <xf numFmtId="4" fontId="36" fillId="0" borderId="1" xfId="5" applyNumberFormat="1" applyFont="1" applyBorder="1"/>
    <xf numFmtId="4" fontId="27" fillId="0" borderId="1" xfId="5" applyNumberFormat="1" applyFont="1" applyBorder="1"/>
    <xf numFmtId="3" fontId="8" fillId="0" borderId="1" xfId="5" applyNumberFormat="1" applyFont="1" applyBorder="1"/>
    <xf numFmtId="4" fontId="8" fillId="0" borderId="1" xfId="5" applyNumberFormat="1" applyFont="1" applyBorder="1"/>
    <xf numFmtId="3" fontId="36" fillId="0" borderId="8" xfId="5" applyNumberFormat="1" applyFont="1" applyBorder="1"/>
    <xf numFmtId="4" fontId="8" fillId="0" borderId="10" xfId="5" applyNumberFormat="1" applyFont="1" applyBorder="1"/>
    <xf numFmtId="3" fontId="12" fillId="3" borderId="9" xfId="2" applyNumberFormat="1" applyFont="1" applyFill="1" applyBorder="1"/>
    <xf numFmtId="3" fontId="12" fillId="3" borderId="13" xfId="2" applyNumberFormat="1" applyFont="1" applyFill="1" applyBorder="1"/>
    <xf numFmtId="3" fontId="12" fillId="4" borderId="61" xfId="2" applyNumberFormat="1" applyFont="1" applyFill="1" applyBorder="1"/>
    <xf numFmtId="4" fontId="36" fillId="0" borderId="32" xfId="5" applyNumberFormat="1" applyFont="1" applyBorder="1"/>
    <xf numFmtId="4" fontId="36" fillId="0" borderId="9" xfId="5" applyNumberFormat="1" applyFont="1" applyBorder="1"/>
    <xf numFmtId="3" fontId="8" fillId="0" borderId="28" xfId="5" applyNumberFormat="1" applyFont="1" applyBorder="1"/>
    <xf numFmtId="3" fontId="8" fillId="0" borderId="8" xfId="5" applyNumberFormat="1" applyFont="1" applyBorder="1"/>
    <xf numFmtId="4" fontId="21" fillId="0" borderId="6" xfId="0" applyNumberFormat="1" applyFont="1" applyBorder="1"/>
    <xf numFmtId="4" fontId="21" fillId="0" borderId="9" xfId="0" applyNumberFormat="1" applyFont="1" applyBorder="1"/>
    <xf numFmtId="4" fontId="21" fillId="0" borderId="13" xfId="0" applyNumberFormat="1" applyFont="1" applyBorder="1"/>
    <xf numFmtId="3" fontId="37" fillId="0" borderId="0" xfId="5" applyNumberFormat="1" applyFont="1"/>
    <xf numFmtId="4" fontId="37" fillId="0" borderId="0" xfId="5" applyNumberFormat="1" applyFont="1"/>
    <xf numFmtId="4" fontId="37" fillId="0" borderId="55" xfId="5" applyNumberFormat="1" applyFont="1" applyBorder="1"/>
    <xf numFmtId="3" fontId="14" fillId="0" borderId="55" xfId="5" applyNumberFormat="1" applyFont="1" applyBorder="1"/>
    <xf numFmtId="3" fontId="8" fillId="0" borderId="55" xfId="5" applyNumberFormat="1" applyFont="1" applyBorder="1"/>
    <xf numFmtId="3" fontId="7" fillId="0" borderId="55" xfId="5" applyNumberFormat="1" applyFont="1" applyBorder="1"/>
    <xf numFmtId="3" fontId="36" fillId="0" borderId="0" xfId="5" applyNumberFormat="1" applyFont="1" applyAlignment="1">
      <alignment horizontal="right"/>
    </xf>
    <xf numFmtId="3" fontId="14" fillId="0" borderId="0" xfId="5" applyNumberFormat="1" applyFont="1"/>
    <xf numFmtId="3" fontId="8" fillId="0" borderId="0" xfId="5" applyNumberFormat="1" applyFont="1"/>
    <xf numFmtId="3" fontId="7" fillId="0" borderId="0" xfId="5" applyNumberFormat="1" applyFont="1"/>
    <xf numFmtId="4" fontId="8" fillId="0" borderId="0" xfId="5" applyNumberFormat="1" applyFont="1"/>
    <xf numFmtId="3" fontId="14" fillId="3" borderId="1" xfId="5" applyNumberFormat="1" applyFont="1" applyFill="1" applyBorder="1"/>
    <xf numFmtId="4" fontId="14" fillId="3" borderId="1" xfId="5" applyNumberFormat="1" applyFont="1" applyFill="1" applyBorder="1"/>
    <xf numFmtId="3" fontId="14" fillId="3" borderId="1" xfId="5" applyNumberFormat="1" applyFont="1" applyFill="1" applyBorder="1" applyAlignment="1">
      <alignment horizontal="right"/>
    </xf>
    <xf numFmtId="4" fontId="14" fillId="3" borderId="1" xfId="5" applyNumberFormat="1" applyFont="1" applyFill="1" applyBorder="1" applyAlignment="1">
      <alignment horizontal="right"/>
    </xf>
    <xf numFmtId="3" fontId="14" fillId="3" borderId="8" xfId="5" applyNumberFormat="1" applyFont="1" applyFill="1" applyBorder="1"/>
    <xf numFmtId="3" fontId="14" fillId="3" borderId="8" xfId="5" applyNumberFormat="1" applyFont="1" applyFill="1" applyBorder="1" applyAlignment="1">
      <alignment horizontal="right"/>
    </xf>
    <xf numFmtId="3" fontId="14" fillId="3" borderId="28" xfId="5" applyNumberFormat="1" applyFont="1" applyFill="1" applyBorder="1"/>
    <xf numFmtId="3" fontId="14" fillId="3" borderId="28" xfId="5" applyNumberFormat="1" applyFont="1" applyFill="1" applyBorder="1" applyAlignment="1">
      <alignment horizontal="right"/>
    </xf>
    <xf numFmtId="0" fontId="14" fillId="0" borderId="58" xfId="0" applyFont="1" applyBorder="1" applyAlignment="1">
      <alignment horizontal="left"/>
    </xf>
    <xf numFmtId="0" fontId="14" fillId="0" borderId="62" xfId="0" applyFont="1" applyBorder="1" applyAlignment="1">
      <alignment horizontal="left"/>
    </xf>
    <xf numFmtId="4" fontId="36" fillId="0" borderId="36" xfId="5" applyNumberFormat="1" applyFont="1" applyBorder="1"/>
    <xf numFmtId="4" fontId="12" fillId="3" borderId="10" xfId="2" applyNumberFormat="1" applyFont="1" applyFill="1" applyBorder="1"/>
    <xf numFmtId="4" fontId="12" fillId="3" borderId="14" xfId="2" applyNumberFormat="1" applyFont="1" applyFill="1" applyBorder="1"/>
    <xf numFmtId="3" fontId="12" fillId="4" borderId="60" xfId="2" applyNumberFormat="1" applyFont="1" applyFill="1" applyBorder="1"/>
    <xf numFmtId="4" fontId="12" fillId="4" borderId="63" xfId="2" applyNumberFormat="1" applyFont="1" applyFill="1" applyBorder="1"/>
    <xf numFmtId="3" fontId="13" fillId="3" borderId="1" xfId="0" applyNumberFormat="1" applyFont="1" applyFill="1" applyBorder="1" applyAlignment="1">
      <alignment horizontal="right"/>
    </xf>
    <xf numFmtId="4" fontId="13" fillId="3" borderId="1" xfId="0" applyNumberFormat="1" applyFont="1" applyFill="1" applyBorder="1" applyAlignment="1">
      <alignment horizontal="right"/>
    </xf>
    <xf numFmtId="3" fontId="13" fillId="3" borderId="1" xfId="0" applyNumberFormat="1" applyFont="1" applyFill="1" applyBorder="1"/>
    <xf numFmtId="4" fontId="13" fillId="3" borderId="1" xfId="0" applyNumberFormat="1" applyFont="1" applyFill="1" applyBorder="1"/>
    <xf numFmtId="3" fontId="13" fillId="3" borderId="8" xfId="0" applyNumberFormat="1" applyFont="1" applyFill="1" applyBorder="1" applyAlignment="1">
      <alignment horizontal="right"/>
    </xf>
    <xf numFmtId="3" fontId="13" fillId="3" borderId="8" xfId="0" applyNumberFormat="1" applyFont="1" applyFill="1" applyBorder="1"/>
    <xf numFmtId="4" fontId="13" fillId="3" borderId="9" xfId="0" applyNumberFormat="1" applyFont="1" applyFill="1" applyBorder="1" applyAlignment="1">
      <alignment horizontal="right"/>
    </xf>
    <xf numFmtId="4" fontId="13" fillId="3" borderId="9" xfId="0" applyNumberFormat="1" applyFont="1" applyFill="1" applyBorder="1"/>
    <xf numFmtId="3" fontId="13" fillId="3" borderId="28" xfId="0" applyNumberFormat="1" applyFont="1" applyFill="1" applyBorder="1" applyAlignment="1">
      <alignment horizontal="right"/>
    </xf>
    <xf numFmtId="3" fontId="13" fillId="3" borderId="28" xfId="0" applyNumberFormat="1" applyFont="1" applyFill="1" applyBorder="1"/>
    <xf numFmtId="3" fontId="13" fillId="3" borderId="26" xfId="0" applyNumberFormat="1" applyFont="1" applyFill="1" applyBorder="1" applyAlignment="1">
      <alignment horizontal="right"/>
    </xf>
    <xf numFmtId="3" fontId="13" fillId="3" borderId="21" xfId="0" applyNumberFormat="1" applyFont="1" applyFill="1" applyBorder="1" applyAlignment="1">
      <alignment horizontal="right"/>
    </xf>
    <xf numFmtId="4" fontId="13" fillId="3" borderId="21" xfId="0" applyNumberFormat="1" applyFont="1" applyFill="1" applyBorder="1" applyAlignment="1">
      <alignment horizontal="right"/>
    </xf>
    <xf numFmtId="4" fontId="13" fillId="3" borderId="30" xfId="0" applyNumberFormat="1" applyFont="1" applyFill="1" applyBorder="1" applyAlignment="1">
      <alignment horizontal="right"/>
    </xf>
    <xf numFmtId="4" fontId="13" fillId="3" borderId="27" xfId="0" applyNumberFormat="1" applyFont="1" applyFill="1" applyBorder="1" applyAlignment="1">
      <alignment horizontal="right"/>
    </xf>
    <xf numFmtId="3" fontId="13" fillId="3" borderId="29" xfId="0" applyNumberFormat="1" applyFont="1" applyFill="1" applyBorder="1" applyAlignment="1">
      <alignment horizontal="right"/>
    </xf>
    <xf numFmtId="3" fontId="13" fillId="4" borderId="17" xfId="0" applyNumberFormat="1" applyFont="1" applyFill="1" applyBorder="1" applyAlignment="1">
      <alignment horizontal="right"/>
    </xf>
    <xf numFmtId="3" fontId="13" fillId="4" borderId="18" xfId="0" applyNumberFormat="1" applyFont="1" applyFill="1" applyBorder="1" applyAlignment="1">
      <alignment horizontal="right"/>
    </xf>
    <xf numFmtId="4" fontId="13" fillId="4" borderId="18" xfId="0" applyNumberFormat="1" applyFont="1" applyFill="1" applyBorder="1" applyAlignment="1">
      <alignment horizontal="right"/>
    </xf>
    <xf numFmtId="4" fontId="13" fillId="4" borderId="20" xfId="0" applyNumberFormat="1" applyFont="1" applyFill="1" applyBorder="1" applyAlignment="1">
      <alignment horizontal="right"/>
    </xf>
    <xf numFmtId="4" fontId="13" fillId="4" borderId="19" xfId="0" applyNumberFormat="1" applyFont="1" applyFill="1" applyBorder="1" applyAlignment="1">
      <alignment horizontal="right"/>
    </xf>
    <xf numFmtId="3" fontId="13" fillId="4" borderId="22" xfId="0" applyNumberFormat="1" applyFont="1" applyFill="1" applyBorder="1" applyAlignment="1">
      <alignment horizontal="right"/>
    </xf>
    <xf numFmtId="3" fontId="13" fillId="3" borderId="26" xfId="0" applyNumberFormat="1" applyFont="1" applyFill="1" applyBorder="1"/>
    <xf numFmtId="3" fontId="13" fillId="3" borderId="21" xfId="0" applyNumberFormat="1" applyFont="1" applyFill="1" applyBorder="1"/>
    <xf numFmtId="4" fontId="13" fillId="3" borderId="21" xfId="0" applyNumberFormat="1" applyFont="1" applyFill="1" applyBorder="1"/>
    <xf numFmtId="4" fontId="13" fillId="3" borderId="30" xfId="0" applyNumberFormat="1" applyFont="1" applyFill="1" applyBorder="1"/>
    <xf numFmtId="4" fontId="13" fillId="3" borderId="27" xfId="0" applyNumberFormat="1" applyFont="1" applyFill="1" applyBorder="1"/>
    <xf numFmtId="3" fontId="13" fillId="3" borderId="29" xfId="0" applyNumberFormat="1" applyFont="1" applyFill="1" applyBorder="1"/>
    <xf numFmtId="3" fontId="13" fillId="4" borderId="17" xfId="0" applyNumberFormat="1" applyFont="1" applyFill="1" applyBorder="1"/>
    <xf numFmtId="3" fontId="13" fillId="4" borderId="18" xfId="0" applyNumberFormat="1" applyFont="1" applyFill="1" applyBorder="1"/>
    <xf numFmtId="4" fontId="13" fillId="4" borderId="18" xfId="0" applyNumberFormat="1" applyFont="1" applyFill="1" applyBorder="1"/>
    <xf numFmtId="3" fontId="13" fillId="4" borderId="22" xfId="0" applyNumberFormat="1" applyFont="1" applyFill="1" applyBorder="1"/>
    <xf numFmtId="3" fontId="13" fillId="3" borderId="1" xfId="9" applyNumberFormat="1" applyFont="1" applyFill="1" applyBorder="1"/>
    <xf numFmtId="4" fontId="13" fillId="3" borderId="1" xfId="9" applyNumberFormat="1" applyFont="1" applyFill="1" applyBorder="1"/>
    <xf numFmtId="3" fontId="24" fillId="3" borderId="1" xfId="9" applyNumberFormat="1" applyFont="1" applyFill="1" applyBorder="1"/>
    <xf numFmtId="4" fontId="24" fillId="3" borderId="1" xfId="9" applyNumberFormat="1" applyFont="1" applyFill="1" applyBorder="1"/>
    <xf numFmtId="3" fontId="13" fillId="3" borderId="8" xfId="9" applyNumberFormat="1" applyFont="1" applyFill="1" applyBorder="1"/>
    <xf numFmtId="3" fontId="24" fillId="3" borderId="8" xfId="9" applyNumberFormat="1" applyFont="1" applyFill="1" applyBorder="1"/>
    <xf numFmtId="3" fontId="13" fillId="3" borderId="28" xfId="9" applyNumberFormat="1" applyFont="1" applyFill="1" applyBorder="1"/>
    <xf numFmtId="3" fontId="24" fillId="3" borderId="28" xfId="9" applyNumberFormat="1" applyFont="1" applyFill="1" applyBorder="1"/>
    <xf numFmtId="3" fontId="24" fillId="3" borderId="21" xfId="9" applyNumberFormat="1" applyFont="1" applyFill="1" applyBorder="1"/>
    <xf numFmtId="4" fontId="24" fillId="3" borderId="21" xfId="9" applyNumberFormat="1" applyFont="1" applyFill="1" applyBorder="1"/>
    <xf numFmtId="4" fontId="24" fillId="3" borderId="27" xfId="9" applyNumberFormat="1" applyFont="1" applyFill="1" applyBorder="1"/>
    <xf numFmtId="3" fontId="24" fillId="3" borderId="29" xfId="9" applyNumberFormat="1" applyFont="1" applyFill="1" applyBorder="1"/>
    <xf numFmtId="3" fontId="24" fillId="5" borderId="18" xfId="9" applyNumberFormat="1" applyFont="1" applyFill="1" applyBorder="1"/>
    <xf numFmtId="4" fontId="24" fillId="5" borderId="18" xfId="9" applyNumberFormat="1" applyFont="1" applyFill="1" applyBorder="1"/>
    <xf numFmtId="4" fontId="24" fillId="5" borderId="19" xfId="9" applyNumberFormat="1" applyFont="1" applyFill="1" applyBorder="1"/>
    <xf numFmtId="3" fontId="24" fillId="5" borderId="22" xfId="9" applyNumberFormat="1" applyFont="1" applyFill="1" applyBorder="1"/>
    <xf numFmtId="3" fontId="14" fillId="3" borderId="1" xfId="9" applyNumberFormat="1" applyFont="1" applyFill="1" applyBorder="1"/>
    <xf numFmtId="4" fontId="14" fillId="3" borderId="1" xfId="9" applyNumberFormat="1" applyFont="1" applyFill="1" applyBorder="1"/>
    <xf numFmtId="3" fontId="14" fillId="3" borderId="1" xfId="9" applyNumberFormat="1" applyFont="1" applyFill="1" applyBorder="1" applyAlignment="1">
      <alignment horizontal="right"/>
    </xf>
    <xf numFmtId="4" fontId="14" fillId="3" borderId="1" xfId="9" applyNumberFormat="1" applyFont="1" applyFill="1" applyBorder="1" applyAlignment="1">
      <alignment horizontal="right"/>
    </xf>
    <xf numFmtId="3" fontId="14" fillId="3" borderId="8" xfId="9" applyNumberFormat="1" applyFont="1" applyFill="1" applyBorder="1"/>
    <xf numFmtId="3" fontId="14" fillId="3" borderId="8" xfId="9" applyNumberFormat="1" applyFont="1" applyFill="1" applyBorder="1" applyAlignment="1">
      <alignment horizontal="right"/>
    </xf>
    <xf numFmtId="3" fontId="14" fillId="3" borderId="28" xfId="9" applyNumberFormat="1" applyFont="1" applyFill="1" applyBorder="1"/>
    <xf numFmtId="3" fontId="14" fillId="3" borderId="28" xfId="9" applyNumberFormat="1" applyFont="1" applyFill="1" applyBorder="1" applyAlignment="1">
      <alignment horizontal="right"/>
    </xf>
    <xf numFmtId="0" fontId="14" fillId="0" borderId="69" xfId="0" applyFont="1" applyBorder="1" applyAlignment="1">
      <alignment horizontal="left"/>
    </xf>
    <xf numFmtId="0" fontId="14" fillId="0" borderId="68" xfId="0" applyFont="1" applyBorder="1" applyAlignment="1">
      <alignment horizontal="left"/>
    </xf>
    <xf numFmtId="3" fontId="13" fillId="3" borderId="1" xfId="9" applyNumberFormat="1" applyFont="1" applyFill="1" applyBorder="1" applyAlignment="1">
      <alignment horizontal="right"/>
    </xf>
    <xf numFmtId="4" fontId="13" fillId="3" borderId="1" xfId="9" applyNumberFormat="1" applyFont="1" applyFill="1" applyBorder="1" applyAlignment="1">
      <alignment horizontal="right"/>
    </xf>
    <xf numFmtId="3" fontId="13" fillId="3" borderId="8" xfId="9" applyNumberFormat="1" applyFont="1" applyFill="1" applyBorder="1" applyAlignment="1">
      <alignment horizontal="right"/>
    </xf>
    <xf numFmtId="3" fontId="13" fillId="3" borderId="28" xfId="9" applyNumberFormat="1" applyFont="1" applyFill="1" applyBorder="1" applyAlignment="1">
      <alignment horizontal="right"/>
    </xf>
    <xf numFmtId="3" fontId="13" fillId="3" borderId="21" xfId="9" applyNumberFormat="1" applyFont="1" applyFill="1" applyBorder="1"/>
    <xf numFmtId="4" fontId="13" fillId="3" borderId="21" xfId="9" applyNumberFormat="1" applyFont="1" applyFill="1" applyBorder="1"/>
    <xf numFmtId="4" fontId="13" fillId="3" borderId="27" xfId="9" applyNumberFormat="1" applyFont="1" applyFill="1" applyBorder="1"/>
    <xf numFmtId="3" fontId="13" fillId="3" borderId="29" xfId="9" applyNumberFormat="1" applyFont="1" applyFill="1" applyBorder="1"/>
    <xf numFmtId="3" fontId="13" fillId="7" borderId="17" xfId="9" applyNumberFormat="1" applyFont="1" applyFill="1" applyBorder="1"/>
    <xf numFmtId="3" fontId="13" fillId="7" borderId="18" xfId="9" applyNumberFormat="1" applyFont="1" applyFill="1" applyBorder="1"/>
    <xf numFmtId="4" fontId="13" fillId="7" borderId="18" xfId="9" applyNumberFormat="1" applyFont="1" applyFill="1" applyBorder="1"/>
    <xf numFmtId="4" fontId="13" fillId="7" borderId="19" xfId="9" applyNumberFormat="1" applyFont="1" applyFill="1" applyBorder="1"/>
    <xf numFmtId="3" fontId="13" fillId="7" borderId="22" xfId="9" applyNumberFormat="1" applyFont="1" applyFill="1" applyBorder="1"/>
    <xf numFmtId="3" fontId="12" fillId="3" borderId="1" xfId="9" applyNumberFormat="1" applyFont="1" applyFill="1" applyBorder="1" applyAlignment="1">
      <alignment horizontal="right"/>
    </xf>
    <xf numFmtId="4" fontId="12" fillId="3" borderId="1" xfId="9" applyNumberFormat="1" applyFont="1" applyFill="1" applyBorder="1" applyAlignment="1">
      <alignment horizontal="right"/>
    </xf>
    <xf numFmtId="3" fontId="12" fillId="3" borderId="1" xfId="9" applyNumberFormat="1" applyFont="1" applyFill="1" applyBorder="1"/>
    <xf numFmtId="4" fontId="12" fillId="3" borderId="1" xfId="9" applyNumberFormat="1" applyFont="1" applyFill="1" applyBorder="1"/>
    <xf numFmtId="3" fontId="12" fillId="3" borderId="8" xfId="9" applyNumberFormat="1" applyFont="1" applyFill="1" applyBorder="1" applyAlignment="1">
      <alignment horizontal="right"/>
    </xf>
    <xf numFmtId="3" fontId="12" fillId="3" borderId="8" xfId="9" applyNumberFormat="1" applyFont="1" applyFill="1" applyBorder="1"/>
    <xf numFmtId="3" fontId="12" fillId="3" borderId="28" xfId="9" applyNumberFormat="1" applyFont="1" applyFill="1" applyBorder="1" applyAlignment="1">
      <alignment horizontal="right"/>
    </xf>
    <xf numFmtId="3" fontId="12" fillId="3" borderId="28" xfId="9" applyNumberFormat="1" applyFont="1" applyFill="1" applyBorder="1"/>
    <xf numFmtId="3" fontId="36" fillId="0" borderId="46" xfId="5" applyNumberFormat="1" applyFont="1" applyBorder="1"/>
    <xf numFmtId="3" fontId="8" fillId="0" borderId="4" xfId="0" applyNumberFormat="1" applyFont="1" applyBorder="1"/>
    <xf numFmtId="3" fontId="8" fillId="0" borderId="5" xfId="0" applyNumberFormat="1" applyFont="1" applyBorder="1"/>
    <xf numFmtId="3" fontId="8" fillId="0" borderId="37" xfId="0" applyNumberFormat="1" applyFont="1" applyBorder="1"/>
    <xf numFmtId="4" fontId="36" fillId="0" borderId="0" xfId="8" applyNumberFormat="1" applyFont="1" applyAlignment="1">
      <alignment horizontal="center"/>
    </xf>
    <xf numFmtId="4" fontId="8" fillId="0" borderId="5" xfId="0" applyNumberFormat="1" applyFont="1" applyBorder="1"/>
    <xf numFmtId="4" fontId="8" fillId="0" borderId="6" xfId="0" applyNumberFormat="1" applyFont="1" applyBorder="1"/>
    <xf numFmtId="4" fontId="36" fillId="0" borderId="25" xfId="5" applyNumberFormat="1" applyFont="1" applyBorder="1"/>
    <xf numFmtId="4" fontId="8" fillId="0" borderId="7" xfId="0" applyNumberFormat="1" applyFont="1" applyBorder="1"/>
    <xf numFmtId="0" fontId="5" fillId="0" borderId="0" xfId="5" applyAlignment="1">
      <alignment horizontal="right"/>
    </xf>
    <xf numFmtId="3" fontId="14" fillId="6" borderId="47" xfId="5" applyNumberFormat="1" applyFont="1" applyFill="1" applyBorder="1"/>
    <xf numFmtId="4" fontId="14" fillId="6" borderId="47" xfId="5" applyNumberFormat="1" applyFont="1" applyFill="1" applyBorder="1"/>
    <xf numFmtId="3" fontId="27" fillId="0" borderId="1" xfId="5" applyNumberFormat="1" applyFont="1" applyBorder="1"/>
    <xf numFmtId="3" fontId="14" fillId="3" borderId="12" xfId="5" applyNumberFormat="1" applyFont="1" applyFill="1" applyBorder="1"/>
    <xf numFmtId="4" fontId="14" fillId="3" borderId="12" xfId="5" applyNumberFormat="1" applyFont="1" applyFill="1" applyBorder="1"/>
    <xf numFmtId="4" fontId="14" fillId="3" borderId="14" xfId="5" applyNumberFormat="1" applyFont="1" applyFill="1" applyBorder="1"/>
    <xf numFmtId="3" fontId="14" fillId="6" borderId="70" xfId="5" applyNumberFormat="1" applyFont="1" applyFill="1" applyBorder="1"/>
    <xf numFmtId="4" fontId="14" fillId="6" borderId="63" xfId="5" applyNumberFormat="1" applyFont="1" applyFill="1" applyBorder="1"/>
    <xf numFmtId="0" fontId="27" fillId="9" borderId="1" xfId="9" applyFont="1" applyFill="1" applyBorder="1"/>
    <xf numFmtId="3" fontId="24" fillId="5" borderId="38" xfId="9" applyNumberFormat="1" applyFont="1" applyFill="1" applyBorder="1"/>
    <xf numFmtId="3" fontId="24" fillId="5" borderId="47" xfId="9" applyNumberFormat="1" applyFont="1" applyFill="1" applyBorder="1"/>
    <xf numFmtId="4" fontId="24" fillId="5" borderId="47" xfId="9" applyNumberFormat="1" applyFont="1" applyFill="1" applyBorder="1"/>
    <xf numFmtId="4" fontId="24" fillId="5" borderId="61" xfId="9" applyNumberFormat="1" applyFont="1" applyFill="1" applyBorder="1"/>
    <xf numFmtId="3" fontId="24" fillId="3" borderId="11" xfId="9" applyNumberFormat="1" applyFont="1" applyFill="1" applyBorder="1"/>
    <xf numFmtId="3" fontId="24" fillId="3" borderId="12" xfId="9" applyNumberFormat="1" applyFont="1" applyFill="1" applyBorder="1"/>
    <xf numFmtId="4" fontId="24" fillId="3" borderId="12" xfId="9" applyNumberFormat="1" applyFont="1" applyFill="1" applyBorder="1"/>
    <xf numFmtId="4" fontId="15" fillId="4" borderId="47" xfId="0" applyNumberFormat="1" applyFont="1" applyFill="1" applyBorder="1"/>
    <xf numFmtId="4" fontId="14" fillId="0" borderId="45" xfId="5" applyNumberFormat="1" applyFont="1" applyBorder="1"/>
    <xf numFmtId="4" fontId="22" fillId="8" borderId="22" xfId="5" applyNumberFormat="1" applyFont="1" applyFill="1" applyBorder="1" applyAlignment="1">
      <alignment horizontal="center"/>
    </xf>
    <xf numFmtId="2" fontId="0" fillId="0" borderId="0" xfId="0" applyNumberFormat="1"/>
    <xf numFmtId="2" fontId="12" fillId="4" borderId="61" xfId="2" applyNumberFormat="1" applyFont="1" applyFill="1" applyBorder="1"/>
    <xf numFmtId="2" fontId="12" fillId="4" borderId="63" xfId="2" applyNumberFormat="1" applyFont="1" applyFill="1" applyBorder="1"/>
    <xf numFmtId="2" fontId="8" fillId="0" borderId="55" xfId="5" applyNumberFormat="1" applyFont="1" applyBorder="1"/>
    <xf numFmtId="2" fontId="8" fillId="0" borderId="0" xfId="5" applyNumberFormat="1" applyFont="1"/>
    <xf numFmtId="2" fontId="15" fillId="4" borderId="18" xfId="0" applyNumberFormat="1" applyFont="1" applyFill="1" applyBorder="1"/>
    <xf numFmtId="2" fontId="8" fillId="0" borderId="5" xfId="0" applyNumberFormat="1" applyFont="1" applyBorder="1"/>
    <xf numFmtId="2" fontId="8" fillId="0" borderId="1" xfId="0" applyNumberFormat="1" applyFont="1" applyBorder="1"/>
    <xf numFmtId="2" fontId="8" fillId="0" borderId="12" xfId="0" applyNumberFormat="1" applyFont="1" applyBorder="1"/>
    <xf numFmtId="3" fontId="8" fillId="0" borderId="56" xfId="5" applyNumberFormat="1" applyFont="1" applyBorder="1"/>
    <xf numFmtId="3" fontId="12" fillId="3" borderId="48" xfId="2" applyNumberFormat="1" applyFont="1" applyFill="1" applyBorder="1"/>
    <xf numFmtId="3" fontId="12" fillId="3" borderId="71" xfId="2" applyNumberFormat="1" applyFont="1" applyFill="1" applyBorder="1"/>
    <xf numFmtId="3" fontId="12" fillId="3" borderId="1" xfId="2" applyNumberFormat="1" applyFont="1" applyFill="1" applyBorder="1"/>
    <xf numFmtId="2" fontId="12" fillId="3" borderId="1" xfId="2" applyNumberFormat="1" applyFont="1" applyFill="1" applyBorder="1"/>
    <xf numFmtId="3" fontId="12" fillId="3" borderId="8" xfId="2" applyNumberFormat="1" applyFont="1" applyFill="1" applyBorder="1"/>
    <xf numFmtId="2" fontId="12" fillId="3" borderId="10" xfId="2" applyNumberFormat="1" applyFont="1" applyFill="1" applyBorder="1"/>
    <xf numFmtId="3" fontId="12" fillId="3" borderId="11" xfId="2" applyNumberFormat="1" applyFont="1" applyFill="1" applyBorder="1"/>
    <xf numFmtId="3" fontId="12" fillId="3" borderId="12" xfId="2" applyNumberFormat="1" applyFont="1" applyFill="1" applyBorder="1"/>
    <xf numFmtId="2" fontId="12" fillId="3" borderId="12" xfId="2" applyNumberFormat="1" applyFont="1" applyFill="1" applyBorder="1"/>
    <xf numFmtId="2" fontId="12" fillId="3" borderId="14" xfId="2" applyNumberFormat="1" applyFont="1" applyFill="1" applyBorder="1"/>
    <xf numFmtId="3" fontId="14" fillId="3" borderId="41" xfId="5" applyNumberFormat="1" applyFont="1" applyFill="1" applyBorder="1"/>
    <xf numFmtId="3" fontId="22" fillId="8" borderId="22" xfId="5" applyNumberFormat="1" applyFont="1" applyFill="1" applyBorder="1" applyAlignment="1">
      <alignment horizontal="center"/>
    </xf>
    <xf numFmtId="3" fontId="14" fillId="0" borderId="0" xfId="0" applyNumberFormat="1" applyFont="1" applyAlignment="1">
      <alignment horizontal="left" vertical="center" wrapText="1"/>
    </xf>
    <xf numFmtId="3" fontId="42" fillId="0" borderId="0" xfId="0" applyNumberFormat="1" applyFont="1" applyAlignment="1">
      <alignment horizontal="left" vertical="center" wrapText="1"/>
    </xf>
    <xf numFmtId="2" fontId="22" fillId="8" borderId="18" xfId="5" applyNumberFormat="1" applyFont="1" applyFill="1" applyBorder="1" applyAlignment="1">
      <alignment horizontal="center"/>
    </xf>
    <xf numFmtId="2" fontId="22" fillId="8" borderId="19" xfId="5" applyNumberFormat="1" applyFont="1" applyFill="1" applyBorder="1" applyAlignment="1">
      <alignment horizontal="center"/>
    </xf>
    <xf numFmtId="4" fontId="14" fillId="5" borderId="1" xfId="0" applyNumberFormat="1" applyFont="1" applyFill="1" applyBorder="1" applyAlignment="1">
      <alignment horizontal="center" vertical="center" wrapText="1"/>
    </xf>
    <xf numFmtId="4" fontId="15" fillId="4" borderId="63" xfId="0" applyNumberFormat="1" applyFont="1" applyFill="1" applyBorder="1"/>
    <xf numFmtId="4" fontId="14" fillId="0" borderId="0" xfId="5" applyNumberFormat="1" applyFont="1"/>
    <xf numFmtId="3" fontId="12" fillId="4" borderId="45" xfId="2" applyNumberFormat="1" applyFont="1" applyFill="1" applyBorder="1"/>
    <xf numFmtId="2" fontId="15" fillId="4" borderId="20" xfId="0" applyNumberFormat="1" applyFont="1" applyFill="1" applyBorder="1"/>
    <xf numFmtId="2" fontId="8" fillId="0" borderId="6" xfId="0" applyNumberFormat="1" applyFont="1" applyBorder="1"/>
    <xf numFmtId="2" fontId="8" fillId="0" borderId="9" xfId="0" applyNumberFormat="1" applyFont="1" applyBorder="1"/>
    <xf numFmtId="2" fontId="8" fillId="0" borderId="13" xfId="0" applyNumberFormat="1" applyFont="1" applyBorder="1"/>
    <xf numFmtId="3" fontId="14" fillId="0" borderId="41" xfId="0" applyNumberFormat="1" applyFont="1" applyBorder="1" applyAlignment="1">
      <alignment horizontal="center" vertical="center" wrapText="1"/>
    </xf>
    <xf numFmtId="3" fontId="22" fillId="8" borderId="56" xfId="5" applyNumberFormat="1" applyFont="1" applyFill="1" applyBorder="1" applyAlignment="1">
      <alignment horizontal="center"/>
    </xf>
    <xf numFmtId="3" fontId="14" fillId="6" borderId="38" xfId="5" applyNumberFormat="1" applyFont="1" applyFill="1" applyBorder="1"/>
    <xf numFmtId="3" fontId="14" fillId="3" borderId="11" xfId="5" applyNumberFormat="1" applyFont="1" applyFill="1" applyBorder="1"/>
    <xf numFmtId="4" fontId="36" fillId="0" borderId="10" xfId="5" applyNumberFormat="1" applyFont="1" applyBorder="1"/>
    <xf numFmtId="3" fontId="36" fillId="0" borderId="28" xfId="5" applyNumberFormat="1" applyFont="1" applyBorder="1"/>
    <xf numFmtId="3" fontId="13" fillId="4" borderId="38" xfId="0" applyNumberFormat="1" applyFont="1" applyFill="1" applyBorder="1" applyAlignment="1">
      <alignment horizontal="right"/>
    </xf>
    <xf numFmtId="3" fontId="13" fillId="4" borderId="47" xfId="0" applyNumberFormat="1" applyFont="1" applyFill="1" applyBorder="1" applyAlignment="1">
      <alignment horizontal="right"/>
    </xf>
    <xf numFmtId="4" fontId="13" fillId="4" borderId="47" xfId="0" applyNumberFormat="1" applyFont="1" applyFill="1" applyBorder="1" applyAlignment="1">
      <alignment horizontal="right"/>
    </xf>
    <xf numFmtId="4" fontId="13" fillId="4" borderId="63" xfId="0" applyNumberFormat="1" applyFont="1" applyFill="1" applyBorder="1" applyAlignment="1">
      <alignment horizontal="right"/>
    </xf>
    <xf numFmtId="3" fontId="13" fillId="3" borderId="11" xfId="0" applyNumberFormat="1" applyFont="1" applyFill="1" applyBorder="1" applyAlignment="1">
      <alignment horizontal="right"/>
    </xf>
    <xf numFmtId="3" fontId="13" fillId="3" borderId="12" xfId="0" applyNumberFormat="1" applyFont="1" applyFill="1" applyBorder="1" applyAlignment="1">
      <alignment horizontal="right"/>
    </xf>
    <xf numFmtId="4" fontId="13" fillId="3" borderId="12" xfId="0" applyNumberFormat="1" applyFont="1" applyFill="1" applyBorder="1" applyAlignment="1">
      <alignment horizontal="right"/>
    </xf>
    <xf numFmtId="4" fontId="13" fillId="3" borderId="14" xfId="0" applyNumberFormat="1" applyFont="1" applyFill="1" applyBorder="1" applyAlignment="1">
      <alignment horizontal="right"/>
    </xf>
    <xf numFmtId="3" fontId="13" fillId="3" borderId="11" xfId="0" applyNumberFormat="1" applyFont="1" applyFill="1" applyBorder="1"/>
    <xf numFmtId="3" fontId="13" fillId="3" borderId="12" xfId="0" applyNumberFormat="1" applyFont="1" applyFill="1" applyBorder="1"/>
    <xf numFmtId="4" fontId="13" fillId="3" borderId="12" xfId="0" applyNumberFormat="1" applyFont="1" applyFill="1" applyBorder="1"/>
    <xf numFmtId="4" fontId="13" fillId="3" borderId="14" xfId="0" applyNumberFormat="1" applyFont="1" applyFill="1" applyBorder="1"/>
    <xf numFmtId="3" fontId="13" fillId="4" borderId="47" xfId="0" applyNumberFormat="1" applyFont="1" applyFill="1" applyBorder="1"/>
    <xf numFmtId="4" fontId="13" fillId="4" borderId="47" xfId="0" applyNumberFormat="1" applyFont="1" applyFill="1" applyBorder="1"/>
    <xf numFmtId="4" fontId="13" fillId="4" borderId="63" xfId="0" applyNumberFormat="1" applyFont="1" applyFill="1" applyBorder="1"/>
    <xf numFmtId="4" fontId="24" fillId="5" borderId="63" xfId="9" applyNumberFormat="1" applyFont="1" applyFill="1" applyBorder="1"/>
    <xf numFmtId="4" fontId="24" fillId="3" borderId="14" xfId="9" applyNumberFormat="1" applyFont="1" applyFill="1" applyBorder="1"/>
    <xf numFmtId="3" fontId="13" fillId="7" borderId="38" xfId="9" applyNumberFormat="1" applyFont="1" applyFill="1" applyBorder="1"/>
    <xf numFmtId="3" fontId="13" fillId="7" borderId="47" xfId="9" applyNumberFormat="1" applyFont="1" applyFill="1" applyBorder="1"/>
    <xf numFmtId="4" fontId="13" fillId="7" borderId="47" xfId="9" applyNumberFormat="1" applyFont="1" applyFill="1" applyBorder="1"/>
    <xf numFmtId="4" fontId="13" fillId="7" borderId="63" xfId="9" applyNumberFormat="1" applyFont="1" applyFill="1" applyBorder="1"/>
    <xf numFmtId="3" fontId="13" fillId="3" borderId="11" xfId="9" applyNumberFormat="1" applyFont="1" applyFill="1" applyBorder="1"/>
    <xf numFmtId="3" fontId="13" fillId="3" borderId="12" xfId="9" applyNumberFormat="1" applyFont="1" applyFill="1" applyBorder="1"/>
    <xf numFmtId="4" fontId="13" fillId="3" borderId="12" xfId="9" applyNumberFormat="1" applyFont="1" applyFill="1" applyBorder="1"/>
    <xf numFmtId="4" fontId="13" fillId="3" borderId="14" xfId="9" applyNumberFormat="1" applyFont="1" applyFill="1" applyBorder="1"/>
    <xf numFmtId="3" fontId="9" fillId="0" borderId="1" xfId="0" applyNumberFormat="1" applyFont="1" applyBorder="1"/>
    <xf numFmtId="4" fontId="9" fillId="0" borderId="1" xfId="0" applyNumberFormat="1" applyFont="1" applyBorder="1"/>
    <xf numFmtId="3" fontId="9" fillId="0" borderId="24" xfId="0" applyNumberFormat="1" applyFont="1" applyBorder="1"/>
    <xf numFmtId="4" fontId="9" fillId="0" borderId="24" xfId="0" applyNumberFormat="1" applyFont="1" applyBorder="1"/>
    <xf numFmtId="3" fontId="36" fillId="0" borderId="26" xfId="5" applyNumberFormat="1" applyFont="1" applyBorder="1"/>
    <xf numFmtId="3" fontId="36" fillId="0" borderId="21" xfId="5" applyNumberFormat="1" applyFont="1" applyBorder="1"/>
    <xf numFmtId="4" fontId="36" fillId="0" borderId="21" xfId="5" applyNumberFormat="1" applyFont="1" applyBorder="1"/>
    <xf numFmtId="4" fontId="36" fillId="0" borderId="27" xfId="5" applyNumberFormat="1" applyFont="1" applyBorder="1"/>
    <xf numFmtId="3" fontId="36" fillId="0" borderId="29" xfId="5" applyNumberFormat="1" applyFont="1" applyBorder="1"/>
    <xf numFmtId="4" fontId="36" fillId="0" borderId="30" xfId="5" applyNumberFormat="1" applyFont="1" applyBorder="1"/>
    <xf numFmtId="3" fontId="12" fillId="4" borderId="17" xfId="0" applyNumberFormat="1" applyFont="1" applyFill="1" applyBorder="1" applyAlignment="1">
      <alignment horizontal="right"/>
    </xf>
    <xf numFmtId="3" fontId="12" fillId="4" borderId="18" xfId="0" applyNumberFormat="1" applyFont="1" applyFill="1" applyBorder="1" applyAlignment="1">
      <alignment horizontal="right"/>
    </xf>
    <xf numFmtId="4" fontId="12" fillId="4" borderId="18" xfId="0" applyNumberFormat="1" applyFont="1" applyFill="1" applyBorder="1" applyAlignment="1">
      <alignment horizontal="right"/>
    </xf>
    <xf numFmtId="4" fontId="12" fillId="4" borderId="19" xfId="0" applyNumberFormat="1" applyFont="1" applyFill="1" applyBorder="1" applyAlignment="1">
      <alignment horizontal="right"/>
    </xf>
    <xf numFmtId="3" fontId="12" fillId="4" borderId="22" xfId="0" applyNumberFormat="1" applyFont="1" applyFill="1" applyBorder="1" applyAlignment="1">
      <alignment horizontal="right"/>
    </xf>
    <xf numFmtId="4" fontId="12" fillId="4" borderId="20" xfId="0" applyNumberFormat="1" applyFont="1" applyFill="1" applyBorder="1" applyAlignment="1">
      <alignment horizontal="right"/>
    </xf>
    <xf numFmtId="3" fontId="15" fillId="4" borderId="33" xfId="0" applyNumberFormat="1" applyFont="1" applyFill="1" applyBorder="1"/>
    <xf numFmtId="3" fontId="15" fillId="4" borderId="34" xfId="0" applyNumberFormat="1" applyFont="1" applyFill="1" applyBorder="1"/>
    <xf numFmtId="4" fontId="15" fillId="4" borderId="34" xfId="0" applyNumberFormat="1" applyFont="1" applyFill="1" applyBorder="1"/>
    <xf numFmtId="4" fontId="15" fillId="4" borderId="35" xfId="0" applyNumberFormat="1" applyFont="1" applyFill="1" applyBorder="1"/>
    <xf numFmtId="3" fontId="15" fillId="4" borderId="56" xfId="0" applyNumberFormat="1" applyFont="1" applyFill="1" applyBorder="1"/>
    <xf numFmtId="4" fontId="15" fillId="4" borderId="36" xfId="0" applyNumberFormat="1" applyFont="1" applyFill="1" applyBorder="1"/>
    <xf numFmtId="3" fontId="8" fillId="0" borderId="23" xfId="0" applyNumberFormat="1" applyFont="1" applyBorder="1"/>
    <xf numFmtId="3" fontId="8" fillId="0" borderId="24" xfId="0" applyNumberFormat="1" applyFont="1" applyBorder="1"/>
    <xf numFmtId="3" fontId="8" fillId="0" borderId="46" xfId="0" applyNumberFormat="1" applyFont="1" applyBorder="1"/>
    <xf numFmtId="4" fontId="8" fillId="0" borderId="24" xfId="0" applyNumberFormat="1" applyFont="1" applyBorder="1"/>
    <xf numFmtId="4" fontId="8" fillId="0" borderId="25" xfId="0" applyNumberFormat="1" applyFont="1" applyBorder="1"/>
    <xf numFmtId="4" fontId="8" fillId="0" borderId="32" xfId="0" applyNumberFormat="1" applyFont="1" applyBorder="1"/>
    <xf numFmtId="3" fontId="13" fillId="3" borderId="8" xfId="5" applyNumberFormat="1" applyFont="1" applyFill="1" applyBorder="1"/>
    <xf numFmtId="3" fontId="39" fillId="7" borderId="70" xfId="5" applyNumberFormat="1" applyFont="1" applyFill="1" applyBorder="1"/>
    <xf numFmtId="3" fontId="39" fillId="7" borderId="47" xfId="5" applyNumberFormat="1" applyFont="1" applyFill="1" applyBorder="1"/>
    <xf numFmtId="4" fontId="39" fillId="7" borderId="47" xfId="5" applyNumberFormat="1" applyFont="1" applyFill="1" applyBorder="1"/>
    <xf numFmtId="4" fontId="39" fillId="7" borderId="63" xfId="5" applyNumberFormat="1" applyFont="1" applyFill="1" applyBorder="1"/>
    <xf numFmtId="3" fontId="13" fillId="3" borderId="8" xfId="5" applyNumberFormat="1" applyFont="1" applyFill="1" applyBorder="1" applyAlignment="1">
      <alignment horizontal="right"/>
    </xf>
    <xf numFmtId="3" fontId="37" fillId="3" borderId="8" xfId="5" applyNumberFormat="1" applyFont="1" applyFill="1" applyBorder="1"/>
    <xf numFmtId="3" fontId="13" fillId="3" borderId="11" xfId="5" applyNumberFormat="1" applyFont="1" applyFill="1" applyBorder="1"/>
    <xf numFmtId="3" fontId="13" fillId="3" borderId="12" xfId="5" applyNumberFormat="1" applyFont="1" applyFill="1" applyBorder="1"/>
    <xf numFmtId="4" fontId="13" fillId="3" borderId="12" xfId="5" applyNumberFormat="1" applyFont="1" applyFill="1" applyBorder="1"/>
    <xf numFmtId="4" fontId="13" fillId="3" borderId="14" xfId="5" applyNumberFormat="1" applyFont="1" applyFill="1" applyBorder="1"/>
    <xf numFmtId="3" fontId="14" fillId="10" borderId="0" xfId="0" applyNumberFormat="1" applyFont="1" applyFill="1" applyAlignment="1">
      <alignment horizontal="right" vertical="center" wrapText="1"/>
    </xf>
    <xf numFmtId="49" fontId="14" fillId="10" borderId="45" xfId="0" applyNumberFormat="1" applyFont="1" applyFill="1" applyBorder="1" applyAlignment="1">
      <alignment horizontal="right" vertical="center" wrapText="1"/>
    </xf>
    <xf numFmtId="3" fontId="27" fillId="0" borderId="0" xfId="5" applyNumberFormat="1" applyFont="1" applyAlignment="1">
      <alignment horizontal="center"/>
    </xf>
    <xf numFmtId="3" fontId="27" fillId="0" borderId="1" xfId="5" applyNumberFormat="1" applyFont="1" applyBorder="1" applyAlignment="1">
      <alignment horizontal="right"/>
    </xf>
    <xf numFmtId="4" fontId="27" fillId="0" borderId="1" xfId="5" applyNumberFormat="1" applyFont="1" applyBorder="1" applyAlignment="1">
      <alignment horizontal="right"/>
    </xf>
    <xf numFmtId="4" fontId="27" fillId="0" borderId="10" xfId="5" applyNumberFormat="1" applyFont="1" applyBorder="1"/>
    <xf numFmtId="4" fontId="27" fillId="0" borderId="10" xfId="5" applyNumberFormat="1" applyFont="1" applyBorder="1" applyAlignment="1">
      <alignment horizontal="right"/>
    </xf>
    <xf numFmtId="3" fontId="39" fillId="7" borderId="38" xfId="5" applyNumberFormat="1" applyFont="1" applyFill="1" applyBorder="1"/>
    <xf numFmtId="4" fontId="13" fillId="3" borderId="9" xfId="5" applyNumberFormat="1" applyFont="1" applyFill="1" applyBorder="1"/>
    <xf numFmtId="4" fontId="13" fillId="3" borderId="9" xfId="5" applyNumberFormat="1" applyFont="1" applyFill="1" applyBorder="1" applyAlignment="1">
      <alignment horizontal="right"/>
    </xf>
    <xf numFmtId="4" fontId="37" fillId="3" borderId="9" xfId="5" applyNumberFormat="1" applyFont="1" applyFill="1" applyBorder="1"/>
    <xf numFmtId="4" fontId="13" fillId="3" borderId="13" xfId="5" applyNumberFormat="1" applyFont="1" applyFill="1" applyBorder="1"/>
    <xf numFmtId="3" fontId="13" fillId="3" borderId="28" xfId="5" applyNumberFormat="1" applyFont="1" applyFill="1" applyBorder="1"/>
    <xf numFmtId="3" fontId="13" fillId="3" borderId="28" xfId="5" applyNumberFormat="1" applyFont="1" applyFill="1" applyBorder="1" applyAlignment="1">
      <alignment horizontal="right"/>
    </xf>
    <xf numFmtId="3" fontId="37" fillId="3" borderId="28" xfId="5" applyNumberFormat="1" applyFont="1" applyFill="1" applyBorder="1"/>
    <xf numFmtId="3" fontId="13" fillId="3" borderId="41" xfId="5" applyNumberFormat="1" applyFont="1" applyFill="1" applyBorder="1"/>
    <xf numFmtId="3" fontId="7" fillId="0" borderId="1" xfId="0" applyNumberFormat="1" applyFont="1" applyBorder="1"/>
    <xf numFmtId="4" fontId="9" fillId="0" borderId="10" xfId="0" applyNumberFormat="1" applyFont="1" applyBorder="1"/>
    <xf numFmtId="4" fontId="7" fillId="0" borderId="1" xfId="0" applyNumberFormat="1" applyFont="1" applyBorder="1"/>
    <xf numFmtId="3" fontId="7" fillId="0" borderId="24" xfId="0" applyNumberFormat="1" applyFont="1" applyBorder="1"/>
    <xf numFmtId="4" fontId="7" fillId="0" borderId="24" xfId="0" applyNumberFormat="1" applyFont="1" applyBorder="1"/>
    <xf numFmtId="4" fontId="9" fillId="0" borderId="25" xfId="0" applyNumberFormat="1" applyFont="1" applyBorder="1"/>
    <xf numFmtId="4" fontId="7" fillId="0" borderId="10" xfId="0" applyNumberFormat="1" applyFont="1" applyBorder="1"/>
    <xf numFmtId="3" fontId="7" fillId="11" borderId="1" xfId="0" applyNumberFormat="1" applyFont="1" applyFill="1" applyBorder="1"/>
    <xf numFmtId="4" fontId="8" fillId="0" borderId="32" xfId="5" applyNumberFormat="1" applyFont="1" applyBorder="1"/>
    <xf numFmtId="4" fontId="8" fillId="0" borderId="9" xfId="5" applyNumberFormat="1" applyFont="1" applyBorder="1"/>
    <xf numFmtId="4" fontId="14" fillId="3" borderId="9" xfId="5" applyNumberFormat="1" applyFont="1" applyFill="1" applyBorder="1"/>
    <xf numFmtId="4" fontId="14" fillId="3" borderId="9" xfId="5" applyNumberFormat="1" applyFont="1" applyFill="1" applyBorder="1" applyAlignment="1">
      <alignment horizontal="right"/>
    </xf>
    <xf numFmtId="4" fontId="14" fillId="3" borderId="13" xfId="5" applyNumberFormat="1" applyFont="1" applyFill="1" applyBorder="1"/>
    <xf numFmtId="0" fontId="2" fillId="0" borderId="0" xfId="5" applyFont="1" applyAlignment="1">
      <alignment horizontal="center"/>
    </xf>
    <xf numFmtId="4" fontId="13" fillId="4" borderId="19" xfId="0" applyNumberFormat="1" applyFont="1" applyFill="1" applyBorder="1"/>
    <xf numFmtId="3" fontId="13" fillId="4" borderId="70" xfId="0" applyNumberFormat="1" applyFont="1" applyFill="1" applyBorder="1"/>
    <xf numFmtId="3" fontId="1" fillId="0" borderId="0" xfId="9" applyNumberFormat="1" applyFont="1"/>
    <xf numFmtId="2" fontId="36" fillId="0" borderId="24" xfId="5" applyNumberFormat="1" applyFont="1" applyBorder="1"/>
    <xf numFmtId="2" fontId="27" fillId="0" borderId="24" xfId="5" applyNumberFormat="1" applyFont="1" applyBorder="1"/>
    <xf numFmtId="2" fontId="36" fillId="0" borderId="25" xfId="5" applyNumberFormat="1" applyFont="1" applyBorder="1"/>
    <xf numFmtId="2" fontId="36" fillId="0" borderId="1" xfId="5" applyNumberFormat="1" applyFont="1" applyBorder="1"/>
    <xf numFmtId="2" fontId="27" fillId="0" borderId="1" xfId="5" applyNumberFormat="1" applyFont="1" applyBorder="1"/>
    <xf numFmtId="2" fontId="36" fillId="0" borderId="10" xfId="5" applyNumberFormat="1" applyFont="1" applyBorder="1"/>
    <xf numFmtId="4" fontId="13" fillId="3" borderId="8" xfId="9" applyNumberFormat="1" applyFont="1" applyFill="1" applyBorder="1"/>
    <xf numFmtId="0" fontId="8" fillId="0" borderId="1" xfId="0" applyFont="1" applyBorder="1" applyProtection="1">
      <protection locked="0"/>
    </xf>
    <xf numFmtId="0" fontId="14" fillId="3" borderId="1" xfId="0" applyFont="1" applyFill="1" applyBorder="1" applyProtection="1">
      <protection locked="0"/>
    </xf>
    <xf numFmtId="4" fontId="13" fillId="7" borderId="17" xfId="9" applyNumberFormat="1" applyFont="1" applyFill="1" applyBorder="1"/>
    <xf numFmtId="3" fontId="24" fillId="3" borderId="41" xfId="9" applyNumberFormat="1" applyFont="1" applyFill="1" applyBorder="1"/>
    <xf numFmtId="2" fontId="13" fillId="3" borderId="1" xfId="9" applyNumberFormat="1" applyFont="1" applyFill="1" applyBorder="1"/>
    <xf numFmtId="2" fontId="24" fillId="3" borderId="1" xfId="9" applyNumberFormat="1" applyFont="1" applyFill="1" applyBorder="1"/>
    <xf numFmtId="2" fontId="13" fillId="3" borderId="10" xfId="9" applyNumberFormat="1" applyFont="1" applyFill="1" applyBorder="1"/>
    <xf numFmtId="2" fontId="24" fillId="3" borderId="10" xfId="9" applyNumberFormat="1" applyFont="1" applyFill="1" applyBorder="1"/>
    <xf numFmtId="2" fontId="24" fillId="3" borderId="12" xfId="9" applyNumberFormat="1" applyFont="1" applyFill="1" applyBorder="1"/>
    <xf numFmtId="2" fontId="24" fillId="3" borderId="14" xfId="9" applyNumberFormat="1" applyFont="1" applyFill="1" applyBorder="1"/>
    <xf numFmtId="4" fontId="14" fillId="3" borderId="28" xfId="9" applyNumberFormat="1" applyFont="1" applyFill="1" applyBorder="1"/>
    <xf numFmtId="3" fontId="13" fillId="3" borderId="41" xfId="9" applyNumberFormat="1" applyFont="1" applyFill="1" applyBorder="1"/>
    <xf numFmtId="0" fontId="41" fillId="0" borderId="0" xfId="0" applyFont="1"/>
    <xf numFmtId="0" fontId="45" fillId="0" borderId="0" xfId="0" applyFont="1"/>
    <xf numFmtId="0" fontId="50" fillId="0" borderId="0" xfId="5" applyFont="1" applyAlignment="1">
      <alignment horizontal="left"/>
    </xf>
    <xf numFmtId="0" fontId="50" fillId="0" borderId="0" xfId="5" applyFont="1" applyAlignment="1">
      <alignment horizontal="center"/>
    </xf>
    <xf numFmtId="0" fontId="50" fillId="0" borderId="0" xfId="5" applyFont="1" applyAlignment="1">
      <alignment horizontal="right"/>
    </xf>
    <xf numFmtId="0" fontId="51" fillId="0" borderId="0" xfId="0" applyFont="1" applyAlignment="1">
      <alignment vertical="center"/>
    </xf>
    <xf numFmtId="0" fontId="52" fillId="0" borderId="0" xfId="0" applyFont="1"/>
    <xf numFmtId="0" fontId="53" fillId="0" borderId="0" xfId="0" applyFont="1"/>
    <xf numFmtId="0" fontId="53" fillId="0" borderId="0" xfId="0" applyFont="1" applyAlignment="1">
      <alignment vertical="center"/>
    </xf>
    <xf numFmtId="4" fontId="14" fillId="4" borderId="34" xfId="0" applyNumberFormat="1" applyFont="1" applyFill="1" applyBorder="1" applyAlignment="1">
      <alignment horizontal="center" vertical="center" wrapText="1"/>
    </xf>
    <xf numFmtId="4" fontId="14" fillId="4" borderId="53" xfId="0" applyNumberFormat="1" applyFont="1" applyFill="1" applyBorder="1" applyAlignment="1">
      <alignment horizontal="center" vertical="center" wrapText="1"/>
    </xf>
    <xf numFmtId="4" fontId="14" fillId="4" borderId="47" xfId="0" applyNumberFormat="1" applyFont="1" applyFill="1" applyBorder="1" applyAlignment="1">
      <alignment horizontal="center" vertical="center" wrapText="1"/>
    </xf>
    <xf numFmtId="4" fontId="14" fillId="0" borderId="36" xfId="0" applyNumberFormat="1" applyFont="1" applyBorder="1" applyAlignment="1">
      <alignment horizontal="left"/>
    </xf>
    <xf numFmtId="4" fontId="14" fillId="0" borderId="57" xfId="0" applyNumberFormat="1" applyFont="1" applyBorder="1" applyAlignment="1">
      <alignment horizontal="left"/>
    </xf>
    <xf numFmtId="4" fontId="14" fillId="0" borderId="6" xfId="0" applyNumberFormat="1" applyFont="1" applyBorder="1" applyAlignment="1">
      <alignment horizontal="left"/>
    </xf>
    <xf numFmtId="4" fontId="14" fillId="0" borderId="31" xfId="0" applyNumberFormat="1" applyFont="1" applyBorder="1" applyAlignment="1">
      <alignment horizontal="left"/>
    </xf>
    <xf numFmtId="4" fontId="14" fillId="5" borderId="30" xfId="0" applyNumberFormat="1" applyFont="1" applyFill="1" applyBorder="1" applyAlignment="1">
      <alignment horizontal="center" vertical="center"/>
    </xf>
    <xf numFmtId="4" fontId="14" fillId="5" borderId="29" xfId="0" applyNumberFormat="1" applyFont="1" applyFill="1" applyBorder="1" applyAlignment="1">
      <alignment horizontal="center" vertical="center"/>
    </xf>
    <xf numFmtId="4" fontId="14" fillId="5" borderId="6" xfId="0" applyNumberFormat="1" applyFont="1" applyFill="1" applyBorder="1" applyAlignment="1">
      <alignment horizontal="center" vertical="center"/>
    </xf>
    <xf numFmtId="4" fontId="14" fillId="5" borderId="37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left"/>
    </xf>
    <xf numFmtId="3" fontId="14" fillId="5" borderId="21" xfId="0" applyNumberFormat="1" applyFont="1" applyFill="1" applyBorder="1" applyAlignment="1">
      <alignment horizontal="center" vertical="center" wrapText="1"/>
    </xf>
    <xf numFmtId="3" fontId="14" fillId="5" borderId="53" xfId="0" applyNumberFormat="1" applyFont="1" applyFill="1" applyBorder="1" applyAlignment="1">
      <alignment horizontal="center" vertical="center" wrapText="1"/>
    </xf>
    <xf numFmtId="3" fontId="14" fillId="5" borderId="47" xfId="0" applyNumberFormat="1" applyFont="1" applyFill="1" applyBorder="1" applyAlignment="1">
      <alignment horizontal="center" vertical="center" wrapText="1"/>
    </xf>
    <xf numFmtId="4" fontId="14" fillId="5" borderId="30" xfId="0" applyNumberFormat="1" applyFont="1" applyFill="1" applyBorder="1" applyAlignment="1">
      <alignment horizontal="center" vertical="center" wrapText="1"/>
    </xf>
    <xf numFmtId="4" fontId="14" fillId="5" borderId="49" xfId="0" applyNumberFormat="1" applyFont="1" applyFill="1" applyBorder="1" applyAlignment="1">
      <alignment horizontal="center" vertical="center" wrapText="1"/>
    </xf>
    <xf numFmtId="4" fontId="14" fillId="5" borderId="54" xfId="0" applyNumberFormat="1" applyFont="1" applyFill="1" applyBorder="1" applyAlignment="1">
      <alignment horizontal="center" vertical="center" wrapText="1"/>
    </xf>
    <xf numFmtId="4" fontId="14" fillId="5" borderId="6" xfId="0" applyNumberFormat="1" applyFont="1" applyFill="1" applyBorder="1" applyAlignment="1">
      <alignment horizontal="center" vertical="center" wrapText="1"/>
    </xf>
    <xf numFmtId="4" fontId="14" fillId="5" borderId="39" xfId="0" applyNumberFormat="1" applyFont="1" applyFill="1" applyBorder="1" applyAlignment="1">
      <alignment horizontal="center" vertical="center" wrapText="1"/>
    </xf>
    <xf numFmtId="4" fontId="14" fillId="5" borderId="31" xfId="0" applyNumberFormat="1" applyFont="1" applyFill="1" applyBorder="1" applyAlignment="1">
      <alignment horizontal="center" vertical="center" wrapText="1"/>
    </xf>
    <xf numFmtId="3" fontId="12" fillId="4" borderId="33" xfId="2" applyNumberFormat="1" applyFont="1" applyFill="1" applyBorder="1" applyAlignment="1">
      <alignment horizontal="center" vertical="center" wrapText="1"/>
    </xf>
    <xf numFmtId="3" fontId="12" fillId="4" borderId="50" xfId="2" applyNumberFormat="1" applyFont="1" applyFill="1" applyBorder="1" applyAlignment="1">
      <alignment horizontal="center" vertical="center" wrapText="1"/>
    </xf>
    <xf numFmtId="3" fontId="12" fillId="4" borderId="38" xfId="2" applyNumberFormat="1" applyFont="1" applyFill="1" applyBorder="1" applyAlignment="1">
      <alignment horizontal="center" vertical="center" wrapText="1"/>
    </xf>
    <xf numFmtId="3" fontId="14" fillId="0" borderId="36" xfId="0" applyNumberFormat="1" applyFont="1" applyBorder="1" applyAlignment="1">
      <alignment horizontal="left"/>
    </xf>
    <xf numFmtId="3" fontId="14" fillId="0" borderId="55" xfId="0" applyNumberFormat="1" applyFont="1" applyBorder="1" applyAlignment="1">
      <alignment horizontal="left"/>
    </xf>
    <xf numFmtId="3" fontId="14" fillId="0" borderId="56" xfId="0" applyNumberFormat="1" applyFont="1" applyBorder="1" applyAlignment="1">
      <alignment horizontal="left"/>
    </xf>
    <xf numFmtId="3" fontId="14" fillId="0" borderId="6" xfId="0" applyNumberFormat="1" applyFont="1" applyBorder="1" applyAlignment="1">
      <alignment horizontal="left"/>
    </xf>
    <xf numFmtId="3" fontId="14" fillId="0" borderId="39" xfId="0" applyNumberFormat="1" applyFont="1" applyBorder="1" applyAlignment="1">
      <alignment horizontal="left"/>
    </xf>
    <xf numFmtId="3" fontId="14" fillId="0" borderId="37" xfId="0" applyNumberFormat="1" applyFont="1" applyBorder="1" applyAlignment="1">
      <alignment horizontal="left"/>
    </xf>
    <xf numFmtId="3" fontId="17" fillId="4" borderId="58" xfId="0" applyNumberFormat="1" applyFont="1" applyFill="1" applyBorder="1" applyAlignment="1">
      <alignment horizontal="center"/>
    </xf>
    <xf numFmtId="3" fontId="17" fillId="4" borderId="55" xfId="0" applyNumberFormat="1" applyFont="1" applyFill="1" applyBorder="1" applyAlignment="1">
      <alignment horizontal="center"/>
    </xf>
    <xf numFmtId="3" fontId="17" fillId="4" borderId="57" xfId="0" applyNumberFormat="1" applyFont="1" applyFill="1" applyBorder="1" applyAlignment="1">
      <alignment horizontal="center"/>
    </xf>
    <xf numFmtId="3" fontId="17" fillId="4" borderId="60" xfId="0" applyNumberFormat="1" applyFont="1" applyFill="1" applyBorder="1" applyAlignment="1">
      <alignment horizontal="center"/>
    </xf>
    <xf numFmtId="3" fontId="17" fillId="4" borderId="45" xfId="0" applyNumberFormat="1" applyFont="1" applyFill="1" applyBorder="1" applyAlignment="1">
      <alignment horizontal="center"/>
    </xf>
    <xf numFmtId="3" fontId="17" fillId="4" borderId="44" xfId="0" applyNumberFormat="1" applyFont="1" applyFill="1" applyBorder="1" applyAlignment="1">
      <alignment horizontal="center"/>
    </xf>
    <xf numFmtId="3" fontId="23" fillId="5" borderId="64" xfId="0" applyNumberFormat="1" applyFont="1" applyFill="1" applyBorder="1" applyAlignment="1">
      <alignment horizontal="center" vertical="center"/>
    </xf>
    <xf numFmtId="3" fontId="23" fillId="5" borderId="65" xfId="0" applyNumberFormat="1" applyFont="1" applyFill="1" applyBorder="1" applyAlignment="1">
      <alignment horizontal="center" vertical="center"/>
    </xf>
    <xf numFmtId="3" fontId="23" fillId="5" borderId="58" xfId="0" applyNumberFormat="1" applyFont="1" applyFill="1" applyBorder="1" applyAlignment="1">
      <alignment horizontal="center" vertical="center"/>
    </xf>
    <xf numFmtId="3" fontId="23" fillId="5" borderId="55" xfId="0" applyNumberFormat="1" applyFont="1" applyFill="1" applyBorder="1" applyAlignment="1">
      <alignment horizontal="center" vertical="center"/>
    </xf>
    <xf numFmtId="3" fontId="23" fillId="5" borderId="57" xfId="0" applyNumberFormat="1" applyFont="1" applyFill="1" applyBorder="1" applyAlignment="1">
      <alignment horizontal="center" vertical="center"/>
    </xf>
    <xf numFmtId="3" fontId="23" fillId="5" borderId="60" xfId="0" applyNumberFormat="1" applyFont="1" applyFill="1" applyBorder="1" applyAlignment="1">
      <alignment horizontal="center" vertical="center"/>
    </xf>
    <xf numFmtId="3" fontId="23" fillId="5" borderId="45" xfId="0" applyNumberFormat="1" applyFont="1" applyFill="1" applyBorder="1" applyAlignment="1">
      <alignment horizontal="center" vertical="center"/>
    </xf>
    <xf numFmtId="3" fontId="23" fillId="5" borderId="44" xfId="0" applyNumberFormat="1" applyFont="1" applyFill="1" applyBorder="1" applyAlignment="1">
      <alignment horizontal="center" vertical="center"/>
    </xf>
    <xf numFmtId="3" fontId="24" fillId="5" borderId="49" xfId="0" applyNumberFormat="1" applyFont="1" applyFill="1" applyBorder="1" applyAlignment="1">
      <alignment horizontal="center" vertical="center" wrapText="1"/>
    </xf>
    <xf numFmtId="3" fontId="24" fillId="5" borderId="29" xfId="0" applyNumberFormat="1" applyFont="1" applyFill="1" applyBorder="1" applyAlignment="1">
      <alignment horizontal="center" vertical="center" wrapText="1"/>
    </xf>
    <xf numFmtId="3" fontId="24" fillId="5" borderId="0" xfId="0" applyNumberFormat="1" applyFont="1" applyFill="1" applyAlignment="1">
      <alignment horizontal="center" vertical="center" wrapText="1"/>
    </xf>
    <xf numFmtId="3" fontId="24" fillId="5" borderId="52" xfId="0" applyNumberFormat="1" applyFont="1" applyFill="1" applyBorder="1" applyAlignment="1">
      <alignment horizontal="center" vertical="center" wrapText="1"/>
    </xf>
    <xf numFmtId="3" fontId="24" fillId="5" borderId="39" xfId="0" applyNumberFormat="1" applyFont="1" applyFill="1" applyBorder="1" applyAlignment="1">
      <alignment horizontal="center" vertical="center" wrapText="1"/>
    </xf>
    <xf numFmtId="3" fontId="24" fillId="5" borderId="37" xfId="0" applyNumberFormat="1" applyFont="1" applyFill="1" applyBorder="1" applyAlignment="1">
      <alignment horizontal="center" vertical="center" wrapText="1"/>
    </xf>
    <xf numFmtId="3" fontId="24" fillId="5" borderId="30" xfId="0" applyNumberFormat="1" applyFont="1" applyFill="1" applyBorder="1" applyAlignment="1">
      <alignment horizontal="center" vertical="center" wrapText="1"/>
    </xf>
    <xf numFmtId="3" fontId="24" fillId="5" borderId="51" xfId="0" applyNumberFormat="1" applyFont="1" applyFill="1" applyBorder="1" applyAlignment="1">
      <alignment horizontal="center" vertical="center" wrapText="1"/>
    </xf>
    <xf numFmtId="3" fontId="24" fillId="5" borderId="6" xfId="0" applyNumberFormat="1" applyFont="1" applyFill="1" applyBorder="1" applyAlignment="1">
      <alignment horizontal="center" vertical="center" wrapText="1"/>
    </xf>
    <xf numFmtId="3" fontId="14" fillId="5" borderId="49" xfId="0" applyNumberFormat="1" applyFont="1" applyFill="1" applyBorder="1" applyAlignment="1">
      <alignment horizontal="center" vertical="center"/>
    </xf>
    <xf numFmtId="3" fontId="14" fillId="5" borderId="29" xfId="0" applyNumberFormat="1" applyFont="1" applyFill="1" applyBorder="1" applyAlignment="1">
      <alignment horizontal="center" vertical="center"/>
    </xf>
    <xf numFmtId="3" fontId="14" fillId="5" borderId="0" xfId="0" applyNumberFormat="1" applyFont="1" applyFill="1" applyAlignment="1">
      <alignment horizontal="center" vertical="center"/>
    </xf>
    <xf numFmtId="3" fontId="14" fillId="5" borderId="52" xfId="0" applyNumberFormat="1" applyFont="1" applyFill="1" applyBorder="1" applyAlignment="1">
      <alignment horizontal="center" vertical="center"/>
    </xf>
    <xf numFmtId="3" fontId="14" fillId="5" borderId="39" xfId="0" applyNumberFormat="1" applyFont="1" applyFill="1" applyBorder="1" applyAlignment="1">
      <alignment horizontal="center" vertical="center"/>
    </xf>
    <xf numFmtId="3" fontId="14" fillId="5" borderId="37" xfId="0" applyNumberFormat="1" applyFont="1" applyFill="1" applyBorder="1" applyAlignment="1">
      <alignment horizontal="center" vertical="center"/>
    </xf>
    <xf numFmtId="4" fontId="14" fillId="5" borderId="9" xfId="0" applyNumberFormat="1" applyFont="1" applyFill="1" applyBorder="1" applyAlignment="1">
      <alignment horizontal="center" vertical="center"/>
    </xf>
    <xf numFmtId="4" fontId="14" fillId="5" borderId="48" xfId="0" applyNumberFormat="1" applyFont="1" applyFill="1" applyBorder="1" applyAlignment="1">
      <alignment horizontal="center" vertical="center"/>
    </xf>
    <xf numFmtId="4" fontId="14" fillId="5" borderId="67" xfId="0" applyNumberFormat="1" applyFont="1" applyFill="1" applyBorder="1" applyAlignment="1">
      <alignment horizontal="center" vertical="center"/>
    </xf>
    <xf numFmtId="4" fontId="14" fillId="5" borderId="9" xfId="0" applyNumberFormat="1" applyFont="1" applyFill="1" applyBorder="1" applyAlignment="1">
      <alignment horizontal="center" vertical="center" wrapText="1"/>
    </xf>
    <xf numFmtId="4" fontId="14" fillId="5" borderId="28" xfId="0" applyNumberFormat="1" applyFont="1" applyFill="1" applyBorder="1" applyAlignment="1">
      <alignment horizontal="center" vertical="center" wrapText="1"/>
    </xf>
    <xf numFmtId="4" fontId="14" fillId="5" borderId="21" xfId="0" applyNumberFormat="1" applyFont="1" applyFill="1" applyBorder="1" applyAlignment="1">
      <alignment horizontal="center" vertical="center" wrapText="1"/>
    </xf>
    <xf numFmtId="4" fontId="14" fillId="5" borderId="5" xfId="0" applyNumberFormat="1" applyFont="1" applyFill="1" applyBorder="1" applyAlignment="1">
      <alignment horizontal="center" vertical="center" wrapText="1"/>
    </xf>
    <xf numFmtId="0" fontId="18" fillId="0" borderId="0" xfId="5" applyFont="1" applyAlignment="1">
      <alignment horizontal="left"/>
    </xf>
    <xf numFmtId="4" fontId="18" fillId="0" borderId="0" xfId="0" applyNumberFormat="1" applyFont="1" applyAlignment="1">
      <alignment horizontal="left" wrapText="1"/>
    </xf>
  </cellXfs>
  <cellStyles count="14">
    <cellStyle name="Čárka 2" xfId="1" xr:uid="{00000000-0005-0000-0000-000000000000}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3 2" xfId="9" xr:uid="{00000000-0005-0000-0000-000006000000}"/>
    <cellStyle name="Normální 3 2 2" xfId="13" xr:uid="{6066B6DD-C924-4CAE-BEC1-CF19621A073D}"/>
    <cellStyle name="Normální 3 3" xfId="10" xr:uid="{3DFF5D6A-4994-4D60-9119-BDEA64BE0DD2}"/>
    <cellStyle name="Normální 4" xfId="5" xr:uid="{00000000-0005-0000-0000-000007000000}"/>
    <cellStyle name="Normální 4 2" xfId="8" xr:uid="{00000000-0005-0000-0000-000008000000}"/>
    <cellStyle name="Normální 4 2 2" xfId="12" xr:uid="{9078EBA9-0647-4894-A55D-B16827985307}"/>
    <cellStyle name="Normální 4 3" xfId="11" xr:uid="{5B0BD19E-74AB-430D-9680-0699EF7CCD9F}"/>
    <cellStyle name="normální_OIII.TURN.e" xfId="4" xr:uid="{00000000-0005-0000-0000-000009000000}"/>
  </cellStyles>
  <dxfs count="0"/>
  <tableStyles count="0" defaultTableStyle="TableStyleMedium2" defaultPivotStyle="PivotStyleLight16"/>
  <colors>
    <mruColors>
      <color rgb="FF99FF99"/>
      <color rgb="FFFF66FF"/>
      <color rgb="FFFABF8F"/>
      <color rgb="FF99CCFF"/>
      <color rgb="FFCC3300"/>
      <color rgb="FFCC6600"/>
      <color rgb="FFA6A6A6"/>
      <color rgb="FFFF5050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58.xml"/><Relationship Id="rId671" Type="http://schemas.openxmlformats.org/officeDocument/2006/relationships/customXml" Target="../ink/ink411.xml"/><Relationship Id="rId769" Type="http://schemas.openxmlformats.org/officeDocument/2006/relationships/customXml" Target="../ink/ink509.xml"/><Relationship Id="rId21" Type="http://schemas.openxmlformats.org/officeDocument/2006/relationships/customXml" Target="../ink/ink10.xml"/><Relationship Id="rId324" Type="http://schemas.openxmlformats.org/officeDocument/2006/relationships/image" Target="NULL"/><Relationship Id="rId531" Type="http://schemas.openxmlformats.org/officeDocument/2006/relationships/customXml" Target="../ink/ink271.xml"/><Relationship Id="rId629" Type="http://schemas.openxmlformats.org/officeDocument/2006/relationships/customXml" Target="../ink/ink369.xml"/><Relationship Id="rId170" Type="http://schemas.openxmlformats.org/officeDocument/2006/relationships/image" Target="NULL"/><Relationship Id="rId836" Type="http://schemas.openxmlformats.org/officeDocument/2006/relationships/customXml" Target="../ink/ink576.xml"/><Relationship Id="rId268" Type="http://schemas.openxmlformats.org/officeDocument/2006/relationships/image" Target="NULL"/><Relationship Id="rId475" Type="http://schemas.openxmlformats.org/officeDocument/2006/relationships/customXml" Target="../ink/ink237.xml"/><Relationship Id="rId682" Type="http://schemas.openxmlformats.org/officeDocument/2006/relationships/customXml" Target="../ink/ink422.xml"/><Relationship Id="rId903" Type="http://schemas.openxmlformats.org/officeDocument/2006/relationships/customXml" Target="../ink/ink643.xml"/><Relationship Id="rId32" Type="http://schemas.openxmlformats.org/officeDocument/2006/relationships/image" Target="NULL"/><Relationship Id="rId128" Type="http://schemas.openxmlformats.org/officeDocument/2006/relationships/image" Target="NULL"/><Relationship Id="rId335" Type="http://schemas.openxmlformats.org/officeDocument/2006/relationships/customXml" Target="../ink/ink167.xml"/><Relationship Id="rId542" Type="http://schemas.openxmlformats.org/officeDocument/2006/relationships/customXml" Target="../ink/ink282.xml"/><Relationship Id="rId181" Type="http://schemas.openxmlformats.org/officeDocument/2006/relationships/customXml" Target="../ink/ink90.xml"/><Relationship Id="rId402" Type="http://schemas.openxmlformats.org/officeDocument/2006/relationships/image" Target="NULL"/><Relationship Id="rId847" Type="http://schemas.openxmlformats.org/officeDocument/2006/relationships/customXml" Target="../ink/ink587.xml"/><Relationship Id="rId279" Type="http://schemas.openxmlformats.org/officeDocument/2006/relationships/customXml" Target="../ink/ink139.xml"/><Relationship Id="rId486" Type="http://schemas.openxmlformats.org/officeDocument/2006/relationships/image" Target="NULL"/><Relationship Id="rId693" Type="http://schemas.openxmlformats.org/officeDocument/2006/relationships/customXml" Target="../ink/ink433.xml"/><Relationship Id="rId707" Type="http://schemas.openxmlformats.org/officeDocument/2006/relationships/customXml" Target="../ink/ink447.xml"/><Relationship Id="rId43" Type="http://schemas.openxmlformats.org/officeDocument/2006/relationships/customXml" Target="../ink/ink21.xml"/><Relationship Id="rId139" Type="http://schemas.openxmlformats.org/officeDocument/2006/relationships/customXml" Target="../ink/ink69.xml"/><Relationship Id="rId346" Type="http://schemas.openxmlformats.org/officeDocument/2006/relationships/image" Target="NULL"/><Relationship Id="rId553" Type="http://schemas.openxmlformats.org/officeDocument/2006/relationships/customXml" Target="../ink/ink293.xml"/><Relationship Id="rId760" Type="http://schemas.openxmlformats.org/officeDocument/2006/relationships/customXml" Target="../ink/ink500.xml"/><Relationship Id="rId192" Type="http://schemas.openxmlformats.org/officeDocument/2006/relationships/image" Target="NULL"/><Relationship Id="rId206" Type="http://schemas.openxmlformats.org/officeDocument/2006/relationships/image" Target="NULL"/><Relationship Id="rId413" Type="http://schemas.openxmlformats.org/officeDocument/2006/relationships/customXml" Target="../ink/ink206.xml"/><Relationship Id="rId858" Type="http://schemas.openxmlformats.org/officeDocument/2006/relationships/customXml" Target="../ink/ink598.xml"/><Relationship Id="rId497" Type="http://schemas.openxmlformats.org/officeDocument/2006/relationships/customXml" Target="../ink/ink248.xml"/><Relationship Id="rId620" Type="http://schemas.openxmlformats.org/officeDocument/2006/relationships/customXml" Target="../ink/ink360.xml"/><Relationship Id="rId718" Type="http://schemas.openxmlformats.org/officeDocument/2006/relationships/customXml" Target="../ink/ink458.xml"/><Relationship Id="rId357" Type="http://schemas.openxmlformats.org/officeDocument/2006/relationships/customXml" Target="../ink/ink178.xml"/><Relationship Id="rId54" Type="http://schemas.openxmlformats.org/officeDocument/2006/relationships/image" Target="NULL"/><Relationship Id="rId217" Type="http://schemas.openxmlformats.org/officeDocument/2006/relationships/customXml" Target="../ink/ink108.xml"/><Relationship Id="rId564" Type="http://schemas.openxmlformats.org/officeDocument/2006/relationships/customXml" Target="../ink/ink304.xml"/><Relationship Id="rId771" Type="http://schemas.openxmlformats.org/officeDocument/2006/relationships/customXml" Target="../ink/ink511.xml"/><Relationship Id="rId869" Type="http://schemas.openxmlformats.org/officeDocument/2006/relationships/customXml" Target="../ink/ink609.xml"/><Relationship Id="rId424" Type="http://schemas.openxmlformats.org/officeDocument/2006/relationships/image" Target="NULL"/><Relationship Id="rId631" Type="http://schemas.openxmlformats.org/officeDocument/2006/relationships/customXml" Target="../ink/ink371.xml"/><Relationship Id="rId729" Type="http://schemas.openxmlformats.org/officeDocument/2006/relationships/customXml" Target="../ink/ink469.xml"/><Relationship Id="rId270" Type="http://schemas.openxmlformats.org/officeDocument/2006/relationships/image" Target="NULL"/><Relationship Id="rId65" Type="http://schemas.openxmlformats.org/officeDocument/2006/relationships/customXml" Target="../ink/ink32.xml"/><Relationship Id="rId130" Type="http://schemas.openxmlformats.org/officeDocument/2006/relationships/image" Target="NULL"/><Relationship Id="rId368" Type="http://schemas.openxmlformats.org/officeDocument/2006/relationships/image" Target="NULL"/><Relationship Id="rId575" Type="http://schemas.openxmlformats.org/officeDocument/2006/relationships/customXml" Target="../ink/ink315.xml"/><Relationship Id="rId782" Type="http://schemas.openxmlformats.org/officeDocument/2006/relationships/customXml" Target="../ink/ink522.xml"/><Relationship Id="rId228" Type="http://schemas.openxmlformats.org/officeDocument/2006/relationships/image" Target="NULL"/><Relationship Id="rId435" Type="http://schemas.openxmlformats.org/officeDocument/2006/relationships/customXml" Target="../ink/ink217.xml"/><Relationship Id="rId642" Type="http://schemas.openxmlformats.org/officeDocument/2006/relationships/customXml" Target="../ink/ink382.xml"/><Relationship Id="rId281" Type="http://schemas.openxmlformats.org/officeDocument/2006/relationships/customXml" Target="../ink/ink140.xml"/><Relationship Id="rId502" Type="http://schemas.openxmlformats.org/officeDocument/2006/relationships/image" Target="NULL"/><Relationship Id="rId76" Type="http://schemas.openxmlformats.org/officeDocument/2006/relationships/image" Target="NULL"/><Relationship Id="rId141" Type="http://schemas.openxmlformats.org/officeDocument/2006/relationships/customXml" Target="../ink/ink70.xml"/><Relationship Id="rId379" Type="http://schemas.openxmlformats.org/officeDocument/2006/relationships/customXml" Target="../ink/ink189.xml"/><Relationship Id="rId586" Type="http://schemas.openxmlformats.org/officeDocument/2006/relationships/customXml" Target="../ink/ink326.xml"/><Relationship Id="rId793" Type="http://schemas.openxmlformats.org/officeDocument/2006/relationships/customXml" Target="../ink/ink533.xml"/><Relationship Id="rId807" Type="http://schemas.openxmlformats.org/officeDocument/2006/relationships/customXml" Target="../ink/ink547.xml"/><Relationship Id="rId7" Type="http://schemas.openxmlformats.org/officeDocument/2006/relationships/customXml" Target="../ink/ink3.xml"/><Relationship Id="rId239" Type="http://schemas.openxmlformats.org/officeDocument/2006/relationships/customXml" Target="../ink/ink119.xml"/><Relationship Id="rId446" Type="http://schemas.openxmlformats.org/officeDocument/2006/relationships/image" Target="NULL"/><Relationship Id="rId653" Type="http://schemas.openxmlformats.org/officeDocument/2006/relationships/customXml" Target="../ink/ink393.xml"/><Relationship Id="rId292" Type="http://schemas.openxmlformats.org/officeDocument/2006/relationships/image" Target="NULL"/><Relationship Id="rId306" Type="http://schemas.openxmlformats.org/officeDocument/2006/relationships/image" Target="NULL"/><Relationship Id="rId860" Type="http://schemas.openxmlformats.org/officeDocument/2006/relationships/customXml" Target="../ink/ink600.xml"/><Relationship Id="rId87" Type="http://schemas.openxmlformats.org/officeDocument/2006/relationships/customXml" Target="../ink/ink43.xml"/><Relationship Id="rId513" Type="http://schemas.openxmlformats.org/officeDocument/2006/relationships/customXml" Target="../ink/ink256.xml"/><Relationship Id="rId597" Type="http://schemas.openxmlformats.org/officeDocument/2006/relationships/customXml" Target="../ink/ink337.xml"/><Relationship Id="rId720" Type="http://schemas.openxmlformats.org/officeDocument/2006/relationships/customXml" Target="../ink/ink460.xml"/><Relationship Id="rId818" Type="http://schemas.openxmlformats.org/officeDocument/2006/relationships/customXml" Target="../ink/ink558.xml"/><Relationship Id="rId152" Type="http://schemas.openxmlformats.org/officeDocument/2006/relationships/image" Target="NULL"/><Relationship Id="rId457" Type="http://schemas.openxmlformats.org/officeDocument/2006/relationships/customXml" Target="../ink/ink228.xml"/><Relationship Id="rId664" Type="http://schemas.openxmlformats.org/officeDocument/2006/relationships/customXml" Target="../ink/ink404.xml"/><Relationship Id="rId871" Type="http://schemas.openxmlformats.org/officeDocument/2006/relationships/customXml" Target="../ink/ink611.xml"/><Relationship Id="rId14" Type="http://schemas.openxmlformats.org/officeDocument/2006/relationships/image" Target="NULL"/><Relationship Id="rId317" Type="http://schemas.openxmlformats.org/officeDocument/2006/relationships/customXml" Target="../ink/ink158.xml"/><Relationship Id="rId524" Type="http://schemas.openxmlformats.org/officeDocument/2006/relationships/customXml" Target="../ink/ink264.xml"/><Relationship Id="rId731" Type="http://schemas.openxmlformats.org/officeDocument/2006/relationships/customXml" Target="../ink/ink471.xml"/><Relationship Id="rId98" Type="http://schemas.openxmlformats.org/officeDocument/2006/relationships/image" Target="NULL"/><Relationship Id="rId163" Type="http://schemas.openxmlformats.org/officeDocument/2006/relationships/customXml" Target="../ink/ink81.xml"/><Relationship Id="rId370" Type="http://schemas.openxmlformats.org/officeDocument/2006/relationships/image" Target="NULL"/><Relationship Id="rId829" Type="http://schemas.openxmlformats.org/officeDocument/2006/relationships/customXml" Target="../ink/ink569.xml"/><Relationship Id="rId230" Type="http://schemas.openxmlformats.org/officeDocument/2006/relationships/image" Target="NULL"/><Relationship Id="rId468" Type="http://schemas.openxmlformats.org/officeDocument/2006/relationships/image" Target="NULL"/><Relationship Id="rId675" Type="http://schemas.openxmlformats.org/officeDocument/2006/relationships/customXml" Target="../ink/ink415.xml"/><Relationship Id="rId882" Type="http://schemas.openxmlformats.org/officeDocument/2006/relationships/customXml" Target="../ink/ink622.xml"/><Relationship Id="rId25" Type="http://schemas.openxmlformats.org/officeDocument/2006/relationships/customXml" Target="../ink/ink12.xml"/><Relationship Id="rId328" Type="http://schemas.openxmlformats.org/officeDocument/2006/relationships/image" Target="NULL"/><Relationship Id="rId535" Type="http://schemas.openxmlformats.org/officeDocument/2006/relationships/customXml" Target="../ink/ink275.xml"/><Relationship Id="rId742" Type="http://schemas.openxmlformats.org/officeDocument/2006/relationships/customXml" Target="../ink/ink482.xml"/><Relationship Id="rId174" Type="http://schemas.openxmlformats.org/officeDocument/2006/relationships/image" Target="NULL"/><Relationship Id="rId381" Type="http://schemas.openxmlformats.org/officeDocument/2006/relationships/customXml" Target="../ink/ink190.xml"/><Relationship Id="rId602" Type="http://schemas.openxmlformats.org/officeDocument/2006/relationships/customXml" Target="../ink/ink342.xml"/><Relationship Id="rId241" Type="http://schemas.openxmlformats.org/officeDocument/2006/relationships/customXml" Target="../ink/ink120.xml"/><Relationship Id="rId479" Type="http://schemas.openxmlformats.org/officeDocument/2006/relationships/customXml" Target="../ink/ink239.xml"/><Relationship Id="rId686" Type="http://schemas.openxmlformats.org/officeDocument/2006/relationships/customXml" Target="../ink/ink426.xml"/><Relationship Id="rId893" Type="http://schemas.openxmlformats.org/officeDocument/2006/relationships/customXml" Target="../ink/ink633.xml"/><Relationship Id="rId36" Type="http://schemas.openxmlformats.org/officeDocument/2006/relationships/image" Target="NULL"/><Relationship Id="rId339" Type="http://schemas.openxmlformats.org/officeDocument/2006/relationships/customXml" Target="../ink/ink169.xml"/><Relationship Id="rId546" Type="http://schemas.openxmlformats.org/officeDocument/2006/relationships/customXml" Target="../ink/ink286.xml"/><Relationship Id="rId753" Type="http://schemas.openxmlformats.org/officeDocument/2006/relationships/customXml" Target="../ink/ink493.xml"/><Relationship Id="rId101" Type="http://schemas.openxmlformats.org/officeDocument/2006/relationships/customXml" Target="../ink/ink50.xml"/><Relationship Id="rId185" Type="http://schemas.openxmlformats.org/officeDocument/2006/relationships/customXml" Target="../ink/ink92.xml"/><Relationship Id="rId406" Type="http://schemas.openxmlformats.org/officeDocument/2006/relationships/image" Target="NULL"/><Relationship Id="rId392" Type="http://schemas.openxmlformats.org/officeDocument/2006/relationships/image" Target="NULL"/><Relationship Id="rId613" Type="http://schemas.openxmlformats.org/officeDocument/2006/relationships/customXml" Target="../ink/ink353.xml"/><Relationship Id="rId697" Type="http://schemas.openxmlformats.org/officeDocument/2006/relationships/customXml" Target="../ink/ink437.xml"/><Relationship Id="rId820" Type="http://schemas.openxmlformats.org/officeDocument/2006/relationships/customXml" Target="../ink/ink560.xml"/><Relationship Id="rId252" Type="http://schemas.openxmlformats.org/officeDocument/2006/relationships/image" Target="NULL"/><Relationship Id="rId47" Type="http://schemas.openxmlformats.org/officeDocument/2006/relationships/customXml" Target="../ink/ink23.xml"/><Relationship Id="rId112" Type="http://schemas.openxmlformats.org/officeDocument/2006/relationships/image" Target="NULL"/><Relationship Id="rId557" Type="http://schemas.openxmlformats.org/officeDocument/2006/relationships/customXml" Target="../ink/ink297.xml"/><Relationship Id="rId764" Type="http://schemas.openxmlformats.org/officeDocument/2006/relationships/customXml" Target="../ink/ink504.xml"/><Relationship Id="rId196" Type="http://schemas.openxmlformats.org/officeDocument/2006/relationships/image" Target="NULL"/><Relationship Id="rId417" Type="http://schemas.openxmlformats.org/officeDocument/2006/relationships/customXml" Target="../ink/ink208.xml"/><Relationship Id="rId624" Type="http://schemas.openxmlformats.org/officeDocument/2006/relationships/customXml" Target="../ink/ink364.xml"/><Relationship Id="rId831" Type="http://schemas.openxmlformats.org/officeDocument/2006/relationships/customXml" Target="../ink/ink571.xml"/><Relationship Id="rId263" Type="http://schemas.openxmlformats.org/officeDocument/2006/relationships/customXml" Target="../ink/ink131.xml"/><Relationship Id="rId470" Type="http://schemas.openxmlformats.org/officeDocument/2006/relationships/image" Target="NULL"/><Relationship Id="rId58" Type="http://schemas.openxmlformats.org/officeDocument/2006/relationships/image" Target="NULL"/><Relationship Id="rId123" Type="http://schemas.openxmlformats.org/officeDocument/2006/relationships/customXml" Target="../ink/ink61.xml"/><Relationship Id="rId330" Type="http://schemas.openxmlformats.org/officeDocument/2006/relationships/image" Target="NULL"/><Relationship Id="rId568" Type="http://schemas.openxmlformats.org/officeDocument/2006/relationships/customXml" Target="../ink/ink308.xml"/><Relationship Id="rId775" Type="http://schemas.openxmlformats.org/officeDocument/2006/relationships/customXml" Target="../ink/ink515.xml"/><Relationship Id="rId428" Type="http://schemas.openxmlformats.org/officeDocument/2006/relationships/image" Target="NULL"/><Relationship Id="rId635" Type="http://schemas.openxmlformats.org/officeDocument/2006/relationships/customXml" Target="../ink/ink375.xml"/><Relationship Id="rId842" Type="http://schemas.openxmlformats.org/officeDocument/2006/relationships/customXml" Target="../ink/ink582.xml"/><Relationship Id="rId274" Type="http://schemas.openxmlformats.org/officeDocument/2006/relationships/image" Target="NULL"/><Relationship Id="rId481" Type="http://schemas.openxmlformats.org/officeDocument/2006/relationships/customXml" Target="../ink/ink240.xml"/><Relationship Id="rId702" Type="http://schemas.openxmlformats.org/officeDocument/2006/relationships/customXml" Target="../ink/ink442.xml"/><Relationship Id="rId69" Type="http://schemas.openxmlformats.org/officeDocument/2006/relationships/customXml" Target="../ink/ink34.xml"/><Relationship Id="rId134" Type="http://schemas.openxmlformats.org/officeDocument/2006/relationships/image" Target="NULL"/><Relationship Id="rId579" Type="http://schemas.openxmlformats.org/officeDocument/2006/relationships/customXml" Target="../ink/ink319.xml"/><Relationship Id="rId786" Type="http://schemas.openxmlformats.org/officeDocument/2006/relationships/customXml" Target="../ink/ink526.xml"/><Relationship Id="rId341" Type="http://schemas.openxmlformats.org/officeDocument/2006/relationships/customXml" Target="../ink/ink170.xml"/><Relationship Id="rId439" Type="http://schemas.openxmlformats.org/officeDocument/2006/relationships/customXml" Target="../ink/ink219.xml"/><Relationship Id="rId646" Type="http://schemas.openxmlformats.org/officeDocument/2006/relationships/customXml" Target="../ink/ink386.xml"/><Relationship Id="rId201" Type="http://schemas.openxmlformats.org/officeDocument/2006/relationships/customXml" Target="../ink/ink100.xml"/><Relationship Id="rId285" Type="http://schemas.openxmlformats.org/officeDocument/2006/relationships/customXml" Target="../ink/ink142.xml"/><Relationship Id="rId506" Type="http://schemas.openxmlformats.org/officeDocument/2006/relationships/image" Target="NULL"/><Relationship Id="rId853" Type="http://schemas.openxmlformats.org/officeDocument/2006/relationships/customXml" Target="../ink/ink593.xml"/><Relationship Id="rId492" Type="http://schemas.openxmlformats.org/officeDocument/2006/relationships/image" Target="NULL"/><Relationship Id="rId713" Type="http://schemas.openxmlformats.org/officeDocument/2006/relationships/customXml" Target="../ink/ink453.xml"/><Relationship Id="rId797" Type="http://schemas.openxmlformats.org/officeDocument/2006/relationships/customXml" Target="../ink/ink537.xml"/><Relationship Id="rId145" Type="http://schemas.openxmlformats.org/officeDocument/2006/relationships/customXml" Target="../ink/ink72.xml"/><Relationship Id="rId352" Type="http://schemas.openxmlformats.org/officeDocument/2006/relationships/image" Target="NULL"/><Relationship Id="rId212" Type="http://schemas.openxmlformats.org/officeDocument/2006/relationships/image" Target="NULL"/><Relationship Id="rId657" Type="http://schemas.openxmlformats.org/officeDocument/2006/relationships/customXml" Target="../ink/ink397.xml"/><Relationship Id="rId864" Type="http://schemas.openxmlformats.org/officeDocument/2006/relationships/customXml" Target="../ink/ink604.xml"/><Relationship Id="rId296" Type="http://schemas.openxmlformats.org/officeDocument/2006/relationships/image" Target="NULL"/><Relationship Id="rId517" Type="http://schemas.openxmlformats.org/officeDocument/2006/relationships/customXml" Target="../ink/ink258.xml"/><Relationship Id="rId724" Type="http://schemas.openxmlformats.org/officeDocument/2006/relationships/customXml" Target="../ink/ink464.xml"/><Relationship Id="rId60" Type="http://schemas.openxmlformats.org/officeDocument/2006/relationships/image" Target="NULL"/><Relationship Id="rId156" Type="http://schemas.openxmlformats.org/officeDocument/2006/relationships/image" Target="NULL"/><Relationship Id="rId363" Type="http://schemas.openxmlformats.org/officeDocument/2006/relationships/customXml" Target="../ink/ink181.xml"/><Relationship Id="rId570" Type="http://schemas.openxmlformats.org/officeDocument/2006/relationships/customXml" Target="../ink/ink310.xml"/><Relationship Id="rId223" Type="http://schemas.openxmlformats.org/officeDocument/2006/relationships/customXml" Target="../ink/ink111.xml"/><Relationship Id="rId430" Type="http://schemas.openxmlformats.org/officeDocument/2006/relationships/image" Target="NULL"/><Relationship Id="rId668" Type="http://schemas.openxmlformats.org/officeDocument/2006/relationships/customXml" Target="../ink/ink408.xml"/><Relationship Id="rId875" Type="http://schemas.openxmlformats.org/officeDocument/2006/relationships/customXml" Target="../ink/ink615.xml"/><Relationship Id="rId18" Type="http://schemas.openxmlformats.org/officeDocument/2006/relationships/image" Target="NULL"/><Relationship Id="rId528" Type="http://schemas.openxmlformats.org/officeDocument/2006/relationships/customXml" Target="../ink/ink268.xml"/><Relationship Id="rId735" Type="http://schemas.openxmlformats.org/officeDocument/2006/relationships/customXml" Target="../ink/ink475.xml"/><Relationship Id="rId167" Type="http://schemas.openxmlformats.org/officeDocument/2006/relationships/customXml" Target="../ink/ink83.xml"/><Relationship Id="rId374" Type="http://schemas.openxmlformats.org/officeDocument/2006/relationships/image" Target="NULL"/><Relationship Id="rId581" Type="http://schemas.openxmlformats.org/officeDocument/2006/relationships/customXml" Target="../ink/ink321.xml"/><Relationship Id="rId71" Type="http://schemas.openxmlformats.org/officeDocument/2006/relationships/customXml" Target="../ink/ink35.xml"/><Relationship Id="rId234" Type="http://schemas.openxmlformats.org/officeDocument/2006/relationships/image" Target="NULL"/><Relationship Id="rId679" Type="http://schemas.openxmlformats.org/officeDocument/2006/relationships/customXml" Target="../ink/ink419.xml"/><Relationship Id="rId802" Type="http://schemas.openxmlformats.org/officeDocument/2006/relationships/customXml" Target="../ink/ink542.xml"/><Relationship Id="rId886" Type="http://schemas.openxmlformats.org/officeDocument/2006/relationships/customXml" Target="../ink/ink626.xml"/><Relationship Id="rId2" Type="http://schemas.openxmlformats.org/officeDocument/2006/relationships/image" Target="NULL"/><Relationship Id="rId29" Type="http://schemas.openxmlformats.org/officeDocument/2006/relationships/customXml" Target="../ink/ink14.xml"/><Relationship Id="rId441" Type="http://schemas.openxmlformats.org/officeDocument/2006/relationships/customXml" Target="../ink/ink220.xml"/><Relationship Id="rId539" Type="http://schemas.openxmlformats.org/officeDocument/2006/relationships/customXml" Target="../ink/ink279.xml"/><Relationship Id="rId746" Type="http://schemas.openxmlformats.org/officeDocument/2006/relationships/customXml" Target="../ink/ink486.xml"/><Relationship Id="rId178" Type="http://schemas.openxmlformats.org/officeDocument/2006/relationships/image" Target="NULL"/><Relationship Id="rId301" Type="http://schemas.openxmlformats.org/officeDocument/2006/relationships/customXml" Target="../ink/ink150.xml"/><Relationship Id="rId82" Type="http://schemas.openxmlformats.org/officeDocument/2006/relationships/image" Target="NULL"/><Relationship Id="rId385" Type="http://schemas.openxmlformats.org/officeDocument/2006/relationships/customXml" Target="../ink/ink192.xml"/><Relationship Id="rId592" Type="http://schemas.openxmlformats.org/officeDocument/2006/relationships/customXml" Target="../ink/ink332.xml"/><Relationship Id="rId606" Type="http://schemas.openxmlformats.org/officeDocument/2006/relationships/customXml" Target="../ink/ink346.xml"/><Relationship Id="rId813" Type="http://schemas.openxmlformats.org/officeDocument/2006/relationships/customXml" Target="../ink/ink553.xml"/><Relationship Id="rId245" Type="http://schemas.openxmlformats.org/officeDocument/2006/relationships/customXml" Target="../ink/ink122.xml"/><Relationship Id="rId452" Type="http://schemas.openxmlformats.org/officeDocument/2006/relationships/image" Target="NULL"/><Relationship Id="rId897" Type="http://schemas.openxmlformats.org/officeDocument/2006/relationships/customXml" Target="../ink/ink637.xml"/><Relationship Id="rId105" Type="http://schemas.openxmlformats.org/officeDocument/2006/relationships/customXml" Target="../ink/ink52.xml"/><Relationship Id="rId312" Type="http://schemas.openxmlformats.org/officeDocument/2006/relationships/image" Target="NULL"/><Relationship Id="rId757" Type="http://schemas.openxmlformats.org/officeDocument/2006/relationships/customXml" Target="../ink/ink497.xml"/><Relationship Id="rId93" Type="http://schemas.openxmlformats.org/officeDocument/2006/relationships/customXml" Target="../ink/ink46.xml"/><Relationship Id="rId189" Type="http://schemas.openxmlformats.org/officeDocument/2006/relationships/customXml" Target="../ink/ink94.xml"/><Relationship Id="rId396" Type="http://schemas.openxmlformats.org/officeDocument/2006/relationships/image" Target="NULL"/><Relationship Id="rId617" Type="http://schemas.openxmlformats.org/officeDocument/2006/relationships/customXml" Target="../ink/ink357.xml"/><Relationship Id="rId824" Type="http://schemas.openxmlformats.org/officeDocument/2006/relationships/customXml" Target="../ink/ink564.xml"/><Relationship Id="rId256" Type="http://schemas.openxmlformats.org/officeDocument/2006/relationships/image" Target="NULL"/><Relationship Id="rId463" Type="http://schemas.openxmlformats.org/officeDocument/2006/relationships/customXml" Target="../ink/ink231.xml"/><Relationship Id="rId670" Type="http://schemas.openxmlformats.org/officeDocument/2006/relationships/customXml" Target="../ink/ink410.xml"/><Relationship Id="rId116" Type="http://schemas.openxmlformats.org/officeDocument/2006/relationships/image" Target="NULL"/><Relationship Id="rId323" Type="http://schemas.openxmlformats.org/officeDocument/2006/relationships/customXml" Target="../ink/ink161.xml"/><Relationship Id="rId530" Type="http://schemas.openxmlformats.org/officeDocument/2006/relationships/customXml" Target="../ink/ink270.xml"/><Relationship Id="rId768" Type="http://schemas.openxmlformats.org/officeDocument/2006/relationships/customXml" Target="../ink/ink508.xml"/><Relationship Id="rId20" Type="http://schemas.openxmlformats.org/officeDocument/2006/relationships/image" Target="NULL"/><Relationship Id="rId628" Type="http://schemas.openxmlformats.org/officeDocument/2006/relationships/customXml" Target="../ink/ink368.xml"/><Relationship Id="rId835" Type="http://schemas.openxmlformats.org/officeDocument/2006/relationships/customXml" Target="../ink/ink575.xml"/><Relationship Id="rId267" Type="http://schemas.openxmlformats.org/officeDocument/2006/relationships/customXml" Target="../ink/ink133.xml"/><Relationship Id="rId474" Type="http://schemas.openxmlformats.org/officeDocument/2006/relationships/image" Target="NULL"/><Relationship Id="rId127" Type="http://schemas.openxmlformats.org/officeDocument/2006/relationships/customXml" Target="../ink/ink63.xml"/><Relationship Id="rId681" Type="http://schemas.openxmlformats.org/officeDocument/2006/relationships/customXml" Target="../ink/ink421.xml"/><Relationship Id="rId779" Type="http://schemas.openxmlformats.org/officeDocument/2006/relationships/customXml" Target="../ink/ink519.xml"/><Relationship Id="rId902" Type="http://schemas.openxmlformats.org/officeDocument/2006/relationships/customXml" Target="../ink/ink642.xml"/><Relationship Id="rId31" Type="http://schemas.openxmlformats.org/officeDocument/2006/relationships/customXml" Target="../ink/ink15.xml"/><Relationship Id="rId334" Type="http://schemas.openxmlformats.org/officeDocument/2006/relationships/image" Target="NULL"/><Relationship Id="rId541" Type="http://schemas.openxmlformats.org/officeDocument/2006/relationships/customXml" Target="../ink/ink281.xml"/><Relationship Id="rId639" Type="http://schemas.openxmlformats.org/officeDocument/2006/relationships/customXml" Target="../ink/ink379.xml"/><Relationship Id="rId180" Type="http://schemas.openxmlformats.org/officeDocument/2006/relationships/image" Target="NULL"/><Relationship Id="rId278" Type="http://schemas.openxmlformats.org/officeDocument/2006/relationships/image" Target="NULL"/><Relationship Id="rId401" Type="http://schemas.openxmlformats.org/officeDocument/2006/relationships/customXml" Target="../ink/ink200.xml"/><Relationship Id="rId846" Type="http://schemas.openxmlformats.org/officeDocument/2006/relationships/customXml" Target="../ink/ink586.xml"/><Relationship Id="rId485" Type="http://schemas.openxmlformats.org/officeDocument/2006/relationships/customXml" Target="../ink/ink242.xml"/><Relationship Id="rId692" Type="http://schemas.openxmlformats.org/officeDocument/2006/relationships/customXml" Target="../ink/ink432.xml"/><Relationship Id="rId706" Type="http://schemas.openxmlformats.org/officeDocument/2006/relationships/customXml" Target="../ink/ink446.xml"/><Relationship Id="rId42" Type="http://schemas.openxmlformats.org/officeDocument/2006/relationships/image" Target="NULL"/><Relationship Id="rId138" Type="http://schemas.openxmlformats.org/officeDocument/2006/relationships/image" Target="NULL"/><Relationship Id="rId345" Type="http://schemas.openxmlformats.org/officeDocument/2006/relationships/customXml" Target="../ink/ink172.xml"/><Relationship Id="rId552" Type="http://schemas.openxmlformats.org/officeDocument/2006/relationships/customXml" Target="../ink/ink292.xml"/><Relationship Id="rId191" Type="http://schemas.openxmlformats.org/officeDocument/2006/relationships/customXml" Target="../ink/ink95.xml"/><Relationship Id="rId205" Type="http://schemas.openxmlformats.org/officeDocument/2006/relationships/customXml" Target="../ink/ink102.xml"/><Relationship Id="rId412" Type="http://schemas.openxmlformats.org/officeDocument/2006/relationships/image" Target="NULL"/><Relationship Id="rId857" Type="http://schemas.openxmlformats.org/officeDocument/2006/relationships/customXml" Target="../ink/ink597.xml"/><Relationship Id="rId289" Type="http://schemas.openxmlformats.org/officeDocument/2006/relationships/customXml" Target="../ink/ink144.xml"/><Relationship Id="rId496" Type="http://schemas.openxmlformats.org/officeDocument/2006/relationships/image" Target="NULL"/><Relationship Id="rId717" Type="http://schemas.openxmlformats.org/officeDocument/2006/relationships/customXml" Target="../ink/ink457.xml"/><Relationship Id="rId53" Type="http://schemas.openxmlformats.org/officeDocument/2006/relationships/customXml" Target="../ink/ink26.xml"/><Relationship Id="rId149" Type="http://schemas.openxmlformats.org/officeDocument/2006/relationships/customXml" Target="../ink/ink74.xml"/><Relationship Id="rId356" Type="http://schemas.openxmlformats.org/officeDocument/2006/relationships/image" Target="NULL"/><Relationship Id="rId563" Type="http://schemas.openxmlformats.org/officeDocument/2006/relationships/customXml" Target="../ink/ink303.xml"/><Relationship Id="rId770" Type="http://schemas.openxmlformats.org/officeDocument/2006/relationships/customXml" Target="../ink/ink510.xml"/><Relationship Id="rId216" Type="http://schemas.openxmlformats.org/officeDocument/2006/relationships/image" Target="NULL"/><Relationship Id="rId423" Type="http://schemas.openxmlformats.org/officeDocument/2006/relationships/customXml" Target="../ink/ink211.xml"/><Relationship Id="rId868" Type="http://schemas.openxmlformats.org/officeDocument/2006/relationships/customXml" Target="../ink/ink608.xml"/><Relationship Id="rId630" Type="http://schemas.openxmlformats.org/officeDocument/2006/relationships/customXml" Target="../ink/ink370.xml"/><Relationship Id="rId728" Type="http://schemas.openxmlformats.org/officeDocument/2006/relationships/customXml" Target="../ink/ink468.xml"/><Relationship Id="rId64" Type="http://schemas.openxmlformats.org/officeDocument/2006/relationships/image" Target="NULL"/><Relationship Id="rId367" Type="http://schemas.openxmlformats.org/officeDocument/2006/relationships/customXml" Target="../ink/ink183.xml"/><Relationship Id="rId574" Type="http://schemas.openxmlformats.org/officeDocument/2006/relationships/customXml" Target="../ink/ink314.xml"/><Relationship Id="rId227" Type="http://schemas.openxmlformats.org/officeDocument/2006/relationships/customXml" Target="../ink/ink113.xml"/><Relationship Id="rId781" Type="http://schemas.openxmlformats.org/officeDocument/2006/relationships/customXml" Target="../ink/ink521.xml"/><Relationship Id="rId879" Type="http://schemas.openxmlformats.org/officeDocument/2006/relationships/customXml" Target="../ink/ink619.xml"/><Relationship Id="rId434" Type="http://schemas.openxmlformats.org/officeDocument/2006/relationships/image" Target="NULL"/><Relationship Id="rId641" Type="http://schemas.openxmlformats.org/officeDocument/2006/relationships/customXml" Target="../ink/ink381.xml"/><Relationship Id="rId739" Type="http://schemas.openxmlformats.org/officeDocument/2006/relationships/customXml" Target="../ink/ink479.xml"/><Relationship Id="rId280" Type="http://schemas.openxmlformats.org/officeDocument/2006/relationships/image" Target="NULL"/><Relationship Id="rId501" Type="http://schemas.openxmlformats.org/officeDocument/2006/relationships/customXml" Target="../ink/ink250.xml"/><Relationship Id="rId75" Type="http://schemas.openxmlformats.org/officeDocument/2006/relationships/customXml" Target="../ink/ink37.xml"/><Relationship Id="rId140" Type="http://schemas.openxmlformats.org/officeDocument/2006/relationships/image" Target="NULL"/><Relationship Id="rId378" Type="http://schemas.openxmlformats.org/officeDocument/2006/relationships/image" Target="NULL"/><Relationship Id="rId585" Type="http://schemas.openxmlformats.org/officeDocument/2006/relationships/customXml" Target="../ink/ink325.xml"/><Relationship Id="rId792" Type="http://schemas.openxmlformats.org/officeDocument/2006/relationships/customXml" Target="../ink/ink532.xml"/><Relationship Id="rId806" Type="http://schemas.openxmlformats.org/officeDocument/2006/relationships/customXml" Target="../ink/ink546.xml"/><Relationship Id="rId6" Type="http://schemas.openxmlformats.org/officeDocument/2006/relationships/image" Target="NULL"/><Relationship Id="rId238" Type="http://schemas.openxmlformats.org/officeDocument/2006/relationships/image" Target="NULL"/><Relationship Id="rId445" Type="http://schemas.openxmlformats.org/officeDocument/2006/relationships/customXml" Target="../ink/ink222.xml"/><Relationship Id="rId652" Type="http://schemas.openxmlformats.org/officeDocument/2006/relationships/customXml" Target="../ink/ink392.xml"/><Relationship Id="rId291" Type="http://schemas.openxmlformats.org/officeDocument/2006/relationships/customXml" Target="../ink/ink145.xml"/><Relationship Id="rId305" Type="http://schemas.openxmlformats.org/officeDocument/2006/relationships/customXml" Target="../ink/ink152.xml"/><Relationship Id="rId512" Type="http://schemas.openxmlformats.org/officeDocument/2006/relationships/image" Target="NULL"/><Relationship Id="rId86" Type="http://schemas.openxmlformats.org/officeDocument/2006/relationships/image" Target="NULL"/><Relationship Id="rId151" Type="http://schemas.openxmlformats.org/officeDocument/2006/relationships/customXml" Target="../ink/ink75.xml"/><Relationship Id="rId389" Type="http://schemas.openxmlformats.org/officeDocument/2006/relationships/customXml" Target="../ink/ink194.xml"/><Relationship Id="rId596" Type="http://schemas.openxmlformats.org/officeDocument/2006/relationships/customXml" Target="../ink/ink336.xml"/><Relationship Id="rId817" Type="http://schemas.openxmlformats.org/officeDocument/2006/relationships/customXml" Target="../ink/ink557.xml"/><Relationship Id="rId249" Type="http://schemas.openxmlformats.org/officeDocument/2006/relationships/customXml" Target="../ink/ink124.xml"/><Relationship Id="rId456" Type="http://schemas.openxmlformats.org/officeDocument/2006/relationships/image" Target="NULL"/><Relationship Id="rId663" Type="http://schemas.openxmlformats.org/officeDocument/2006/relationships/customXml" Target="../ink/ink403.xml"/><Relationship Id="rId870" Type="http://schemas.openxmlformats.org/officeDocument/2006/relationships/customXml" Target="../ink/ink610.xml"/><Relationship Id="rId13" Type="http://schemas.openxmlformats.org/officeDocument/2006/relationships/customXml" Target="../ink/ink6.xml"/><Relationship Id="rId109" Type="http://schemas.openxmlformats.org/officeDocument/2006/relationships/customXml" Target="../ink/ink54.xml"/><Relationship Id="rId316" Type="http://schemas.openxmlformats.org/officeDocument/2006/relationships/image" Target="NULL"/><Relationship Id="rId523" Type="http://schemas.openxmlformats.org/officeDocument/2006/relationships/customXml" Target="../ink/ink263.xml"/><Relationship Id="rId97" Type="http://schemas.openxmlformats.org/officeDocument/2006/relationships/customXml" Target="../ink/ink48.xml"/><Relationship Id="rId730" Type="http://schemas.openxmlformats.org/officeDocument/2006/relationships/customXml" Target="../ink/ink470.xml"/><Relationship Id="rId828" Type="http://schemas.openxmlformats.org/officeDocument/2006/relationships/customXml" Target="../ink/ink568.xml"/><Relationship Id="rId162" Type="http://schemas.openxmlformats.org/officeDocument/2006/relationships/image" Target="NULL"/><Relationship Id="rId467" Type="http://schemas.openxmlformats.org/officeDocument/2006/relationships/customXml" Target="../ink/ink233.xml"/><Relationship Id="rId674" Type="http://schemas.openxmlformats.org/officeDocument/2006/relationships/customXml" Target="../ink/ink414.xml"/><Relationship Id="rId881" Type="http://schemas.openxmlformats.org/officeDocument/2006/relationships/customXml" Target="../ink/ink621.xml"/><Relationship Id="rId24" Type="http://schemas.openxmlformats.org/officeDocument/2006/relationships/image" Target="NULL"/><Relationship Id="rId327" Type="http://schemas.openxmlformats.org/officeDocument/2006/relationships/customXml" Target="../ink/ink163.xml"/><Relationship Id="rId534" Type="http://schemas.openxmlformats.org/officeDocument/2006/relationships/customXml" Target="../ink/ink274.xml"/><Relationship Id="rId741" Type="http://schemas.openxmlformats.org/officeDocument/2006/relationships/customXml" Target="../ink/ink481.xml"/><Relationship Id="rId839" Type="http://schemas.openxmlformats.org/officeDocument/2006/relationships/customXml" Target="../ink/ink579.xml"/><Relationship Id="rId173" Type="http://schemas.openxmlformats.org/officeDocument/2006/relationships/customXml" Target="../ink/ink86.xml"/><Relationship Id="rId380" Type="http://schemas.openxmlformats.org/officeDocument/2006/relationships/image" Target="NULL"/><Relationship Id="rId601" Type="http://schemas.openxmlformats.org/officeDocument/2006/relationships/customXml" Target="../ink/ink341.xml"/><Relationship Id="rId240" Type="http://schemas.openxmlformats.org/officeDocument/2006/relationships/image" Target="NULL"/><Relationship Id="rId478" Type="http://schemas.openxmlformats.org/officeDocument/2006/relationships/image" Target="NULL"/><Relationship Id="rId685" Type="http://schemas.openxmlformats.org/officeDocument/2006/relationships/customXml" Target="../ink/ink425.xml"/><Relationship Id="rId892" Type="http://schemas.openxmlformats.org/officeDocument/2006/relationships/customXml" Target="../ink/ink632.xml"/><Relationship Id="rId35" Type="http://schemas.openxmlformats.org/officeDocument/2006/relationships/customXml" Target="../ink/ink17.xml"/><Relationship Id="rId100" Type="http://schemas.openxmlformats.org/officeDocument/2006/relationships/image" Target="NULL"/><Relationship Id="rId338" Type="http://schemas.openxmlformats.org/officeDocument/2006/relationships/image" Target="NULL"/><Relationship Id="rId545" Type="http://schemas.openxmlformats.org/officeDocument/2006/relationships/customXml" Target="../ink/ink285.xml"/><Relationship Id="rId752" Type="http://schemas.openxmlformats.org/officeDocument/2006/relationships/customXml" Target="../ink/ink492.xml"/><Relationship Id="rId184" Type="http://schemas.openxmlformats.org/officeDocument/2006/relationships/image" Target="NULL"/><Relationship Id="rId391" Type="http://schemas.openxmlformats.org/officeDocument/2006/relationships/customXml" Target="../ink/ink195.xml"/><Relationship Id="rId405" Type="http://schemas.openxmlformats.org/officeDocument/2006/relationships/customXml" Target="../ink/ink202.xml"/><Relationship Id="rId612" Type="http://schemas.openxmlformats.org/officeDocument/2006/relationships/customXml" Target="../ink/ink352.xml"/><Relationship Id="rId251" Type="http://schemas.openxmlformats.org/officeDocument/2006/relationships/customXml" Target="../ink/ink125.xml"/><Relationship Id="rId489" Type="http://schemas.openxmlformats.org/officeDocument/2006/relationships/customXml" Target="../ink/ink244.xml"/><Relationship Id="rId696" Type="http://schemas.openxmlformats.org/officeDocument/2006/relationships/customXml" Target="../ink/ink436.xml"/><Relationship Id="rId46" Type="http://schemas.openxmlformats.org/officeDocument/2006/relationships/image" Target="NULL"/><Relationship Id="rId349" Type="http://schemas.openxmlformats.org/officeDocument/2006/relationships/customXml" Target="../ink/ink174.xml"/><Relationship Id="rId556" Type="http://schemas.openxmlformats.org/officeDocument/2006/relationships/customXml" Target="../ink/ink296.xml"/><Relationship Id="rId763" Type="http://schemas.openxmlformats.org/officeDocument/2006/relationships/customXml" Target="../ink/ink503.xml"/><Relationship Id="rId111" Type="http://schemas.openxmlformats.org/officeDocument/2006/relationships/customXml" Target="../ink/ink55.xml"/><Relationship Id="rId195" Type="http://schemas.openxmlformats.org/officeDocument/2006/relationships/customXml" Target="../ink/ink97.xml"/><Relationship Id="rId209" Type="http://schemas.openxmlformats.org/officeDocument/2006/relationships/customXml" Target="../ink/ink104.xml"/><Relationship Id="rId416" Type="http://schemas.openxmlformats.org/officeDocument/2006/relationships/image" Target="NULL"/><Relationship Id="rId623" Type="http://schemas.openxmlformats.org/officeDocument/2006/relationships/customXml" Target="../ink/ink363.xml"/><Relationship Id="rId830" Type="http://schemas.openxmlformats.org/officeDocument/2006/relationships/customXml" Target="../ink/ink570.xml"/><Relationship Id="rId57" Type="http://schemas.openxmlformats.org/officeDocument/2006/relationships/customXml" Target="../ink/ink28.xml"/><Relationship Id="rId262" Type="http://schemas.openxmlformats.org/officeDocument/2006/relationships/image" Target="NULL"/><Relationship Id="rId567" Type="http://schemas.openxmlformats.org/officeDocument/2006/relationships/customXml" Target="../ink/ink307.xml"/><Relationship Id="rId122" Type="http://schemas.openxmlformats.org/officeDocument/2006/relationships/image" Target="NULL"/><Relationship Id="rId774" Type="http://schemas.openxmlformats.org/officeDocument/2006/relationships/customXml" Target="../ink/ink514.xml"/><Relationship Id="rId427" Type="http://schemas.openxmlformats.org/officeDocument/2006/relationships/customXml" Target="../ink/ink213.xml"/><Relationship Id="rId634" Type="http://schemas.openxmlformats.org/officeDocument/2006/relationships/customXml" Target="../ink/ink374.xml"/><Relationship Id="rId841" Type="http://schemas.openxmlformats.org/officeDocument/2006/relationships/customXml" Target="../ink/ink581.xml"/><Relationship Id="rId273" Type="http://schemas.openxmlformats.org/officeDocument/2006/relationships/customXml" Target="../ink/ink136.xml"/><Relationship Id="rId480" Type="http://schemas.openxmlformats.org/officeDocument/2006/relationships/image" Target="NULL"/><Relationship Id="rId701" Type="http://schemas.openxmlformats.org/officeDocument/2006/relationships/customXml" Target="../ink/ink441.xml"/><Relationship Id="rId68" Type="http://schemas.openxmlformats.org/officeDocument/2006/relationships/image" Target="NULL"/><Relationship Id="rId133" Type="http://schemas.openxmlformats.org/officeDocument/2006/relationships/customXml" Target="../ink/ink66.xml"/><Relationship Id="rId340" Type="http://schemas.openxmlformats.org/officeDocument/2006/relationships/image" Target="NULL"/><Relationship Id="rId578" Type="http://schemas.openxmlformats.org/officeDocument/2006/relationships/customXml" Target="../ink/ink318.xml"/><Relationship Id="rId785" Type="http://schemas.openxmlformats.org/officeDocument/2006/relationships/customXml" Target="../ink/ink525.xml"/><Relationship Id="rId200" Type="http://schemas.openxmlformats.org/officeDocument/2006/relationships/image" Target="NULL"/><Relationship Id="rId382" Type="http://schemas.openxmlformats.org/officeDocument/2006/relationships/image" Target="NULL"/><Relationship Id="rId438" Type="http://schemas.openxmlformats.org/officeDocument/2006/relationships/image" Target="NULL"/><Relationship Id="rId603" Type="http://schemas.openxmlformats.org/officeDocument/2006/relationships/customXml" Target="../ink/ink343.xml"/><Relationship Id="rId645" Type="http://schemas.openxmlformats.org/officeDocument/2006/relationships/customXml" Target="../ink/ink385.xml"/><Relationship Id="rId687" Type="http://schemas.openxmlformats.org/officeDocument/2006/relationships/customXml" Target="../ink/ink427.xml"/><Relationship Id="rId810" Type="http://schemas.openxmlformats.org/officeDocument/2006/relationships/customXml" Target="../ink/ink550.xml"/><Relationship Id="rId852" Type="http://schemas.openxmlformats.org/officeDocument/2006/relationships/customXml" Target="../ink/ink592.xml"/><Relationship Id="rId242" Type="http://schemas.openxmlformats.org/officeDocument/2006/relationships/image" Target="NULL"/><Relationship Id="rId284" Type="http://schemas.openxmlformats.org/officeDocument/2006/relationships/image" Target="NULL"/><Relationship Id="rId491" Type="http://schemas.openxmlformats.org/officeDocument/2006/relationships/customXml" Target="../ink/ink245.xml"/><Relationship Id="rId505" Type="http://schemas.openxmlformats.org/officeDocument/2006/relationships/customXml" Target="../ink/ink252.xml"/><Relationship Id="rId712" Type="http://schemas.openxmlformats.org/officeDocument/2006/relationships/customXml" Target="../ink/ink452.xml"/><Relationship Id="rId894" Type="http://schemas.openxmlformats.org/officeDocument/2006/relationships/customXml" Target="../ink/ink634.xml"/><Relationship Id="rId37" Type="http://schemas.openxmlformats.org/officeDocument/2006/relationships/customXml" Target="../ink/ink18.xml"/><Relationship Id="rId79" Type="http://schemas.openxmlformats.org/officeDocument/2006/relationships/customXml" Target="../ink/ink39.xml"/><Relationship Id="rId102" Type="http://schemas.openxmlformats.org/officeDocument/2006/relationships/image" Target="NULL"/><Relationship Id="rId144" Type="http://schemas.openxmlformats.org/officeDocument/2006/relationships/image" Target="NULL"/><Relationship Id="rId547" Type="http://schemas.openxmlformats.org/officeDocument/2006/relationships/customXml" Target="../ink/ink287.xml"/><Relationship Id="rId589" Type="http://schemas.openxmlformats.org/officeDocument/2006/relationships/customXml" Target="../ink/ink329.xml"/><Relationship Id="rId754" Type="http://schemas.openxmlformats.org/officeDocument/2006/relationships/customXml" Target="../ink/ink494.xml"/><Relationship Id="rId796" Type="http://schemas.openxmlformats.org/officeDocument/2006/relationships/customXml" Target="../ink/ink536.xml"/><Relationship Id="rId90" Type="http://schemas.openxmlformats.org/officeDocument/2006/relationships/image" Target="NULL"/><Relationship Id="rId186" Type="http://schemas.openxmlformats.org/officeDocument/2006/relationships/image" Target="NULL"/><Relationship Id="rId351" Type="http://schemas.openxmlformats.org/officeDocument/2006/relationships/customXml" Target="../ink/ink175.xml"/><Relationship Id="rId393" Type="http://schemas.openxmlformats.org/officeDocument/2006/relationships/customXml" Target="../ink/ink196.xml"/><Relationship Id="rId407" Type="http://schemas.openxmlformats.org/officeDocument/2006/relationships/customXml" Target="../ink/ink203.xml"/><Relationship Id="rId449" Type="http://schemas.openxmlformats.org/officeDocument/2006/relationships/customXml" Target="../ink/ink224.xml"/><Relationship Id="rId614" Type="http://schemas.openxmlformats.org/officeDocument/2006/relationships/customXml" Target="../ink/ink354.xml"/><Relationship Id="rId656" Type="http://schemas.openxmlformats.org/officeDocument/2006/relationships/customXml" Target="../ink/ink396.xml"/><Relationship Id="rId821" Type="http://schemas.openxmlformats.org/officeDocument/2006/relationships/customXml" Target="../ink/ink561.xml"/><Relationship Id="rId863" Type="http://schemas.openxmlformats.org/officeDocument/2006/relationships/customXml" Target="../ink/ink603.xml"/><Relationship Id="rId211" Type="http://schemas.openxmlformats.org/officeDocument/2006/relationships/customXml" Target="../ink/ink105.xml"/><Relationship Id="rId253" Type="http://schemas.openxmlformats.org/officeDocument/2006/relationships/customXml" Target="../ink/ink126.xml"/><Relationship Id="rId295" Type="http://schemas.openxmlformats.org/officeDocument/2006/relationships/customXml" Target="../ink/ink147.xml"/><Relationship Id="rId309" Type="http://schemas.openxmlformats.org/officeDocument/2006/relationships/customXml" Target="../ink/ink154.xml"/><Relationship Id="rId460" Type="http://schemas.openxmlformats.org/officeDocument/2006/relationships/image" Target="NULL"/><Relationship Id="rId516" Type="http://schemas.openxmlformats.org/officeDocument/2006/relationships/image" Target="NULL"/><Relationship Id="rId698" Type="http://schemas.openxmlformats.org/officeDocument/2006/relationships/customXml" Target="../ink/ink438.xml"/><Relationship Id="rId48" Type="http://schemas.openxmlformats.org/officeDocument/2006/relationships/image" Target="NULL"/><Relationship Id="rId113" Type="http://schemas.openxmlformats.org/officeDocument/2006/relationships/customXml" Target="../ink/ink56.xml"/><Relationship Id="rId320" Type="http://schemas.openxmlformats.org/officeDocument/2006/relationships/image" Target="NULL"/><Relationship Id="rId558" Type="http://schemas.openxmlformats.org/officeDocument/2006/relationships/customXml" Target="../ink/ink298.xml"/><Relationship Id="rId723" Type="http://schemas.openxmlformats.org/officeDocument/2006/relationships/customXml" Target="../ink/ink463.xml"/><Relationship Id="rId765" Type="http://schemas.openxmlformats.org/officeDocument/2006/relationships/customXml" Target="../ink/ink505.xml"/><Relationship Id="rId155" Type="http://schemas.openxmlformats.org/officeDocument/2006/relationships/customXml" Target="../ink/ink77.xml"/><Relationship Id="rId197" Type="http://schemas.openxmlformats.org/officeDocument/2006/relationships/customXml" Target="../ink/ink98.xml"/><Relationship Id="rId362" Type="http://schemas.openxmlformats.org/officeDocument/2006/relationships/image" Target="NULL"/><Relationship Id="rId418" Type="http://schemas.openxmlformats.org/officeDocument/2006/relationships/image" Target="NULL"/><Relationship Id="rId625" Type="http://schemas.openxmlformats.org/officeDocument/2006/relationships/customXml" Target="../ink/ink365.xml"/><Relationship Id="rId832" Type="http://schemas.openxmlformats.org/officeDocument/2006/relationships/customXml" Target="../ink/ink572.xml"/><Relationship Id="rId222" Type="http://schemas.openxmlformats.org/officeDocument/2006/relationships/image" Target="NULL"/><Relationship Id="rId264" Type="http://schemas.openxmlformats.org/officeDocument/2006/relationships/image" Target="NULL"/><Relationship Id="rId471" Type="http://schemas.openxmlformats.org/officeDocument/2006/relationships/customXml" Target="../ink/ink235.xml"/><Relationship Id="rId667" Type="http://schemas.openxmlformats.org/officeDocument/2006/relationships/customXml" Target="../ink/ink407.xml"/><Relationship Id="rId874" Type="http://schemas.openxmlformats.org/officeDocument/2006/relationships/customXml" Target="../ink/ink614.xml"/><Relationship Id="rId17" Type="http://schemas.openxmlformats.org/officeDocument/2006/relationships/customXml" Target="../ink/ink8.xml"/><Relationship Id="rId59" Type="http://schemas.openxmlformats.org/officeDocument/2006/relationships/customXml" Target="../ink/ink29.xml"/><Relationship Id="rId124" Type="http://schemas.openxmlformats.org/officeDocument/2006/relationships/image" Target="NULL"/><Relationship Id="rId527" Type="http://schemas.openxmlformats.org/officeDocument/2006/relationships/customXml" Target="../ink/ink267.xml"/><Relationship Id="rId569" Type="http://schemas.openxmlformats.org/officeDocument/2006/relationships/customXml" Target="../ink/ink309.xml"/><Relationship Id="rId734" Type="http://schemas.openxmlformats.org/officeDocument/2006/relationships/customXml" Target="../ink/ink474.xml"/><Relationship Id="rId776" Type="http://schemas.openxmlformats.org/officeDocument/2006/relationships/customXml" Target="../ink/ink516.xml"/><Relationship Id="rId70" Type="http://schemas.openxmlformats.org/officeDocument/2006/relationships/image" Target="NULL"/><Relationship Id="rId166" Type="http://schemas.openxmlformats.org/officeDocument/2006/relationships/image" Target="NULL"/><Relationship Id="rId331" Type="http://schemas.openxmlformats.org/officeDocument/2006/relationships/customXml" Target="../ink/ink165.xml"/><Relationship Id="rId373" Type="http://schemas.openxmlformats.org/officeDocument/2006/relationships/customXml" Target="../ink/ink186.xml"/><Relationship Id="rId429" Type="http://schemas.openxmlformats.org/officeDocument/2006/relationships/customXml" Target="../ink/ink214.xml"/><Relationship Id="rId580" Type="http://schemas.openxmlformats.org/officeDocument/2006/relationships/customXml" Target="../ink/ink320.xml"/><Relationship Id="rId636" Type="http://schemas.openxmlformats.org/officeDocument/2006/relationships/customXml" Target="../ink/ink376.xml"/><Relationship Id="rId801" Type="http://schemas.openxmlformats.org/officeDocument/2006/relationships/customXml" Target="../ink/ink541.xml"/><Relationship Id="rId1" Type="http://schemas.openxmlformats.org/officeDocument/2006/relationships/customXml" Target="../ink/ink1.xml"/><Relationship Id="rId233" Type="http://schemas.openxmlformats.org/officeDocument/2006/relationships/customXml" Target="../ink/ink116.xml"/><Relationship Id="rId440" Type="http://schemas.openxmlformats.org/officeDocument/2006/relationships/image" Target="NULL"/><Relationship Id="rId678" Type="http://schemas.openxmlformats.org/officeDocument/2006/relationships/customXml" Target="../ink/ink418.xml"/><Relationship Id="rId843" Type="http://schemas.openxmlformats.org/officeDocument/2006/relationships/customXml" Target="../ink/ink583.xml"/><Relationship Id="rId885" Type="http://schemas.openxmlformats.org/officeDocument/2006/relationships/customXml" Target="../ink/ink625.xml"/><Relationship Id="rId28" Type="http://schemas.openxmlformats.org/officeDocument/2006/relationships/image" Target="NULL"/><Relationship Id="rId275" Type="http://schemas.openxmlformats.org/officeDocument/2006/relationships/customXml" Target="../ink/ink137.xml"/><Relationship Id="rId300" Type="http://schemas.openxmlformats.org/officeDocument/2006/relationships/image" Target="NULL"/><Relationship Id="rId482" Type="http://schemas.openxmlformats.org/officeDocument/2006/relationships/image" Target="NULL"/><Relationship Id="rId538" Type="http://schemas.openxmlformats.org/officeDocument/2006/relationships/customXml" Target="../ink/ink278.xml"/><Relationship Id="rId703" Type="http://schemas.openxmlformats.org/officeDocument/2006/relationships/customXml" Target="../ink/ink443.xml"/><Relationship Id="rId745" Type="http://schemas.openxmlformats.org/officeDocument/2006/relationships/customXml" Target="../ink/ink485.xml"/><Relationship Id="rId81" Type="http://schemas.openxmlformats.org/officeDocument/2006/relationships/customXml" Target="../ink/ink40.xml"/><Relationship Id="rId135" Type="http://schemas.openxmlformats.org/officeDocument/2006/relationships/customXml" Target="../ink/ink67.xml"/><Relationship Id="rId177" Type="http://schemas.openxmlformats.org/officeDocument/2006/relationships/customXml" Target="../ink/ink88.xml"/><Relationship Id="rId342" Type="http://schemas.openxmlformats.org/officeDocument/2006/relationships/image" Target="NULL"/><Relationship Id="rId384" Type="http://schemas.openxmlformats.org/officeDocument/2006/relationships/image" Target="NULL"/><Relationship Id="rId591" Type="http://schemas.openxmlformats.org/officeDocument/2006/relationships/customXml" Target="../ink/ink331.xml"/><Relationship Id="rId605" Type="http://schemas.openxmlformats.org/officeDocument/2006/relationships/customXml" Target="../ink/ink345.xml"/><Relationship Id="rId787" Type="http://schemas.openxmlformats.org/officeDocument/2006/relationships/customXml" Target="../ink/ink527.xml"/><Relationship Id="rId812" Type="http://schemas.openxmlformats.org/officeDocument/2006/relationships/customXml" Target="../ink/ink552.xml"/><Relationship Id="rId202" Type="http://schemas.openxmlformats.org/officeDocument/2006/relationships/image" Target="NULL"/><Relationship Id="rId244" Type="http://schemas.openxmlformats.org/officeDocument/2006/relationships/image" Target="NULL"/><Relationship Id="rId647" Type="http://schemas.openxmlformats.org/officeDocument/2006/relationships/customXml" Target="../ink/ink387.xml"/><Relationship Id="rId689" Type="http://schemas.openxmlformats.org/officeDocument/2006/relationships/customXml" Target="../ink/ink429.xml"/><Relationship Id="rId854" Type="http://schemas.openxmlformats.org/officeDocument/2006/relationships/customXml" Target="../ink/ink594.xml"/><Relationship Id="rId896" Type="http://schemas.openxmlformats.org/officeDocument/2006/relationships/customXml" Target="../ink/ink636.xml"/><Relationship Id="rId39" Type="http://schemas.openxmlformats.org/officeDocument/2006/relationships/customXml" Target="../ink/ink19.xml"/><Relationship Id="rId286" Type="http://schemas.openxmlformats.org/officeDocument/2006/relationships/image" Target="NULL"/><Relationship Id="rId451" Type="http://schemas.openxmlformats.org/officeDocument/2006/relationships/customXml" Target="../ink/ink225.xml"/><Relationship Id="rId493" Type="http://schemas.openxmlformats.org/officeDocument/2006/relationships/customXml" Target="../ink/ink246.xml"/><Relationship Id="rId507" Type="http://schemas.openxmlformats.org/officeDocument/2006/relationships/customXml" Target="../ink/ink253.xml"/><Relationship Id="rId549" Type="http://schemas.openxmlformats.org/officeDocument/2006/relationships/customXml" Target="../ink/ink289.xml"/><Relationship Id="rId714" Type="http://schemas.openxmlformats.org/officeDocument/2006/relationships/customXml" Target="../ink/ink454.xml"/><Relationship Id="rId756" Type="http://schemas.openxmlformats.org/officeDocument/2006/relationships/customXml" Target="../ink/ink496.xml"/><Relationship Id="rId50" Type="http://schemas.openxmlformats.org/officeDocument/2006/relationships/image" Target="NULL"/><Relationship Id="rId104" Type="http://schemas.openxmlformats.org/officeDocument/2006/relationships/image" Target="NULL"/><Relationship Id="rId146" Type="http://schemas.openxmlformats.org/officeDocument/2006/relationships/image" Target="NULL"/><Relationship Id="rId188" Type="http://schemas.openxmlformats.org/officeDocument/2006/relationships/image" Target="NULL"/><Relationship Id="rId311" Type="http://schemas.openxmlformats.org/officeDocument/2006/relationships/customXml" Target="../ink/ink155.xml"/><Relationship Id="rId353" Type="http://schemas.openxmlformats.org/officeDocument/2006/relationships/customXml" Target="../ink/ink176.xml"/><Relationship Id="rId395" Type="http://schemas.openxmlformats.org/officeDocument/2006/relationships/customXml" Target="../ink/ink197.xml"/><Relationship Id="rId409" Type="http://schemas.openxmlformats.org/officeDocument/2006/relationships/customXml" Target="../ink/ink204.xml"/><Relationship Id="rId560" Type="http://schemas.openxmlformats.org/officeDocument/2006/relationships/customXml" Target="../ink/ink300.xml"/><Relationship Id="rId798" Type="http://schemas.openxmlformats.org/officeDocument/2006/relationships/customXml" Target="../ink/ink538.xml"/><Relationship Id="rId92" Type="http://schemas.openxmlformats.org/officeDocument/2006/relationships/image" Target="NULL"/><Relationship Id="rId213" Type="http://schemas.openxmlformats.org/officeDocument/2006/relationships/customXml" Target="../ink/ink106.xml"/><Relationship Id="rId420" Type="http://schemas.openxmlformats.org/officeDocument/2006/relationships/image" Target="NULL"/><Relationship Id="rId616" Type="http://schemas.openxmlformats.org/officeDocument/2006/relationships/customXml" Target="../ink/ink356.xml"/><Relationship Id="rId658" Type="http://schemas.openxmlformats.org/officeDocument/2006/relationships/customXml" Target="../ink/ink398.xml"/><Relationship Id="rId823" Type="http://schemas.openxmlformats.org/officeDocument/2006/relationships/customXml" Target="../ink/ink563.xml"/><Relationship Id="rId865" Type="http://schemas.openxmlformats.org/officeDocument/2006/relationships/customXml" Target="../ink/ink605.xml"/><Relationship Id="rId255" Type="http://schemas.openxmlformats.org/officeDocument/2006/relationships/customXml" Target="../ink/ink127.xml"/><Relationship Id="rId297" Type="http://schemas.openxmlformats.org/officeDocument/2006/relationships/customXml" Target="../ink/ink148.xml"/><Relationship Id="rId462" Type="http://schemas.openxmlformats.org/officeDocument/2006/relationships/image" Target="NULL"/><Relationship Id="rId518" Type="http://schemas.openxmlformats.org/officeDocument/2006/relationships/image" Target="NULL"/><Relationship Id="rId725" Type="http://schemas.openxmlformats.org/officeDocument/2006/relationships/customXml" Target="../ink/ink465.xml"/><Relationship Id="rId115" Type="http://schemas.openxmlformats.org/officeDocument/2006/relationships/customXml" Target="../ink/ink57.xml"/><Relationship Id="rId157" Type="http://schemas.openxmlformats.org/officeDocument/2006/relationships/customXml" Target="../ink/ink78.xml"/><Relationship Id="rId322" Type="http://schemas.openxmlformats.org/officeDocument/2006/relationships/image" Target="NULL"/><Relationship Id="rId364" Type="http://schemas.openxmlformats.org/officeDocument/2006/relationships/image" Target="NULL"/><Relationship Id="rId767" Type="http://schemas.openxmlformats.org/officeDocument/2006/relationships/customXml" Target="../ink/ink507.xml"/><Relationship Id="rId61" Type="http://schemas.openxmlformats.org/officeDocument/2006/relationships/customXml" Target="../ink/ink30.xml"/><Relationship Id="rId199" Type="http://schemas.openxmlformats.org/officeDocument/2006/relationships/customXml" Target="../ink/ink99.xml"/><Relationship Id="rId571" Type="http://schemas.openxmlformats.org/officeDocument/2006/relationships/customXml" Target="../ink/ink311.xml"/><Relationship Id="rId627" Type="http://schemas.openxmlformats.org/officeDocument/2006/relationships/customXml" Target="../ink/ink367.xml"/><Relationship Id="rId669" Type="http://schemas.openxmlformats.org/officeDocument/2006/relationships/customXml" Target="../ink/ink409.xml"/><Relationship Id="rId834" Type="http://schemas.openxmlformats.org/officeDocument/2006/relationships/customXml" Target="../ink/ink574.xml"/><Relationship Id="rId876" Type="http://schemas.openxmlformats.org/officeDocument/2006/relationships/customXml" Target="../ink/ink616.xml"/><Relationship Id="rId19" Type="http://schemas.openxmlformats.org/officeDocument/2006/relationships/customXml" Target="../ink/ink9.xml"/><Relationship Id="rId224" Type="http://schemas.openxmlformats.org/officeDocument/2006/relationships/image" Target="NULL"/><Relationship Id="rId266" Type="http://schemas.openxmlformats.org/officeDocument/2006/relationships/image" Target="NULL"/><Relationship Id="rId431" Type="http://schemas.openxmlformats.org/officeDocument/2006/relationships/customXml" Target="../ink/ink215.xml"/><Relationship Id="rId473" Type="http://schemas.openxmlformats.org/officeDocument/2006/relationships/customXml" Target="../ink/ink236.xml"/><Relationship Id="rId529" Type="http://schemas.openxmlformats.org/officeDocument/2006/relationships/customXml" Target="../ink/ink269.xml"/><Relationship Id="rId680" Type="http://schemas.openxmlformats.org/officeDocument/2006/relationships/customXml" Target="../ink/ink420.xml"/><Relationship Id="rId736" Type="http://schemas.openxmlformats.org/officeDocument/2006/relationships/customXml" Target="../ink/ink476.xml"/><Relationship Id="rId901" Type="http://schemas.openxmlformats.org/officeDocument/2006/relationships/customXml" Target="../ink/ink641.xml"/><Relationship Id="rId30" Type="http://schemas.openxmlformats.org/officeDocument/2006/relationships/image" Target="NULL"/><Relationship Id="rId126" Type="http://schemas.openxmlformats.org/officeDocument/2006/relationships/image" Target="NULL"/><Relationship Id="rId168" Type="http://schemas.openxmlformats.org/officeDocument/2006/relationships/image" Target="NULL"/><Relationship Id="rId333" Type="http://schemas.openxmlformats.org/officeDocument/2006/relationships/customXml" Target="../ink/ink166.xml"/><Relationship Id="rId540" Type="http://schemas.openxmlformats.org/officeDocument/2006/relationships/customXml" Target="../ink/ink280.xml"/><Relationship Id="rId778" Type="http://schemas.openxmlformats.org/officeDocument/2006/relationships/customXml" Target="../ink/ink518.xml"/><Relationship Id="rId72" Type="http://schemas.openxmlformats.org/officeDocument/2006/relationships/image" Target="NULL"/><Relationship Id="rId375" Type="http://schemas.openxmlformats.org/officeDocument/2006/relationships/customXml" Target="../ink/ink187.xml"/><Relationship Id="rId582" Type="http://schemas.openxmlformats.org/officeDocument/2006/relationships/customXml" Target="../ink/ink322.xml"/><Relationship Id="rId638" Type="http://schemas.openxmlformats.org/officeDocument/2006/relationships/customXml" Target="../ink/ink378.xml"/><Relationship Id="rId803" Type="http://schemas.openxmlformats.org/officeDocument/2006/relationships/customXml" Target="../ink/ink543.xml"/><Relationship Id="rId845" Type="http://schemas.openxmlformats.org/officeDocument/2006/relationships/customXml" Target="../ink/ink585.xml"/><Relationship Id="rId3" Type="http://schemas.openxmlformats.org/officeDocument/2006/relationships/customXml" Target="../ink/ink2.xml"/><Relationship Id="rId235" Type="http://schemas.openxmlformats.org/officeDocument/2006/relationships/customXml" Target="../ink/ink117.xml"/><Relationship Id="rId277" Type="http://schemas.openxmlformats.org/officeDocument/2006/relationships/customXml" Target="../ink/ink138.xml"/><Relationship Id="rId400" Type="http://schemas.openxmlformats.org/officeDocument/2006/relationships/image" Target="NULL"/><Relationship Id="rId442" Type="http://schemas.openxmlformats.org/officeDocument/2006/relationships/image" Target="NULL"/><Relationship Id="rId484" Type="http://schemas.openxmlformats.org/officeDocument/2006/relationships/image" Target="NULL"/><Relationship Id="rId705" Type="http://schemas.openxmlformats.org/officeDocument/2006/relationships/customXml" Target="../ink/ink445.xml"/><Relationship Id="rId887" Type="http://schemas.openxmlformats.org/officeDocument/2006/relationships/customXml" Target="../ink/ink627.xml"/><Relationship Id="rId137" Type="http://schemas.openxmlformats.org/officeDocument/2006/relationships/customXml" Target="../ink/ink68.xml"/><Relationship Id="rId302" Type="http://schemas.openxmlformats.org/officeDocument/2006/relationships/image" Target="NULL"/><Relationship Id="rId344" Type="http://schemas.openxmlformats.org/officeDocument/2006/relationships/image" Target="NULL"/><Relationship Id="rId691" Type="http://schemas.openxmlformats.org/officeDocument/2006/relationships/customXml" Target="../ink/ink431.xml"/><Relationship Id="rId747" Type="http://schemas.openxmlformats.org/officeDocument/2006/relationships/customXml" Target="../ink/ink487.xml"/><Relationship Id="rId789" Type="http://schemas.openxmlformats.org/officeDocument/2006/relationships/customXml" Target="../ink/ink529.xml"/><Relationship Id="rId41" Type="http://schemas.openxmlformats.org/officeDocument/2006/relationships/customXml" Target="../ink/ink20.xml"/><Relationship Id="rId83" Type="http://schemas.openxmlformats.org/officeDocument/2006/relationships/customXml" Target="../ink/ink41.xml"/><Relationship Id="rId179" Type="http://schemas.openxmlformats.org/officeDocument/2006/relationships/customXml" Target="../ink/ink89.xml"/><Relationship Id="rId386" Type="http://schemas.openxmlformats.org/officeDocument/2006/relationships/image" Target="NULL"/><Relationship Id="rId551" Type="http://schemas.openxmlformats.org/officeDocument/2006/relationships/customXml" Target="../ink/ink291.xml"/><Relationship Id="rId593" Type="http://schemas.openxmlformats.org/officeDocument/2006/relationships/customXml" Target="../ink/ink333.xml"/><Relationship Id="rId607" Type="http://schemas.openxmlformats.org/officeDocument/2006/relationships/customXml" Target="../ink/ink347.xml"/><Relationship Id="rId649" Type="http://schemas.openxmlformats.org/officeDocument/2006/relationships/customXml" Target="../ink/ink389.xml"/><Relationship Id="rId814" Type="http://schemas.openxmlformats.org/officeDocument/2006/relationships/customXml" Target="../ink/ink554.xml"/><Relationship Id="rId856" Type="http://schemas.openxmlformats.org/officeDocument/2006/relationships/customXml" Target="../ink/ink596.xml"/><Relationship Id="rId190" Type="http://schemas.openxmlformats.org/officeDocument/2006/relationships/image" Target="NULL"/><Relationship Id="rId204" Type="http://schemas.openxmlformats.org/officeDocument/2006/relationships/image" Target="NULL"/><Relationship Id="rId246" Type="http://schemas.openxmlformats.org/officeDocument/2006/relationships/image" Target="NULL"/><Relationship Id="rId288" Type="http://schemas.openxmlformats.org/officeDocument/2006/relationships/image" Target="NULL"/><Relationship Id="rId411" Type="http://schemas.openxmlformats.org/officeDocument/2006/relationships/customXml" Target="../ink/ink205.xml"/><Relationship Id="rId453" Type="http://schemas.openxmlformats.org/officeDocument/2006/relationships/customXml" Target="../ink/ink226.xml"/><Relationship Id="rId509" Type="http://schemas.openxmlformats.org/officeDocument/2006/relationships/customXml" Target="../ink/ink254.xml"/><Relationship Id="rId660" Type="http://schemas.openxmlformats.org/officeDocument/2006/relationships/customXml" Target="../ink/ink400.xml"/><Relationship Id="rId898" Type="http://schemas.openxmlformats.org/officeDocument/2006/relationships/customXml" Target="../ink/ink638.xml"/><Relationship Id="rId106" Type="http://schemas.openxmlformats.org/officeDocument/2006/relationships/image" Target="NULL"/><Relationship Id="rId313" Type="http://schemas.openxmlformats.org/officeDocument/2006/relationships/customXml" Target="../ink/ink156.xml"/><Relationship Id="rId495" Type="http://schemas.openxmlformats.org/officeDocument/2006/relationships/customXml" Target="../ink/ink247.xml"/><Relationship Id="rId716" Type="http://schemas.openxmlformats.org/officeDocument/2006/relationships/customXml" Target="../ink/ink456.xml"/><Relationship Id="rId758" Type="http://schemas.openxmlformats.org/officeDocument/2006/relationships/customXml" Target="../ink/ink498.xml"/><Relationship Id="rId10" Type="http://schemas.openxmlformats.org/officeDocument/2006/relationships/image" Target="NULL"/><Relationship Id="rId52" Type="http://schemas.openxmlformats.org/officeDocument/2006/relationships/image" Target="NULL"/><Relationship Id="rId94" Type="http://schemas.openxmlformats.org/officeDocument/2006/relationships/image" Target="NULL"/><Relationship Id="rId148" Type="http://schemas.openxmlformats.org/officeDocument/2006/relationships/image" Target="NULL"/><Relationship Id="rId355" Type="http://schemas.openxmlformats.org/officeDocument/2006/relationships/customXml" Target="../ink/ink177.xml"/><Relationship Id="rId397" Type="http://schemas.openxmlformats.org/officeDocument/2006/relationships/customXml" Target="../ink/ink198.xml"/><Relationship Id="rId520" Type="http://schemas.openxmlformats.org/officeDocument/2006/relationships/customXml" Target="../ink/ink260.xml"/><Relationship Id="rId562" Type="http://schemas.openxmlformats.org/officeDocument/2006/relationships/customXml" Target="../ink/ink302.xml"/><Relationship Id="rId618" Type="http://schemas.openxmlformats.org/officeDocument/2006/relationships/customXml" Target="../ink/ink358.xml"/><Relationship Id="rId825" Type="http://schemas.openxmlformats.org/officeDocument/2006/relationships/customXml" Target="../ink/ink565.xml"/><Relationship Id="rId215" Type="http://schemas.openxmlformats.org/officeDocument/2006/relationships/customXml" Target="../ink/ink107.xml"/><Relationship Id="rId257" Type="http://schemas.openxmlformats.org/officeDocument/2006/relationships/customXml" Target="../ink/ink128.xml"/><Relationship Id="rId422" Type="http://schemas.openxmlformats.org/officeDocument/2006/relationships/image" Target="NULL"/><Relationship Id="rId464" Type="http://schemas.openxmlformats.org/officeDocument/2006/relationships/image" Target="NULL"/><Relationship Id="rId867" Type="http://schemas.openxmlformats.org/officeDocument/2006/relationships/customXml" Target="../ink/ink607.xml"/><Relationship Id="rId299" Type="http://schemas.openxmlformats.org/officeDocument/2006/relationships/customXml" Target="../ink/ink149.xml"/><Relationship Id="rId727" Type="http://schemas.openxmlformats.org/officeDocument/2006/relationships/customXml" Target="../ink/ink467.xml"/><Relationship Id="rId63" Type="http://schemas.openxmlformats.org/officeDocument/2006/relationships/customXml" Target="../ink/ink31.xml"/><Relationship Id="rId159" Type="http://schemas.openxmlformats.org/officeDocument/2006/relationships/customXml" Target="../ink/ink79.xml"/><Relationship Id="rId366" Type="http://schemas.openxmlformats.org/officeDocument/2006/relationships/image" Target="NULL"/><Relationship Id="rId573" Type="http://schemas.openxmlformats.org/officeDocument/2006/relationships/customXml" Target="../ink/ink313.xml"/><Relationship Id="rId780" Type="http://schemas.openxmlformats.org/officeDocument/2006/relationships/customXml" Target="../ink/ink520.xml"/><Relationship Id="rId226" Type="http://schemas.openxmlformats.org/officeDocument/2006/relationships/image" Target="NULL"/><Relationship Id="rId433" Type="http://schemas.openxmlformats.org/officeDocument/2006/relationships/customXml" Target="../ink/ink216.xml"/><Relationship Id="rId878" Type="http://schemas.openxmlformats.org/officeDocument/2006/relationships/customXml" Target="../ink/ink618.xml"/><Relationship Id="rId640" Type="http://schemas.openxmlformats.org/officeDocument/2006/relationships/customXml" Target="../ink/ink380.xml"/><Relationship Id="rId738" Type="http://schemas.openxmlformats.org/officeDocument/2006/relationships/customXml" Target="../ink/ink478.xml"/><Relationship Id="rId74" Type="http://schemas.openxmlformats.org/officeDocument/2006/relationships/image" Target="NULL"/><Relationship Id="rId377" Type="http://schemas.openxmlformats.org/officeDocument/2006/relationships/customXml" Target="../ink/ink188.xml"/><Relationship Id="rId500" Type="http://schemas.openxmlformats.org/officeDocument/2006/relationships/image" Target="NULL"/><Relationship Id="rId584" Type="http://schemas.openxmlformats.org/officeDocument/2006/relationships/customXml" Target="../ink/ink324.xml"/><Relationship Id="rId805" Type="http://schemas.openxmlformats.org/officeDocument/2006/relationships/customXml" Target="../ink/ink545.xml"/><Relationship Id="rId237" Type="http://schemas.openxmlformats.org/officeDocument/2006/relationships/customXml" Target="../ink/ink118.xml"/><Relationship Id="rId791" Type="http://schemas.openxmlformats.org/officeDocument/2006/relationships/customXml" Target="../ink/ink531.xml"/><Relationship Id="rId889" Type="http://schemas.openxmlformats.org/officeDocument/2006/relationships/customXml" Target="../ink/ink629.xml"/><Relationship Id="rId444" Type="http://schemas.openxmlformats.org/officeDocument/2006/relationships/image" Target="NULL"/><Relationship Id="rId651" Type="http://schemas.openxmlformats.org/officeDocument/2006/relationships/customXml" Target="../ink/ink391.xml"/><Relationship Id="rId749" Type="http://schemas.openxmlformats.org/officeDocument/2006/relationships/customXml" Target="../ink/ink489.xml"/><Relationship Id="rId290" Type="http://schemas.openxmlformats.org/officeDocument/2006/relationships/image" Target="NULL"/><Relationship Id="rId304" Type="http://schemas.openxmlformats.org/officeDocument/2006/relationships/image" Target="NULL"/><Relationship Id="rId388" Type="http://schemas.openxmlformats.org/officeDocument/2006/relationships/image" Target="NULL"/><Relationship Id="rId511" Type="http://schemas.openxmlformats.org/officeDocument/2006/relationships/customXml" Target="../ink/ink255.xml"/><Relationship Id="rId609" Type="http://schemas.openxmlformats.org/officeDocument/2006/relationships/customXml" Target="../ink/ink349.xml"/><Relationship Id="rId85" Type="http://schemas.openxmlformats.org/officeDocument/2006/relationships/customXml" Target="../ink/ink42.xml"/><Relationship Id="rId150" Type="http://schemas.openxmlformats.org/officeDocument/2006/relationships/image" Target="NULL"/><Relationship Id="rId595" Type="http://schemas.openxmlformats.org/officeDocument/2006/relationships/customXml" Target="../ink/ink335.xml"/><Relationship Id="rId816" Type="http://schemas.openxmlformats.org/officeDocument/2006/relationships/customXml" Target="../ink/ink556.xml"/><Relationship Id="rId248" Type="http://schemas.openxmlformats.org/officeDocument/2006/relationships/image" Target="NULL"/><Relationship Id="rId455" Type="http://schemas.openxmlformats.org/officeDocument/2006/relationships/customXml" Target="../ink/ink227.xml"/><Relationship Id="rId662" Type="http://schemas.openxmlformats.org/officeDocument/2006/relationships/customXml" Target="../ink/ink402.xml"/><Relationship Id="rId12" Type="http://schemas.openxmlformats.org/officeDocument/2006/relationships/image" Target="NULL"/><Relationship Id="rId108" Type="http://schemas.openxmlformats.org/officeDocument/2006/relationships/image" Target="NULL"/><Relationship Id="rId315" Type="http://schemas.openxmlformats.org/officeDocument/2006/relationships/customXml" Target="../ink/ink157.xml"/><Relationship Id="rId522" Type="http://schemas.openxmlformats.org/officeDocument/2006/relationships/customXml" Target="../ink/ink262.xml"/><Relationship Id="rId96" Type="http://schemas.openxmlformats.org/officeDocument/2006/relationships/image" Target="NULL"/><Relationship Id="rId161" Type="http://schemas.openxmlformats.org/officeDocument/2006/relationships/customXml" Target="../ink/ink80.xml"/><Relationship Id="rId399" Type="http://schemas.openxmlformats.org/officeDocument/2006/relationships/customXml" Target="../ink/ink199.xml"/><Relationship Id="rId827" Type="http://schemas.openxmlformats.org/officeDocument/2006/relationships/customXml" Target="../ink/ink567.xml"/><Relationship Id="rId259" Type="http://schemas.openxmlformats.org/officeDocument/2006/relationships/customXml" Target="../ink/ink129.xml"/><Relationship Id="rId466" Type="http://schemas.openxmlformats.org/officeDocument/2006/relationships/image" Target="NULL"/><Relationship Id="rId673" Type="http://schemas.openxmlformats.org/officeDocument/2006/relationships/customXml" Target="../ink/ink413.xml"/><Relationship Id="rId880" Type="http://schemas.openxmlformats.org/officeDocument/2006/relationships/customXml" Target="../ink/ink620.xml"/><Relationship Id="rId23" Type="http://schemas.openxmlformats.org/officeDocument/2006/relationships/customXml" Target="../ink/ink11.xml"/><Relationship Id="rId119" Type="http://schemas.openxmlformats.org/officeDocument/2006/relationships/customXml" Target="../ink/ink59.xml"/><Relationship Id="rId326" Type="http://schemas.openxmlformats.org/officeDocument/2006/relationships/image" Target="NULL"/><Relationship Id="rId533" Type="http://schemas.openxmlformats.org/officeDocument/2006/relationships/customXml" Target="../ink/ink273.xml"/><Relationship Id="rId740" Type="http://schemas.openxmlformats.org/officeDocument/2006/relationships/customXml" Target="../ink/ink480.xml"/><Relationship Id="rId838" Type="http://schemas.openxmlformats.org/officeDocument/2006/relationships/customXml" Target="../ink/ink578.xml"/><Relationship Id="rId172" Type="http://schemas.openxmlformats.org/officeDocument/2006/relationships/image" Target="NULL"/><Relationship Id="rId477" Type="http://schemas.openxmlformats.org/officeDocument/2006/relationships/customXml" Target="../ink/ink238.xml"/><Relationship Id="rId600" Type="http://schemas.openxmlformats.org/officeDocument/2006/relationships/customXml" Target="../ink/ink340.xml"/><Relationship Id="rId684" Type="http://schemas.openxmlformats.org/officeDocument/2006/relationships/customXml" Target="../ink/ink424.xml"/><Relationship Id="rId337" Type="http://schemas.openxmlformats.org/officeDocument/2006/relationships/customXml" Target="../ink/ink168.xml"/><Relationship Id="rId891" Type="http://schemas.openxmlformats.org/officeDocument/2006/relationships/customXml" Target="../ink/ink631.xml"/><Relationship Id="rId905" Type="http://schemas.openxmlformats.org/officeDocument/2006/relationships/customXml" Target="../ink/ink645.xml"/><Relationship Id="rId34" Type="http://schemas.openxmlformats.org/officeDocument/2006/relationships/image" Target="NULL"/><Relationship Id="rId544" Type="http://schemas.openxmlformats.org/officeDocument/2006/relationships/customXml" Target="../ink/ink284.xml"/><Relationship Id="rId751" Type="http://schemas.openxmlformats.org/officeDocument/2006/relationships/customXml" Target="../ink/ink491.xml"/><Relationship Id="rId849" Type="http://schemas.openxmlformats.org/officeDocument/2006/relationships/customXml" Target="../ink/ink589.xml"/><Relationship Id="rId183" Type="http://schemas.openxmlformats.org/officeDocument/2006/relationships/customXml" Target="../ink/ink91.xml"/><Relationship Id="rId390" Type="http://schemas.openxmlformats.org/officeDocument/2006/relationships/image" Target="NULL"/><Relationship Id="rId404" Type="http://schemas.openxmlformats.org/officeDocument/2006/relationships/image" Target="NULL"/><Relationship Id="rId611" Type="http://schemas.openxmlformats.org/officeDocument/2006/relationships/customXml" Target="../ink/ink351.xml"/><Relationship Id="rId250" Type="http://schemas.openxmlformats.org/officeDocument/2006/relationships/image" Target="NULL"/><Relationship Id="rId488" Type="http://schemas.openxmlformats.org/officeDocument/2006/relationships/image" Target="NULL"/><Relationship Id="rId695" Type="http://schemas.openxmlformats.org/officeDocument/2006/relationships/customXml" Target="../ink/ink435.xml"/><Relationship Id="rId709" Type="http://schemas.openxmlformats.org/officeDocument/2006/relationships/customXml" Target="../ink/ink449.xml"/><Relationship Id="rId45" Type="http://schemas.openxmlformats.org/officeDocument/2006/relationships/customXml" Target="../ink/ink22.xml"/><Relationship Id="rId110" Type="http://schemas.openxmlformats.org/officeDocument/2006/relationships/image" Target="NULL"/><Relationship Id="rId348" Type="http://schemas.openxmlformats.org/officeDocument/2006/relationships/image" Target="NULL"/><Relationship Id="rId555" Type="http://schemas.openxmlformats.org/officeDocument/2006/relationships/customXml" Target="../ink/ink295.xml"/><Relationship Id="rId762" Type="http://schemas.openxmlformats.org/officeDocument/2006/relationships/customXml" Target="../ink/ink502.xml"/><Relationship Id="rId194" Type="http://schemas.openxmlformats.org/officeDocument/2006/relationships/image" Target="NULL"/><Relationship Id="rId208" Type="http://schemas.openxmlformats.org/officeDocument/2006/relationships/image" Target="NULL"/><Relationship Id="rId415" Type="http://schemas.openxmlformats.org/officeDocument/2006/relationships/customXml" Target="../ink/ink207.xml"/><Relationship Id="rId622" Type="http://schemas.openxmlformats.org/officeDocument/2006/relationships/customXml" Target="../ink/ink362.xml"/><Relationship Id="rId261" Type="http://schemas.openxmlformats.org/officeDocument/2006/relationships/customXml" Target="../ink/ink130.xml"/><Relationship Id="rId499" Type="http://schemas.openxmlformats.org/officeDocument/2006/relationships/customXml" Target="../ink/ink249.xml"/><Relationship Id="rId56" Type="http://schemas.openxmlformats.org/officeDocument/2006/relationships/image" Target="NULL"/><Relationship Id="rId359" Type="http://schemas.openxmlformats.org/officeDocument/2006/relationships/customXml" Target="../ink/ink179.xml"/><Relationship Id="rId566" Type="http://schemas.openxmlformats.org/officeDocument/2006/relationships/customXml" Target="../ink/ink306.xml"/><Relationship Id="rId773" Type="http://schemas.openxmlformats.org/officeDocument/2006/relationships/customXml" Target="../ink/ink513.xml"/><Relationship Id="rId121" Type="http://schemas.openxmlformats.org/officeDocument/2006/relationships/customXml" Target="../ink/ink60.xml"/><Relationship Id="rId219" Type="http://schemas.openxmlformats.org/officeDocument/2006/relationships/customXml" Target="../ink/ink109.xml"/><Relationship Id="rId426" Type="http://schemas.openxmlformats.org/officeDocument/2006/relationships/image" Target="NULL"/><Relationship Id="rId633" Type="http://schemas.openxmlformats.org/officeDocument/2006/relationships/customXml" Target="../ink/ink373.xml"/><Relationship Id="rId840" Type="http://schemas.openxmlformats.org/officeDocument/2006/relationships/customXml" Target="../ink/ink580.xml"/><Relationship Id="rId67" Type="http://schemas.openxmlformats.org/officeDocument/2006/relationships/customXml" Target="../ink/ink33.xml"/><Relationship Id="rId272" Type="http://schemas.openxmlformats.org/officeDocument/2006/relationships/image" Target="NULL"/><Relationship Id="rId577" Type="http://schemas.openxmlformats.org/officeDocument/2006/relationships/customXml" Target="../ink/ink317.xml"/><Relationship Id="rId700" Type="http://schemas.openxmlformats.org/officeDocument/2006/relationships/customXml" Target="../ink/ink440.xml"/><Relationship Id="rId132" Type="http://schemas.openxmlformats.org/officeDocument/2006/relationships/image" Target="NULL"/><Relationship Id="rId784" Type="http://schemas.openxmlformats.org/officeDocument/2006/relationships/customXml" Target="../ink/ink524.xml"/><Relationship Id="rId437" Type="http://schemas.openxmlformats.org/officeDocument/2006/relationships/customXml" Target="../ink/ink218.xml"/><Relationship Id="rId644" Type="http://schemas.openxmlformats.org/officeDocument/2006/relationships/customXml" Target="../ink/ink384.xml"/><Relationship Id="rId851" Type="http://schemas.openxmlformats.org/officeDocument/2006/relationships/customXml" Target="../ink/ink591.xml"/><Relationship Id="rId283" Type="http://schemas.openxmlformats.org/officeDocument/2006/relationships/customXml" Target="../ink/ink141.xml"/><Relationship Id="rId490" Type="http://schemas.openxmlformats.org/officeDocument/2006/relationships/image" Target="NULL"/><Relationship Id="rId504" Type="http://schemas.openxmlformats.org/officeDocument/2006/relationships/image" Target="NULL"/><Relationship Id="rId711" Type="http://schemas.openxmlformats.org/officeDocument/2006/relationships/customXml" Target="../ink/ink451.xml"/><Relationship Id="rId78" Type="http://schemas.openxmlformats.org/officeDocument/2006/relationships/image" Target="NULL"/><Relationship Id="rId143" Type="http://schemas.openxmlformats.org/officeDocument/2006/relationships/customXml" Target="../ink/ink71.xml"/><Relationship Id="rId350" Type="http://schemas.openxmlformats.org/officeDocument/2006/relationships/image" Target="NULL"/><Relationship Id="rId588" Type="http://schemas.openxmlformats.org/officeDocument/2006/relationships/customXml" Target="../ink/ink328.xml"/><Relationship Id="rId795" Type="http://schemas.openxmlformats.org/officeDocument/2006/relationships/customXml" Target="../ink/ink535.xml"/><Relationship Id="rId809" Type="http://schemas.openxmlformats.org/officeDocument/2006/relationships/customXml" Target="../ink/ink549.xml"/><Relationship Id="rId9" Type="http://schemas.openxmlformats.org/officeDocument/2006/relationships/customXml" Target="../ink/ink4.xml"/><Relationship Id="rId210" Type="http://schemas.openxmlformats.org/officeDocument/2006/relationships/image" Target="NULL"/><Relationship Id="rId448" Type="http://schemas.openxmlformats.org/officeDocument/2006/relationships/image" Target="NULL"/><Relationship Id="rId655" Type="http://schemas.openxmlformats.org/officeDocument/2006/relationships/customXml" Target="../ink/ink395.xml"/><Relationship Id="rId862" Type="http://schemas.openxmlformats.org/officeDocument/2006/relationships/customXml" Target="../ink/ink602.xml"/><Relationship Id="rId294" Type="http://schemas.openxmlformats.org/officeDocument/2006/relationships/image" Target="NULL"/><Relationship Id="rId308" Type="http://schemas.openxmlformats.org/officeDocument/2006/relationships/image" Target="NULL"/><Relationship Id="rId515" Type="http://schemas.openxmlformats.org/officeDocument/2006/relationships/customXml" Target="../ink/ink257.xml"/><Relationship Id="rId722" Type="http://schemas.openxmlformats.org/officeDocument/2006/relationships/customXml" Target="../ink/ink462.xml"/><Relationship Id="rId89" Type="http://schemas.openxmlformats.org/officeDocument/2006/relationships/customXml" Target="../ink/ink44.xml"/><Relationship Id="rId154" Type="http://schemas.openxmlformats.org/officeDocument/2006/relationships/image" Target="NULL"/><Relationship Id="rId361" Type="http://schemas.openxmlformats.org/officeDocument/2006/relationships/customXml" Target="../ink/ink180.xml"/><Relationship Id="rId599" Type="http://schemas.openxmlformats.org/officeDocument/2006/relationships/customXml" Target="../ink/ink339.xml"/><Relationship Id="rId459" Type="http://schemas.openxmlformats.org/officeDocument/2006/relationships/customXml" Target="../ink/ink229.xml"/><Relationship Id="rId666" Type="http://schemas.openxmlformats.org/officeDocument/2006/relationships/customXml" Target="../ink/ink406.xml"/><Relationship Id="rId873" Type="http://schemas.openxmlformats.org/officeDocument/2006/relationships/customXml" Target="../ink/ink613.xml"/><Relationship Id="rId16" Type="http://schemas.openxmlformats.org/officeDocument/2006/relationships/image" Target="NULL"/><Relationship Id="rId221" Type="http://schemas.openxmlformats.org/officeDocument/2006/relationships/customXml" Target="../ink/ink110.xml"/><Relationship Id="rId319" Type="http://schemas.openxmlformats.org/officeDocument/2006/relationships/customXml" Target="../ink/ink159.xml"/><Relationship Id="rId526" Type="http://schemas.openxmlformats.org/officeDocument/2006/relationships/customXml" Target="../ink/ink266.xml"/><Relationship Id="rId733" Type="http://schemas.openxmlformats.org/officeDocument/2006/relationships/customXml" Target="../ink/ink473.xml"/><Relationship Id="rId165" Type="http://schemas.openxmlformats.org/officeDocument/2006/relationships/customXml" Target="../ink/ink82.xml"/><Relationship Id="rId372" Type="http://schemas.openxmlformats.org/officeDocument/2006/relationships/image" Target="NULL"/><Relationship Id="rId677" Type="http://schemas.openxmlformats.org/officeDocument/2006/relationships/customXml" Target="../ink/ink417.xml"/><Relationship Id="rId800" Type="http://schemas.openxmlformats.org/officeDocument/2006/relationships/customXml" Target="../ink/ink540.xml"/><Relationship Id="rId232" Type="http://schemas.openxmlformats.org/officeDocument/2006/relationships/image" Target="NULL"/><Relationship Id="rId884" Type="http://schemas.openxmlformats.org/officeDocument/2006/relationships/customXml" Target="../ink/ink624.xml"/><Relationship Id="rId27" Type="http://schemas.openxmlformats.org/officeDocument/2006/relationships/customXml" Target="../ink/ink13.xml"/><Relationship Id="rId537" Type="http://schemas.openxmlformats.org/officeDocument/2006/relationships/customXml" Target="../ink/ink277.xml"/><Relationship Id="rId744" Type="http://schemas.openxmlformats.org/officeDocument/2006/relationships/customXml" Target="../ink/ink484.xml"/><Relationship Id="rId80" Type="http://schemas.openxmlformats.org/officeDocument/2006/relationships/image" Target="NULL"/><Relationship Id="rId176" Type="http://schemas.openxmlformats.org/officeDocument/2006/relationships/image" Target="NULL"/><Relationship Id="rId383" Type="http://schemas.openxmlformats.org/officeDocument/2006/relationships/customXml" Target="../ink/ink191.xml"/><Relationship Id="rId590" Type="http://schemas.openxmlformats.org/officeDocument/2006/relationships/customXml" Target="../ink/ink330.xml"/><Relationship Id="rId604" Type="http://schemas.openxmlformats.org/officeDocument/2006/relationships/customXml" Target="../ink/ink344.xml"/><Relationship Id="rId811" Type="http://schemas.openxmlformats.org/officeDocument/2006/relationships/customXml" Target="../ink/ink551.xml"/><Relationship Id="rId243" Type="http://schemas.openxmlformats.org/officeDocument/2006/relationships/customXml" Target="../ink/ink121.xml"/><Relationship Id="rId450" Type="http://schemas.openxmlformats.org/officeDocument/2006/relationships/image" Target="NULL"/><Relationship Id="rId688" Type="http://schemas.openxmlformats.org/officeDocument/2006/relationships/customXml" Target="../ink/ink428.xml"/><Relationship Id="rId895" Type="http://schemas.openxmlformats.org/officeDocument/2006/relationships/customXml" Target="../ink/ink635.xml"/><Relationship Id="rId38" Type="http://schemas.openxmlformats.org/officeDocument/2006/relationships/image" Target="NULL"/><Relationship Id="rId103" Type="http://schemas.openxmlformats.org/officeDocument/2006/relationships/customXml" Target="../ink/ink51.xml"/><Relationship Id="rId310" Type="http://schemas.openxmlformats.org/officeDocument/2006/relationships/image" Target="NULL"/><Relationship Id="rId548" Type="http://schemas.openxmlformats.org/officeDocument/2006/relationships/customXml" Target="../ink/ink288.xml"/><Relationship Id="rId755" Type="http://schemas.openxmlformats.org/officeDocument/2006/relationships/customXml" Target="../ink/ink495.xml"/><Relationship Id="rId91" Type="http://schemas.openxmlformats.org/officeDocument/2006/relationships/customXml" Target="../ink/ink45.xml"/><Relationship Id="rId187" Type="http://schemas.openxmlformats.org/officeDocument/2006/relationships/customXml" Target="../ink/ink93.xml"/><Relationship Id="rId394" Type="http://schemas.openxmlformats.org/officeDocument/2006/relationships/image" Target="NULL"/><Relationship Id="rId408" Type="http://schemas.openxmlformats.org/officeDocument/2006/relationships/image" Target="NULL"/><Relationship Id="rId615" Type="http://schemas.openxmlformats.org/officeDocument/2006/relationships/customXml" Target="../ink/ink355.xml"/><Relationship Id="rId822" Type="http://schemas.openxmlformats.org/officeDocument/2006/relationships/customXml" Target="../ink/ink562.xml"/><Relationship Id="rId254" Type="http://schemas.openxmlformats.org/officeDocument/2006/relationships/image" Target="NULL"/><Relationship Id="rId699" Type="http://schemas.openxmlformats.org/officeDocument/2006/relationships/customXml" Target="../ink/ink439.xml"/><Relationship Id="rId49" Type="http://schemas.openxmlformats.org/officeDocument/2006/relationships/customXml" Target="../ink/ink24.xml"/><Relationship Id="rId114" Type="http://schemas.openxmlformats.org/officeDocument/2006/relationships/image" Target="NULL"/><Relationship Id="rId461" Type="http://schemas.openxmlformats.org/officeDocument/2006/relationships/customXml" Target="../ink/ink230.xml"/><Relationship Id="rId559" Type="http://schemas.openxmlformats.org/officeDocument/2006/relationships/customXml" Target="../ink/ink299.xml"/><Relationship Id="rId766" Type="http://schemas.openxmlformats.org/officeDocument/2006/relationships/customXml" Target="../ink/ink506.xml"/><Relationship Id="rId198" Type="http://schemas.openxmlformats.org/officeDocument/2006/relationships/image" Target="NULL"/><Relationship Id="rId321" Type="http://schemas.openxmlformats.org/officeDocument/2006/relationships/customXml" Target="../ink/ink160.xml"/><Relationship Id="rId419" Type="http://schemas.openxmlformats.org/officeDocument/2006/relationships/customXml" Target="../ink/ink209.xml"/><Relationship Id="rId626" Type="http://schemas.openxmlformats.org/officeDocument/2006/relationships/customXml" Target="../ink/ink366.xml"/><Relationship Id="rId833" Type="http://schemas.openxmlformats.org/officeDocument/2006/relationships/customXml" Target="../ink/ink573.xml"/><Relationship Id="rId265" Type="http://schemas.openxmlformats.org/officeDocument/2006/relationships/customXml" Target="../ink/ink132.xml"/><Relationship Id="rId472" Type="http://schemas.openxmlformats.org/officeDocument/2006/relationships/image" Target="NULL"/><Relationship Id="rId900" Type="http://schemas.openxmlformats.org/officeDocument/2006/relationships/customXml" Target="../ink/ink640.xml"/><Relationship Id="rId125" Type="http://schemas.openxmlformats.org/officeDocument/2006/relationships/customXml" Target="../ink/ink62.xml"/><Relationship Id="rId332" Type="http://schemas.openxmlformats.org/officeDocument/2006/relationships/image" Target="NULL"/><Relationship Id="rId777" Type="http://schemas.openxmlformats.org/officeDocument/2006/relationships/customXml" Target="../ink/ink517.xml"/><Relationship Id="rId637" Type="http://schemas.openxmlformats.org/officeDocument/2006/relationships/customXml" Target="../ink/ink377.xml"/><Relationship Id="rId844" Type="http://schemas.openxmlformats.org/officeDocument/2006/relationships/customXml" Target="../ink/ink584.xml"/><Relationship Id="rId276" Type="http://schemas.openxmlformats.org/officeDocument/2006/relationships/image" Target="NULL"/><Relationship Id="rId483" Type="http://schemas.openxmlformats.org/officeDocument/2006/relationships/customXml" Target="../ink/ink241.xml"/><Relationship Id="rId690" Type="http://schemas.openxmlformats.org/officeDocument/2006/relationships/customXml" Target="../ink/ink430.xml"/><Relationship Id="rId704" Type="http://schemas.openxmlformats.org/officeDocument/2006/relationships/customXml" Target="../ink/ink444.xml"/><Relationship Id="rId40" Type="http://schemas.openxmlformats.org/officeDocument/2006/relationships/image" Target="NULL"/><Relationship Id="rId136" Type="http://schemas.openxmlformats.org/officeDocument/2006/relationships/image" Target="NULL"/><Relationship Id="rId343" Type="http://schemas.openxmlformats.org/officeDocument/2006/relationships/customXml" Target="../ink/ink171.xml"/><Relationship Id="rId550" Type="http://schemas.openxmlformats.org/officeDocument/2006/relationships/customXml" Target="../ink/ink290.xml"/><Relationship Id="rId788" Type="http://schemas.openxmlformats.org/officeDocument/2006/relationships/customXml" Target="../ink/ink528.xml"/><Relationship Id="rId203" Type="http://schemas.openxmlformats.org/officeDocument/2006/relationships/customXml" Target="../ink/ink101.xml"/><Relationship Id="rId648" Type="http://schemas.openxmlformats.org/officeDocument/2006/relationships/customXml" Target="../ink/ink388.xml"/><Relationship Id="rId855" Type="http://schemas.openxmlformats.org/officeDocument/2006/relationships/customXml" Target="../ink/ink595.xml"/><Relationship Id="rId287" Type="http://schemas.openxmlformats.org/officeDocument/2006/relationships/customXml" Target="../ink/ink143.xml"/><Relationship Id="rId410" Type="http://schemas.openxmlformats.org/officeDocument/2006/relationships/image" Target="NULL"/><Relationship Id="rId494" Type="http://schemas.openxmlformats.org/officeDocument/2006/relationships/image" Target="NULL"/><Relationship Id="rId508" Type="http://schemas.openxmlformats.org/officeDocument/2006/relationships/image" Target="NULL"/><Relationship Id="rId715" Type="http://schemas.openxmlformats.org/officeDocument/2006/relationships/customXml" Target="../ink/ink455.xml"/><Relationship Id="rId147" Type="http://schemas.openxmlformats.org/officeDocument/2006/relationships/customXml" Target="../ink/ink73.xml"/><Relationship Id="rId354" Type="http://schemas.openxmlformats.org/officeDocument/2006/relationships/image" Target="NULL"/><Relationship Id="rId799" Type="http://schemas.openxmlformats.org/officeDocument/2006/relationships/customXml" Target="../ink/ink539.xml"/><Relationship Id="rId51" Type="http://schemas.openxmlformats.org/officeDocument/2006/relationships/customXml" Target="../ink/ink25.xml"/><Relationship Id="rId561" Type="http://schemas.openxmlformats.org/officeDocument/2006/relationships/customXml" Target="../ink/ink301.xml"/><Relationship Id="rId659" Type="http://schemas.openxmlformats.org/officeDocument/2006/relationships/customXml" Target="../ink/ink399.xml"/><Relationship Id="rId866" Type="http://schemas.openxmlformats.org/officeDocument/2006/relationships/customXml" Target="../ink/ink606.xml"/><Relationship Id="rId214" Type="http://schemas.openxmlformats.org/officeDocument/2006/relationships/image" Target="NULL"/><Relationship Id="rId298" Type="http://schemas.openxmlformats.org/officeDocument/2006/relationships/image" Target="NULL"/><Relationship Id="rId421" Type="http://schemas.openxmlformats.org/officeDocument/2006/relationships/customXml" Target="../ink/ink210.xml"/><Relationship Id="rId519" Type="http://schemas.openxmlformats.org/officeDocument/2006/relationships/customXml" Target="../ink/ink259.xml"/><Relationship Id="rId158" Type="http://schemas.openxmlformats.org/officeDocument/2006/relationships/image" Target="NULL"/><Relationship Id="rId726" Type="http://schemas.openxmlformats.org/officeDocument/2006/relationships/customXml" Target="../ink/ink466.xml"/><Relationship Id="rId62" Type="http://schemas.openxmlformats.org/officeDocument/2006/relationships/image" Target="NULL"/><Relationship Id="rId365" Type="http://schemas.openxmlformats.org/officeDocument/2006/relationships/customXml" Target="../ink/ink182.xml"/><Relationship Id="rId572" Type="http://schemas.openxmlformats.org/officeDocument/2006/relationships/customXml" Target="../ink/ink312.xml"/><Relationship Id="rId225" Type="http://schemas.openxmlformats.org/officeDocument/2006/relationships/customXml" Target="../ink/ink112.xml"/><Relationship Id="rId432" Type="http://schemas.openxmlformats.org/officeDocument/2006/relationships/image" Target="NULL"/><Relationship Id="rId877" Type="http://schemas.openxmlformats.org/officeDocument/2006/relationships/customXml" Target="../ink/ink617.xml"/><Relationship Id="rId737" Type="http://schemas.openxmlformats.org/officeDocument/2006/relationships/customXml" Target="../ink/ink477.xml"/><Relationship Id="rId73" Type="http://schemas.openxmlformats.org/officeDocument/2006/relationships/customXml" Target="../ink/ink36.xml"/><Relationship Id="rId169" Type="http://schemas.openxmlformats.org/officeDocument/2006/relationships/customXml" Target="../ink/ink84.xml"/><Relationship Id="rId376" Type="http://schemas.openxmlformats.org/officeDocument/2006/relationships/image" Target="NULL"/><Relationship Id="rId583" Type="http://schemas.openxmlformats.org/officeDocument/2006/relationships/customXml" Target="../ink/ink323.xml"/><Relationship Id="rId790" Type="http://schemas.openxmlformats.org/officeDocument/2006/relationships/customXml" Target="../ink/ink530.xml"/><Relationship Id="rId804" Type="http://schemas.openxmlformats.org/officeDocument/2006/relationships/customXml" Target="../ink/ink544.xml"/><Relationship Id="rId236" Type="http://schemas.openxmlformats.org/officeDocument/2006/relationships/image" Target="NULL"/><Relationship Id="rId443" Type="http://schemas.openxmlformats.org/officeDocument/2006/relationships/customXml" Target="../ink/ink221.xml"/><Relationship Id="rId650" Type="http://schemas.openxmlformats.org/officeDocument/2006/relationships/customXml" Target="../ink/ink390.xml"/><Relationship Id="rId888" Type="http://schemas.openxmlformats.org/officeDocument/2006/relationships/customXml" Target="../ink/ink628.xml"/><Relationship Id="rId303" Type="http://schemas.openxmlformats.org/officeDocument/2006/relationships/customXml" Target="../ink/ink151.xml"/><Relationship Id="rId748" Type="http://schemas.openxmlformats.org/officeDocument/2006/relationships/customXml" Target="../ink/ink488.xml"/><Relationship Id="rId84" Type="http://schemas.openxmlformats.org/officeDocument/2006/relationships/image" Target="NULL"/><Relationship Id="rId387" Type="http://schemas.openxmlformats.org/officeDocument/2006/relationships/customXml" Target="../ink/ink193.xml"/><Relationship Id="rId510" Type="http://schemas.openxmlformats.org/officeDocument/2006/relationships/image" Target="NULL"/><Relationship Id="rId594" Type="http://schemas.openxmlformats.org/officeDocument/2006/relationships/customXml" Target="../ink/ink334.xml"/><Relationship Id="rId608" Type="http://schemas.openxmlformats.org/officeDocument/2006/relationships/customXml" Target="../ink/ink348.xml"/><Relationship Id="rId815" Type="http://schemas.openxmlformats.org/officeDocument/2006/relationships/customXml" Target="../ink/ink555.xml"/><Relationship Id="rId247" Type="http://schemas.openxmlformats.org/officeDocument/2006/relationships/customXml" Target="../ink/ink123.xml"/><Relationship Id="rId899" Type="http://schemas.openxmlformats.org/officeDocument/2006/relationships/customXml" Target="../ink/ink639.xml"/><Relationship Id="rId107" Type="http://schemas.openxmlformats.org/officeDocument/2006/relationships/customXml" Target="../ink/ink53.xml"/><Relationship Id="rId454" Type="http://schemas.openxmlformats.org/officeDocument/2006/relationships/image" Target="NULL"/><Relationship Id="rId661" Type="http://schemas.openxmlformats.org/officeDocument/2006/relationships/customXml" Target="../ink/ink401.xml"/><Relationship Id="rId759" Type="http://schemas.openxmlformats.org/officeDocument/2006/relationships/customXml" Target="../ink/ink499.xml"/><Relationship Id="rId11" Type="http://schemas.openxmlformats.org/officeDocument/2006/relationships/customXml" Target="../ink/ink5.xml"/><Relationship Id="rId314" Type="http://schemas.openxmlformats.org/officeDocument/2006/relationships/image" Target="NULL"/><Relationship Id="rId398" Type="http://schemas.openxmlformats.org/officeDocument/2006/relationships/image" Target="NULL"/><Relationship Id="rId521" Type="http://schemas.openxmlformats.org/officeDocument/2006/relationships/customXml" Target="../ink/ink261.xml"/><Relationship Id="rId619" Type="http://schemas.openxmlformats.org/officeDocument/2006/relationships/customXml" Target="../ink/ink359.xml"/><Relationship Id="rId95" Type="http://schemas.openxmlformats.org/officeDocument/2006/relationships/customXml" Target="../ink/ink47.xml"/><Relationship Id="rId160" Type="http://schemas.openxmlformats.org/officeDocument/2006/relationships/image" Target="NULL"/><Relationship Id="rId826" Type="http://schemas.openxmlformats.org/officeDocument/2006/relationships/customXml" Target="../ink/ink566.xml"/><Relationship Id="rId258" Type="http://schemas.openxmlformats.org/officeDocument/2006/relationships/image" Target="NULL"/><Relationship Id="rId465" Type="http://schemas.openxmlformats.org/officeDocument/2006/relationships/customXml" Target="../ink/ink232.xml"/><Relationship Id="rId672" Type="http://schemas.openxmlformats.org/officeDocument/2006/relationships/customXml" Target="../ink/ink412.xml"/><Relationship Id="rId22" Type="http://schemas.openxmlformats.org/officeDocument/2006/relationships/image" Target="NULL"/><Relationship Id="rId118" Type="http://schemas.openxmlformats.org/officeDocument/2006/relationships/image" Target="NULL"/><Relationship Id="rId325" Type="http://schemas.openxmlformats.org/officeDocument/2006/relationships/customXml" Target="../ink/ink162.xml"/><Relationship Id="rId532" Type="http://schemas.openxmlformats.org/officeDocument/2006/relationships/customXml" Target="../ink/ink272.xml"/><Relationship Id="rId171" Type="http://schemas.openxmlformats.org/officeDocument/2006/relationships/customXml" Target="../ink/ink85.xml"/><Relationship Id="rId837" Type="http://schemas.openxmlformats.org/officeDocument/2006/relationships/customXml" Target="../ink/ink577.xml"/><Relationship Id="rId269" Type="http://schemas.openxmlformats.org/officeDocument/2006/relationships/customXml" Target="../ink/ink134.xml"/><Relationship Id="rId476" Type="http://schemas.openxmlformats.org/officeDocument/2006/relationships/image" Target="NULL"/><Relationship Id="rId683" Type="http://schemas.openxmlformats.org/officeDocument/2006/relationships/customXml" Target="../ink/ink423.xml"/><Relationship Id="rId890" Type="http://schemas.openxmlformats.org/officeDocument/2006/relationships/customXml" Target="../ink/ink630.xml"/><Relationship Id="rId904" Type="http://schemas.openxmlformats.org/officeDocument/2006/relationships/customXml" Target="../ink/ink644.xml"/><Relationship Id="rId33" Type="http://schemas.openxmlformats.org/officeDocument/2006/relationships/customXml" Target="../ink/ink16.xml"/><Relationship Id="rId129" Type="http://schemas.openxmlformats.org/officeDocument/2006/relationships/customXml" Target="../ink/ink64.xml"/><Relationship Id="rId336" Type="http://schemas.openxmlformats.org/officeDocument/2006/relationships/image" Target="NULL"/><Relationship Id="rId543" Type="http://schemas.openxmlformats.org/officeDocument/2006/relationships/customXml" Target="../ink/ink283.xml"/><Relationship Id="rId182" Type="http://schemas.openxmlformats.org/officeDocument/2006/relationships/image" Target="NULL"/><Relationship Id="rId403" Type="http://schemas.openxmlformats.org/officeDocument/2006/relationships/customXml" Target="../ink/ink201.xml"/><Relationship Id="rId750" Type="http://schemas.openxmlformats.org/officeDocument/2006/relationships/customXml" Target="../ink/ink490.xml"/><Relationship Id="rId848" Type="http://schemas.openxmlformats.org/officeDocument/2006/relationships/customXml" Target="../ink/ink588.xml"/><Relationship Id="rId487" Type="http://schemas.openxmlformats.org/officeDocument/2006/relationships/customXml" Target="../ink/ink243.xml"/><Relationship Id="rId610" Type="http://schemas.openxmlformats.org/officeDocument/2006/relationships/customXml" Target="../ink/ink350.xml"/><Relationship Id="rId694" Type="http://schemas.openxmlformats.org/officeDocument/2006/relationships/customXml" Target="../ink/ink434.xml"/><Relationship Id="rId708" Type="http://schemas.openxmlformats.org/officeDocument/2006/relationships/customXml" Target="../ink/ink448.xml"/><Relationship Id="rId347" Type="http://schemas.openxmlformats.org/officeDocument/2006/relationships/customXml" Target="../ink/ink173.xml"/><Relationship Id="rId44" Type="http://schemas.openxmlformats.org/officeDocument/2006/relationships/image" Target="NULL"/><Relationship Id="rId554" Type="http://schemas.openxmlformats.org/officeDocument/2006/relationships/customXml" Target="../ink/ink294.xml"/><Relationship Id="rId761" Type="http://schemas.openxmlformats.org/officeDocument/2006/relationships/customXml" Target="../ink/ink501.xml"/><Relationship Id="rId859" Type="http://schemas.openxmlformats.org/officeDocument/2006/relationships/customXml" Target="../ink/ink599.xml"/><Relationship Id="rId193" Type="http://schemas.openxmlformats.org/officeDocument/2006/relationships/customXml" Target="../ink/ink96.xml"/><Relationship Id="rId207" Type="http://schemas.openxmlformats.org/officeDocument/2006/relationships/customXml" Target="../ink/ink103.xml"/><Relationship Id="rId414" Type="http://schemas.openxmlformats.org/officeDocument/2006/relationships/image" Target="NULL"/><Relationship Id="rId498" Type="http://schemas.openxmlformats.org/officeDocument/2006/relationships/image" Target="NULL"/><Relationship Id="rId621" Type="http://schemas.openxmlformats.org/officeDocument/2006/relationships/customXml" Target="../ink/ink361.xml"/><Relationship Id="rId260" Type="http://schemas.openxmlformats.org/officeDocument/2006/relationships/image" Target="NULL"/><Relationship Id="rId719" Type="http://schemas.openxmlformats.org/officeDocument/2006/relationships/customXml" Target="../ink/ink459.xml"/><Relationship Id="rId55" Type="http://schemas.openxmlformats.org/officeDocument/2006/relationships/customXml" Target="../ink/ink27.xml"/><Relationship Id="rId120" Type="http://schemas.openxmlformats.org/officeDocument/2006/relationships/image" Target="NULL"/><Relationship Id="rId358" Type="http://schemas.openxmlformats.org/officeDocument/2006/relationships/image" Target="NULL"/><Relationship Id="rId565" Type="http://schemas.openxmlformats.org/officeDocument/2006/relationships/customXml" Target="../ink/ink305.xml"/><Relationship Id="rId772" Type="http://schemas.openxmlformats.org/officeDocument/2006/relationships/customXml" Target="../ink/ink512.xml"/><Relationship Id="rId218" Type="http://schemas.openxmlformats.org/officeDocument/2006/relationships/image" Target="NULL"/><Relationship Id="rId425" Type="http://schemas.openxmlformats.org/officeDocument/2006/relationships/customXml" Target="../ink/ink212.xml"/><Relationship Id="rId632" Type="http://schemas.openxmlformats.org/officeDocument/2006/relationships/customXml" Target="../ink/ink372.xml"/><Relationship Id="rId271" Type="http://schemas.openxmlformats.org/officeDocument/2006/relationships/customXml" Target="../ink/ink135.xml"/><Relationship Id="rId66" Type="http://schemas.openxmlformats.org/officeDocument/2006/relationships/image" Target="NULL"/><Relationship Id="rId131" Type="http://schemas.openxmlformats.org/officeDocument/2006/relationships/customXml" Target="../ink/ink65.xml"/><Relationship Id="rId369" Type="http://schemas.openxmlformats.org/officeDocument/2006/relationships/customXml" Target="../ink/ink184.xml"/><Relationship Id="rId576" Type="http://schemas.openxmlformats.org/officeDocument/2006/relationships/customXml" Target="../ink/ink316.xml"/><Relationship Id="rId783" Type="http://schemas.openxmlformats.org/officeDocument/2006/relationships/customXml" Target="../ink/ink523.xml"/><Relationship Id="rId229" Type="http://schemas.openxmlformats.org/officeDocument/2006/relationships/customXml" Target="../ink/ink114.xml"/><Relationship Id="rId436" Type="http://schemas.openxmlformats.org/officeDocument/2006/relationships/image" Target="NULL"/><Relationship Id="rId643" Type="http://schemas.openxmlformats.org/officeDocument/2006/relationships/customXml" Target="../ink/ink383.xml"/><Relationship Id="rId850" Type="http://schemas.openxmlformats.org/officeDocument/2006/relationships/customXml" Target="../ink/ink590.xml"/><Relationship Id="rId77" Type="http://schemas.openxmlformats.org/officeDocument/2006/relationships/customXml" Target="../ink/ink38.xml"/><Relationship Id="rId282" Type="http://schemas.openxmlformats.org/officeDocument/2006/relationships/image" Target="NULL"/><Relationship Id="rId503" Type="http://schemas.openxmlformats.org/officeDocument/2006/relationships/customXml" Target="../ink/ink251.xml"/><Relationship Id="rId587" Type="http://schemas.openxmlformats.org/officeDocument/2006/relationships/customXml" Target="../ink/ink327.xml"/><Relationship Id="rId710" Type="http://schemas.openxmlformats.org/officeDocument/2006/relationships/customXml" Target="../ink/ink450.xml"/><Relationship Id="rId808" Type="http://schemas.openxmlformats.org/officeDocument/2006/relationships/customXml" Target="../ink/ink548.xml"/><Relationship Id="rId8" Type="http://schemas.openxmlformats.org/officeDocument/2006/relationships/image" Target="NULL"/><Relationship Id="rId142" Type="http://schemas.openxmlformats.org/officeDocument/2006/relationships/image" Target="NULL"/><Relationship Id="rId447" Type="http://schemas.openxmlformats.org/officeDocument/2006/relationships/customXml" Target="../ink/ink223.xml"/><Relationship Id="rId794" Type="http://schemas.openxmlformats.org/officeDocument/2006/relationships/customXml" Target="../ink/ink534.xml"/><Relationship Id="rId654" Type="http://schemas.openxmlformats.org/officeDocument/2006/relationships/customXml" Target="../ink/ink394.xml"/><Relationship Id="rId861" Type="http://schemas.openxmlformats.org/officeDocument/2006/relationships/customXml" Target="../ink/ink601.xml"/><Relationship Id="rId293" Type="http://schemas.openxmlformats.org/officeDocument/2006/relationships/customXml" Target="../ink/ink146.xml"/><Relationship Id="rId307" Type="http://schemas.openxmlformats.org/officeDocument/2006/relationships/customXml" Target="../ink/ink153.xml"/><Relationship Id="rId514" Type="http://schemas.openxmlformats.org/officeDocument/2006/relationships/image" Target="NULL"/><Relationship Id="rId721" Type="http://schemas.openxmlformats.org/officeDocument/2006/relationships/customXml" Target="../ink/ink461.xml"/><Relationship Id="rId88" Type="http://schemas.openxmlformats.org/officeDocument/2006/relationships/image" Target="NULL"/><Relationship Id="rId153" Type="http://schemas.openxmlformats.org/officeDocument/2006/relationships/customXml" Target="../ink/ink76.xml"/><Relationship Id="rId360" Type="http://schemas.openxmlformats.org/officeDocument/2006/relationships/image" Target="NULL"/><Relationship Id="rId598" Type="http://schemas.openxmlformats.org/officeDocument/2006/relationships/customXml" Target="../ink/ink338.xml"/><Relationship Id="rId819" Type="http://schemas.openxmlformats.org/officeDocument/2006/relationships/customXml" Target="../ink/ink559.xml"/><Relationship Id="rId220" Type="http://schemas.openxmlformats.org/officeDocument/2006/relationships/image" Target="NULL"/><Relationship Id="rId458" Type="http://schemas.openxmlformats.org/officeDocument/2006/relationships/image" Target="NULL"/><Relationship Id="rId665" Type="http://schemas.openxmlformats.org/officeDocument/2006/relationships/customXml" Target="../ink/ink405.xml"/><Relationship Id="rId872" Type="http://schemas.openxmlformats.org/officeDocument/2006/relationships/customXml" Target="../ink/ink612.xml"/><Relationship Id="rId15" Type="http://schemas.openxmlformats.org/officeDocument/2006/relationships/customXml" Target="../ink/ink7.xml"/><Relationship Id="rId318" Type="http://schemas.openxmlformats.org/officeDocument/2006/relationships/image" Target="NULL"/><Relationship Id="rId525" Type="http://schemas.openxmlformats.org/officeDocument/2006/relationships/customXml" Target="../ink/ink265.xml"/><Relationship Id="rId732" Type="http://schemas.openxmlformats.org/officeDocument/2006/relationships/customXml" Target="../ink/ink472.xml"/><Relationship Id="rId99" Type="http://schemas.openxmlformats.org/officeDocument/2006/relationships/customXml" Target="../ink/ink49.xml"/><Relationship Id="rId164" Type="http://schemas.openxmlformats.org/officeDocument/2006/relationships/image" Target="NULL"/><Relationship Id="rId371" Type="http://schemas.openxmlformats.org/officeDocument/2006/relationships/customXml" Target="../ink/ink185.xml"/><Relationship Id="rId469" Type="http://schemas.openxmlformats.org/officeDocument/2006/relationships/customXml" Target="../ink/ink234.xml"/><Relationship Id="rId676" Type="http://schemas.openxmlformats.org/officeDocument/2006/relationships/customXml" Target="../ink/ink416.xml"/><Relationship Id="rId883" Type="http://schemas.openxmlformats.org/officeDocument/2006/relationships/customXml" Target="../ink/ink623.xml"/><Relationship Id="rId26" Type="http://schemas.openxmlformats.org/officeDocument/2006/relationships/image" Target="NULL"/><Relationship Id="rId231" Type="http://schemas.openxmlformats.org/officeDocument/2006/relationships/customXml" Target="../ink/ink115.xml"/><Relationship Id="rId329" Type="http://schemas.openxmlformats.org/officeDocument/2006/relationships/customXml" Target="../ink/ink164.xml"/><Relationship Id="rId536" Type="http://schemas.openxmlformats.org/officeDocument/2006/relationships/customXml" Target="../ink/ink276.xml"/><Relationship Id="rId175" Type="http://schemas.openxmlformats.org/officeDocument/2006/relationships/customXml" Target="../ink/ink87.xml"/><Relationship Id="rId743" Type="http://schemas.openxmlformats.org/officeDocument/2006/relationships/customXml" Target="../ink/ink48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53</xdr:col>
      <xdr:colOff>228270</xdr:colOff>
      <xdr:row>158</xdr:row>
      <xdr:rowOff>75735</xdr:rowOff>
    </xdr:from>
    <xdr:to>
      <xdr:col>53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Rukopis 1">
              <a:extLst>
                <a:ext uri="{FF2B5EF4-FFF2-40B4-BE49-F238E27FC236}">
                  <a16:creationId xmlns:a16="http://schemas.microsoft.com/office/drawing/2014/main" id="{00446ED4-63FA-49A9-869E-49BA7B1637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">
          <xdr14:nvContentPartPr>
            <xdr14:cNvPr id="4" name="Rukopis 3">
              <a:extLst>
                <a:ext uri="{FF2B5EF4-FFF2-40B4-BE49-F238E27FC236}">
                  <a16:creationId xmlns:a16="http://schemas.microsoft.com/office/drawing/2014/main" id="{A867C1D1-43B3-475F-A4A1-CD6130C5DB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3" name="Rukopis 2">
              <a:extLst>
                <a:ext uri="{FF2B5EF4-FFF2-40B4-BE49-F238E27FC236}">
                  <a16:creationId xmlns:a16="http://schemas.microsoft.com/office/drawing/2014/main" id="{3934DEB7-6EAC-4F1F-9916-16CE00C0DD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5" name="Rukopis 4">
              <a:extLst>
                <a:ext uri="{FF2B5EF4-FFF2-40B4-BE49-F238E27FC236}">
                  <a16:creationId xmlns:a16="http://schemas.microsoft.com/office/drawing/2014/main" id="{7E47F214-A720-4050-9823-1BD46355D2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6" name="Rukopis 5">
              <a:extLst>
                <a:ext uri="{FF2B5EF4-FFF2-40B4-BE49-F238E27FC236}">
                  <a16:creationId xmlns:a16="http://schemas.microsoft.com/office/drawing/2014/main" id="{1C7875ED-8FB4-4B5A-9AE3-D87014E3ED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7" name="Rukopis 6">
              <a:extLst>
                <a:ext uri="{FF2B5EF4-FFF2-40B4-BE49-F238E27FC236}">
                  <a16:creationId xmlns:a16="http://schemas.microsoft.com/office/drawing/2014/main" id="{74925ABA-E7C9-4515-B708-FDA2952CBD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8" name="Rukopis 7">
              <a:extLst>
                <a:ext uri="{FF2B5EF4-FFF2-40B4-BE49-F238E27FC236}">
                  <a16:creationId xmlns:a16="http://schemas.microsoft.com/office/drawing/2014/main" id="{D0C117E5-0F4A-4F34-801C-0A75274F6E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9" name="Rukopis 8">
              <a:extLst>
                <a:ext uri="{FF2B5EF4-FFF2-40B4-BE49-F238E27FC236}">
                  <a16:creationId xmlns:a16="http://schemas.microsoft.com/office/drawing/2014/main" id="{896EE4A1-0490-43BA-A188-0CBA90B002C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0" name="Rukopis 9">
              <a:extLst>
                <a:ext uri="{FF2B5EF4-FFF2-40B4-BE49-F238E27FC236}">
                  <a16:creationId xmlns:a16="http://schemas.microsoft.com/office/drawing/2014/main" id="{7599CBC9-AAB7-4B02-9F75-D656490AF97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11" name="Rukopis 10">
              <a:extLst>
                <a:ext uri="{FF2B5EF4-FFF2-40B4-BE49-F238E27FC236}">
                  <a16:creationId xmlns:a16="http://schemas.microsoft.com/office/drawing/2014/main" id="{4FE6859E-90DD-4E58-8226-39C4FEB505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12" name="Rukopis 11">
              <a:extLst>
                <a:ext uri="{FF2B5EF4-FFF2-40B4-BE49-F238E27FC236}">
                  <a16:creationId xmlns:a16="http://schemas.microsoft.com/office/drawing/2014/main" id="{B4ED0628-C795-4942-8365-F39D68A922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3" name="Rukopis 12">
              <a:extLst>
                <a:ext uri="{FF2B5EF4-FFF2-40B4-BE49-F238E27FC236}">
                  <a16:creationId xmlns:a16="http://schemas.microsoft.com/office/drawing/2014/main" id="{EF579396-3E0B-41A7-A22F-4666BA7E8E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4" name="Rukopis 13">
              <a:extLst>
                <a:ext uri="{FF2B5EF4-FFF2-40B4-BE49-F238E27FC236}">
                  <a16:creationId xmlns:a16="http://schemas.microsoft.com/office/drawing/2014/main" id="{EC1C9626-B0F8-48DF-ACB2-0A54178107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5" name="Rukopis 14">
              <a:extLst>
                <a:ext uri="{FF2B5EF4-FFF2-40B4-BE49-F238E27FC236}">
                  <a16:creationId xmlns:a16="http://schemas.microsoft.com/office/drawing/2014/main" id="{E121B764-8CA1-4EB1-9C4E-8D0B8B0634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6" name="Rukopis 15">
              <a:extLst>
                <a:ext uri="{FF2B5EF4-FFF2-40B4-BE49-F238E27FC236}">
                  <a16:creationId xmlns:a16="http://schemas.microsoft.com/office/drawing/2014/main" id="{114D78F4-5697-49B2-B897-5DA99D41F21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Rukopis 16">
              <a:extLst>
                <a:ext uri="{FF2B5EF4-FFF2-40B4-BE49-F238E27FC236}">
                  <a16:creationId xmlns:a16="http://schemas.microsoft.com/office/drawing/2014/main" id="{5CFCA636-F7D0-44BA-9ADB-04B792B5FA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18" name="Rukopis 17">
              <a:extLst>
                <a:ext uri="{FF2B5EF4-FFF2-40B4-BE49-F238E27FC236}">
                  <a16:creationId xmlns:a16="http://schemas.microsoft.com/office/drawing/2014/main" id="{DBC1473A-D2DD-4EF0-B118-BC1AFDC79EA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19" name="Rukopis 18">
              <a:extLst>
                <a:ext uri="{FF2B5EF4-FFF2-40B4-BE49-F238E27FC236}">
                  <a16:creationId xmlns:a16="http://schemas.microsoft.com/office/drawing/2014/main" id="{7B7FFD68-F404-4523-8F4B-A34180F8A20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0" name="Rukopis 19">
              <a:extLst>
                <a:ext uri="{FF2B5EF4-FFF2-40B4-BE49-F238E27FC236}">
                  <a16:creationId xmlns:a16="http://schemas.microsoft.com/office/drawing/2014/main" id="{35E94EFD-B5EE-4872-B92E-82417E44E2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1" name="Rukopis 20">
              <a:extLst>
                <a:ext uri="{FF2B5EF4-FFF2-40B4-BE49-F238E27FC236}">
                  <a16:creationId xmlns:a16="http://schemas.microsoft.com/office/drawing/2014/main" id="{D1672908-1101-432B-8344-D1256F697FD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22" name="Rukopis 21">
              <a:extLst>
                <a:ext uri="{FF2B5EF4-FFF2-40B4-BE49-F238E27FC236}">
                  <a16:creationId xmlns:a16="http://schemas.microsoft.com/office/drawing/2014/main" id="{9FB95CC3-6876-4428-8EFA-3BE77F6636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23" name="Rukopis 22">
              <a:extLst>
                <a:ext uri="{FF2B5EF4-FFF2-40B4-BE49-F238E27FC236}">
                  <a16:creationId xmlns:a16="http://schemas.microsoft.com/office/drawing/2014/main" id="{E164B257-58BA-478F-B579-212398022D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24" name="Rukopis 23">
              <a:extLst>
                <a:ext uri="{FF2B5EF4-FFF2-40B4-BE49-F238E27FC236}">
                  <a16:creationId xmlns:a16="http://schemas.microsoft.com/office/drawing/2014/main" id="{414C518A-4A79-4DAB-B0D4-4AECB10416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25" name="Rukopis 24">
              <a:extLst>
                <a:ext uri="{FF2B5EF4-FFF2-40B4-BE49-F238E27FC236}">
                  <a16:creationId xmlns:a16="http://schemas.microsoft.com/office/drawing/2014/main" id="{75EB12BE-BD10-47AF-AD7D-265C6E08371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26" name="Rukopis 25">
              <a:extLst>
                <a:ext uri="{FF2B5EF4-FFF2-40B4-BE49-F238E27FC236}">
                  <a16:creationId xmlns:a16="http://schemas.microsoft.com/office/drawing/2014/main" id="{5F2CC40E-B385-4706-BBAB-B252F35AFE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27" name="Rukopis 26">
              <a:extLst>
                <a:ext uri="{FF2B5EF4-FFF2-40B4-BE49-F238E27FC236}">
                  <a16:creationId xmlns:a16="http://schemas.microsoft.com/office/drawing/2014/main" id="{BA5000F3-4930-48B8-BF9A-BEE80D2647B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28" name="Rukopis 27">
              <a:extLst>
                <a:ext uri="{FF2B5EF4-FFF2-40B4-BE49-F238E27FC236}">
                  <a16:creationId xmlns:a16="http://schemas.microsoft.com/office/drawing/2014/main" id="{AD3AAE37-10C9-4E31-BB96-C31C3A4538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29" name="Rukopis 28">
              <a:extLst>
                <a:ext uri="{FF2B5EF4-FFF2-40B4-BE49-F238E27FC236}">
                  <a16:creationId xmlns:a16="http://schemas.microsoft.com/office/drawing/2014/main" id="{9036B4D2-196D-45E3-93E0-3DDD4E13043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30" name="Rukopis 29">
              <a:extLst>
                <a:ext uri="{FF2B5EF4-FFF2-40B4-BE49-F238E27FC236}">
                  <a16:creationId xmlns:a16="http://schemas.microsoft.com/office/drawing/2014/main" id="{F72764FD-43E4-49ED-BD73-46F83192BE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31" name="Rukopis 30">
              <a:extLst>
                <a:ext uri="{FF2B5EF4-FFF2-40B4-BE49-F238E27FC236}">
                  <a16:creationId xmlns:a16="http://schemas.microsoft.com/office/drawing/2014/main" id="{07C7F836-1538-483F-9213-C366537CF0A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32" name="Rukopis 31">
              <a:extLst>
                <a:ext uri="{FF2B5EF4-FFF2-40B4-BE49-F238E27FC236}">
                  <a16:creationId xmlns:a16="http://schemas.microsoft.com/office/drawing/2014/main" id="{2E143C70-A81C-4EA0-B6BE-6446C657A2D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33" name="Rukopis 32">
              <a:extLst>
                <a:ext uri="{FF2B5EF4-FFF2-40B4-BE49-F238E27FC236}">
                  <a16:creationId xmlns:a16="http://schemas.microsoft.com/office/drawing/2014/main" id="{66E4D510-AC24-4017-8F8F-AB398683F13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34" name="Rukopis 33">
              <a:extLst>
                <a:ext uri="{FF2B5EF4-FFF2-40B4-BE49-F238E27FC236}">
                  <a16:creationId xmlns:a16="http://schemas.microsoft.com/office/drawing/2014/main" id="{71740A9B-1923-4DC5-A387-119136FDC8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35" name="Rukopis 34">
              <a:extLst>
                <a:ext uri="{FF2B5EF4-FFF2-40B4-BE49-F238E27FC236}">
                  <a16:creationId xmlns:a16="http://schemas.microsoft.com/office/drawing/2014/main" id="{E70B82FC-4AB2-44AC-8778-1E855D3F003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36" name="Rukopis 35">
              <a:extLst>
                <a:ext uri="{FF2B5EF4-FFF2-40B4-BE49-F238E27FC236}">
                  <a16:creationId xmlns:a16="http://schemas.microsoft.com/office/drawing/2014/main" id="{CFC9A12A-BB95-402B-B7D2-BD9B6BC3DB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37" name="Rukopis 36">
              <a:extLst>
                <a:ext uri="{FF2B5EF4-FFF2-40B4-BE49-F238E27FC236}">
                  <a16:creationId xmlns:a16="http://schemas.microsoft.com/office/drawing/2014/main" id="{463EA01E-312C-44AA-8998-EFC400ED25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38" name="Rukopis 37">
              <a:extLst>
                <a:ext uri="{FF2B5EF4-FFF2-40B4-BE49-F238E27FC236}">
                  <a16:creationId xmlns:a16="http://schemas.microsoft.com/office/drawing/2014/main" id="{5DC34EA3-43C8-49EF-9709-DEC2DC47A7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39" name="Rukopis 38">
              <a:extLst>
                <a:ext uri="{FF2B5EF4-FFF2-40B4-BE49-F238E27FC236}">
                  <a16:creationId xmlns:a16="http://schemas.microsoft.com/office/drawing/2014/main" id="{A725038B-CB82-4E5A-BBB5-AEDE1046B5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40" name="Rukopis 39">
              <a:extLst>
                <a:ext uri="{FF2B5EF4-FFF2-40B4-BE49-F238E27FC236}">
                  <a16:creationId xmlns:a16="http://schemas.microsoft.com/office/drawing/2014/main" id="{2B8FCAB8-D26F-459D-B24E-F67CED7C840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41" name="Rukopis 40">
              <a:extLst>
                <a:ext uri="{FF2B5EF4-FFF2-40B4-BE49-F238E27FC236}">
                  <a16:creationId xmlns:a16="http://schemas.microsoft.com/office/drawing/2014/main" id="{4E398EA7-1910-40C7-987E-DEE152FB87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42" name="Rukopis 41">
              <a:extLst>
                <a:ext uri="{FF2B5EF4-FFF2-40B4-BE49-F238E27FC236}">
                  <a16:creationId xmlns:a16="http://schemas.microsoft.com/office/drawing/2014/main" id="{DF248127-6396-4094-A360-CC23E3F25C5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43" name="Rukopis 42">
              <a:extLst>
                <a:ext uri="{FF2B5EF4-FFF2-40B4-BE49-F238E27FC236}">
                  <a16:creationId xmlns:a16="http://schemas.microsoft.com/office/drawing/2014/main" id="{87D849E2-B467-49FA-ADB8-44B2428BBB3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44" name="Rukopis 43">
              <a:extLst>
                <a:ext uri="{FF2B5EF4-FFF2-40B4-BE49-F238E27FC236}">
                  <a16:creationId xmlns:a16="http://schemas.microsoft.com/office/drawing/2014/main" id="{D4258660-97B3-43FB-9708-552291AAA58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45" name="Rukopis 44">
              <a:extLst>
                <a:ext uri="{FF2B5EF4-FFF2-40B4-BE49-F238E27FC236}">
                  <a16:creationId xmlns:a16="http://schemas.microsoft.com/office/drawing/2014/main" id="{20DBE984-83ED-4BF7-BD10-350135446D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46" name="Rukopis 45">
              <a:extLst>
                <a:ext uri="{FF2B5EF4-FFF2-40B4-BE49-F238E27FC236}">
                  <a16:creationId xmlns:a16="http://schemas.microsoft.com/office/drawing/2014/main" id="{8BAA1115-DB93-4E89-96E9-3ECDC4171F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47" name="Rukopis 46">
              <a:extLst>
                <a:ext uri="{FF2B5EF4-FFF2-40B4-BE49-F238E27FC236}">
                  <a16:creationId xmlns:a16="http://schemas.microsoft.com/office/drawing/2014/main" id="{904A2C2B-78F0-49FC-8D7E-CC4E7517601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48" name="Rukopis 47">
              <a:extLst>
                <a:ext uri="{FF2B5EF4-FFF2-40B4-BE49-F238E27FC236}">
                  <a16:creationId xmlns:a16="http://schemas.microsoft.com/office/drawing/2014/main" id="{BAD764C0-A176-4E99-83B5-280AFDC0CE4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49" name="Rukopis 48">
              <a:extLst>
                <a:ext uri="{FF2B5EF4-FFF2-40B4-BE49-F238E27FC236}">
                  <a16:creationId xmlns:a16="http://schemas.microsoft.com/office/drawing/2014/main" id="{4D346619-1057-4EE0-851A-EC2B419F83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50" name="Rukopis 49">
              <a:extLst>
                <a:ext uri="{FF2B5EF4-FFF2-40B4-BE49-F238E27FC236}">
                  <a16:creationId xmlns:a16="http://schemas.microsoft.com/office/drawing/2014/main" id="{0D26DAEA-5E3D-480D-A678-A187FB5331C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51" name="Rukopis 50">
              <a:extLst>
                <a:ext uri="{FF2B5EF4-FFF2-40B4-BE49-F238E27FC236}">
                  <a16:creationId xmlns:a16="http://schemas.microsoft.com/office/drawing/2014/main" id="{8CFB2E05-013D-45C5-BB05-9E61C89939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52" name="Rukopis 51">
              <a:extLst>
                <a:ext uri="{FF2B5EF4-FFF2-40B4-BE49-F238E27FC236}">
                  <a16:creationId xmlns:a16="http://schemas.microsoft.com/office/drawing/2014/main" id="{3A6CA581-E89B-440D-83B5-05A94644F11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53" name="Rukopis 52">
              <a:extLst>
                <a:ext uri="{FF2B5EF4-FFF2-40B4-BE49-F238E27FC236}">
                  <a16:creationId xmlns:a16="http://schemas.microsoft.com/office/drawing/2014/main" id="{8E9DE981-AC6E-45FF-B4B3-0734B30937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54" name="Rukopis 53">
              <a:extLst>
                <a:ext uri="{FF2B5EF4-FFF2-40B4-BE49-F238E27FC236}">
                  <a16:creationId xmlns:a16="http://schemas.microsoft.com/office/drawing/2014/main" id="{FCDD56C2-9FF6-47CA-836C-5CFE3C2B8A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55" name="Rukopis 54">
              <a:extLst>
                <a:ext uri="{FF2B5EF4-FFF2-40B4-BE49-F238E27FC236}">
                  <a16:creationId xmlns:a16="http://schemas.microsoft.com/office/drawing/2014/main" id="{AEE80638-6984-4395-8695-603194C080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56" name="Rukopis 55">
              <a:extLst>
                <a:ext uri="{FF2B5EF4-FFF2-40B4-BE49-F238E27FC236}">
                  <a16:creationId xmlns:a16="http://schemas.microsoft.com/office/drawing/2014/main" id="{B42B82C0-7A61-4830-AC83-2DB915B2E1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57" name="Rukopis 56">
              <a:extLst>
                <a:ext uri="{FF2B5EF4-FFF2-40B4-BE49-F238E27FC236}">
                  <a16:creationId xmlns:a16="http://schemas.microsoft.com/office/drawing/2014/main" id="{C7570C8F-AAEE-4DC2-B982-C5C8EF9598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58" name="Rukopis 57">
              <a:extLst>
                <a:ext uri="{FF2B5EF4-FFF2-40B4-BE49-F238E27FC236}">
                  <a16:creationId xmlns:a16="http://schemas.microsoft.com/office/drawing/2014/main" id="{0B9B4BC6-DA32-4D65-AA8E-021CB1BF93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59" name="Rukopis 58">
              <a:extLst>
                <a:ext uri="{FF2B5EF4-FFF2-40B4-BE49-F238E27FC236}">
                  <a16:creationId xmlns:a16="http://schemas.microsoft.com/office/drawing/2014/main" id="{3F739908-8118-476D-AF73-0822A9CFF3F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60" name="Rukopis 59">
              <a:extLst>
                <a:ext uri="{FF2B5EF4-FFF2-40B4-BE49-F238E27FC236}">
                  <a16:creationId xmlns:a16="http://schemas.microsoft.com/office/drawing/2014/main" id="{BC9A9906-2337-47D2-8B18-396F05FE466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61" name="Rukopis 60">
              <a:extLst>
                <a:ext uri="{FF2B5EF4-FFF2-40B4-BE49-F238E27FC236}">
                  <a16:creationId xmlns:a16="http://schemas.microsoft.com/office/drawing/2014/main" id="{032F7A32-C978-4BD4-9D93-045D76FFD13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62" name="Rukopis 61">
              <a:extLst>
                <a:ext uri="{FF2B5EF4-FFF2-40B4-BE49-F238E27FC236}">
                  <a16:creationId xmlns:a16="http://schemas.microsoft.com/office/drawing/2014/main" id="{49A4AB2A-F9B6-4A23-AAE8-4F893570CD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63" name="Rukopis 62">
              <a:extLst>
                <a:ext uri="{FF2B5EF4-FFF2-40B4-BE49-F238E27FC236}">
                  <a16:creationId xmlns:a16="http://schemas.microsoft.com/office/drawing/2014/main" id="{06112BFF-D53A-4DBC-9698-95F0A4B089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64" name="Rukopis 63">
              <a:extLst>
                <a:ext uri="{FF2B5EF4-FFF2-40B4-BE49-F238E27FC236}">
                  <a16:creationId xmlns:a16="http://schemas.microsoft.com/office/drawing/2014/main" id="{1E2C2F31-D9CB-4284-A406-8172658C49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65" name="Rukopis 64">
              <a:extLst>
                <a:ext uri="{FF2B5EF4-FFF2-40B4-BE49-F238E27FC236}">
                  <a16:creationId xmlns:a16="http://schemas.microsoft.com/office/drawing/2014/main" id="{95A48D3F-2306-4A4B-9529-FB18274D21E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66" name="Rukopis 65">
              <a:extLst>
                <a:ext uri="{FF2B5EF4-FFF2-40B4-BE49-F238E27FC236}">
                  <a16:creationId xmlns:a16="http://schemas.microsoft.com/office/drawing/2014/main" id="{8F43508A-2C8F-4DE4-A835-572BB243ACC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67" name="Rukopis 66">
              <a:extLst>
                <a:ext uri="{FF2B5EF4-FFF2-40B4-BE49-F238E27FC236}">
                  <a16:creationId xmlns:a16="http://schemas.microsoft.com/office/drawing/2014/main" id="{A2658E91-BCCB-4B87-973D-427E9559CC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68" name="Rukopis 67">
              <a:extLst>
                <a:ext uri="{FF2B5EF4-FFF2-40B4-BE49-F238E27FC236}">
                  <a16:creationId xmlns:a16="http://schemas.microsoft.com/office/drawing/2014/main" id="{5FA9E33A-764B-4F97-965F-C5651A4F0C2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69" name="Rukopis 68">
              <a:extLst>
                <a:ext uri="{FF2B5EF4-FFF2-40B4-BE49-F238E27FC236}">
                  <a16:creationId xmlns:a16="http://schemas.microsoft.com/office/drawing/2014/main" id="{4A9B699C-5874-4CF2-80FA-3E341890356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70" name="Rukopis 69">
              <a:extLst>
                <a:ext uri="{FF2B5EF4-FFF2-40B4-BE49-F238E27FC236}">
                  <a16:creationId xmlns:a16="http://schemas.microsoft.com/office/drawing/2014/main" id="{709424F2-C6A3-46F7-9F7E-5C6B4B0FD5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71" name="Rukopis 70">
              <a:extLst>
                <a:ext uri="{FF2B5EF4-FFF2-40B4-BE49-F238E27FC236}">
                  <a16:creationId xmlns:a16="http://schemas.microsoft.com/office/drawing/2014/main" id="{11251BA6-432D-4035-A608-361F6FA54C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72" name="Rukopis 71">
              <a:extLst>
                <a:ext uri="{FF2B5EF4-FFF2-40B4-BE49-F238E27FC236}">
                  <a16:creationId xmlns:a16="http://schemas.microsoft.com/office/drawing/2014/main" id="{916DF5A0-0B84-40DF-B7AA-262BEBABFED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73" name="Rukopis 72">
              <a:extLst>
                <a:ext uri="{FF2B5EF4-FFF2-40B4-BE49-F238E27FC236}">
                  <a16:creationId xmlns:a16="http://schemas.microsoft.com/office/drawing/2014/main" id="{BD603767-AD3D-49C3-AEF4-7E9A0C8CAA9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74" name="Rukopis 73">
              <a:extLst>
                <a:ext uri="{FF2B5EF4-FFF2-40B4-BE49-F238E27FC236}">
                  <a16:creationId xmlns:a16="http://schemas.microsoft.com/office/drawing/2014/main" id="{B1B997A7-6971-4CA8-A3E6-E2C78C8F77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75" name="Rukopis 74">
              <a:extLst>
                <a:ext uri="{FF2B5EF4-FFF2-40B4-BE49-F238E27FC236}">
                  <a16:creationId xmlns:a16="http://schemas.microsoft.com/office/drawing/2014/main" id="{1F656507-0221-4C32-8EE7-73725381DA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76" name="Rukopis 75">
              <a:extLst>
                <a:ext uri="{FF2B5EF4-FFF2-40B4-BE49-F238E27FC236}">
                  <a16:creationId xmlns:a16="http://schemas.microsoft.com/office/drawing/2014/main" id="{759254E8-0B51-4BE5-BF70-EAB1D1F049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77" name="Rukopis 76">
              <a:extLst>
                <a:ext uri="{FF2B5EF4-FFF2-40B4-BE49-F238E27FC236}">
                  <a16:creationId xmlns:a16="http://schemas.microsoft.com/office/drawing/2014/main" id="{4AC7B81D-2942-47B3-AD76-E3DCC40386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78" name="Rukopis 77">
              <a:extLst>
                <a:ext uri="{FF2B5EF4-FFF2-40B4-BE49-F238E27FC236}">
                  <a16:creationId xmlns:a16="http://schemas.microsoft.com/office/drawing/2014/main" id="{84156FA4-E763-4006-93A4-A8A77F93C0B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79" name="Rukopis 78">
              <a:extLst>
                <a:ext uri="{FF2B5EF4-FFF2-40B4-BE49-F238E27FC236}">
                  <a16:creationId xmlns:a16="http://schemas.microsoft.com/office/drawing/2014/main" id="{F94ADB6D-CA04-4D64-813A-A73B0155673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80" name="Rukopis 79">
              <a:extLst>
                <a:ext uri="{FF2B5EF4-FFF2-40B4-BE49-F238E27FC236}">
                  <a16:creationId xmlns:a16="http://schemas.microsoft.com/office/drawing/2014/main" id="{7584B043-32E5-4AE1-B5BA-EAFBAA9E2F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81" name="Rukopis 80">
              <a:extLst>
                <a:ext uri="{FF2B5EF4-FFF2-40B4-BE49-F238E27FC236}">
                  <a16:creationId xmlns:a16="http://schemas.microsoft.com/office/drawing/2014/main" id="{B7E14499-BEB8-4E2C-A11D-4B040DFB74E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82" name="Rukopis 81">
              <a:extLst>
                <a:ext uri="{FF2B5EF4-FFF2-40B4-BE49-F238E27FC236}">
                  <a16:creationId xmlns:a16="http://schemas.microsoft.com/office/drawing/2014/main" id="{1C6DA5A2-9B3A-40CE-8751-0D910F2B85F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83" name="Rukopis 82">
              <a:extLst>
                <a:ext uri="{FF2B5EF4-FFF2-40B4-BE49-F238E27FC236}">
                  <a16:creationId xmlns:a16="http://schemas.microsoft.com/office/drawing/2014/main" id="{75D972F8-25CB-46DB-A4BA-20DAC6CD440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84" name="Rukopis 83">
              <a:extLst>
                <a:ext uri="{FF2B5EF4-FFF2-40B4-BE49-F238E27FC236}">
                  <a16:creationId xmlns:a16="http://schemas.microsoft.com/office/drawing/2014/main" id="{6CD5FC7A-AAF7-4DD5-87A2-D20CF59FDBA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85" name="Rukopis 84">
              <a:extLst>
                <a:ext uri="{FF2B5EF4-FFF2-40B4-BE49-F238E27FC236}">
                  <a16:creationId xmlns:a16="http://schemas.microsoft.com/office/drawing/2014/main" id="{42AB0AC7-D337-4255-B7BC-7F6FB5AEAA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86" name="Rukopis 85">
              <a:extLst>
                <a:ext uri="{FF2B5EF4-FFF2-40B4-BE49-F238E27FC236}">
                  <a16:creationId xmlns:a16="http://schemas.microsoft.com/office/drawing/2014/main" id="{159AF777-6134-46A4-BA2C-70C9BACA6F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87" name="Rukopis 86">
              <a:extLst>
                <a:ext uri="{FF2B5EF4-FFF2-40B4-BE49-F238E27FC236}">
                  <a16:creationId xmlns:a16="http://schemas.microsoft.com/office/drawing/2014/main" id="{CB9C44C9-9E11-428C-BAE8-4C323F4636B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88" name="Rukopis 87">
              <a:extLst>
                <a:ext uri="{FF2B5EF4-FFF2-40B4-BE49-F238E27FC236}">
                  <a16:creationId xmlns:a16="http://schemas.microsoft.com/office/drawing/2014/main" id="{EF9E616E-AC82-45C0-9990-57081637300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360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89" name="Rukopis 88">
              <a:extLst>
                <a:ext uri="{FF2B5EF4-FFF2-40B4-BE49-F238E27FC236}">
                  <a16:creationId xmlns:a16="http://schemas.microsoft.com/office/drawing/2014/main" id="{AC5C7F16-421F-4471-97F4-742C7D883E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90" name="Rukopis 89">
              <a:extLst>
                <a:ext uri="{FF2B5EF4-FFF2-40B4-BE49-F238E27FC236}">
                  <a16:creationId xmlns:a16="http://schemas.microsoft.com/office/drawing/2014/main" id="{BA29E4AC-6C6D-4685-AE8D-817F331A43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91" name="Rukopis 90">
              <a:extLst>
                <a:ext uri="{FF2B5EF4-FFF2-40B4-BE49-F238E27FC236}">
                  <a16:creationId xmlns:a16="http://schemas.microsoft.com/office/drawing/2014/main" id="{06FE1BD9-776C-4B35-80AE-3AAA8F9F413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92" name="Rukopis 91">
              <a:extLst>
                <a:ext uri="{FF2B5EF4-FFF2-40B4-BE49-F238E27FC236}">
                  <a16:creationId xmlns:a16="http://schemas.microsoft.com/office/drawing/2014/main" id="{61612E23-4098-4189-8D7B-4F9544A2E3A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93" name="Rukopis 92">
              <a:extLst>
                <a:ext uri="{FF2B5EF4-FFF2-40B4-BE49-F238E27FC236}">
                  <a16:creationId xmlns:a16="http://schemas.microsoft.com/office/drawing/2014/main" id="{4A48C036-F0E1-4595-A64B-7F676C767B3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94" name="Rukopis 93">
              <a:extLst>
                <a:ext uri="{FF2B5EF4-FFF2-40B4-BE49-F238E27FC236}">
                  <a16:creationId xmlns:a16="http://schemas.microsoft.com/office/drawing/2014/main" id="{C60E3172-8991-44CA-9800-1D6ACDE342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95" name="Rukopis 94">
              <a:extLst>
                <a:ext uri="{FF2B5EF4-FFF2-40B4-BE49-F238E27FC236}">
                  <a16:creationId xmlns:a16="http://schemas.microsoft.com/office/drawing/2014/main" id="{27A726BD-B044-416B-81BD-DEF29979F5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228630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96" name="Rukopis 95">
              <a:extLst>
                <a:ext uri="{FF2B5EF4-FFF2-40B4-BE49-F238E27FC236}">
                  <a16:creationId xmlns:a16="http://schemas.microsoft.com/office/drawing/2014/main" id="{82D78E50-EC73-4186-965F-B9345FC61F4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360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97" name="Rukopis 96">
              <a:extLst>
                <a:ext uri="{FF2B5EF4-FFF2-40B4-BE49-F238E27FC236}">
                  <a16:creationId xmlns:a16="http://schemas.microsoft.com/office/drawing/2014/main" id="{BC5A8BC4-2AD1-4485-B82A-CD822EDE6B6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98" name="Rukopis 97">
              <a:extLst>
                <a:ext uri="{FF2B5EF4-FFF2-40B4-BE49-F238E27FC236}">
                  <a16:creationId xmlns:a16="http://schemas.microsoft.com/office/drawing/2014/main" id="{EC9C1136-78B6-494C-9447-AD70E07EEB3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99" name="Rukopis 98">
              <a:extLst>
                <a:ext uri="{FF2B5EF4-FFF2-40B4-BE49-F238E27FC236}">
                  <a16:creationId xmlns:a16="http://schemas.microsoft.com/office/drawing/2014/main" id="{0464E5DC-F0E5-4F0B-9EB9-2E5991CCE1F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1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00" name="Rukopis 99">
              <a:extLst>
                <a:ext uri="{FF2B5EF4-FFF2-40B4-BE49-F238E27FC236}">
                  <a16:creationId xmlns:a16="http://schemas.microsoft.com/office/drawing/2014/main" id="{EFD379AC-A945-48B1-A6F1-E77574EDD66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101" name="Rukopis 100">
              <a:extLst>
                <a:ext uri="{FF2B5EF4-FFF2-40B4-BE49-F238E27FC236}">
                  <a16:creationId xmlns:a16="http://schemas.microsoft.com/office/drawing/2014/main" id="{2BC69BC5-BC1C-4593-BF1E-D78BA488D4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102" name="Rukopis 101">
              <a:extLst>
                <a:ext uri="{FF2B5EF4-FFF2-40B4-BE49-F238E27FC236}">
                  <a16:creationId xmlns:a16="http://schemas.microsoft.com/office/drawing/2014/main" id="{6AA7498B-5A46-4089-B2C6-9977546553F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103" name="Rukopis 102">
              <a:extLst>
                <a:ext uri="{FF2B5EF4-FFF2-40B4-BE49-F238E27FC236}">
                  <a16:creationId xmlns:a16="http://schemas.microsoft.com/office/drawing/2014/main" id="{F7112108-2BB7-4F82-94BF-140363C4840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104" name="Rukopis 103">
              <a:extLst>
                <a:ext uri="{FF2B5EF4-FFF2-40B4-BE49-F238E27FC236}">
                  <a16:creationId xmlns:a16="http://schemas.microsoft.com/office/drawing/2014/main" id="{DE8B2D5F-1461-4CB9-86F0-434C2520088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105" name="Rukopis 104">
              <a:extLst>
                <a:ext uri="{FF2B5EF4-FFF2-40B4-BE49-F238E27FC236}">
                  <a16:creationId xmlns:a16="http://schemas.microsoft.com/office/drawing/2014/main" id="{6431CC65-2AB2-49B6-9894-EA053F239B6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106" name="Rukopis 105">
              <a:extLst>
                <a:ext uri="{FF2B5EF4-FFF2-40B4-BE49-F238E27FC236}">
                  <a16:creationId xmlns:a16="http://schemas.microsoft.com/office/drawing/2014/main" id="{173ABC19-B6F5-4AD1-92DA-E71E67544B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107" name="Rukopis 106">
              <a:extLst>
                <a:ext uri="{FF2B5EF4-FFF2-40B4-BE49-F238E27FC236}">
                  <a16:creationId xmlns:a16="http://schemas.microsoft.com/office/drawing/2014/main" id="{185293B2-F760-4582-90A4-5944B38966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108" name="Rukopis 107">
              <a:extLst>
                <a:ext uri="{FF2B5EF4-FFF2-40B4-BE49-F238E27FC236}">
                  <a16:creationId xmlns:a16="http://schemas.microsoft.com/office/drawing/2014/main" id="{FD82A27B-5660-4886-B163-12644917FC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109" name="Rukopis 108">
              <a:extLst>
                <a:ext uri="{FF2B5EF4-FFF2-40B4-BE49-F238E27FC236}">
                  <a16:creationId xmlns:a16="http://schemas.microsoft.com/office/drawing/2014/main" id="{D64A2740-FEB8-4DBD-BB8F-7E3959B58D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110" name="Rukopis 109">
              <a:extLst>
                <a:ext uri="{FF2B5EF4-FFF2-40B4-BE49-F238E27FC236}">
                  <a16:creationId xmlns:a16="http://schemas.microsoft.com/office/drawing/2014/main" id="{7CE52DF5-3092-41C4-9FFF-641468B813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111" name="Rukopis 110">
              <a:extLst>
                <a:ext uri="{FF2B5EF4-FFF2-40B4-BE49-F238E27FC236}">
                  <a16:creationId xmlns:a16="http://schemas.microsoft.com/office/drawing/2014/main" id="{ED917BCF-ABA0-46FD-9291-083FC5AE69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112" name="Rukopis 111">
              <a:extLst>
                <a:ext uri="{FF2B5EF4-FFF2-40B4-BE49-F238E27FC236}">
                  <a16:creationId xmlns:a16="http://schemas.microsoft.com/office/drawing/2014/main" id="{D310A26C-5005-402D-961D-7F18D52A3F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113" name="Rukopis 112">
              <a:extLst>
                <a:ext uri="{FF2B5EF4-FFF2-40B4-BE49-F238E27FC236}">
                  <a16:creationId xmlns:a16="http://schemas.microsoft.com/office/drawing/2014/main" id="{CF8B0C68-0AEB-4374-ABE8-6E6E918F25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114" name="Rukopis 113">
              <a:extLst>
                <a:ext uri="{FF2B5EF4-FFF2-40B4-BE49-F238E27FC236}">
                  <a16:creationId xmlns:a16="http://schemas.microsoft.com/office/drawing/2014/main" id="{AFF3397F-25E8-43E5-89D2-E2A739AFEA5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115" name="Rukopis 114">
              <a:extLst>
                <a:ext uri="{FF2B5EF4-FFF2-40B4-BE49-F238E27FC236}">
                  <a16:creationId xmlns:a16="http://schemas.microsoft.com/office/drawing/2014/main" id="{0F2F1D8E-3926-4096-95D5-B3B9205FCE1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116" name="Rukopis 115">
              <a:extLst>
                <a:ext uri="{FF2B5EF4-FFF2-40B4-BE49-F238E27FC236}">
                  <a16:creationId xmlns:a16="http://schemas.microsoft.com/office/drawing/2014/main" id="{B5850C1B-C7C6-46D8-A3EE-197FC66A7C7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117" name="Rukopis 116">
              <a:extLst>
                <a:ext uri="{FF2B5EF4-FFF2-40B4-BE49-F238E27FC236}">
                  <a16:creationId xmlns:a16="http://schemas.microsoft.com/office/drawing/2014/main" id="{986E8F88-2ABA-4651-8B9C-C64AF55914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118" name="Rukopis 117">
              <a:extLst>
                <a:ext uri="{FF2B5EF4-FFF2-40B4-BE49-F238E27FC236}">
                  <a16:creationId xmlns:a16="http://schemas.microsoft.com/office/drawing/2014/main" id="{2B87A857-32CD-4D7D-AC0C-31E21A3EBA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119" name="Rukopis 118">
              <a:extLst>
                <a:ext uri="{FF2B5EF4-FFF2-40B4-BE49-F238E27FC236}">
                  <a16:creationId xmlns:a16="http://schemas.microsoft.com/office/drawing/2014/main" id="{8A8D249B-9647-4821-8540-73385C02FB1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120" name="Rukopis 119">
              <a:extLst>
                <a:ext uri="{FF2B5EF4-FFF2-40B4-BE49-F238E27FC236}">
                  <a16:creationId xmlns:a16="http://schemas.microsoft.com/office/drawing/2014/main" id="{AE5CFABB-B5A2-44EE-9E33-B79DE53F55D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121" name="Rukopis 120">
              <a:extLst>
                <a:ext uri="{FF2B5EF4-FFF2-40B4-BE49-F238E27FC236}">
                  <a16:creationId xmlns:a16="http://schemas.microsoft.com/office/drawing/2014/main" id="{C2D7FEAB-0A2D-4463-AEDB-8B9E9CA0DAA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122" name="Rukopis 121">
              <a:extLst>
                <a:ext uri="{FF2B5EF4-FFF2-40B4-BE49-F238E27FC236}">
                  <a16:creationId xmlns:a16="http://schemas.microsoft.com/office/drawing/2014/main" id="{D90AA5F9-6350-4E2C-9B5A-E2BE080D34E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123" name="Rukopis 122">
              <a:extLst>
                <a:ext uri="{FF2B5EF4-FFF2-40B4-BE49-F238E27FC236}">
                  <a16:creationId xmlns:a16="http://schemas.microsoft.com/office/drawing/2014/main" id="{9A094ACC-A302-4ED1-90C9-73914D41FD6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124" name="Rukopis 123">
              <a:extLst>
                <a:ext uri="{FF2B5EF4-FFF2-40B4-BE49-F238E27FC236}">
                  <a16:creationId xmlns:a16="http://schemas.microsoft.com/office/drawing/2014/main" id="{ED32AD4F-5EE6-40FE-9F0E-A1F44EC182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125" name="Rukopis 124">
              <a:extLst>
                <a:ext uri="{FF2B5EF4-FFF2-40B4-BE49-F238E27FC236}">
                  <a16:creationId xmlns:a16="http://schemas.microsoft.com/office/drawing/2014/main" id="{D318C302-6689-44F7-885B-30010E5D5BC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126" name="Rukopis 125">
              <a:extLst>
                <a:ext uri="{FF2B5EF4-FFF2-40B4-BE49-F238E27FC236}">
                  <a16:creationId xmlns:a16="http://schemas.microsoft.com/office/drawing/2014/main" id="{EEDBE724-EF48-4A85-8AC1-3F02112E774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127" name="Rukopis 126">
              <a:extLst>
                <a:ext uri="{FF2B5EF4-FFF2-40B4-BE49-F238E27FC236}">
                  <a16:creationId xmlns:a16="http://schemas.microsoft.com/office/drawing/2014/main" id="{0C7ADE76-0E7A-4446-91BA-D3A4FCFB30A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128" name="Rukopis 127">
              <a:extLst>
                <a:ext uri="{FF2B5EF4-FFF2-40B4-BE49-F238E27FC236}">
                  <a16:creationId xmlns:a16="http://schemas.microsoft.com/office/drawing/2014/main" id="{E85E4422-09F6-4F83-BA02-8F3588D2FA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129" name="Rukopis 128">
              <a:extLst>
                <a:ext uri="{FF2B5EF4-FFF2-40B4-BE49-F238E27FC236}">
                  <a16:creationId xmlns:a16="http://schemas.microsoft.com/office/drawing/2014/main" id="{4CE73BBC-AC5A-4AA6-BD27-545376DFDCB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51</xdr:col>
      <xdr:colOff>228270</xdr:colOff>
      <xdr:row>158</xdr:row>
      <xdr:rowOff>75735</xdr:rowOff>
    </xdr:from>
    <xdr:to>
      <xdr:col>51</xdr:col>
      <xdr:colOff>228630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130" name="Rukopis 129">
              <a:extLst>
                <a:ext uri="{FF2B5EF4-FFF2-40B4-BE49-F238E27FC236}">
                  <a16:creationId xmlns:a16="http://schemas.microsoft.com/office/drawing/2014/main" id="{1BAB7FF4-A76B-4D20-B39D-BB1FED31AD2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131" name="Rukopis 130">
              <a:extLst>
                <a:ext uri="{FF2B5EF4-FFF2-40B4-BE49-F238E27FC236}">
                  <a16:creationId xmlns:a16="http://schemas.microsoft.com/office/drawing/2014/main" id="{F2FE2352-61FD-4228-B925-5C2EA01135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132" name="Rukopis 131">
              <a:extLst>
                <a:ext uri="{FF2B5EF4-FFF2-40B4-BE49-F238E27FC236}">
                  <a16:creationId xmlns:a16="http://schemas.microsoft.com/office/drawing/2014/main" id="{B5728B53-1626-4D5C-8FF6-03971743D4A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133" name="Rukopis 132">
              <a:extLst>
                <a:ext uri="{FF2B5EF4-FFF2-40B4-BE49-F238E27FC236}">
                  <a16:creationId xmlns:a16="http://schemas.microsoft.com/office/drawing/2014/main" id="{B4012946-2213-4504-BEE7-02DEB124C4C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134" name="Rukopis 133">
              <a:extLst>
                <a:ext uri="{FF2B5EF4-FFF2-40B4-BE49-F238E27FC236}">
                  <a16:creationId xmlns:a16="http://schemas.microsoft.com/office/drawing/2014/main" id="{29813BAB-44C0-4B20-9167-B1FE5D4D46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135" name="Rukopis 134">
              <a:extLst>
                <a:ext uri="{FF2B5EF4-FFF2-40B4-BE49-F238E27FC236}">
                  <a16:creationId xmlns:a16="http://schemas.microsoft.com/office/drawing/2014/main" id="{67DA88AB-7609-4283-B810-763A1EDB90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136" name="Rukopis 135">
              <a:extLst>
                <a:ext uri="{FF2B5EF4-FFF2-40B4-BE49-F238E27FC236}">
                  <a16:creationId xmlns:a16="http://schemas.microsoft.com/office/drawing/2014/main" id="{DFA22E73-C541-4A83-B643-66EBBDBAA26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137" name="Rukopis 136">
              <a:extLst>
                <a:ext uri="{FF2B5EF4-FFF2-40B4-BE49-F238E27FC236}">
                  <a16:creationId xmlns:a16="http://schemas.microsoft.com/office/drawing/2014/main" id="{533ABDFF-3D3F-4AB5-BCA1-8E48622173B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138" name="Rukopis 137">
              <a:extLst>
                <a:ext uri="{FF2B5EF4-FFF2-40B4-BE49-F238E27FC236}">
                  <a16:creationId xmlns:a16="http://schemas.microsoft.com/office/drawing/2014/main" id="{6614245F-4DA4-4A9A-BDE5-B844AEEA0C1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139" name="Rukopis 138">
              <a:extLst>
                <a:ext uri="{FF2B5EF4-FFF2-40B4-BE49-F238E27FC236}">
                  <a16:creationId xmlns:a16="http://schemas.microsoft.com/office/drawing/2014/main" id="{72118091-F0F7-4F5F-8D0A-683343D75EA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140" name="Rukopis 139">
              <a:extLst>
                <a:ext uri="{FF2B5EF4-FFF2-40B4-BE49-F238E27FC236}">
                  <a16:creationId xmlns:a16="http://schemas.microsoft.com/office/drawing/2014/main" id="{11850E98-DB39-4F44-BACA-EDD4A2A0BA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141" name="Rukopis 140">
              <a:extLst>
                <a:ext uri="{FF2B5EF4-FFF2-40B4-BE49-F238E27FC236}">
                  <a16:creationId xmlns:a16="http://schemas.microsoft.com/office/drawing/2014/main" id="{CA516EC2-5990-4DAA-97A8-1975249641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142" name="Rukopis 141">
              <a:extLst>
                <a:ext uri="{FF2B5EF4-FFF2-40B4-BE49-F238E27FC236}">
                  <a16:creationId xmlns:a16="http://schemas.microsoft.com/office/drawing/2014/main" id="{FAE29A1B-ADD5-40FD-9659-8B965B26E3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143" name="Rukopis 142">
              <a:extLst>
                <a:ext uri="{FF2B5EF4-FFF2-40B4-BE49-F238E27FC236}">
                  <a16:creationId xmlns:a16="http://schemas.microsoft.com/office/drawing/2014/main" id="{156B5C16-A3DF-4CC1-8F6F-F970FCBE4C3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144" name="Rukopis 143">
              <a:extLst>
                <a:ext uri="{FF2B5EF4-FFF2-40B4-BE49-F238E27FC236}">
                  <a16:creationId xmlns:a16="http://schemas.microsoft.com/office/drawing/2014/main" id="{69255ECB-23AF-4519-991F-E1DB553FD1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145" name="Rukopis 144">
              <a:extLst>
                <a:ext uri="{FF2B5EF4-FFF2-40B4-BE49-F238E27FC236}">
                  <a16:creationId xmlns:a16="http://schemas.microsoft.com/office/drawing/2014/main" id="{36FB019E-2249-448A-987C-6F02E821FBF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146" name="Rukopis 145">
              <a:extLst>
                <a:ext uri="{FF2B5EF4-FFF2-40B4-BE49-F238E27FC236}">
                  <a16:creationId xmlns:a16="http://schemas.microsoft.com/office/drawing/2014/main" id="{71ED97B0-BE0C-4865-ACFD-77F88BDF8B0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">
          <xdr14:nvContentPartPr>
            <xdr14:cNvPr id="147" name="Rukopis 146">
              <a:extLst>
                <a:ext uri="{FF2B5EF4-FFF2-40B4-BE49-F238E27FC236}">
                  <a16:creationId xmlns:a16="http://schemas.microsoft.com/office/drawing/2014/main" id="{78B7EFAC-7844-4D9E-9E56-95A5A5270B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148" name="Rukopis 147">
              <a:extLst>
                <a:ext uri="{FF2B5EF4-FFF2-40B4-BE49-F238E27FC236}">
                  <a16:creationId xmlns:a16="http://schemas.microsoft.com/office/drawing/2014/main" id="{0BD933D5-2476-45A7-9A30-9BB066C22F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149" name="Rukopis 148">
              <a:extLst>
                <a:ext uri="{FF2B5EF4-FFF2-40B4-BE49-F238E27FC236}">
                  <a16:creationId xmlns:a16="http://schemas.microsoft.com/office/drawing/2014/main" id="{D285870E-826D-4CE1-8457-A46299016C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">
          <xdr14:nvContentPartPr>
            <xdr14:cNvPr id="150" name="Rukopis 149">
              <a:extLst>
                <a:ext uri="{FF2B5EF4-FFF2-40B4-BE49-F238E27FC236}">
                  <a16:creationId xmlns:a16="http://schemas.microsoft.com/office/drawing/2014/main" id="{81AD379A-5412-4B95-BEB4-EB545CF73E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151" name="Rukopis 150">
              <a:extLst>
                <a:ext uri="{FF2B5EF4-FFF2-40B4-BE49-F238E27FC236}">
                  <a16:creationId xmlns:a16="http://schemas.microsoft.com/office/drawing/2014/main" id="{C31D5365-6DC5-4CE6-B35F-9F477ED380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152" name="Rukopis 151">
              <a:extLst>
                <a:ext uri="{FF2B5EF4-FFF2-40B4-BE49-F238E27FC236}">
                  <a16:creationId xmlns:a16="http://schemas.microsoft.com/office/drawing/2014/main" id="{289EC25B-E076-4EC1-A4C3-5F7A03B914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">
          <xdr14:nvContentPartPr>
            <xdr14:cNvPr id="153" name="Rukopis 152">
              <a:extLst>
                <a:ext uri="{FF2B5EF4-FFF2-40B4-BE49-F238E27FC236}">
                  <a16:creationId xmlns:a16="http://schemas.microsoft.com/office/drawing/2014/main" id="{DC7131C9-AA01-44F7-8CE0-EAC9CB7FC6D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">
          <xdr14:nvContentPartPr>
            <xdr14:cNvPr id="154" name="Rukopis 153">
              <a:extLst>
                <a:ext uri="{FF2B5EF4-FFF2-40B4-BE49-F238E27FC236}">
                  <a16:creationId xmlns:a16="http://schemas.microsoft.com/office/drawing/2014/main" id="{14B4188B-5F24-4766-8E07-4050F2674B6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">
          <xdr14:nvContentPartPr>
            <xdr14:cNvPr id="155" name="Rukopis 154">
              <a:extLst>
                <a:ext uri="{FF2B5EF4-FFF2-40B4-BE49-F238E27FC236}">
                  <a16:creationId xmlns:a16="http://schemas.microsoft.com/office/drawing/2014/main" id="{3370B911-7761-41E8-BD5E-B5BCAC05625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">
          <xdr14:nvContentPartPr>
            <xdr14:cNvPr id="156" name="Rukopis 155">
              <a:extLst>
                <a:ext uri="{FF2B5EF4-FFF2-40B4-BE49-F238E27FC236}">
                  <a16:creationId xmlns:a16="http://schemas.microsoft.com/office/drawing/2014/main" id="{AC915EF8-7A0A-427A-B09C-023C4BC865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">
          <xdr14:nvContentPartPr>
            <xdr14:cNvPr id="157" name="Rukopis 156">
              <a:extLst>
                <a:ext uri="{FF2B5EF4-FFF2-40B4-BE49-F238E27FC236}">
                  <a16:creationId xmlns:a16="http://schemas.microsoft.com/office/drawing/2014/main" id="{F59A3387-D833-40CF-8EA9-87013FF1069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">
          <xdr14:nvContentPartPr>
            <xdr14:cNvPr id="158" name="Rukopis 157">
              <a:extLst>
                <a:ext uri="{FF2B5EF4-FFF2-40B4-BE49-F238E27FC236}">
                  <a16:creationId xmlns:a16="http://schemas.microsoft.com/office/drawing/2014/main" id="{E9632BE8-588B-4490-B914-84CB9A48781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">
          <xdr14:nvContentPartPr>
            <xdr14:cNvPr id="159" name="Rukopis 158">
              <a:extLst>
                <a:ext uri="{FF2B5EF4-FFF2-40B4-BE49-F238E27FC236}">
                  <a16:creationId xmlns:a16="http://schemas.microsoft.com/office/drawing/2014/main" id="{B9E29C2B-EF7B-4C2F-8DD6-15E549643DA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">
          <xdr14:nvContentPartPr>
            <xdr14:cNvPr id="160" name="Rukopis 159">
              <a:extLst>
                <a:ext uri="{FF2B5EF4-FFF2-40B4-BE49-F238E27FC236}">
                  <a16:creationId xmlns:a16="http://schemas.microsoft.com/office/drawing/2014/main" id="{26568B15-6B7B-46E6-8FA9-CC20003D85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">
          <xdr14:nvContentPartPr>
            <xdr14:cNvPr id="161" name="Rukopis 160">
              <a:extLst>
                <a:ext uri="{FF2B5EF4-FFF2-40B4-BE49-F238E27FC236}">
                  <a16:creationId xmlns:a16="http://schemas.microsoft.com/office/drawing/2014/main" id="{87A2C21F-AF41-4F31-BB52-5F2E8EFF822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">
          <xdr14:nvContentPartPr>
            <xdr14:cNvPr id="162" name="Rukopis 161">
              <a:extLst>
                <a:ext uri="{FF2B5EF4-FFF2-40B4-BE49-F238E27FC236}">
                  <a16:creationId xmlns:a16="http://schemas.microsoft.com/office/drawing/2014/main" id="{17987810-47F7-4908-BEA0-E4BAE7680F7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">
          <xdr14:nvContentPartPr>
            <xdr14:cNvPr id="163" name="Rukopis 162">
              <a:extLst>
                <a:ext uri="{FF2B5EF4-FFF2-40B4-BE49-F238E27FC236}">
                  <a16:creationId xmlns:a16="http://schemas.microsoft.com/office/drawing/2014/main" id="{B3754B8C-48D7-465E-AA67-5B4E8246E0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">
          <xdr14:nvContentPartPr>
            <xdr14:cNvPr id="164" name="Rukopis 163">
              <a:extLst>
                <a:ext uri="{FF2B5EF4-FFF2-40B4-BE49-F238E27FC236}">
                  <a16:creationId xmlns:a16="http://schemas.microsoft.com/office/drawing/2014/main" id="{AFE3425F-9781-4B30-AAA7-C489BD2D930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">
          <xdr14:nvContentPartPr>
            <xdr14:cNvPr id="165" name="Rukopis 164">
              <a:extLst>
                <a:ext uri="{FF2B5EF4-FFF2-40B4-BE49-F238E27FC236}">
                  <a16:creationId xmlns:a16="http://schemas.microsoft.com/office/drawing/2014/main" id="{E64800AD-08A0-45CF-AED5-03C746990EE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">
          <xdr14:nvContentPartPr>
            <xdr14:cNvPr id="166" name="Rukopis 165">
              <a:extLst>
                <a:ext uri="{FF2B5EF4-FFF2-40B4-BE49-F238E27FC236}">
                  <a16:creationId xmlns:a16="http://schemas.microsoft.com/office/drawing/2014/main" id="{A82ABAB5-C62B-4830-B0C2-153B2AF8F7D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">
          <xdr14:nvContentPartPr>
            <xdr14:cNvPr id="167" name="Rukopis 166">
              <a:extLst>
                <a:ext uri="{FF2B5EF4-FFF2-40B4-BE49-F238E27FC236}">
                  <a16:creationId xmlns:a16="http://schemas.microsoft.com/office/drawing/2014/main" id="{49CBCF38-F9CB-488F-9D27-5392AB734B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">
          <xdr14:nvContentPartPr>
            <xdr14:cNvPr id="168" name="Rukopis 167">
              <a:extLst>
                <a:ext uri="{FF2B5EF4-FFF2-40B4-BE49-F238E27FC236}">
                  <a16:creationId xmlns:a16="http://schemas.microsoft.com/office/drawing/2014/main" id="{8764FA13-C0C8-49A1-8F4A-18E34AE6F13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">
          <xdr14:nvContentPartPr>
            <xdr14:cNvPr id="169" name="Rukopis 168">
              <a:extLst>
                <a:ext uri="{FF2B5EF4-FFF2-40B4-BE49-F238E27FC236}">
                  <a16:creationId xmlns:a16="http://schemas.microsoft.com/office/drawing/2014/main" id="{2B73D448-969D-40EA-873B-9D86B94800A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">
          <xdr14:nvContentPartPr>
            <xdr14:cNvPr id="170" name="Rukopis 169">
              <a:extLst>
                <a:ext uri="{FF2B5EF4-FFF2-40B4-BE49-F238E27FC236}">
                  <a16:creationId xmlns:a16="http://schemas.microsoft.com/office/drawing/2014/main" id="{168CE3B9-42AB-4890-B100-0ADE8B57042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">
          <xdr14:nvContentPartPr>
            <xdr14:cNvPr id="171" name="Rukopis 170">
              <a:extLst>
                <a:ext uri="{FF2B5EF4-FFF2-40B4-BE49-F238E27FC236}">
                  <a16:creationId xmlns:a16="http://schemas.microsoft.com/office/drawing/2014/main" id="{B74D85A4-2E8F-416B-8FF2-EA62AB4986C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">
          <xdr14:nvContentPartPr>
            <xdr14:cNvPr id="172" name="Rukopis 171">
              <a:extLst>
                <a:ext uri="{FF2B5EF4-FFF2-40B4-BE49-F238E27FC236}">
                  <a16:creationId xmlns:a16="http://schemas.microsoft.com/office/drawing/2014/main" id="{B6569E24-AD9C-4DCB-97DA-A31E72A18F7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">
          <xdr14:nvContentPartPr>
            <xdr14:cNvPr id="173" name="Rukopis 172">
              <a:extLst>
                <a:ext uri="{FF2B5EF4-FFF2-40B4-BE49-F238E27FC236}">
                  <a16:creationId xmlns:a16="http://schemas.microsoft.com/office/drawing/2014/main" id="{363EE1AC-A8F7-4964-A678-A11B227151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">
          <xdr14:nvContentPartPr>
            <xdr14:cNvPr id="174" name="Rukopis 173">
              <a:extLst>
                <a:ext uri="{FF2B5EF4-FFF2-40B4-BE49-F238E27FC236}">
                  <a16:creationId xmlns:a16="http://schemas.microsoft.com/office/drawing/2014/main" id="{32549F96-3085-4165-AE16-EA95AE5CB72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">
          <xdr14:nvContentPartPr>
            <xdr14:cNvPr id="175" name="Rukopis 174">
              <a:extLst>
                <a:ext uri="{FF2B5EF4-FFF2-40B4-BE49-F238E27FC236}">
                  <a16:creationId xmlns:a16="http://schemas.microsoft.com/office/drawing/2014/main" id="{D6B0A508-652C-45F8-9771-C5087EC4319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">
          <xdr14:nvContentPartPr>
            <xdr14:cNvPr id="176" name="Rukopis 175">
              <a:extLst>
                <a:ext uri="{FF2B5EF4-FFF2-40B4-BE49-F238E27FC236}">
                  <a16:creationId xmlns:a16="http://schemas.microsoft.com/office/drawing/2014/main" id="{9ACE45CA-0393-4AA6-A174-6A883AF03E9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">
          <xdr14:nvContentPartPr>
            <xdr14:cNvPr id="177" name="Rukopis 176">
              <a:extLst>
                <a:ext uri="{FF2B5EF4-FFF2-40B4-BE49-F238E27FC236}">
                  <a16:creationId xmlns:a16="http://schemas.microsoft.com/office/drawing/2014/main" id="{DEC989D7-C6DA-4DE0-9BE8-F72EA95B528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">
          <xdr14:nvContentPartPr>
            <xdr14:cNvPr id="178" name="Rukopis 177">
              <a:extLst>
                <a:ext uri="{FF2B5EF4-FFF2-40B4-BE49-F238E27FC236}">
                  <a16:creationId xmlns:a16="http://schemas.microsoft.com/office/drawing/2014/main" id="{77340130-CD27-4862-9012-59446E648A4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">
          <xdr14:nvContentPartPr>
            <xdr14:cNvPr id="179" name="Rukopis 178">
              <a:extLst>
                <a:ext uri="{FF2B5EF4-FFF2-40B4-BE49-F238E27FC236}">
                  <a16:creationId xmlns:a16="http://schemas.microsoft.com/office/drawing/2014/main" id="{942974CF-65BF-492C-9768-6754A22038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">
          <xdr14:nvContentPartPr>
            <xdr14:cNvPr id="180" name="Rukopis 179">
              <a:extLst>
                <a:ext uri="{FF2B5EF4-FFF2-40B4-BE49-F238E27FC236}">
                  <a16:creationId xmlns:a16="http://schemas.microsoft.com/office/drawing/2014/main" id="{1CF344A9-3D86-47A4-A0A6-72DC82C6D1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">
          <xdr14:nvContentPartPr>
            <xdr14:cNvPr id="181" name="Rukopis 180">
              <a:extLst>
                <a:ext uri="{FF2B5EF4-FFF2-40B4-BE49-F238E27FC236}">
                  <a16:creationId xmlns:a16="http://schemas.microsoft.com/office/drawing/2014/main" id="{546E358D-02A4-4888-BEEF-72F7BC975A3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">
          <xdr14:nvContentPartPr>
            <xdr14:cNvPr id="182" name="Rukopis 181">
              <a:extLst>
                <a:ext uri="{FF2B5EF4-FFF2-40B4-BE49-F238E27FC236}">
                  <a16:creationId xmlns:a16="http://schemas.microsoft.com/office/drawing/2014/main" id="{F04BA7BF-97D9-4982-B342-9E10F1DCCB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">
          <xdr14:nvContentPartPr>
            <xdr14:cNvPr id="183" name="Rukopis 182">
              <a:extLst>
                <a:ext uri="{FF2B5EF4-FFF2-40B4-BE49-F238E27FC236}">
                  <a16:creationId xmlns:a16="http://schemas.microsoft.com/office/drawing/2014/main" id="{348FC962-65AD-4406-BDE0-A573913230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">
          <xdr14:nvContentPartPr>
            <xdr14:cNvPr id="184" name="Rukopis 183">
              <a:extLst>
                <a:ext uri="{FF2B5EF4-FFF2-40B4-BE49-F238E27FC236}">
                  <a16:creationId xmlns:a16="http://schemas.microsoft.com/office/drawing/2014/main" id="{6DB3BE0B-2C34-49F8-AF82-65FA490026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">
          <xdr14:nvContentPartPr>
            <xdr14:cNvPr id="185" name="Rukopis 184">
              <a:extLst>
                <a:ext uri="{FF2B5EF4-FFF2-40B4-BE49-F238E27FC236}">
                  <a16:creationId xmlns:a16="http://schemas.microsoft.com/office/drawing/2014/main" id="{DF2C509C-1D48-43F1-9418-0D774125CE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">
          <xdr14:nvContentPartPr>
            <xdr14:cNvPr id="186" name="Rukopis 185">
              <a:extLst>
                <a:ext uri="{FF2B5EF4-FFF2-40B4-BE49-F238E27FC236}">
                  <a16:creationId xmlns:a16="http://schemas.microsoft.com/office/drawing/2014/main" id="{C354351E-78B0-4336-A44F-D8FF38C65B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">
          <xdr14:nvContentPartPr>
            <xdr14:cNvPr id="187" name="Rukopis 186">
              <a:extLst>
                <a:ext uri="{FF2B5EF4-FFF2-40B4-BE49-F238E27FC236}">
                  <a16:creationId xmlns:a16="http://schemas.microsoft.com/office/drawing/2014/main" id="{30805CA7-2752-412B-AFA6-4DE62D649B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">
          <xdr14:nvContentPartPr>
            <xdr14:cNvPr id="188" name="Rukopis 187">
              <a:extLst>
                <a:ext uri="{FF2B5EF4-FFF2-40B4-BE49-F238E27FC236}">
                  <a16:creationId xmlns:a16="http://schemas.microsoft.com/office/drawing/2014/main" id="{502A6064-4933-45DA-A20E-85BA366C7B0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">
          <xdr14:nvContentPartPr>
            <xdr14:cNvPr id="189" name="Rukopis 188">
              <a:extLst>
                <a:ext uri="{FF2B5EF4-FFF2-40B4-BE49-F238E27FC236}">
                  <a16:creationId xmlns:a16="http://schemas.microsoft.com/office/drawing/2014/main" id="{824D2286-6FB4-47B0-ADE8-F363A91E2CF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">
          <xdr14:nvContentPartPr>
            <xdr14:cNvPr id="190" name="Rukopis 189">
              <a:extLst>
                <a:ext uri="{FF2B5EF4-FFF2-40B4-BE49-F238E27FC236}">
                  <a16:creationId xmlns:a16="http://schemas.microsoft.com/office/drawing/2014/main" id="{3935A309-4B28-46D4-B9F7-D4D2E1E3DF6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">
          <xdr14:nvContentPartPr>
            <xdr14:cNvPr id="191" name="Rukopis 190">
              <a:extLst>
                <a:ext uri="{FF2B5EF4-FFF2-40B4-BE49-F238E27FC236}">
                  <a16:creationId xmlns:a16="http://schemas.microsoft.com/office/drawing/2014/main" id="{D88A8B5E-31DA-4374-89C4-AF83A9889E0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">
          <xdr14:nvContentPartPr>
            <xdr14:cNvPr id="192" name="Rukopis 191">
              <a:extLst>
                <a:ext uri="{FF2B5EF4-FFF2-40B4-BE49-F238E27FC236}">
                  <a16:creationId xmlns:a16="http://schemas.microsoft.com/office/drawing/2014/main" id="{7DCD397B-206C-49D8-AEF1-2F77193F89B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">
          <xdr14:nvContentPartPr>
            <xdr14:cNvPr id="193" name="Rukopis 192">
              <a:extLst>
                <a:ext uri="{FF2B5EF4-FFF2-40B4-BE49-F238E27FC236}">
                  <a16:creationId xmlns:a16="http://schemas.microsoft.com/office/drawing/2014/main" id="{01D57B05-BC26-4826-9EAC-A79FF0DDAF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">
          <xdr14:nvContentPartPr>
            <xdr14:cNvPr id="194" name="Rukopis 193">
              <a:extLst>
                <a:ext uri="{FF2B5EF4-FFF2-40B4-BE49-F238E27FC236}">
                  <a16:creationId xmlns:a16="http://schemas.microsoft.com/office/drawing/2014/main" id="{68C18DE9-4F3E-42AE-BA21-6327F87486F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">
          <xdr14:nvContentPartPr>
            <xdr14:cNvPr id="195" name="Rukopis 194">
              <a:extLst>
                <a:ext uri="{FF2B5EF4-FFF2-40B4-BE49-F238E27FC236}">
                  <a16:creationId xmlns:a16="http://schemas.microsoft.com/office/drawing/2014/main" id="{CFB76819-5AB3-4730-BFC9-2F046D7E1C4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">
          <xdr14:nvContentPartPr>
            <xdr14:cNvPr id="196" name="Rukopis 195">
              <a:extLst>
                <a:ext uri="{FF2B5EF4-FFF2-40B4-BE49-F238E27FC236}">
                  <a16:creationId xmlns:a16="http://schemas.microsoft.com/office/drawing/2014/main" id="{5FCADA09-69F3-4E73-A242-BBB2AEB0A0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">
          <xdr14:nvContentPartPr>
            <xdr14:cNvPr id="197" name="Rukopis 196">
              <a:extLst>
                <a:ext uri="{FF2B5EF4-FFF2-40B4-BE49-F238E27FC236}">
                  <a16:creationId xmlns:a16="http://schemas.microsoft.com/office/drawing/2014/main" id="{ECAFFAA7-56C8-41EA-9EF6-878AF068ED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">
          <xdr14:nvContentPartPr>
            <xdr14:cNvPr id="198" name="Rukopis 197">
              <a:extLst>
                <a:ext uri="{FF2B5EF4-FFF2-40B4-BE49-F238E27FC236}">
                  <a16:creationId xmlns:a16="http://schemas.microsoft.com/office/drawing/2014/main" id="{6AD3F1F8-0911-44B1-99CA-19477A04A82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">
          <xdr14:nvContentPartPr>
            <xdr14:cNvPr id="199" name="Rukopis 198">
              <a:extLst>
                <a:ext uri="{FF2B5EF4-FFF2-40B4-BE49-F238E27FC236}">
                  <a16:creationId xmlns:a16="http://schemas.microsoft.com/office/drawing/2014/main" id="{6B6068AF-9BFA-48DE-AC13-51F30DEAA2B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">
          <xdr14:nvContentPartPr>
            <xdr14:cNvPr id="200" name="Rukopis 199">
              <a:extLst>
                <a:ext uri="{FF2B5EF4-FFF2-40B4-BE49-F238E27FC236}">
                  <a16:creationId xmlns:a16="http://schemas.microsoft.com/office/drawing/2014/main" id="{21744DB0-2F5F-4178-8FB5-811207B727F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">
          <xdr14:nvContentPartPr>
            <xdr14:cNvPr id="201" name="Rukopis 200">
              <a:extLst>
                <a:ext uri="{FF2B5EF4-FFF2-40B4-BE49-F238E27FC236}">
                  <a16:creationId xmlns:a16="http://schemas.microsoft.com/office/drawing/2014/main" id="{7CE31C16-5BC5-4524-8CAD-1E646139F5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">
          <xdr14:nvContentPartPr>
            <xdr14:cNvPr id="202" name="Rukopis 201">
              <a:extLst>
                <a:ext uri="{FF2B5EF4-FFF2-40B4-BE49-F238E27FC236}">
                  <a16:creationId xmlns:a16="http://schemas.microsoft.com/office/drawing/2014/main" id="{099B5765-DBF9-4DAE-A359-BF5C75B922E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">
          <xdr14:nvContentPartPr>
            <xdr14:cNvPr id="203" name="Rukopis 202">
              <a:extLst>
                <a:ext uri="{FF2B5EF4-FFF2-40B4-BE49-F238E27FC236}">
                  <a16:creationId xmlns:a16="http://schemas.microsoft.com/office/drawing/2014/main" id="{00D3D6E1-587E-44AF-937E-41377FA01E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">
          <xdr14:nvContentPartPr>
            <xdr14:cNvPr id="204" name="Rukopis 203">
              <a:extLst>
                <a:ext uri="{FF2B5EF4-FFF2-40B4-BE49-F238E27FC236}">
                  <a16:creationId xmlns:a16="http://schemas.microsoft.com/office/drawing/2014/main" id="{F423A6EB-CF01-469C-9B18-C5752F3475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">
          <xdr14:nvContentPartPr>
            <xdr14:cNvPr id="205" name="Rukopis 204">
              <a:extLst>
                <a:ext uri="{FF2B5EF4-FFF2-40B4-BE49-F238E27FC236}">
                  <a16:creationId xmlns:a16="http://schemas.microsoft.com/office/drawing/2014/main" id="{FF973293-D883-437A-94AB-7F5DFBA53F8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">
          <xdr14:nvContentPartPr>
            <xdr14:cNvPr id="206" name="Rukopis 205">
              <a:extLst>
                <a:ext uri="{FF2B5EF4-FFF2-40B4-BE49-F238E27FC236}">
                  <a16:creationId xmlns:a16="http://schemas.microsoft.com/office/drawing/2014/main" id="{6FD7DE75-0835-44EA-8996-0E2939F7B2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">
          <xdr14:nvContentPartPr>
            <xdr14:cNvPr id="207" name="Rukopis 206">
              <a:extLst>
                <a:ext uri="{FF2B5EF4-FFF2-40B4-BE49-F238E27FC236}">
                  <a16:creationId xmlns:a16="http://schemas.microsoft.com/office/drawing/2014/main" id="{6B7EF374-8791-40B0-97AC-70FFBB10D31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">
          <xdr14:nvContentPartPr>
            <xdr14:cNvPr id="208" name="Rukopis 207">
              <a:extLst>
                <a:ext uri="{FF2B5EF4-FFF2-40B4-BE49-F238E27FC236}">
                  <a16:creationId xmlns:a16="http://schemas.microsoft.com/office/drawing/2014/main" id="{46FF55A4-C580-4620-ABAD-2B46DE30F6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">
          <xdr14:nvContentPartPr>
            <xdr14:cNvPr id="209" name="Rukopis 208">
              <a:extLst>
                <a:ext uri="{FF2B5EF4-FFF2-40B4-BE49-F238E27FC236}">
                  <a16:creationId xmlns:a16="http://schemas.microsoft.com/office/drawing/2014/main" id="{C12FC956-A6F0-43D6-A7AB-2CCFFEA4883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">
          <xdr14:nvContentPartPr>
            <xdr14:cNvPr id="210" name="Rukopis 209">
              <a:extLst>
                <a:ext uri="{FF2B5EF4-FFF2-40B4-BE49-F238E27FC236}">
                  <a16:creationId xmlns:a16="http://schemas.microsoft.com/office/drawing/2014/main" id="{36FF8945-13EC-4492-9CCD-30B4D84BF07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">
          <xdr14:nvContentPartPr>
            <xdr14:cNvPr id="211" name="Rukopis 210">
              <a:extLst>
                <a:ext uri="{FF2B5EF4-FFF2-40B4-BE49-F238E27FC236}">
                  <a16:creationId xmlns:a16="http://schemas.microsoft.com/office/drawing/2014/main" id="{51FB5704-34FA-4C43-AF4D-B6A9EA62151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">
          <xdr14:nvContentPartPr>
            <xdr14:cNvPr id="212" name="Rukopis 211">
              <a:extLst>
                <a:ext uri="{FF2B5EF4-FFF2-40B4-BE49-F238E27FC236}">
                  <a16:creationId xmlns:a16="http://schemas.microsoft.com/office/drawing/2014/main" id="{48D0FE0B-2918-447D-A135-B59C977B31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">
          <xdr14:nvContentPartPr>
            <xdr14:cNvPr id="213" name="Rukopis 212">
              <a:extLst>
                <a:ext uri="{FF2B5EF4-FFF2-40B4-BE49-F238E27FC236}">
                  <a16:creationId xmlns:a16="http://schemas.microsoft.com/office/drawing/2014/main" id="{6600B900-D0C7-4A3E-9177-DC9F5FFF565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">
          <xdr14:nvContentPartPr>
            <xdr14:cNvPr id="214" name="Rukopis 213">
              <a:extLst>
                <a:ext uri="{FF2B5EF4-FFF2-40B4-BE49-F238E27FC236}">
                  <a16:creationId xmlns:a16="http://schemas.microsoft.com/office/drawing/2014/main" id="{7860BFA1-EDEE-4C92-8CF7-C8A60EA7E8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">
          <xdr14:nvContentPartPr>
            <xdr14:cNvPr id="215" name="Rukopis 214">
              <a:extLst>
                <a:ext uri="{FF2B5EF4-FFF2-40B4-BE49-F238E27FC236}">
                  <a16:creationId xmlns:a16="http://schemas.microsoft.com/office/drawing/2014/main" id="{F762BFF4-68EE-46FF-A851-6569D12140C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">
          <xdr14:nvContentPartPr>
            <xdr14:cNvPr id="216" name="Rukopis 215">
              <a:extLst>
                <a:ext uri="{FF2B5EF4-FFF2-40B4-BE49-F238E27FC236}">
                  <a16:creationId xmlns:a16="http://schemas.microsoft.com/office/drawing/2014/main" id="{51D8E0BC-AE0C-4EDB-BA02-515D490CD83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">
          <xdr14:nvContentPartPr>
            <xdr14:cNvPr id="217" name="Rukopis 216">
              <a:extLst>
                <a:ext uri="{FF2B5EF4-FFF2-40B4-BE49-F238E27FC236}">
                  <a16:creationId xmlns:a16="http://schemas.microsoft.com/office/drawing/2014/main" id="{D7F10FD2-D19E-4F0B-81BB-05BE1EEA83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5">
          <xdr14:nvContentPartPr>
            <xdr14:cNvPr id="218" name="Rukopis 217">
              <a:extLst>
                <a:ext uri="{FF2B5EF4-FFF2-40B4-BE49-F238E27FC236}">
                  <a16:creationId xmlns:a16="http://schemas.microsoft.com/office/drawing/2014/main" id="{0594EAB0-0BC7-427D-A9B5-0C1E057C79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7">
          <xdr14:nvContentPartPr>
            <xdr14:cNvPr id="219" name="Rukopis 218">
              <a:extLst>
                <a:ext uri="{FF2B5EF4-FFF2-40B4-BE49-F238E27FC236}">
                  <a16:creationId xmlns:a16="http://schemas.microsoft.com/office/drawing/2014/main" id="{AD8F434D-058E-448C-8E45-0CE0276016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9">
          <xdr14:nvContentPartPr>
            <xdr14:cNvPr id="220" name="Rukopis 219">
              <a:extLst>
                <a:ext uri="{FF2B5EF4-FFF2-40B4-BE49-F238E27FC236}">
                  <a16:creationId xmlns:a16="http://schemas.microsoft.com/office/drawing/2014/main" id="{FCD1EB29-238E-46F4-911D-A9A8C1DD925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1">
          <xdr14:nvContentPartPr>
            <xdr14:cNvPr id="221" name="Rukopis 220">
              <a:extLst>
                <a:ext uri="{FF2B5EF4-FFF2-40B4-BE49-F238E27FC236}">
                  <a16:creationId xmlns:a16="http://schemas.microsoft.com/office/drawing/2014/main" id="{DB2AE414-0C2B-44C2-8F01-76B86BA2C88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3">
          <xdr14:nvContentPartPr>
            <xdr14:cNvPr id="222" name="Rukopis 221">
              <a:extLst>
                <a:ext uri="{FF2B5EF4-FFF2-40B4-BE49-F238E27FC236}">
                  <a16:creationId xmlns:a16="http://schemas.microsoft.com/office/drawing/2014/main" id="{2B0185F2-7245-4AC8-99D7-92E27EC3135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5">
          <xdr14:nvContentPartPr>
            <xdr14:cNvPr id="223" name="Rukopis 222">
              <a:extLst>
                <a:ext uri="{FF2B5EF4-FFF2-40B4-BE49-F238E27FC236}">
                  <a16:creationId xmlns:a16="http://schemas.microsoft.com/office/drawing/2014/main" id="{6D3FC938-4C78-42FF-8E0A-F421EB2DCE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7">
          <xdr14:nvContentPartPr>
            <xdr14:cNvPr id="224" name="Rukopis 223">
              <a:extLst>
                <a:ext uri="{FF2B5EF4-FFF2-40B4-BE49-F238E27FC236}">
                  <a16:creationId xmlns:a16="http://schemas.microsoft.com/office/drawing/2014/main" id="{E0B7EFFA-5ECD-478C-B6B8-887A396B2AF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9">
          <xdr14:nvContentPartPr>
            <xdr14:cNvPr id="225" name="Rukopis 224">
              <a:extLst>
                <a:ext uri="{FF2B5EF4-FFF2-40B4-BE49-F238E27FC236}">
                  <a16:creationId xmlns:a16="http://schemas.microsoft.com/office/drawing/2014/main" id="{7EEA549F-C758-42BE-AE04-B65735B5E4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1">
          <xdr14:nvContentPartPr>
            <xdr14:cNvPr id="226" name="Rukopis 225">
              <a:extLst>
                <a:ext uri="{FF2B5EF4-FFF2-40B4-BE49-F238E27FC236}">
                  <a16:creationId xmlns:a16="http://schemas.microsoft.com/office/drawing/2014/main" id="{9AA8EA92-C741-4A33-A88A-F7B5F12A4E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3">
          <xdr14:nvContentPartPr>
            <xdr14:cNvPr id="227" name="Rukopis 226">
              <a:extLst>
                <a:ext uri="{FF2B5EF4-FFF2-40B4-BE49-F238E27FC236}">
                  <a16:creationId xmlns:a16="http://schemas.microsoft.com/office/drawing/2014/main" id="{8473779C-71DB-42FC-BDCD-2EFDDC88E51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5">
          <xdr14:nvContentPartPr>
            <xdr14:cNvPr id="228" name="Rukopis 227">
              <a:extLst>
                <a:ext uri="{FF2B5EF4-FFF2-40B4-BE49-F238E27FC236}">
                  <a16:creationId xmlns:a16="http://schemas.microsoft.com/office/drawing/2014/main" id="{32B5EE4B-6D37-49BE-8415-E2F7C133E3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7">
          <xdr14:nvContentPartPr>
            <xdr14:cNvPr id="229" name="Rukopis 228">
              <a:extLst>
                <a:ext uri="{FF2B5EF4-FFF2-40B4-BE49-F238E27FC236}">
                  <a16:creationId xmlns:a16="http://schemas.microsoft.com/office/drawing/2014/main" id="{2F82983B-D884-4C53-8CBF-37C6EA2ABFB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9">
          <xdr14:nvContentPartPr>
            <xdr14:cNvPr id="230" name="Rukopis 229">
              <a:extLst>
                <a:ext uri="{FF2B5EF4-FFF2-40B4-BE49-F238E27FC236}">
                  <a16:creationId xmlns:a16="http://schemas.microsoft.com/office/drawing/2014/main" id="{62D1ADD8-B914-49B8-9E23-A783C3058CF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1">
          <xdr14:nvContentPartPr>
            <xdr14:cNvPr id="231" name="Rukopis 230">
              <a:extLst>
                <a:ext uri="{FF2B5EF4-FFF2-40B4-BE49-F238E27FC236}">
                  <a16:creationId xmlns:a16="http://schemas.microsoft.com/office/drawing/2014/main" id="{4D5C7A64-A53D-42C0-9499-8FF3039B39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3">
          <xdr14:nvContentPartPr>
            <xdr14:cNvPr id="232" name="Rukopis 231">
              <a:extLst>
                <a:ext uri="{FF2B5EF4-FFF2-40B4-BE49-F238E27FC236}">
                  <a16:creationId xmlns:a16="http://schemas.microsoft.com/office/drawing/2014/main" id="{7B9DEDCF-1122-4BEB-8B9B-1629B0459C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5">
          <xdr14:nvContentPartPr>
            <xdr14:cNvPr id="233" name="Rukopis 232">
              <a:extLst>
                <a:ext uri="{FF2B5EF4-FFF2-40B4-BE49-F238E27FC236}">
                  <a16:creationId xmlns:a16="http://schemas.microsoft.com/office/drawing/2014/main" id="{595FBA76-677E-4BAC-9002-8F46D7C0AE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7">
          <xdr14:nvContentPartPr>
            <xdr14:cNvPr id="234" name="Rukopis 233">
              <a:extLst>
                <a:ext uri="{FF2B5EF4-FFF2-40B4-BE49-F238E27FC236}">
                  <a16:creationId xmlns:a16="http://schemas.microsoft.com/office/drawing/2014/main" id="{257E0844-FA5D-478A-9438-CCD8390727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9">
          <xdr14:nvContentPartPr>
            <xdr14:cNvPr id="235" name="Rukopis 234">
              <a:extLst>
                <a:ext uri="{FF2B5EF4-FFF2-40B4-BE49-F238E27FC236}">
                  <a16:creationId xmlns:a16="http://schemas.microsoft.com/office/drawing/2014/main" id="{4EF2FC07-EE3D-4F44-914A-E78BBF7AC3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1">
          <xdr14:nvContentPartPr>
            <xdr14:cNvPr id="236" name="Rukopis 235">
              <a:extLst>
                <a:ext uri="{FF2B5EF4-FFF2-40B4-BE49-F238E27FC236}">
                  <a16:creationId xmlns:a16="http://schemas.microsoft.com/office/drawing/2014/main" id="{0B894CB0-67CC-43E7-8151-EFEC42208B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3">
          <xdr14:nvContentPartPr>
            <xdr14:cNvPr id="237" name="Rukopis 236">
              <a:extLst>
                <a:ext uri="{FF2B5EF4-FFF2-40B4-BE49-F238E27FC236}">
                  <a16:creationId xmlns:a16="http://schemas.microsoft.com/office/drawing/2014/main" id="{7EFDABC2-3ED4-4BC3-B74E-18412A44E13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5">
          <xdr14:nvContentPartPr>
            <xdr14:cNvPr id="238" name="Rukopis 237">
              <a:extLst>
                <a:ext uri="{FF2B5EF4-FFF2-40B4-BE49-F238E27FC236}">
                  <a16:creationId xmlns:a16="http://schemas.microsoft.com/office/drawing/2014/main" id="{7A7B5720-348B-468C-B48F-B02D9CFC6C3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7">
          <xdr14:nvContentPartPr>
            <xdr14:cNvPr id="239" name="Rukopis 238">
              <a:extLst>
                <a:ext uri="{FF2B5EF4-FFF2-40B4-BE49-F238E27FC236}">
                  <a16:creationId xmlns:a16="http://schemas.microsoft.com/office/drawing/2014/main" id="{605E3361-8654-47D8-B1CA-B4BEA9FCEC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9">
          <xdr14:nvContentPartPr>
            <xdr14:cNvPr id="240" name="Rukopis 239">
              <a:extLst>
                <a:ext uri="{FF2B5EF4-FFF2-40B4-BE49-F238E27FC236}">
                  <a16:creationId xmlns:a16="http://schemas.microsoft.com/office/drawing/2014/main" id="{8FBF521C-D044-4380-A34B-67F5FE1FB41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1">
          <xdr14:nvContentPartPr>
            <xdr14:cNvPr id="241" name="Rukopis 240">
              <a:extLst>
                <a:ext uri="{FF2B5EF4-FFF2-40B4-BE49-F238E27FC236}">
                  <a16:creationId xmlns:a16="http://schemas.microsoft.com/office/drawing/2014/main" id="{1B0E09FD-1705-4577-9FB6-8A901F094D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3">
          <xdr14:nvContentPartPr>
            <xdr14:cNvPr id="242" name="Rukopis 241">
              <a:extLst>
                <a:ext uri="{FF2B5EF4-FFF2-40B4-BE49-F238E27FC236}">
                  <a16:creationId xmlns:a16="http://schemas.microsoft.com/office/drawing/2014/main" id="{DBBF6CAC-E514-43C7-8B5C-607929A364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5">
          <xdr14:nvContentPartPr>
            <xdr14:cNvPr id="243" name="Rukopis 242">
              <a:extLst>
                <a:ext uri="{FF2B5EF4-FFF2-40B4-BE49-F238E27FC236}">
                  <a16:creationId xmlns:a16="http://schemas.microsoft.com/office/drawing/2014/main" id="{C0775449-D7B9-428A-9027-4DB53C746BA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7">
          <xdr14:nvContentPartPr>
            <xdr14:cNvPr id="244" name="Rukopis 243">
              <a:extLst>
                <a:ext uri="{FF2B5EF4-FFF2-40B4-BE49-F238E27FC236}">
                  <a16:creationId xmlns:a16="http://schemas.microsoft.com/office/drawing/2014/main" id="{5C99E377-7795-4E71-97DA-F55476632C2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9">
          <xdr14:nvContentPartPr>
            <xdr14:cNvPr id="245" name="Rukopis 244">
              <a:extLst>
                <a:ext uri="{FF2B5EF4-FFF2-40B4-BE49-F238E27FC236}">
                  <a16:creationId xmlns:a16="http://schemas.microsoft.com/office/drawing/2014/main" id="{D132AB49-720D-490B-8E2B-6E979B3A8D8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1">
          <xdr14:nvContentPartPr>
            <xdr14:cNvPr id="246" name="Rukopis 245">
              <a:extLst>
                <a:ext uri="{FF2B5EF4-FFF2-40B4-BE49-F238E27FC236}">
                  <a16:creationId xmlns:a16="http://schemas.microsoft.com/office/drawing/2014/main" id="{D163752F-7C7C-4BB6-A98A-DD202FE564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3">
          <xdr14:nvContentPartPr>
            <xdr14:cNvPr id="247" name="Rukopis 246">
              <a:extLst>
                <a:ext uri="{FF2B5EF4-FFF2-40B4-BE49-F238E27FC236}">
                  <a16:creationId xmlns:a16="http://schemas.microsoft.com/office/drawing/2014/main" id="{F0DA62D6-BE25-4E07-BEF7-0B5254B99DA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5">
          <xdr14:nvContentPartPr>
            <xdr14:cNvPr id="248" name="Rukopis 247">
              <a:extLst>
                <a:ext uri="{FF2B5EF4-FFF2-40B4-BE49-F238E27FC236}">
                  <a16:creationId xmlns:a16="http://schemas.microsoft.com/office/drawing/2014/main" id="{9296F13B-4528-4934-AECA-685AA1CF374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158</xdr:row>
      <xdr:rowOff>75735</xdr:rowOff>
    </xdr:from>
    <xdr:to>
      <xdr:col>53</xdr:col>
      <xdr:colOff>228270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7">
          <xdr14:nvContentPartPr>
            <xdr14:cNvPr id="249" name="Rukopis 248">
              <a:extLst>
                <a:ext uri="{FF2B5EF4-FFF2-40B4-BE49-F238E27FC236}">
                  <a16:creationId xmlns:a16="http://schemas.microsoft.com/office/drawing/2014/main" id="{83845D26-CAF2-4E4F-9B47-6796ABBA8D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158</xdr:row>
      <xdr:rowOff>75735</xdr:rowOff>
    </xdr:from>
    <xdr:to>
      <xdr:col>54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9">
          <xdr14:nvContentPartPr>
            <xdr14:cNvPr id="250" name="Rukopis 249">
              <a:extLst>
                <a:ext uri="{FF2B5EF4-FFF2-40B4-BE49-F238E27FC236}">
                  <a16:creationId xmlns:a16="http://schemas.microsoft.com/office/drawing/2014/main" id="{088A7C1A-E75B-47A3-BDE2-908B8ADABE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1">
          <xdr14:nvContentPartPr>
            <xdr14:cNvPr id="251" name="Rukopis 250">
              <a:extLst>
                <a:ext uri="{FF2B5EF4-FFF2-40B4-BE49-F238E27FC236}">
                  <a16:creationId xmlns:a16="http://schemas.microsoft.com/office/drawing/2014/main" id="{F9BD52EB-E6C2-4344-9E76-C0B0C14CA80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3">
          <xdr14:nvContentPartPr>
            <xdr14:cNvPr id="252" name="Rukopis 251">
              <a:extLst>
                <a:ext uri="{FF2B5EF4-FFF2-40B4-BE49-F238E27FC236}">
                  <a16:creationId xmlns:a16="http://schemas.microsoft.com/office/drawing/2014/main" id="{7C7F50FE-1BD6-464F-98A7-9ABC5919E6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5">
          <xdr14:nvContentPartPr>
            <xdr14:cNvPr id="253" name="Rukopis 252">
              <a:extLst>
                <a:ext uri="{FF2B5EF4-FFF2-40B4-BE49-F238E27FC236}">
                  <a16:creationId xmlns:a16="http://schemas.microsoft.com/office/drawing/2014/main" id="{20FADD5F-BE1B-4666-B74A-EB14C252D9A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7">
          <xdr14:nvContentPartPr>
            <xdr14:cNvPr id="254" name="Rukopis 253">
              <a:extLst>
                <a:ext uri="{FF2B5EF4-FFF2-40B4-BE49-F238E27FC236}">
                  <a16:creationId xmlns:a16="http://schemas.microsoft.com/office/drawing/2014/main" id="{E738492A-5CE9-4048-BCDB-BF2EF4256F0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9">
          <xdr14:nvContentPartPr>
            <xdr14:cNvPr id="255" name="Rukopis 254">
              <a:extLst>
                <a:ext uri="{FF2B5EF4-FFF2-40B4-BE49-F238E27FC236}">
                  <a16:creationId xmlns:a16="http://schemas.microsoft.com/office/drawing/2014/main" id="{CD32878F-E19B-479C-A184-72C98676605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1">
          <xdr14:nvContentPartPr>
            <xdr14:cNvPr id="256" name="Rukopis 255">
              <a:extLst>
                <a:ext uri="{FF2B5EF4-FFF2-40B4-BE49-F238E27FC236}">
                  <a16:creationId xmlns:a16="http://schemas.microsoft.com/office/drawing/2014/main" id="{C0A58690-CB0B-48E3-A4F1-F124470C32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53</xdr:col>
      <xdr:colOff>228270</xdr:colOff>
      <xdr:row>156</xdr:row>
      <xdr:rowOff>0</xdr:rowOff>
    </xdr:from>
    <xdr:to>
      <xdr:col>53</xdr:col>
      <xdr:colOff>228270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3">
          <xdr14:nvContentPartPr>
            <xdr14:cNvPr id="257" name="Rukopis 256">
              <a:extLst>
                <a:ext uri="{FF2B5EF4-FFF2-40B4-BE49-F238E27FC236}">
                  <a16:creationId xmlns:a16="http://schemas.microsoft.com/office/drawing/2014/main" id="{BB606336-8901-48E2-8731-EDD683EB6AA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54</xdr:col>
      <xdr:colOff>0</xdr:colOff>
      <xdr:row>156</xdr:row>
      <xdr:rowOff>0</xdr:rowOff>
    </xdr:from>
    <xdr:to>
      <xdr:col>54</xdr:col>
      <xdr:colOff>0</xdr:colOff>
      <xdr:row>156</xdr:row>
      <xdr:rowOff>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5">
          <xdr14:nvContentPartPr>
            <xdr14:cNvPr id="258" name="Rukopis 257">
              <a:extLst>
                <a:ext uri="{FF2B5EF4-FFF2-40B4-BE49-F238E27FC236}">
                  <a16:creationId xmlns:a16="http://schemas.microsoft.com/office/drawing/2014/main" id="{0A5B3A35-0302-4D36-B098-DB1BA439A5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8</xdr:col>
      <xdr:colOff>0</xdr:colOff>
      <xdr:row>158</xdr:row>
      <xdr:rowOff>75735</xdr:rowOff>
    </xdr:from>
    <xdr:to>
      <xdr:col>8</xdr:col>
      <xdr:colOff>0</xdr:colOff>
      <xdr:row>158</xdr:row>
      <xdr:rowOff>75735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7">
          <xdr14:nvContentPartPr>
            <xdr14:cNvPr id="259" name="Rukopis 258">
              <a:extLst>
                <a:ext uri="{FF2B5EF4-FFF2-40B4-BE49-F238E27FC236}">
                  <a16:creationId xmlns:a16="http://schemas.microsoft.com/office/drawing/2014/main" id="{2549F885-0EBB-4A0B-B56C-206DB983DF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9">
          <xdr14:nvContentPartPr>
            <xdr14:cNvPr id="260" name="Rukopis 259">
              <a:extLst>
                <a:ext uri="{FF2B5EF4-FFF2-40B4-BE49-F238E27FC236}">
                  <a16:creationId xmlns:a16="http://schemas.microsoft.com/office/drawing/2014/main" id="{4D814DA5-3B0A-4B95-A209-710A5F82FC7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0">
          <xdr14:nvContentPartPr>
            <xdr14:cNvPr id="261" name="Rukopis 260">
              <a:extLst>
                <a:ext uri="{FF2B5EF4-FFF2-40B4-BE49-F238E27FC236}">
                  <a16:creationId xmlns:a16="http://schemas.microsoft.com/office/drawing/2014/main" id="{C2F34294-7DF6-4F65-942B-1D486C92EE9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1">
          <xdr14:nvContentPartPr>
            <xdr14:cNvPr id="262" name="Rukopis 261">
              <a:extLst>
                <a:ext uri="{FF2B5EF4-FFF2-40B4-BE49-F238E27FC236}">
                  <a16:creationId xmlns:a16="http://schemas.microsoft.com/office/drawing/2014/main" id="{2E9B3F92-1E97-4280-B713-F5155A80683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2">
          <xdr14:nvContentPartPr>
            <xdr14:cNvPr id="263" name="Rukopis 262">
              <a:extLst>
                <a:ext uri="{FF2B5EF4-FFF2-40B4-BE49-F238E27FC236}">
                  <a16:creationId xmlns:a16="http://schemas.microsoft.com/office/drawing/2014/main" id="{6CA16CE1-6299-4DFE-A015-B7111B27129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3">
          <xdr14:nvContentPartPr>
            <xdr14:cNvPr id="264" name="Rukopis 263">
              <a:extLst>
                <a:ext uri="{FF2B5EF4-FFF2-40B4-BE49-F238E27FC236}">
                  <a16:creationId xmlns:a16="http://schemas.microsoft.com/office/drawing/2014/main" id="{7DB8A489-5D23-4C90-951B-FBF583937F6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4">
          <xdr14:nvContentPartPr>
            <xdr14:cNvPr id="265" name="Rukopis 264">
              <a:extLst>
                <a:ext uri="{FF2B5EF4-FFF2-40B4-BE49-F238E27FC236}">
                  <a16:creationId xmlns:a16="http://schemas.microsoft.com/office/drawing/2014/main" id="{AAF95115-ED21-454C-9CB1-3BDE968B217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5">
          <xdr14:nvContentPartPr>
            <xdr14:cNvPr id="266" name="Rukopis 265">
              <a:extLst>
                <a:ext uri="{FF2B5EF4-FFF2-40B4-BE49-F238E27FC236}">
                  <a16:creationId xmlns:a16="http://schemas.microsoft.com/office/drawing/2014/main" id="{6E467C46-A0A8-4077-8AB6-E579825DF88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6">
          <xdr14:nvContentPartPr>
            <xdr14:cNvPr id="267" name="Rukopis 266">
              <a:extLst>
                <a:ext uri="{FF2B5EF4-FFF2-40B4-BE49-F238E27FC236}">
                  <a16:creationId xmlns:a16="http://schemas.microsoft.com/office/drawing/2014/main" id="{FA5D0130-4934-4CDF-B58F-81A186EDBB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7">
          <xdr14:nvContentPartPr>
            <xdr14:cNvPr id="268" name="Rukopis 267">
              <a:extLst>
                <a:ext uri="{FF2B5EF4-FFF2-40B4-BE49-F238E27FC236}">
                  <a16:creationId xmlns:a16="http://schemas.microsoft.com/office/drawing/2014/main" id="{9D1A2FD1-BF46-47C7-B4AF-34E3C34E41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8">
          <xdr14:nvContentPartPr>
            <xdr14:cNvPr id="269" name="Rukopis 268">
              <a:extLst>
                <a:ext uri="{FF2B5EF4-FFF2-40B4-BE49-F238E27FC236}">
                  <a16:creationId xmlns:a16="http://schemas.microsoft.com/office/drawing/2014/main" id="{3CB53DCE-73F6-4D48-9516-E8DE2B11A0D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9">
          <xdr14:nvContentPartPr>
            <xdr14:cNvPr id="270" name="Rukopis 269">
              <a:extLst>
                <a:ext uri="{FF2B5EF4-FFF2-40B4-BE49-F238E27FC236}">
                  <a16:creationId xmlns:a16="http://schemas.microsoft.com/office/drawing/2014/main" id="{702C5964-C807-4590-A0C3-B65305F15F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0">
          <xdr14:nvContentPartPr>
            <xdr14:cNvPr id="271" name="Rukopis 270">
              <a:extLst>
                <a:ext uri="{FF2B5EF4-FFF2-40B4-BE49-F238E27FC236}">
                  <a16:creationId xmlns:a16="http://schemas.microsoft.com/office/drawing/2014/main" id="{C35E3757-BA22-4075-9ED0-E33912A92F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1">
          <xdr14:nvContentPartPr>
            <xdr14:cNvPr id="272" name="Rukopis 271">
              <a:extLst>
                <a:ext uri="{FF2B5EF4-FFF2-40B4-BE49-F238E27FC236}">
                  <a16:creationId xmlns:a16="http://schemas.microsoft.com/office/drawing/2014/main" id="{8B017A0F-D4B3-4051-8B44-507A21A01C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2">
          <xdr14:nvContentPartPr>
            <xdr14:cNvPr id="273" name="Rukopis 272">
              <a:extLst>
                <a:ext uri="{FF2B5EF4-FFF2-40B4-BE49-F238E27FC236}">
                  <a16:creationId xmlns:a16="http://schemas.microsoft.com/office/drawing/2014/main" id="{2DDC6C81-181A-4C1E-BD66-F83D75C7C5F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3">
          <xdr14:nvContentPartPr>
            <xdr14:cNvPr id="274" name="Rukopis 273">
              <a:extLst>
                <a:ext uri="{FF2B5EF4-FFF2-40B4-BE49-F238E27FC236}">
                  <a16:creationId xmlns:a16="http://schemas.microsoft.com/office/drawing/2014/main" id="{5F917F2F-21CF-4352-9346-AE135E77AE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4">
          <xdr14:nvContentPartPr>
            <xdr14:cNvPr id="275" name="Rukopis 274">
              <a:extLst>
                <a:ext uri="{FF2B5EF4-FFF2-40B4-BE49-F238E27FC236}">
                  <a16:creationId xmlns:a16="http://schemas.microsoft.com/office/drawing/2014/main" id="{AA85C9C7-EFF9-47A0-A42A-8DDD318B36C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5">
          <xdr14:nvContentPartPr>
            <xdr14:cNvPr id="276" name="Rukopis 275">
              <a:extLst>
                <a:ext uri="{FF2B5EF4-FFF2-40B4-BE49-F238E27FC236}">
                  <a16:creationId xmlns:a16="http://schemas.microsoft.com/office/drawing/2014/main" id="{03E567E3-D39F-41D3-955F-DE078D5152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6">
          <xdr14:nvContentPartPr>
            <xdr14:cNvPr id="277" name="Rukopis 276">
              <a:extLst>
                <a:ext uri="{FF2B5EF4-FFF2-40B4-BE49-F238E27FC236}">
                  <a16:creationId xmlns:a16="http://schemas.microsoft.com/office/drawing/2014/main" id="{B92E24A9-DD82-402B-942E-BFE9A0BFBAC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7">
          <xdr14:nvContentPartPr>
            <xdr14:cNvPr id="278" name="Rukopis 277">
              <a:extLst>
                <a:ext uri="{FF2B5EF4-FFF2-40B4-BE49-F238E27FC236}">
                  <a16:creationId xmlns:a16="http://schemas.microsoft.com/office/drawing/2014/main" id="{AAB1A0C4-5EB6-4C27-A5C0-814EB6B588D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8">
          <xdr14:nvContentPartPr>
            <xdr14:cNvPr id="279" name="Rukopis 278">
              <a:extLst>
                <a:ext uri="{FF2B5EF4-FFF2-40B4-BE49-F238E27FC236}">
                  <a16:creationId xmlns:a16="http://schemas.microsoft.com/office/drawing/2014/main" id="{7B2AD744-B2D1-441A-BAC3-C3F861F723B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9">
          <xdr14:nvContentPartPr>
            <xdr14:cNvPr id="280" name="Rukopis 279">
              <a:extLst>
                <a:ext uri="{FF2B5EF4-FFF2-40B4-BE49-F238E27FC236}">
                  <a16:creationId xmlns:a16="http://schemas.microsoft.com/office/drawing/2014/main" id="{86148718-94C9-4E8E-A1AB-8D9652FE55D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0">
          <xdr14:nvContentPartPr>
            <xdr14:cNvPr id="281" name="Rukopis 280">
              <a:extLst>
                <a:ext uri="{FF2B5EF4-FFF2-40B4-BE49-F238E27FC236}">
                  <a16:creationId xmlns:a16="http://schemas.microsoft.com/office/drawing/2014/main" id="{5A20BFD5-D007-4246-8E25-5F7B161DACA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1">
          <xdr14:nvContentPartPr>
            <xdr14:cNvPr id="282" name="Rukopis 281">
              <a:extLst>
                <a:ext uri="{FF2B5EF4-FFF2-40B4-BE49-F238E27FC236}">
                  <a16:creationId xmlns:a16="http://schemas.microsoft.com/office/drawing/2014/main" id="{13EE84AE-F9D8-4528-99E5-F4F337AA426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2">
          <xdr14:nvContentPartPr>
            <xdr14:cNvPr id="283" name="Rukopis 282">
              <a:extLst>
                <a:ext uri="{FF2B5EF4-FFF2-40B4-BE49-F238E27FC236}">
                  <a16:creationId xmlns:a16="http://schemas.microsoft.com/office/drawing/2014/main" id="{AC17FBB0-D5AE-4F57-91AF-74840F7A2E6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3">
          <xdr14:nvContentPartPr>
            <xdr14:cNvPr id="284" name="Rukopis 283">
              <a:extLst>
                <a:ext uri="{FF2B5EF4-FFF2-40B4-BE49-F238E27FC236}">
                  <a16:creationId xmlns:a16="http://schemas.microsoft.com/office/drawing/2014/main" id="{150A0212-7BF4-4D4D-A989-A7651E63395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4">
          <xdr14:nvContentPartPr>
            <xdr14:cNvPr id="285" name="Rukopis 284">
              <a:extLst>
                <a:ext uri="{FF2B5EF4-FFF2-40B4-BE49-F238E27FC236}">
                  <a16:creationId xmlns:a16="http://schemas.microsoft.com/office/drawing/2014/main" id="{55A61D70-3EAE-4CF2-8612-AC899F875BD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5">
          <xdr14:nvContentPartPr>
            <xdr14:cNvPr id="286" name="Rukopis 285">
              <a:extLst>
                <a:ext uri="{FF2B5EF4-FFF2-40B4-BE49-F238E27FC236}">
                  <a16:creationId xmlns:a16="http://schemas.microsoft.com/office/drawing/2014/main" id="{EB4C19DA-C5E4-4E23-94DA-981EA380D50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6">
          <xdr14:nvContentPartPr>
            <xdr14:cNvPr id="287" name="Rukopis 286">
              <a:extLst>
                <a:ext uri="{FF2B5EF4-FFF2-40B4-BE49-F238E27FC236}">
                  <a16:creationId xmlns:a16="http://schemas.microsoft.com/office/drawing/2014/main" id="{B5E9281F-9754-4D97-8071-7FA8086BE4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7">
          <xdr14:nvContentPartPr>
            <xdr14:cNvPr id="288" name="Rukopis 287">
              <a:extLst>
                <a:ext uri="{FF2B5EF4-FFF2-40B4-BE49-F238E27FC236}">
                  <a16:creationId xmlns:a16="http://schemas.microsoft.com/office/drawing/2014/main" id="{C76BCB0D-F5B2-4B22-BC3A-317C2D2DBB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8">
          <xdr14:nvContentPartPr>
            <xdr14:cNvPr id="289" name="Rukopis 288">
              <a:extLst>
                <a:ext uri="{FF2B5EF4-FFF2-40B4-BE49-F238E27FC236}">
                  <a16:creationId xmlns:a16="http://schemas.microsoft.com/office/drawing/2014/main" id="{C612EED4-A24A-4F29-A213-B69D8C0541A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9">
          <xdr14:nvContentPartPr>
            <xdr14:cNvPr id="290" name="Rukopis 289">
              <a:extLst>
                <a:ext uri="{FF2B5EF4-FFF2-40B4-BE49-F238E27FC236}">
                  <a16:creationId xmlns:a16="http://schemas.microsoft.com/office/drawing/2014/main" id="{DCE142FA-48C8-4593-ADCC-58E7486372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0">
          <xdr14:nvContentPartPr>
            <xdr14:cNvPr id="291" name="Rukopis 290">
              <a:extLst>
                <a:ext uri="{FF2B5EF4-FFF2-40B4-BE49-F238E27FC236}">
                  <a16:creationId xmlns:a16="http://schemas.microsoft.com/office/drawing/2014/main" id="{E9D64019-6CFE-4F0C-8586-0263D85C97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1">
          <xdr14:nvContentPartPr>
            <xdr14:cNvPr id="292" name="Rukopis 291">
              <a:extLst>
                <a:ext uri="{FF2B5EF4-FFF2-40B4-BE49-F238E27FC236}">
                  <a16:creationId xmlns:a16="http://schemas.microsoft.com/office/drawing/2014/main" id="{858D36A9-D860-42CF-8CC9-99834C3D14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2">
          <xdr14:nvContentPartPr>
            <xdr14:cNvPr id="293" name="Rukopis 292">
              <a:extLst>
                <a:ext uri="{FF2B5EF4-FFF2-40B4-BE49-F238E27FC236}">
                  <a16:creationId xmlns:a16="http://schemas.microsoft.com/office/drawing/2014/main" id="{03CBE0D1-1B83-41B4-9A8B-7D4E43CA4D8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3">
          <xdr14:nvContentPartPr>
            <xdr14:cNvPr id="294" name="Rukopis 293">
              <a:extLst>
                <a:ext uri="{FF2B5EF4-FFF2-40B4-BE49-F238E27FC236}">
                  <a16:creationId xmlns:a16="http://schemas.microsoft.com/office/drawing/2014/main" id="{04691619-505D-40CF-BA3C-C84C2F3513D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4">
          <xdr14:nvContentPartPr>
            <xdr14:cNvPr id="295" name="Rukopis 294">
              <a:extLst>
                <a:ext uri="{FF2B5EF4-FFF2-40B4-BE49-F238E27FC236}">
                  <a16:creationId xmlns:a16="http://schemas.microsoft.com/office/drawing/2014/main" id="{90C8B0BF-4A6B-484E-90C6-005721D3ED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5">
          <xdr14:nvContentPartPr>
            <xdr14:cNvPr id="296" name="Rukopis 295">
              <a:extLst>
                <a:ext uri="{FF2B5EF4-FFF2-40B4-BE49-F238E27FC236}">
                  <a16:creationId xmlns:a16="http://schemas.microsoft.com/office/drawing/2014/main" id="{997FBAE8-021A-4547-A2A0-AFD73A370D6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6">
          <xdr14:nvContentPartPr>
            <xdr14:cNvPr id="297" name="Rukopis 296">
              <a:extLst>
                <a:ext uri="{FF2B5EF4-FFF2-40B4-BE49-F238E27FC236}">
                  <a16:creationId xmlns:a16="http://schemas.microsoft.com/office/drawing/2014/main" id="{D0873DB7-1458-4535-AB43-0FDD883AFCC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7">
          <xdr14:nvContentPartPr>
            <xdr14:cNvPr id="298" name="Rukopis 297">
              <a:extLst>
                <a:ext uri="{FF2B5EF4-FFF2-40B4-BE49-F238E27FC236}">
                  <a16:creationId xmlns:a16="http://schemas.microsoft.com/office/drawing/2014/main" id="{4F9C56C2-D909-4528-ACCA-3B06EE0041D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8">
          <xdr14:nvContentPartPr>
            <xdr14:cNvPr id="299" name="Rukopis 298">
              <a:extLst>
                <a:ext uri="{FF2B5EF4-FFF2-40B4-BE49-F238E27FC236}">
                  <a16:creationId xmlns:a16="http://schemas.microsoft.com/office/drawing/2014/main" id="{6F40DAC5-C631-4D8E-97AB-69037F29A7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9">
          <xdr14:nvContentPartPr>
            <xdr14:cNvPr id="300" name="Rukopis 299">
              <a:extLst>
                <a:ext uri="{FF2B5EF4-FFF2-40B4-BE49-F238E27FC236}">
                  <a16:creationId xmlns:a16="http://schemas.microsoft.com/office/drawing/2014/main" id="{91D8B466-A7F9-4216-A243-9815FF78CD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0">
          <xdr14:nvContentPartPr>
            <xdr14:cNvPr id="301" name="Rukopis 300">
              <a:extLst>
                <a:ext uri="{FF2B5EF4-FFF2-40B4-BE49-F238E27FC236}">
                  <a16:creationId xmlns:a16="http://schemas.microsoft.com/office/drawing/2014/main" id="{565209AD-D278-4A9C-9F38-865FCACD236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1">
          <xdr14:nvContentPartPr>
            <xdr14:cNvPr id="302" name="Rukopis 301">
              <a:extLst>
                <a:ext uri="{FF2B5EF4-FFF2-40B4-BE49-F238E27FC236}">
                  <a16:creationId xmlns:a16="http://schemas.microsoft.com/office/drawing/2014/main" id="{AC0BB8B1-2D90-485F-83FA-148071CCA83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2">
          <xdr14:nvContentPartPr>
            <xdr14:cNvPr id="303" name="Rukopis 302">
              <a:extLst>
                <a:ext uri="{FF2B5EF4-FFF2-40B4-BE49-F238E27FC236}">
                  <a16:creationId xmlns:a16="http://schemas.microsoft.com/office/drawing/2014/main" id="{BB3C8E50-1551-4695-9A87-E03C80ADB0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3">
          <xdr14:nvContentPartPr>
            <xdr14:cNvPr id="304" name="Rukopis 303">
              <a:extLst>
                <a:ext uri="{FF2B5EF4-FFF2-40B4-BE49-F238E27FC236}">
                  <a16:creationId xmlns:a16="http://schemas.microsoft.com/office/drawing/2014/main" id="{524C7C45-C5A3-44DD-A611-A7B5039F7BA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4">
          <xdr14:nvContentPartPr>
            <xdr14:cNvPr id="305" name="Rukopis 304">
              <a:extLst>
                <a:ext uri="{FF2B5EF4-FFF2-40B4-BE49-F238E27FC236}">
                  <a16:creationId xmlns:a16="http://schemas.microsoft.com/office/drawing/2014/main" id="{1DFA85D3-780A-487A-8FEB-5E845A2C32C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5">
          <xdr14:nvContentPartPr>
            <xdr14:cNvPr id="306" name="Rukopis 305">
              <a:extLst>
                <a:ext uri="{FF2B5EF4-FFF2-40B4-BE49-F238E27FC236}">
                  <a16:creationId xmlns:a16="http://schemas.microsoft.com/office/drawing/2014/main" id="{5B999D90-1C18-4D38-A873-C70FB64ABED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6">
          <xdr14:nvContentPartPr>
            <xdr14:cNvPr id="307" name="Rukopis 306">
              <a:extLst>
                <a:ext uri="{FF2B5EF4-FFF2-40B4-BE49-F238E27FC236}">
                  <a16:creationId xmlns:a16="http://schemas.microsoft.com/office/drawing/2014/main" id="{58567BE7-FD4E-4A60-9F76-71C386B640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7">
          <xdr14:nvContentPartPr>
            <xdr14:cNvPr id="308" name="Rukopis 307">
              <a:extLst>
                <a:ext uri="{FF2B5EF4-FFF2-40B4-BE49-F238E27FC236}">
                  <a16:creationId xmlns:a16="http://schemas.microsoft.com/office/drawing/2014/main" id="{0EEF0C65-04C3-4D6E-8462-65BCCD852C3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8">
          <xdr14:nvContentPartPr>
            <xdr14:cNvPr id="309" name="Rukopis 308">
              <a:extLst>
                <a:ext uri="{FF2B5EF4-FFF2-40B4-BE49-F238E27FC236}">
                  <a16:creationId xmlns:a16="http://schemas.microsoft.com/office/drawing/2014/main" id="{5895A3E4-CFC2-4459-BA3B-C1529DF757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9">
          <xdr14:nvContentPartPr>
            <xdr14:cNvPr id="310" name="Rukopis 309">
              <a:extLst>
                <a:ext uri="{FF2B5EF4-FFF2-40B4-BE49-F238E27FC236}">
                  <a16:creationId xmlns:a16="http://schemas.microsoft.com/office/drawing/2014/main" id="{85154253-E3A3-4161-99F3-E8D4DBE738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0">
          <xdr14:nvContentPartPr>
            <xdr14:cNvPr id="311" name="Rukopis 310">
              <a:extLst>
                <a:ext uri="{FF2B5EF4-FFF2-40B4-BE49-F238E27FC236}">
                  <a16:creationId xmlns:a16="http://schemas.microsoft.com/office/drawing/2014/main" id="{8346F02B-E89B-44FB-9443-6A2A8447ED1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1">
          <xdr14:nvContentPartPr>
            <xdr14:cNvPr id="312" name="Rukopis 311">
              <a:extLst>
                <a:ext uri="{FF2B5EF4-FFF2-40B4-BE49-F238E27FC236}">
                  <a16:creationId xmlns:a16="http://schemas.microsoft.com/office/drawing/2014/main" id="{E15ACAD8-BC22-4292-A25D-BF0AE96B829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2">
          <xdr14:nvContentPartPr>
            <xdr14:cNvPr id="313" name="Rukopis 312">
              <a:extLst>
                <a:ext uri="{FF2B5EF4-FFF2-40B4-BE49-F238E27FC236}">
                  <a16:creationId xmlns:a16="http://schemas.microsoft.com/office/drawing/2014/main" id="{0337F1DD-4217-4258-B7C2-E5AB4616175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3">
          <xdr14:nvContentPartPr>
            <xdr14:cNvPr id="314" name="Rukopis 313">
              <a:extLst>
                <a:ext uri="{FF2B5EF4-FFF2-40B4-BE49-F238E27FC236}">
                  <a16:creationId xmlns:a16="http://schemas.microsoft.com/office/drawing/2014/main" id="{43E8D8CA-3BC5-4A60-B677-E8E3C4DB95C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4">
          <xdr14:nvContentPartPr>
            <xdr14:cNvPr id="315" name="Rukopis 314">
              <a:extLst>
                <a:ext uri="{FF2B5EF4-FFF2-40B4-BE49-F238E27FC236}">
                  <a16:creationId xmlns:a16="http://schemas.microsoft.com/office/drawing/2014/main" id="{7CEDFE5C-DA0E-42D0-B7A1-ACBFD435D7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5">
          <xdr14:nvContentPartPr>
            <xdr14:cNvPr id="316" name="Rukopis 315">
              <a:extLst>
                <a:ext uri="{FF2B5EF4-FFF2-40B4-BE49-F238E27FC236}">
                  <a16:creationId xmlns:a16="http://schemas.microsoft.com/office/drawing/2014/main" id="{92F7201A-7BB2-46FF-A3B1-5B05BDC99EC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6">
          <xdr14:nvContentPartPr>
            <xdr14:cNvPr id="317" name="Rukopis 316">
              <a:extLst>
                <a:ext uri="{FF2B5EF4-FFF2-40B4-BE49-F238E27FC236}">
                  <a16:creationId xmlns:a16="http://schemas.microsoft.com/office/drawing/2014/main" id="{47D0FC5A-65A4-465E-8E85-4E67111C384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7">
          <xdr14:nvContentPartPr>
            <xdr14:cNvPr id="318" name="Rukopis 317">
              <a:extLst>
                <a:ext uri="{FF2B5EF4-FFF2-40B4-BE49-F238E27FC236}">
                  <a16:creationId xmlns:a16="http://schemas.microsoft.com/office/drawing/2014/main" id="{4B7F662C-C40A-4458-8761-DA548265F3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8">
          <xdr14:nvContentPartPr>
            <xdr14:cNvPr id="319" name="Rukopis 318">
              <a:extLst>
                <a:ext uri="{FF2B5EF4-FFF2-40B4-BE49-F238E27FC236}">
                  <a16:creationId xmlns:a16="http://schemas.microsoft.com/office/drawing/2014/main" id="{E4CF3CC4-EC3B-48B9-A907-ACF1CAAB8E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9">
          <xdr14:nvContentPartPr>
            <xdr14:cNvPr id="320" name="Rukopis 319">
              <a:extLst>
                <a:ext uri="{FF2B5EF4-FFF2-40B4-BE49-F238E27FC236}">
                  <a16:creationId xmlns:a16="http://schemas.microsoft.com/office/drawing/2014/main" id="{3F65DE25-E558-452B-95BE-A8FF66D62AE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0">
          <xdr14:nvContentPartPr>
            <xdr14:cNvPr id="321" name="Rukopis 320">
              <a:extLst>
                <a:ext uri="{FF2B5EF4-FFF2-40B4-BE49-F238E27FC236}">
                  <a16:creationId xmlns:a16="http://schemas.microsoft.com/office/drawing/2014/main" id="{3A69AAE7-C6C5-42A1-89DE-1A65CB62151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1">
          <xdr14:nvContentPartPr>
            <xdr14:cNvPr id="322" name="Rukopis 321">
              <a:extLst>
                <a:ext uri="{FF2B5EF4-FFF2-40B4-BE49-F238E27FC236}">
                  <a16:creationId xmlns:a16="http://schemas.microsoft.com/office/drawing/2014/main" id="{EA144B3C-3FD6-4F3F-A2F5-E75B1A5AFBD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2">
          <xdr14:nvContentPartPr>
            <xdr14:cNvPr id="323" name="Rukopis 322">
              <a:extLst>
                <a:ext uri="{FF2B5EF4-FFF2-40B4-BE49-F238E27FC236}">
                  <a16:creationId xmlns:a16="http://schemas.microsoft.com/office/drawing/2014/main" id="{D7379E1F-0216-4058-9282-BE65725252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3">
          <xdr14:nvContentPartPr>
            <xdr14:cNvPr id="324" name="Rukopis 323">
              <a:extLst>
                <a:ext uri="{FF2B5EF4-FFF2-40B4-BE49-F238E27FC236}">
                  <a16:creationId xmlns:a16="http://schemas.microsoft.com/office/drawing/2014/main" id="{E87B9F92-69EB-4839-A124-16D61A29C7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4">
          <xdr14:nvContentPartPr>
            <xdr14:cNvPr id="325" name="Rukopis 324">
              <a:extLst>
                <a:ext uri="{FF2B5EF4-FFF2-40B4-BE49-F238E27FC236}">
                  <a16:creationId xmlns:a16="http://schemas.microsoft.com/office/drawing/2014/main" id="{0F0CF687-7DB7-44A8-A2AC-C8C6108556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5">
          <xdr14:nvContentPartPr>
            <xdr14:cNvPr id="326" name="Rukopis 325">
              <a:extLst>
                <a:ext uri="{FF2B5EF4-FFF2-40B4-BE49-F238E27FC236}">
                  <a16:creationId xmlns:a16="http://schemas.microsoft.com/office/drawing/2014/main" id="{8BB378AE-2471-4DB2-84B2-D6212064397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6">
          <xdr14:nvContentPartPr>
            <xdr14:cNvPr id="327" name="Rukopis 326">
              <a:extLst>
                <a:ext uri="{FF2B5EF4-FFF2-40B4-BE49-F238E27FC236}">
                  <a16:creationId xmlns:a16="http://schemas.microsoft.com/office/drawing/2014/main" id="{D60AFA2D-8A5C-4330-91D5-59E008F496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7">
          <xdr14:nvContentPartPr>
            <xdr14:cNvPr id="328" name="Rukopis 327">
              <a:extLst>
                <a:ext uri="{FF2B5EF4-FFF2-40B4-BE49-F238E27FC236}">
                  <a16:creationId xmlns:a16="http://schemas.microsoft.com/office/drawing/2014/main" id="{C6A6C834-4D3B-4AFF-8061-6F6312BEEE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8">
          <xdr14:nvContentPartPr>
            <xdr14:cNvPr id="329" name="Rukopis 328">
              <a:extLst>
                <a:ext uri="{FF2B5EF4-FFF2-40B4-BE49-F238E27FC236}">
                  <a16:creationId xmlns:a16="http://schemas.microsoft.com/office/drawing/2014/main" id="{D3CC1F64-20F3-415F-928B-13028ECDD60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9">
          <xdr14:nvContentPartPr>
            <xdr14:cNvPr id="330" name="Rukopis 329">
              <a:extLst>
                <a:ext uri="{FF2B5EF4-FFF2-40B4-BE49-F238E27FC236}">
                  <a16:creationId xmlns:a16="http://schemas.microsoft.com/office/drawing/2014/main" id="{B7BA4DE5-2248-40AD-94DD-122EA6C4E50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0">
          <xdr14:nvContentPartPr>
            <xdr14:cNvPr id="331" name="Rukopis 330">
              <a:extLst>
                <a:ext uri="{FF2B5EF4-FFF2-40B4-BE49-F238E27FC236}">
                  <a16:creationId xmlns:a16="http://schemas.microsoft.com/office/drawing/2014/main" id="{2EAEECE3-6826-4DFF-9BF5-956FEB03E90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1">
          <xdr14:nvContentPartPr>
            <xdr14:cNvPr id="332" name="Rukopis 331">
              <a:extLst>
                <a:ext uri="{FF2B5EF4-FFF2-40B4-BE49-F238E27FC236}">
                  <a16:creationId xmlns:a16="http://schemas.microsoft.com/office/drawing/2014/main" id="{3A4E85B3-8FBC-42C3-ADB9-314D49EEF1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2">
          <xdr14:nvContentPartPr>
            <xdr14:cNvPr id="333" name="Rukopis 332">
              <a:extLst>
                <a:ext uri="{FF2B5EF4-FFF2-40B4-BE49-F238E27FC236}">
                  <a16:creationId xmlns:a16="http://schemas.microsoft.com/office/drawing/2014/main" id="{C5BA4926-C59F-410C-AE04-98289FBBDFA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3">
          <xdr14:nvContentPartPr>
            <xdr14:cNvPr id="334" name="Rukopis 333">
              <a:extLst>
                <a:ext uri="{FF2B5EF4-FFF2-40B4-BE49-F238E27FC236}">
                  <a16:creationId xmlns:a16="http://schemas.microsoft.com/office/drawing/2014/main" id="{C069E854-B295-49F4-869F-F7E394A7AA9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4">
          <xdr14:nvContentPartPr>
            <xdr14:cNvPr id="335" name="Rukopis 334">
              <a:extLst>
                <a:ext uri="{FF2B5EF4-FFF2-40B4-BE49-F238E27FC236}">
                  <a16:creationId xmlns:a16="http://schemas.microsoft.com/office/drawing/2014/main" id="{12E531B7-0B03-4175-A3D5-CCD66BD9DEB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5">
          <xdr14:nvContentPartPr>
            <xdr14:cNvPr id="336" name="Rukopis 335">
              <a:extLst>
                <a:ext uri="{FF2B5EF4-FFF2-40B4-BE49-F238E27FC236}">
                  <a16:creationId xmlns:a16="http://schemas.microsoft.com/office/drawing/2014/main" id="{DB8A5518-485A-4DCC-A8D6-59F14C6C9A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6">
          <xdr14:nvContentPartPr>
            <xdr14:cNvPr id="337" name="Rukopis 336">
              <a:extLst>
                <a:ext uri="{FF2B5EF4-FFF2-40B4-BE49-F238E27FC236}">
                  <a16:creationId xmlns:a16="http://schemas.microsoft.com/office/drawing/2014/main" id="{17BB8E29-F7F5-4A22-883E-F61E1DEAE90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7">
          <xdr14:nvContentPartPr>
            <xdr14:cNvPr id="338" name="Rukopis 337">
              <a:extLst>
                <a:ext uri="{FF2B5EF4-FFF2-40B4-BE49-F238E27FC236}">
                  <a16:creationId xmlns:a16="http://schemas.microsoft.com/office/drawing/2014/main" id="{CC78548A-0EF2-4464-BAB6-95B88CCD8DE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8">
          <xdr14:nvContentPartPr>
            <xdr14:cNvPr id="339" name="Rukopis 338">
              <a:extLst>
                <a:ext uri="{FF2B5EF4-FFF2-40B4-BE49-F238E27FC236}">
                  <a16:creationId xmlns:a16="http://schemas.microsoft.com/office/drawing/2014/main" id="{C0873F84-EFCA-4937-AF08-BE81FA28355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9">
          <xdr14:nvContentPartPr>
            <xdr14:cNvPr id="340" name="Rukopis 339">
              <a:extLst>
                <a:ext uri="{FF2B5EF4-FFF2-40B4-BE49-F238E27FC236}">
                  <a16:creationId xmlns:a16="http://schemas.microsoft.com/office/drawing/2014/main" id="{9EB537CA-03F8-49C0-AF45-708AE378388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0">
          <xdr14:nvContentPartPr>
            <xdr14:cNvPr id="341" name="Rukopis 340">
              <a:extLst>
                <a:ext uri="{FF2B5EF4-FFF2-40B4-BE49-F238E27FC236}">
                  <a16:creationId xmlns:a16="http://schemas.microsoft.com/office/drawing/2014/main" id="{712EA70B-5F5E-4F51-816A-0A6D09BF7E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1">
          <xdr14:nvContentPartPr>
            <xdr14:cNvPr id="342" name="Rukopis 341">
              <a:extLst>
                <a:ext uri="{FF2B5EF4-FFF2-40B4-BE49-F238E27FC236}">
                  <a16:creationId xmlns:a16="http://schemas.microsoft.com/office/drawing/2014/main" id="{19C66E21-A244-4F65-962C-54C6F63073D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2">
          <xdr14:nvContentPartPr>
            <xdr14:cNvPr id="343" name="Rukopis 342">
              <a:extLst>
                <a:ext uri="{FF2B5EF4-FFF2-40B4-BE49-F238E27FC236}">
                  <a16:creationId xmlns:a16="http://schemas.microsoft.com/office/drawing/2014/main" id="{B663CFA4-6CC3-4946-AA39-D7E00919FD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3">
          <xdr14:nvContentPartPr>
            <xdr14:cNvPr id="344" name="Rukopis 343">
              <a:extLst>
                <a:ext uri="{FF2B5EF4-FFF2-40B4-BE49-F238E27FC236}">
                  <a16:creationId xmlns:a16="http://schemas.microsoft.com/office/drawing/2014/main" id="{FA89F359-52C0-440C-B863-E0E0A7453A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4">
          <xdr14:nvContentPartPr>
            <xdr14:cNvPr id="345" name="Rukopis 344">
              <a:extLst>
                <a:ext uri="{FF2B5EF4-FFF2-40B4-BE49-F238E27FC236}">
                  <a16:creationId xmlns:a16="http://schemas.microsoft.com/office/drawing/2014/main" id="{689DF036-3131-4C3F-967A-A24E822B0DF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5">
          <xdr14:nvContentPartPr>
            <xdr14:cNvPr id="346" name="Rukopis 345">
              <a:extLst>
                <a:ext uri="{FF2B5EF4-FFF2-40B4-BE49-F238E27FC236}">
                  <a16:creationId xmlns:a16="http://schemas.microsoft.com/office/drawing/2014/main" id="{882C8BE5-7F14-4C78-84D0-66765DFDA9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6">
          <xdr14:nvContentPartPr>
            <xdr14:cNvPr id="347" name="Rukopis 346">
              <a:extLst>
                <a:ext uri="{FF2B5EF4-FFF2-40B4-BE49-F238E27FC236}">
                  <a16:creationId xmlns:a16="http://schemas.microsoft.com/office/drawing/2014/main" id="{E15A6462-1287-4443-B2D8-AE59BA7CC6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7">
          <xdr14:nvContentPartPr>
            <xdr14:cNvPr id="348" name="Rukopis 347">
              <a:extLst>
                <a:ext uri="{FF2B5EF4-FFF2-40B4-BE49-F238E27FC236}">
                  <a16:creationId xmlns:a16="http://schemas.microsoft.com/office/drawing/2014/main" id="{49F538CE-7F37-4118-9E75-EF9EBC45AD0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8">
          <xdr14:nvContentPartPr>
            <xdr14:cNvPr id="349" name="Rukopis 348">
              <a:extLst>
                <a:ext uri="{FF2B5EF4-FFF2-40B4-BE49-F238E27FC236}">
                  <a16:creationId xmlns:a16="http://schemas.microsoft.com/office/drawing/2014/main" id="{6C76F18F-2CBF-419C-BEAC-A1A5E18C38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9">
          <xdr14:nvContentPartPr>
            <xdr14:cNvPr id="350" name="Rukopis 349">
              <a:extLst>
                <a:ext uri="{FF2B5EF4-FFF2-40B4-BE49-F238E27FC236}">
                  <a16:creationId xmlns:a16="http://schemas.microsoft.com/office/drawing/2014/main" id="{4E7FD907-9617-4668-9464-47D1F4CA396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0">
          <xdr14:nvContentPartPr>
            <xdr14:cNvPr id="351" name="Rukopis 350">
              <a:extLst>
                <a:ext uri="{FF2B5EF4-FFF2-40B4-BE49-F238E27FC236}">
                  <a16:creationId xmlns:a16="http://schemas.microsoft.com/office/drawing/2014/main" id="{ECDFE1AC-D9C5-44AE-AD6B-2002FC06E87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1">
          <xdr14:nvContentPartPr>
            <xdr14:cNvPr id="352" name="Rukopis 351">
              <a:extLst>
                <a:ext uri="{FF2B5EF4-FFF2-40B4-BE49-F238E27FC236}">
                  <a16:creationId xmlns:a16="http://schemas.microsoft.com/office/drawing/2014/main" id="{37596788-B4E2-40D1-B198-8C60E2D033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2">
          <xdr14:nvContentPartPr>
            <xdr14:cNvPr id="353" name="Rukopis 352">
              <a:extLst>
                <a:ext uri="{FF2B5EF4-FFF2-40B4-BE49-F238E27FC236}">
                  <a16:creationId xmlns:a16="http://schemas.microsoft.com/office/drawing/2014/main" id="{05BA573A-D042-4C08-87EF-9522D6733F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3">
          <xdr14:nvContentPartPr>
            <xdr14:cNvPr id="354" name="Rukopis 353">
              <a:extLst>
                <a:ext uri="{FF2B5EF4-FFF2-40B4-BE49-F238E27FC236}">
                  <a16:creationId xmlns:a16="http://schemas.microsoft.com/office/drawing/2014/main" id="{A07AF4EF-9DD1-4169-8762-BDD9A3DAC57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4">
          <xdr14:nvContentPartPr>
            <xdr14:cNvPr id="355" name="Rukopis 354">
              <a:extLst>
                <a:ext uri="{FF2B5EF4-FFF2-40B4-BE49-F238E27FC236}">
                  <a16:creationId xmlns:a16="http://schemas.microsoft.com/office/drawing/2014/main" id="{32971807-09F6-44D2-8AD7-490A56FEDF7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5">
          <xdr14:nvContentPartPr>
            <xdr14:cNvPr id="356" name="Rukopis 355">
              <a:extLst>
                <a:ext uri="{FF2B5EF4-FFF2-40B4-BE49-F238E27FC236}">
                  <a16:creationId xmlns:a16="http://schemas.microsoft.com/office/drawing/2014/main" id="{83D9AA51-88C1-4CA0-A74A-11093627C9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6">
          <xdr14:nvContentPartPr>
            <xdr14:cNvPr id="357" name="Rukopis 356">
              <a:extLst>
                <a:ext uri="{FF2B5EF4-FFF2-40B4-BE49-F238E27FC236}">
                  <a16:creationId xmlns:a16="http://schemas.microsoft.com/office/drawing/2014/main" id="{30D02744-7302-49C4-817E-0C360A51F69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7">
          <xdr14:nvContentPartPr>
            <xdr14:cNvPr id="358" name="Rukopis 357">
              <a:extLst>
                <a:ext uri="{FF2B5EF4-FFF2-40B4-BE49-F238E27FC236}">
                  <a16:creationId xmlns:a16="http://schemas.microsoft.com/office/drawing/2014/main" id="{005160F6-D463-4A84-9ED1-6B23697613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8">
          <xdr14:nvContentPartPr>
            <xdr14:cNvPr id="359" name="Rukopis 358">
              <a:extLst>
                <a:ext uri="{FF2B5EF4-FFF2-40B4-BE49-F238E27FC236}">
                  <a16:creationId xmlns:a16="http://schemas.microsoft.com/office/drawing/2014/main" id="{3145700E-5C2A-4F84-84AE-51A76D4CB9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9">
          <xdr14:nvContentPartPr>
            <xdr14:cNvPr id="360" name="Rukopis 359">
              <a:extLst>
                <a:ext uri="{FF2B5EF4-FFF2-40B4-BE49-F238E27FC236}">
                  <a16:creationId xmlns:a16="http://schemas.microsoft.com/office/drawing/2014/main" id="{DE547FB7-8CF2-4617-949D-795FE048F86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0">
          <xdr14:nvContentPartPr>
            <xdr14:cNvPr id="361" name="Rukopis 360">
              <a:extLst>
                <a:ext uri="{FF2B5EF4-FFF2-40B4-BE49-F238E27FC236}">
                  <a16:creationId xmlns:a16="http://schemas.microsoft.com/office/drawing/2014/main" id="{C0BF7658-424C-4AE9-B234-FB14C40A6BA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1">
          <xdr14:nvContentPartPr>
            <xdr14:cNvPr id="362" name="Rukopis 361">
              <a:extLst>
                <a:ext uri="{FF2B5EF4-FFF2-40B4-BE49-F238E27FC236}">
                  <a16:creationId xmlns:a16="http://schemas.microsoft.com/office/drawing/2014/main" id="{F3022BD4-F94E-445E-B25E-76401831D30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2">
          <xdr14:nvContentPartPr>
            <xdr14:cNvPr id="363" name="Rukopis 362">
              <a:extLst>
                <a:ext uri="{FF2B5EF4-FFF2-40B4-BE49-F238E27FC236}">
                  <a16:creationId xmlns:a16="http://schemas.microsoft.com/office/drawing/2014/main" id="{5DF71C93-D9B7-4792-9F5D-37BD1A0051B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3">
          <xdr14:nvContentPartPr>
            <xdr14:cNvPr id="364" name="Rukopis 363">
              <a:extLst>
                <a:ext uri="{FF2B5EF4-FFF2-40B4-BE49-F238E27FC236}">
                  <a16:creationId xmlns:a16="http://schemas.microsoft.com/office/drawing/2014/main" id="{0E9D93BB-0CD4-47DE-AD18-EE36074D61D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4">
          <xdr14:nvContentPartPr>
            <xdr14:cNvPr id="365" name="Rukopis 364">
              <a:extLst>
                <a:ext uri="{FF2B5EF4-FFF2-40B4-BE49-F238E27FC236}">
                  <a16:creationId xmlns:a16="http://schemas.microsoft.com/office/drawing/2014/main" id="{3FB3F22E-DD45-40BE-BBAC-F3158ED88C5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5">
          <xdr14:nvContentPartPr>
            <xdr14:cNvPr id="366" name="Rukopis 365">
              <a:extLst>
                <a:ext uri="{FF2B5EF4-FFF2-40B4-BE49-F238E27FC236}">
                  <a16:creationId xmlns:a16="http://schemas.microsoft.com/office/drawing/2014/main" id="{D3238791-63A7-4DD6-B20F-95BD82E9785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6">
          <xdr14:nvContentPartPr>
            <xdr14:cNvPr id="367" name="Rukopis 366">
              <a:extLst>
                <a:ext uri="{FF2B5EF4-FFF2-40B4-BE49-F238E27FC236}">
                  <a16:creationId xmlns:a16="http://schemas.microsoft.com/office/drawing/2014/main" id="{FB3006E7-43D4-41EB-BF20-61C88B6C0A2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7">
          <xdr14:nvContentPartPr>
            <xdr14:cNvPr id="368" name="Rukopis 367">
              <a:extLst>
                <a:ext uri="{FF2B5EF4-FFF2-40B4-BE49-F238E27FC236}">
                  <a16:creationId xmlns:a16="http://schemas.microsoft.com/office/drawing/2014/main" id="{075D3627-54D5-48F6-AF58-F5814AF9BD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8">
          <xdr14:nvContentPartPr>
            <xdr14:cNvPr id="369" name="Rukopis 368">
              <a:extLst>
                <a:ext uri="{FF2B5EF4-FFF2-40B4-BE49-F238E27FC236}">
                  <a16:creationId xmlns:a16="http://schemas.microsoft.com/office/drawing/2014/main" id="{73A76AD3-8CFF-4478-96F8-17194D6D4A9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9">
          <xdr14:nvContentPartPr>
            <xdr14:cNvPr id="370" name="Rukopis 369">
              <a:extLst>
                <a:ext uri="{FF2B5EF4-FFF2-40B4-BE49-F238E27FC236}">
                  <a16:creationId xmlns:a16="http://schemas.microsoft.com/office/drawing/2014/main" id="{9291E8E3-FD0B-4C89-84F1-78865656F73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0">
          <xdr14:nvContentPartPr>
            <xdr14:cNvPr id="371" name="Rukopis 370">
              <a:extLst>
                <a:ext uri="{FF2B5EF4-FFF2-40B4-BE49-F238E27FC236}">
                  <a16:creationId xmlns:a16="http://schemas.microsoft.com/office/drawing/2014/main" id="{F1D2890F-45E3-44EA-8289-42B0703637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1">
          <xdr14:nvContentPartPr>
            <xdr14:cNvPr id="372" name="Rukopis 371">
              <a:extLst>
                <a:ext uri="{FF2B5EF4-FFF2-40B4-BE49-F238E27FC236}">
                  <a16:creationId xmlns:a16="http://schemas.microsoft.com/office/drawing/2014/main" id="{B6B6AE6D-5543-4A1D-A454-4726D646C1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2">
          <xdr14:nvContentPartPr>
            <xdr14:cNvPr id="373" name="Rukopis 372">
              <a:extLst>
                <a:ext uri="{FF2B5EF4-FFF2-40B4-BE49-F238E27FC236}">
                  <a16:creationId xmlns:a16="http://schemas.microsoft.com/office/drawing/2014/main" id="{C06528F9-110B-42C3-A207-5A54FF7A00F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3">
          <xdr14:nvContentPartPr>
            <xdr14:cNvPr id="374" name="Rukopis 373">
              <a:extLst>
                <a:ext uri="{FF2B5EF4-FFF2-40B4-BE49-F238E27FC236}">
                  <a16:creationId xmlns:a16="http://schemas.microsoft.com/office/drawing/2014/main" id="{EDB38D25-3EE5-48E7-A36D-67BCB4C2315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4">
          <xdr14:nvContentPartPr>
            <xdr14:cNvPr id="375" name="Rukopis 374">
              <a:extLst>
                <a:ext uri="{FF2B5EF4-FFF2-40B4-BE49-F238E27FC236}">
                  <a16:creationId xmlns:a16="http://schemas.microsoft.com/office/drawing/2014/main" id="{ABBF4F99-BE32-46F7-ACF2-AFA2B7DD21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5">
          <xdr14:nvContentPartPr>
            <xdr14:cNvPr id="376" name="Rukopis 375">
              <a:extLst>
                <a:ext uri="{FF2B5EF4-FFF2-40B4-BE49-F238E27FC236}">
                  <a16:creationId xmlns:a16="http://schemas.microsoft.com/office/drawing/2014/main" id="{0E1DA105-259C-4668-BD36-390F0E79319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6">
          <xdr14:nvContentPartPr>
            <xdr14:cNvPr id="377" name="Rukopis 376">
              <a:extLst>
                <a:ext uri="{FF2B5EF4-FFF2-40B4-BE49-F238E27FC236}">
                  <a16:creationId xmlns:a16="http://schemas.microsoft.com/office/drawing/2014/main" id="{F516D84B-7FAB-45E9-A956-D21C57FEC4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7">
          <xdr14:nvContentPartPr>
            <xdr14:cNvPr id="378" name="Rukopis 377">
              <a:extLst>
                <a:ext uri="{FF2B5EF4-FFF2-40B4-BE49-F238E27FC236}">
                  <a16:creationId xmlns:a16="http://schemas.microsoft.com/office/drawing/2014/main" id="{CF3F5089-5603-4D3F-BA27-0D22E96B4FB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8">
          <xdr14:nvContentPartPr>
            <xdr14:cNvPr id="379" name="Rukopis 378">
              <a:extLst>
                <a:ext uri="{FF2B5EF4-FFF2-40B4-BE49-F238E27FC236}">
                  <a16:creationId xmlns:a16="http://schemas.microsoft.com/office/drawing/2014/main" id="{98DFD07A-95AF-482A-B664-4B8940F26C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9">
          <xdr14:nvContentPartPr>
            <xdr14:cNvPr id="380" name="Rukopis 379">
              <a:extLst>
                <a:ext uri="{FF2B5EF4-FFF2-40B4-BE49-F238E27FC236}">
                  <a16:creationId xmlns:a16="http://schemas.microsoft.com/office/drawing/2014/main" id="{1AA4B799-FDD2-4F31-84D4-406CE25323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0">
          <xdr14:nvContentPartPr>
            <xdr14:cNvPr id="381" name="Rukopis 380">
              <a:extLst>
                <a:ext uri="{FF2B5EF4-FFF2-40B4-BE49-F238E27FC236}">
                  <a16:creationId xmlns:a16="http://schemas.microsoft.com/office/drawing/2014/main" id="{394556BD-78FD-4C60-8402-08EED91204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1">
          <xdr14:nvContentPartPr>
            <xdr14:cNvPr id="382" name="Rukopis 381">
              <a:extLst>
                <a:ext uri="{FF2B5EF4-FFF2-40B4-BE49-F238E27FC236}">
                  <a16:creationId xmlns:a16="http://schemas.microsoft.com/office/drawing/2014/main" id="{92285AC9-EA04-41EF-AFA5-B10B28B395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2">
          <xdr14:nvContentPartPr>
            <xdr14:cNvPr id="383" name="Rukopis 382">
              <a:extLst>
                <a:ext uri="{FF2B5EF4-FFF2-40B4-BE49-F238E27FC236}">
                  <a16:creationId xmlns:a16="http://schemas.microsoft.com/office/drawing/2014/main" id="{B5AAAFBB-1689-46EF-879B-F76224B455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3">
          <xdr14:nvContentPartPr>
            <xdr14:cNvPr id="384" name="Rukopis 383">
              <a:extLst>
                <a:ext uri="{FF2B5EF4-FFF2-40B4-BE49-F238E27FC236}">
                  <a16:creationId xmlns:a16="http://schemas.microsoft.com/office/drawing/2014/main" id="{D6BE056B-6543-41E8-A760-B6CA5958654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4">
          <xdr14:nvContentPartPr>
            <xdr14:cNvPr id="385" name="Rukopis 384">
              <a:extLst>
                <a:ext uri="{FF2B5EF4-FFF2-40B4-BE49-F238E27FC236}">
                  <a16:creationId xmlns:a16="http://schemas.microsoft.com/office/drawing/2014/main" id="{320E33BA-8F45-4B1B-B4C6-CFCB083C1C4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5">
          <xdr14:nvContentPartPr>
            <xdr14:cNvPr id="386" name="Rukopis 385">
              <a:extLst>
                <a:ext uri="{FF2B5EF4-FFF2-40B4-BE49-F238E27FC236}">
                  <a16:creationId xmlns:a16="http://schemas.microsoft.com/office/drawing/2014/main" id="{34DF91AE-7CB1-4A0B-9729-EFA08DFD320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6">
          <xdr14:nvContentPartPr>
            <xdr14:cNvPr id="387" name="Rukopis 386">
              <a:extLst>
                <a:ext uri="{FF2B5EF4-FFF2-40B4-BE49-F238E27FC236}">
                  <a16:creationId xmlns:a16="http://schemas.microsoft.com/office/drawing/2014/main" id="{7F468E69-3C72-43F3-AD15-7607E28AE77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7">
          <xdr14:nvContentPartPr>
            <xdr14:cNvPr id="388" name="Rukopis 387">
              <a:extLst>
                <a:ext uri="{FF2B5EF4-FFF2-40B4-BE49-F238E27FC236}">
                  <a16:creationId xmlns:a16="http://schemas.microsoft.com/office/drawing/2014/main" id="{49A720AB-AE67-4E1B-A175-0F1FAE1591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8">
          <xdr14:nvContentPartPr>
            <xdr14:cNvPr id="389" name="Rukopis 388">
              <a:extLst>
                <a:ext uri="{FF2B5EF4-FFF2-40B4-BE49-F238E27FC236}">
                  <a16:creationId xmlns:a16="http://schemas.microsoft.com/office/drawing/2014/main" id="{2534422A-9216-4EB3-A55D-28377BC2087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9">
          <xdr14:nvContentPartPr>
            <xdr14:cNvPr id="390" name="Rukopis 389">
              <a:extLst>
                <a:ext uri="{FF2B5EF4-FFF2-40B4-BE49-F238E27FC236}">
                  <a16:creationId xmlns:a16="http://schemas.microsoft.com/office/drawing/2014/main" id="{0C4B3F28-33EC-4A26-B118-4EE498DFEB9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0">
          <xdr14:nvContentPartPr>
            <xdr14:cNvPr id="391" name="Rukopis 390">
              <a:extLst>
                <a:ext uri="{FF2B5EF4-FFF2-40B4-BE49-F238E27FC236}">
                  <a16:creationId xmlns:a16="http://schemas.microsoft.com/office/drawing/2014/main" id="{182AAAD7-336B-4D47-8D0D-1D80FD97A39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1">
          <xdr14:nvContentPartPr>
            <xdr14:cNvPr id="392" name="Rukopis 391">
              <a:extLst>
                <a:ext uri="{FF2B5EF4-FFF2-40B4-BE49-F238E27FC236}">
                  <a16:creationId xmlns:a16="http://schemas.microsoft.com/office/drawing/2014/main" id="{A8FD744F-F106-46B0-A28A-D2CED65AB13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2">
          <xdr14:nvContentPartPr>
            <xdr14:cNvPr id="393" name="Rukopis 392">
              <a:extLst>
                <a:ext uri="{FF2B5EF4-FFF2-40B4-BE49-F238E27FC236}">
                  <a16:creationId xmlns:a16="http://schemas.microsoft.com/office/drawing/2014/main" id="{7D70F0DE-539B-4409-94FF-2BEFEFE38F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3">
          <xdr14:nvContentPartPr>
            <xdr14:cNvPr id="394" name="Rukopis 393">
              <a:extLst>
                <a:ext uri="{FF2B5EF4-FFF2-40B4-BE49-F238E27FC236}">
                  <a16:creationId xmlns:a16="http://schemas.microsoft.com/office/drawing/2014/main" id="{600D3491-E2A5-4219-A305-D7C6D8FF530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4">
          <xdr14:nvContentPartPr>
            <xdr14:cNvPr id="395" name="Rukopis 394">
              <a:extLst>
                <a:ext uri="{FF2B5EF4-FFF2-40B4-BE49-F238E27FC236}">
                  <a16:creationId xmlns:a16="http://schemas.microsoft.com/office/drawing/2014/main" id="{594A66FD-BE57-4E3A-BAAA-58A478135F8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5">
          <xdr14:nvContentPartPr>
            <xdr14:cNvPr id="396" name="Rukopis 395">
              <a:extLst>
                <a:ext uri="{FF2B5EF4-FFF2-40B4-BE49-F238E27FC236}">
                  <a16:creationId xmlns:a16="http://schemas.microsoft.com/office/drawing/2014/main" id="{4F511795-031F-49D5-B70B-6BC3DB30F8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6">
          <xdr14:nvContentPartPr>
            <xdr14:cNvPr id="397" name="Rukopis 396">
              <a:extLst>
                <a:ext uri="{FF2B5EF4-FFF2-40B4-BE49-F238E27FC236}">
                  <a16:creationId xmlns:a16="http://schemas.microsoft.com/office/drawing/2014/main" id="{8E830ADA-7571-45E4-B667-E09B2C7C4F8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7">
          <xdr14:nvContentPartPr>
            <xdr14:cNvPr id="398" name="Rukopis 397">
              <a:extLst>
                <a:ext uri="{FF2B5EF4-FFF2-40B4-BE49-F238E27FC236}">
                  <a16:creationId xmlns:a16="http://schemas.microsoft.com/office/drawing/2014/main" id="{DA9D2417-DE46-4DD5-BC6D-3540DD2BCF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8">
          <xdr14:nvContentPartPr>
            <xdr14:cNvPr id="399" name="Rukopis 398">
              <a:extLst>
                <a:ext uri="{FF2B5EF4-FFF2-40B4-BE49-F238E27FC236}">
                  <a16:creationId xmlns:a16="http://schemas.microsoft.com/office/drawing/2014/main" id="{3BB1C921-5B16-4CEA-A22B-3A6CC14DE4A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9">
          <xdr14:nvContentPartPr>
            <xdr14:cNvPr id="400" name="Rukopis 399">
              <a:extLst>
                <a:ext uri="{FF2B5EF4-FFF2-40B4-BE49-F238E27FC236}">
                  <a16:creationId xmlns:a16="http://schemas.microsoft.com/office/drawing/2014/main" id="{3041F93F-980A-45FE-A55B-4B2553896EA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0">
          <xdr14:nvContentPartPr>
            <xdr14:cNvPr id="401" name="Rukopis 400">
              <a:extLst>
                <a:ext uri="{FF2B5EF4-FFF2-40B4-BE49-F238E27FC236}">
                  <a16:creationId xmlns:a16="http://schemas.microsoft.com/office/drawing/2014/main" id="{E4B6ADCB-7F8E-4EAE-B8C7-092611502B9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1">
          <xdr14:nvContentPartPr>
            <xdr14:cNvPr id="402" name="Rukopis 401">
              <a:extLst>
                <a:ext uri="{FF2B5EF4-FFF2-40B4-BE49-F238E27FC236}">
                  <a16:creationId xmlns:a16="http://schemas.microsoft.com/office/drawing/2014/main" id="{EF8EDC2A-F34D-42D3-9440-77994B5DB0B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2">
          <xdr14:nvContentPartPr>
            <xdr14:cNvPr id="403" name="Rukopis 402">
              <a:extLst>
                <a:ext uri="{FF2B5EF4-FFF2-40B4-BE49-F238E27FC236}">
                  <a16:creationId xmlns:a16="http://schemas.microsoft.com/office/drawing/2014/main" id="{94A91FE5-99B7-4E8D-9DA8-E03C94AC5ED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3">
          <xdr14:nvContentPartPr>
            <xdr14:cNvPr id="404" name="Rukopis 403">
              <a:extLst>
                <a:ext uri="{FF2B5EF4-FFF2-40B4-BE49-F238E27FC236}">
                  <a16:creationId xmlns:a16="http://schemas.microsoft.com/office/drawing/2014/main" id="{20AF1BE2-E948-403F-8B44-0A4ABC75642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4">
          <xdr14:nvContentPartPr>
            <xdr14:cNvPr id="405" name="Rukopis 404">
              <a:extLst>
                <a:ext uri="{FF2B5EF4-FFF2-40B4-BE49-F238E27FC236}">
                  <a16:creationId xmlns:a16="http://schemas.microsoft.com/office/drawing/2014/main" id="{0C72EB78-07E1-43AA-A892-2D585D05A7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5">
          <xdr14:nvContentPartPr>
            <xdr14:cNvPr id="406" name="Rukopis 405">
              <a:extLst>
                <a:ext uri="{FF2B5EF4-FFF2-40B4-BE49-F238E27FC236}">
                  <a16:creationId xmlns:a16="http://schemas.microsoft.com/office/drawing/2014/main" id="{13C932B4-50A9-4D27-B16C-08891D9DDE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6">
          <xdr14:nvContentPartPr>
            <xdr14:cNvPr id="407" name="Rukopis 406">
              <a:extLst>
                <a:ext uri="{FF2B5EF4-FFF2-40B4-BE49-F238E27FC236}">
                  <a16:creationId xmlns:a16="http://schemas.microsoft.com/office/drawing/2014/main" id="{0F46C723-F316-4CD8-A0D7-4604775B1F7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7">
          <xdr14:nvContentPartPr>
            <xdr14:cNvPr id="408" name="Rukopis 407">
              <a:extLst>
                <a:ext uri="{FF2B5EF4-FFF2-40B4-BE49-F238E27FC236}">
                  <a16:creationId xmlns:a16="http://schemas.microsoft.com/office/drawing/2014/main" id="{727CC85A-E016-4315-A772-DEA3C56412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8">
          <xdr14:nvContentPartPr>
            <xdr14:cNvPr id="409" name="Rukopis 408">
              <a:extLst>
                <a:ext uri="{FF2B5EF4-FFF2-40B4-BE49-F238E27FC236}">
                  <a16:creationId xmlns:a16="http://schemas.microsoft.com/office/drawing/2014/main" id="{EC02D019-4ACA-458C-BD32-0EF94532FF9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9">
          <xdr14:nvContentPartPr>
            <xdr14:cNvPr id="410" name="Rukopis 409">
              <a:extLst>
                <a:ext uri="{FF2B5EF4-FFF2-40B4-BE49-F238E27FC236}">
                  <a16:creationId xmlns:a16="http://schemas.microsoft.com/office/drawing/2014/main" id="{7DCC4390-8B3B-41B7-851F-E0C7CEE78B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0">
          <xdr14:nvContentPartPr>
            <xdr14:cNvPr id="411" name="Rukopis 410">
              <a:extLst>
                <a:ext uri="{FF2B5EF4-FFF2-40B4-BE49-F238E27FC236}">
                  <a16:creationId xmlns:a16="http://schemas.microsoft.com/office/drawing/2014/main" id="{249379BA-EC41-4F9E-8FBD-6C5B3E83F48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1">
          <xdr14:nvContentPartPr>
            <xdr14:cNvPr id="412" name="Rukopis 411">
              <a:extLst>
                <a:ext uri="{FF2B5EF4-FFF2-40B4-BE49-F238E27FC236}">
                  <a16:creationId xmlns:a16="http://schemas.microsoft.com/office/drawing/2014/main" id="{14FAA7C2-B35B-4A9A-AC0E-CFA1B5889A9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2">
          <xdr14:nvContentPartPr>
            <xdr14:cNvPr id="413" name="Rukopis 412">
              <a:extLst>
                <a:ext uri="{FF2B5EF4-FFF2-40B4-BE49-F238E27FC236}">
                  <a16:creationId xmlns:a16="http://schemas.microsoft.com/office/drawing/2014/main" id="{86EE2117-D426-4ABE-8216-B94EB62F563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3">
          <xdr14:nvContentPartPr>
            <xdr14:cNvPr id="414" name="Rukopis 413">
              <a:extLst>
                <a:ext uri="{FF2B5EF4-FFF2-40B4-BE49-F238E27FC236}">
                  <a16:creationId xmlns:a16="http://schemas.microsoft.com/office/drawing/2014/main" id="{AF248A78-6FB7-4403-A4F3-E121C0D18C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4">
          <xdr14:nvContentPartPr>
            <xdr14:cNvPr id="415" name="Rukopis 414">
              <a:extLst>
                <a:ext uri="{FF2B5EF4-FFF2-40B4-BE49-F238E27FC236}">
                  <a16:creationId xmlns:a16="http://schemas.microsoft.com/office/drawing/2014/main" id="{1F501919-029A-46A2-9E0A-07F67A5DD12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5">
          <xdr14:nvContentPartPr>
            <xdr14:cNvPr id="416" name="Rukopis 415">
              <a:extLst>
                <a:ext uri="{FF2B5EF4-FFF2-40B4-BE49-F238E27FC236}">
                  <a16:creationId xmlns:a16="http://schemas.microsoft.com/office/drawing/2014/main" id="{E95A519B-B91F-4B7C-9DFC-3C1EED5AE6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6">
          <xdr14:nvContentPartPr>
            <xdr14:cNvPr id="417" name="Rukopis 416">
              <a:extLst>
                <a:ext uri="{FF2B5EF4-FFF2-40B4-BE49-F238E27FC236}">
                  <a16:creationId xmlns:a16="http://schemas.microsoft.com/office/drawing/2014/main" id="{FD5BD9A7-A76C-4831-8DD5-B5A45D0A702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7">
          <xdr14:nvContentPartPr>
            <xdr14:cNvPr id="418" name="Rukopis 417">
              <a:extLst>
                <a:ext uri="{FF2B5EF4-FFF2-40B4-BE49-F238E27FC236}">
                  <a16:creationId xmlns:a16="http://schemas.microsoft.com/office/drawing/2014/main" id="{86AF8636-95BA-4523-949E-00408682ED6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8">
          <xdr14:nvContentPartPr>
            <xdr14:cNvPr id="419" name="Rukopis 418">
              <a:extLst>
                <a:ext uri="{FF2B5EF4-FFF2-40B4-BE49-F238E27FC236}">
                  <a16:creationId xmlns:a16="http://schemas.microsoft.com/office/drawing/2014/main" id="{ED91B741-826A-4291-B8D3-010A2F287C7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9">
          <xdr14:nvContentPartPr>
            <xdr14:cNvPr id="420" name="Rukopis 419">
              <a:extLst>
                <a:ext uri="{FF2B5EF4-FFF2-40B4-BE49-F238E27FC236}">
                  <a16:creationId xmlns:a16="http://schemas.microsoft.com/office/drawing/2014/main" id="{80E47753-D906-4344-A692-C8BDAADF5A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0">
          <xdr14:nvContentPartPr>
            <xdr14:cNvPr id="421" name="Rukopis 420">
              <a:extLst>
                <a:ext uri="{FF2B5EF4-FFF2-40B4-BE49-F238E27FC236}">
                  <a16:creationId xmlns:a16="http://schemas.microsoft.com/office/drawing/2014/main" id="{D5611DB8-D792-4A4E-96E4-E2318511887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1">
          <xdr14:nvContentPartPr>
            <xdr14:cNvPr id="422" name="Rukopis 421">
              <a:extLst>
                <a:ext uri="{FF2B5EF4-FFF2-40B4-BE49-F238E27FC236}">
                  <a16:creationId xmlns:a16="http://schemas.microsoft.com/office/drawing/2014/main" id="{F5399358-4815-4E1B-A3B9-4B6C57E9F4D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2">
          <xdr14:nvContentPartPr>
            <xdr14:cNvPr id="423" name="Rukopis 422">
              <a:extLst>
                <a:ext uri="{FF2B5EF4-FFF2-40B4-BE49-F238E27FC236}">
                  <a16:creationId xmlns:a16="http://schemas.microsoft.com/office/drawing/2014/main" id="{EF0C859C-4E7D-4986-80AE-C9264B06700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3">
          <xdr14:nvContentPartPr>
            <xdr14:cNvPr id="424" name="Rukopis 423">
              <a:extLst>
                <a:ext uri="{FF2B5EF4-FFF2-40B4-BE49-F238E27FC236}">
                  <a16:creationId xmlns:a16="http://schemas.microsoft.com/office/drawing/2014/main" id="{A56CC0A8-3DA0-48F1-BC1C-E9EB14BF42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4">
          <xdr14:nvContentPartPr>
            <xdr14:cNvPr id="425" name="Rukopis 424">
              <a:extLst>
                <a:ext uri="{FF2B5EF4-FFF2-40B4-BE49-F238E27FC236}">
                  <a16:creationId xmlns:a16="http://schemas.microsoft.com/office/drawing/2014/main" id="{2382C0AF-B2A7-4515-B1A9-7F35501480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5">
          <xdr14:nvContentPartPr>
            <xdr14:cNvPr id="426" name="Rukopis 425">
              <a:extLst>
                <a:ext uri="{FF2B5EF4-FFF2-40B4-BE49-F238E27FC236}">
                  <a16:creationId xmlns:a16="http://schemas.microsoft.com/office/drawing/2014/main" id="{D4AD2BD0-E4ED-471A-B362-E8C1FE6E891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6">
          <xdr14:nvContentPartPr>
            <xdr14:cNvPr id="427" name="Rukopis 426">
              <a:extLst>
                <a:ext uri="{FF2B5EF4-FFF2-40B4-BE49-F238E27FC236}">
                  <a16:creationId xmlns:a16="http://schemas.microsoft.com/office/drawing/2014/main" id="{9C8B2FA0-76A9-4A3E-9859-2E24780BD8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7">
          <xdr14:nvContentPartPr>
            <xdr14:cNvPr id="428" name="Rukopis 427">
              <a:extLst>
                <a:ext uri="{FF2B5EF4-FFF2-40B4-BE49-F238E27FC236}">
                  <a16:creationId xmlns:a16="http://schemas.microsoft.com/office/drawing/2014/main" id="{7CA81085-0548-4623-B3D7-EEBAF6DD5EA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8">
          <xdr14:nvContentPartPr>
            <xdr14:cNvPr id="429" name="Rukopis 428">
              <a:extLst>
                <a:ext uri="{FF2B5EF4-FFF2-40B4-BE49-F238E27FC236}">
                  <a16:creationId xmlns:a16="http://schemas.microsoft.com/office/drawing/2014/main" id="{508F94D1-48D9-4F1E-A35E-6509469B9C6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9">
          <xdr14:nvContentPartPr>
            <xdr14:cNvPr id="430" name="Rukopis 429">
              <a:extLst>
                <a:ext uri="{FF2B5EF4-FFF2-40B4-BE49-F238E27FC236}">
                  <a16:creationId xmlns:a16="http://schemas.microsoft.com/office/drawing/2014/main" id="{2F064103-80C5-4AF6-ACD1-1F5A77218E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0">
          <xdr14:nvContentPartPr>
            <xdr14:cNvPr id="431" name="Rukopis 430">
              <a:extLst>
                <a:ext uri="{FF2B5EF4-FFF2-40B4-BE49-F238E27FC236}">
                  <a16:creationId xmlns:a16="http://schemas.microsoft.com/office/drawing/2014/main" id="{EE4BE7F1-9422-4A1D-9934-1784F6DFE05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1">
          <xdr14:nvContentPartPr>
            <xdr14:cNvPr id="432" name="Rukopis 431">
              <a:extLst>
                <a:ext uri="{FF2B5EF4-FFF2-40B4-BE49-F238E27FC236}">
                  <a16:creationId xmlns:a16="http://schemas.microsoft.com/office/drawing/2014/main" id="{EA5EDD7D-DEAF-4BC3-8FB0-D554102BC67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2">
          <xdr14:nvContentPartPr>
            <xdr14:cNvPr id="433" name="Rukopis 432">
              <a:extLst>
                <a:ext uri="{FF2B5EF4-FFF2-40B4-BE49-F238E27FC236}">
                  <a16:creationId xmlns:a16="http://schemas.microsoft.com/office/drawing/2014/main" id="{76B6E30A-E31A-4E05-8CD1-93DE846533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3">
          <xdr14:nvContentPartPr>
            <xdr14:cNvPr id="434" name="Rukopis 433">
              <a:extLst>
                <a:ext uri="{FF2B5EF4-FFF2-40B4-BE49-F238E27FC236}">
                  <a16:creationId xmlns:a16="http://schemas.microsoft.com/office/drawing/2014/main" id="{AA077EF3-7142-4E1D-A30F-07B6062735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4">
          <xdr14:nvContentPartPr>
            <xdr14:cNvPr id="435" name="Rukopis 434">
              <a:extLst>
                <a:ext uri="{FF2B5EF4-FFF2-40B4-BE49-F238E27FC236}">
                  <a16:creationId xmlns:a16="http://schemas.microsoft.com/office/drawing/2014/main" id="{B0798D6F-7504-4CAA-9535-BF8C7D7F734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5">
          <xdr14:nvContentPartPr>
            <xdr14:cNvPr id="436" name="Rukopis 435">
              <a:extLst>
                <a:ext uri="{FF2B5EF4-FFF2-40B4-BE49-F238E27FC236}">
                  <a16:creationId xmlns:a16="http://schemas.microsoft.com/office/drawing/2014/main" id="{56C50A54-645A-4980-8A09-4DB9B171C85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6">
          <xdr14:nvContentPartPr>
            <xdr14:cNvPr id="437" name="Rukopis 436">
              <a:extLst>
                <a:ext uri="{FF2B5EF4-FFF2-40B4-BE49-F238E27FC236}">
                  <a16:creationId xmlns:a16="http://schemas.microsoft.com/office/drawing/2014/main" id="{0E6C0B5F-BAE6-4B1A-A4B3-9540C6C657F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7">
          <xdr14:nvContentPartPr>
            <xdr14:cNvPr id="438" name="Rukopis 437">
              <a:extLst>
                <a:ext uri="{FF2B5EF4-FFF2-40B4-BE49-F238E27FC236}">
                  <a16:creationId xmlns:a16="http://schemas.microsoft.com/office/drawing/2014/main" id="{012FF3CB-3517-4830-A48D-EDA3B56601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8">
          <xdr14:nvContentPartPr>
            <xdr14:cNvPr id="439" name="Rukopis 438">
              <a:extLst>
                <a:ext uri="{FF2B5EF4-FFF2-40B4-BE49-F238E27FC236}">
                  <a16:creationId xmlns:a16="http://schemas.microsoft.com/office/drawing/2014/main" id="{46B48F33-553A-4DC5-98F1-3E9BB417A7A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9">
          <xdr14:nvContentPartPr>
            <xdr14:cNvPr id="440" name="Rukopis 439">
              <a:extLst>
                <a:ext uri="{FF2B5EF4-FFF2-40B4-BE49-F238E27FC236}">
                  <a16:creationId xmlns:a16="http://schemas.microsoft.com/office/drawing/2014/main" id="{C4D1669C-A671-429F-8ACF-21F4E8FAB48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0">
          <xdr14:nvContentPartPr>
            <xdr14:cNvPr id="441" name="Rukopis 440">
              <a:extLst>
                <a:ext uri="{FF2B5EF4-FFF2-40B4-BE49-F238E27FC236}">
                  <a16:creationId xmlns:a16="http://schemas.microsoft.com/office/drawing/2014/main" id="{B5F2C5E0-A8BE-4897-9330-49E5CBF8E85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1">
          <xdr14:nvContentPartPr>
            <xdr14:cNvPr id="442" name="Rukopis 441">
              <a:extLst>
                <a:ext uri="{FF2B5EF4-FFF2-40B4-BE49-F238E27FC236}">
                  <a16:creationId xmlns:a16="http://schemas.microsoft.com/office/drawing/2014/main" id="{2D922D99-3B05-409F-8BA3-2A5832ACB5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2">
          <xdr14:nvContentPartPr>
            <xdr14:cNvPr id="443" name="Rukopis 442">
              <a:extLst>
                <a:ext uri="{FF2B5EF4-FFF2-40B4-BE49-F238E27FC236}">
                  <a16:creationId xmlns:a16="http://schemas.microsoft.com/office/drawing/2014/main" id="{3A0A9207-2F1C-460D-AE33-A3EAA4A4B7B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3">
          <xdr14:nvContentPartPr>
            <xdr14:cNvPr id="444" name="Rukopis 443">
              <a:extLst>
                <a:ext uri="{FF2B5EF4-FFF2-40B4-BE49-F238E27FC236}">
                  <a16:creationId xmlns:a16="http://schemas.microsoft.com/office/drawing/2014/main" id="{B1D1563C-58F0-4618-BB43-1147586319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4">
          <xdr14:nvContentPartPr>
            <xdr14:cNvPr id="445" name="Rukopis 444">
              <a:extLst>
                <a:ext uri="{FF2B5EF4-FFF2-40B4-BE49-F238E27FC236}">
                  <a16:creationId xmlns:a16="http://schemas.microsoft.com/office/drawing/2014/main" id="{E7371D28-62C5-46E3-9AF2-88B03CBAB66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5">
          <xdr14:nvContentPartPr>
            <xdr14:cNvPr id="446" name="Rukopis 445">
              <a:extLst>
                <a:ext uri="{FF2B5EF4-FFF2-40B4-BE49-F238E27FC236}">
                  <a16:creationId xmlns:a16="http://schemas.microsoft.com/office/drawing/2014/main" id="{B285BC52-5724-4B77-A218-B589EE3D6D6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6">
          <xdr14:nvContentPartPr>
            <xdr14:cNvPr id="447" name="Rukopis 446">
              <a:extLst>
                <a:ext uri="{FF2B5EF4-FFF2-40B4-BE49-F238E27FC236}">
                  <a16:creationId xmlns:a16="http://schemas.microsoft.com/office/drawing/2014/main" id="{CC290A1A-716D-4CF6-9B42-D0E2282EC6F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7">
          <xdr14:nvContentPartPr>
            <xdr14:cNvPr id="448" name="Rukopis 447">
              <a:extLst>
                <a:ext uri="{FF2B5EF4-FFF2-40B4-BE49-F238E27FC236}">
                  <a16:creationId xmlns:a16="http://schemas.microsoft.com/office/drawing/2014/main" id="{D47DB3EA-F417-4785-A327-953CB13CA7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8">
          <xdr14:nvContentPartPr>
            <xdr14:cNvPr id="449" name="Rukopis 448">
              <a:extLst>
                <a:ext uri="{FF2B5EF4-FFF2-40B4-BE49-F238E27FC236}">
                  <a16:creationId xmlns:a16="http://schemas.microsoft.com/office/drawing/2014/main" id="{AB7E0659-4673-4A4B-B976-02819FD4C84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9">
          <xdr14:nvContentPartPr>
            <xdr14:cNvPr id="450" name="Rukopis 449">
              <a:extLst>
                <a:ext uri="{FF2B5EF4-FFF2-40B4-BE49-F238E27FC236}">
                  <a16:creationId xmlns:a16="http://schemas.microsoft.com/office/drawing/2014/main" id="{604F9037-9D75-487A-9CCC-A2B7C395494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0">
          <xdr14:nvContentPartPr>
            <xdr14:cNvPr id="451" name="Rukopis 450">
              <a:extLst>
                <a:ext uri="{FF2B5EF4-FFF2-40B4-BE49-F238E27FC236}">
                  <a16:creationId xmlns:a16="http://schemas.microsoft.com/office/drawing/2014/main" id="{B40F378B-FAAC-4D05-869F-4418239EAC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1">
          <xdr14:nvContentPartPr>
            <xdr14:cNvPr id="452" name="Rukopis 451">
              <a:extLst>
                <a:ext uri="{FF2B5EF4-FFF2-40B4-BE49-F238E27FC236}">
                  <a16:creationId xmlns:a16="http://schemas.microsoft.com/office/drawing/2014/main" id="{6B2A52C7-773D-4111-9457-852227A2637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2">
          <xdr14:nvContentPartPr>
            <xdr14:cNvPr id="453" name="Rukopis 452">
              <a:extLst>
                <a:ext uri="{FF2B5EF4-FFF2-40B4-BE49-F238E27FC236}">
                  <a16:creationId xmlns:a16="http://schemas.microsoft.com/office/drawing/2014/main" id="{DC01EBE6-0EC1-412F-8B43-BDBD5E56C7B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3">
          <xdr14:nvContentPartPr>
            <xdr14:cNvPr id="454" name="Rukopis 453">
              <a:extLst>
                <a:ext uri="{FF2B5EF4-FFF2-40B4-BE49-F238E27FC236}">
                  <a16:creationId xmlns:a16="http://schemas.microsoft.com/office/drawing/2014/main" id="{70613BB8-4CF2-4FAB-AE87-EFDFB430DAE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4">
          <xdr14:nvContentPartPr>
            <xdr14:cNvPr id="455" name="Rukopis 454">
              <a:extLst>
                <a:ext uri="{FF2B5EF4-FFF2-40B4-BE49-F238E27FC236}">
                  <a16:creationId xmlns:a16="http://schemas.microsoft.com/office/drawing/2014/main" id="{9312F82E-6C46-4AB6-85E1-9C5CD04379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5">
          <xdr14:nvContentPartPr>
            <xdr14:cNvPr id="456" name="Rukopis 455">
              <a:extLst>
                <a:ext uri="{FF2B5EF4-FFF2-40B4-BE49-F238E27FC236}">
                  <a16:creationId xmlns:a16="http://schemas.microsoft.com/office/drawing/2014/main" id="{0F8B5B84-4172-4124-BB52-081CCE4843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6">
          <xdr14:nvContentPartPr>
            <xdr14:cNvPr id="457" name="Rukopis 456">
              <a:extLst>
                <a:ext uri="{FF2B5EF4-FFF2-40B4-BE49-F238E27FC236}">
                  <a16:creationId xmlns:a16="http://schemas.microsoft.com/office/drawing/2014/main" id="{F4F7B002-B692-4664-9C63-ADF80C12BFF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7">
          <xdr14:nvContentPartPr>
            <xdr14:cNvPr id="458" name="Rukopis 457">
              <a:extLst>
                <a:ext uri="{FF2B5EF4-FFF2-40B4-BE49-F238E27FC236}">
                  <a16:creationId xmlns:a16="http://schemas.microsoft.com/office/drawing/2014/main" id="{C25A1017-AF73-4AEB-800D-8A683C831D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8">
          <xdr14:nvContentPartPr>
            <xdr14:cNvPr id="459" name="Rukopis 458">
              <a:extLst>
                <a:ext uri="{FF2B5EF4-FFF2-40B4-BE49-F238E27FC236}">
                  <a16:creationId xmlns:a16="http://schemas.microsoft.com/office/drawing/2014/main" id="{D7A316D3-AB59-4FA7-8560-AB0039BA11B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9">
          <xdr14:nvContentPartPr>
            <xdr14:cNvPr id="460" name="Rukopis 459">
              <a:extLst>
                <a:ext uri="{FF2B5EF4-FFF2-40B4-BE49-F238E27FC236}">
                  <a16:creationId xmlns:a16="http://schemas.microsoft.com/office/drawing/2014/main" id="{BBF905D5-B311-45D4-9E5B-28D8EDCE417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0">
          <xdr14:nvContentPartPr>
            <xdr14:cNvPr id="461" name="Rukopis 460">
              <a:extLst>
                <a:ext uri="{FF2B5EF4-FFF2-40B4-BE49-F238E27FC236}">
                  <a16:creationId xmlns:a16="http://schemas.microsoft.com/office/drawing/2014/main" id="{97C4B5D3-F9D9-4978-BBC6-FD1B1A0AB54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1">
          <xdr14:nvContentPartPr>
            <xdr14:cNvPr id="462" name="Rukopis 461">
              <a:extLst>
                <a:ext uri="{FF2B5EF4-FFF2-40B4-BE49-F238E27FC236}">
                  <a16:creationId xmlns:a16="http://schemas.microsoft.com/office/drawing/2014/main" id="{26B799EE-07C6-4079-982B-35836B5E40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2">
          <xdr14:nvContentPartPr>
            <xdr14:cNvPr id="463" name="Rukopis 462">
              <a:extLst>
                <a:ext uri="{FF2B5EF4-FFF2-40B4-BE49-F238E27FC236}">
                  <a16:creationId xmlns:a16="http://schemas.microsoft.com/office/drawing/2014/main" id="{FC8CE481-ACDC-4F9C-9820-4786FA806BF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3">
          <xdr14:nvContentPartPr>
            <xdr14:cNvPr id="464" name="Rukopis 463">
              <a:extLst>
                <a:ext uri="{FF2B5EF4-FFF2-40B4-BE49-F238E27FC236}">
                  <a16:creationId xmlns:a16="http://schemas.microsoft.com/office/drawing/2014/main" id="{32029550-CADD-4500-908A-9D0F7BF5D0E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4">
          <xdr14:nvContentPartPr>
            <xdr14:cNvPr id="465" name="Rukopis 464">
              <a:extLst>
                <a:ext uri="{FF2B5EF4-FFF2-40B4-BE49-F238E27FC236}">
                  <a16:creationId xmlns:a16="http://schemas.microsoft.com/office/drawing/2014/main" id="{7E67EF77-D14D-408A-BC18-644A963E8F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5">
          <xdr14:nvContentPartPr>
            <xdr14:cNvPr id="466" name="Rukopis 465">
              <a:extLst>
                <a:ext uri="{FF2B5EF4-FFF2-40B4-BE49-F238E27FC236}">
                  <a16:creationId xmlns:a16="http://schemas.microsoft.com/office/drawing/2014/main" id="{838385CF-FA7A-4F3F-B0AD-6FD2A5622FA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6">
          <xdr14:nvContentPartPr>
            <xdr14:cNvPr id="467" name="Rukopis 466">
              <a:extLst>
                <a:ext uri="{FF2B5EF4-FFF2-40B4-BE49-F238E27FC236}">
                  <a16:creationId xmlns:a16="http://schemas.microsoft.com/office/drawing/2014/main" id="{8E5D18F2-9F87-4A7F-A827-889141CB146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7">
          <xdr14:nvContentPartPr>
            <xdr14:cNvPr id="468" name="Rukopis 467">
              <a:extLst>
                <a:ext uri="{FF2B5EF4-FFF2-40B4-BE49-F238E27FC236}">
                  <a16:creationId xmlns:a16="http://schemas.microsoft.com/office/drawing/2014/main" id="{8E0C05FD-CB87-42AD-883E-8E015701529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8">
          <xdr14:nvContentPartPr>
            <xdr14:cNvPr id="469" name="Rukopis 468">
              <a:extLst>
                <a:ext uri="{FF2B5EF4-FFF2-40B4-BE49-F238E27FC236}">
                  <a16:creationId xmlns:a16="http://schemas.microsoft.com/office/drawing/2014/main" id="{24C90092-8DF1-4DFB-A20A-401A1B4EA0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9">
          <xdr14:nvContentPartPr>
            <xdr14:cNvPr id="470" name="Rukopis 469">
              <a:extLst>
                <a:ext uri="{FF2B5EF4-FFF2-40B4-BE49-F238E27FC236}">
                  <a16:creationId xmlns:a16="http://schemas.microsoft.com/office/drawing/2014/main" id="{8BF49A6C-B327-4908-9CD1-CCC3ED8AA74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0">
          <xdr14:nvContentPartPr>
            <xdr14:cNvPr id="471" name="Rukopis 470">
              <a:extLst>
                <a:ext uri="{FF2B5EF4-FFF2-40B4-BE49-F238E27FC236}">
                  <a16:creationId xmlns:a16="http://schemas.microsoft.com/office/drawing/2014/main" id="{969B7915-82CA-42E3-8503-74D8885612A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1">
          <xdr14:nvContentPartPr>
            <xdr14:cNvPr id="472" name="Rukopis 471">
              <a:extLst>
                <a:ext uri="{FF2B5EF4-FFF2-40B4-BE49-F238E27FC236}">
                  <a16:creationId xmlns:a16="http://schemas.microsoft.com/office/drawing/2014/main" id="{8107EA26-17FE-4DC5-B80E-14121250C84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2">
          <xdr14:nvContentPartPr>
            <xdr14:cNvPr id="473" name="Rukopis 472">
              <a:extLst>
                <a:ext uri="{FF2B5EF4-FFF2-40B4-BE49-F238E27FC236}">
                  <a16:creationId xmlns:a16="http://schemas.microsoft.com/office/drawing/2014/main" id="{F9557A8D-4C74-402D-B8C1-F3A2976B31D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3">
          <xdr14:nvContentPartPr>
            <xdr14:cNvPr id="474" name="Rukopis 473">
              <a:extLst>
                <a:ext uri="{FF2B5EF4-FFF2-40B4-BE49-F238E27FC236}">
                  <a16:creationId xmlns:a16="http://schemas.microsoft.com/office/drawing/2014/main" id="{92074331-3CA1-4122-9B8A-949E31D0F0D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4">
          <xdr14:nvContentPartPr>
            <xdr14:cNvPr id="475" name="Rukopis 474">
              <a:extLst>
                <a:ext uri="{FF2B5EF4-FFF2-40B4-BE49-F238E27FC236}">
                  <a16:creationId xmlns:a16="http://schemas.microsoft.com/office/drawing/2014/main" id="{DB68C79A-CA2C-4AED-96B6-560BE6290A1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5">
          <xdr14:nvContentPartPr>
            <xdr14:cNvPr id="476" name="Rukopis 475">
              <a:extLst>
                <a:ext uri="{FF2B5EF4-FFF2-40B4-BE49-F238E27FC236}">
                  <a16:creationId xmlns:a16="http://schemas.microsoft.com/office/drawing/2014/main" id="{6482EA5B-462C-452B-96E2-AA71DE1D2E1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6">
          <xdr14:nvContentPartPr>
            <xdr14:cNvPr id="477" name="Rukopis 476">
              <a:extLst>
                <a:ext uri="{FF2B5EF4-FFF2-40B4-BE49-F238E27FC236}">
                  <a16:creationId xmlns:a16="http://schemas.microsoft.com/office/drawing/2014/main" id="{DD0711F4-3FFA-4A70-8C1A-BE2A4E78935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7">
          <xdr14:nvContentPartPr>
            <xdr14:cNvPr id="478" name="Rukopis 477">
              <a:extLst>
                <a:ext uri="{FF2B5EF4-FFF2-40B4-BE49-F238E27FC236}">
                  <a16:creationId xmlns:a16="http://schemas.microsoft.com/office/drawing/2014/main" id="{99315CBD-88C9-42AD-8D0E-9CC68511B06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8">
          <xdr14:nvContentPartPr>
            <xdr14:cNvPr id="479" name="Rukopis 478">
              <a:extLst>
                <a:ext uri="{FF2B5EF4-FFF2-40B4-BE49-F238E27FC236}">
                  <a16:creationId xmlns:a16="http://schemas.microsoft.com/office/drawing/2014/main" id="{A0AF73B8-2E18-4B74-819F-45ADBCD4CAA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9">
          <xdr14:nvContentPartPr>
            <xdr14:cNvPr id="480" name="Rukopis 479">
              <a:extLst>
                <a:ext uri="{FF2B5EF4-FFF2-40B4-BE49-F238E27FC236}">
                  <a16:creationId xmlns:a16="http://schemas.microsoft.com/office/drawing/2014/main" id="{F49A1892-6C10-4518-8084-A32CB4D3252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0">
          <xdr14:nvContentPartPr>
            <xdr14:cNvPr id="481" name="Rukopis 480">
              <a:extLst>
                <a:ext uri="{FF2B5EF4-FFF2-40B4-BE49-F238E27FC236}">
                  <a16:creationId xmlns:a16="http://schemas.microsoft.com/office/drawing/2014/main" id="{E0DE0967-2A05-460A-87CF-16576E9C7B8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1">
          <xdr14:nvContentPartPr>
            <xdr14:cNvPr id="482" name="Rukopis 481">
              <a:extLst>
                <a:ext uri="{FF2B5EF4-FFF2-40B4-BE49-F238E27FC236}">
                  <a16:creationId xmlns:a16="http://schemas.microsoft.com/office/drawing/2014/main" id="{CA71CC2C-06F5-405F-9940-D8A17513C33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2">
          <xdr14:nvContentPartPr>
            <xdr14:cNvPr id="483" name="Rukopis 482">
              <a:extLst>
                <a:ext uri="{FF2B5EF4-FFF2-40B4-BE49-F238E27FC236}">
                  <a16:creationId xmlns:a16="http://schemas.microsoft.com/office/drawing/2014/main" id="{FE6E806B-3289-48CD-8AB6-43DC85A9676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3">
          <xdr14:nvContentPartPr>
            <xdr14:cNvPr id="484" name="Rukopis 483">
              <a:extLst>
                <a:ext uri="{FF2B5EF4-FFF2-40B4-BE49-F238E27FC236}">
                  <a16:creationId xmlns:a16="http://schemas.microsoft.com/office/drawing/2014/main" id="{D84BAABD-4EDA-4808-BA5F-9FF15C8334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4">
          <xdr14:nvContentPartPr>
            <xdr14:cNvPr id="485" name="Rukopis 484">
              <a:extLst>
                <a:ext uri="{FF2B5EF4-FFF2-40B4-BE49-F238E27FC236}">
                  <a16:creationId xmlns:a16="http://schemas.microsoft.com/office/drawing/2014/main" id="{E95C7EDA-0744-4F04-A509-946E304C0C1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5">
          <xdr14:nvContentPartPr>
            <xdr14:cNvPr id="486" name="Rukopis 485">
              <a:extLst>
                <a:ext uri="{FF2B5EF4-FFF2-40B4-BE49-F238E27FC236}">
                  <a16:creationId xmlns:a16="http://schemas.microsoft.com/office/drawing/2014/main" id="{199F31F6-3B3B-42DD-B167-6CB5613E6EC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6">
          <xdr14:nvContentPartPr>
            <xdr14:cNvPr id="487" name="Rukopis 486">
              <a:extLst>
                <a:ext uri="{FF2B5EF4-FFF2-40B4-BE49-F238E27FC236}">
                  <a16:creationId xmlns:a16="http://schemas.microsoft.com/office/drawing/2014/main" id="{F4514F39-D5F2-4F51-B47B-6DDCE1EB97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7">
          <xdr14:nvContentPartPr>
            <xdr14:cNvPr id="488" name="Rukopis 487">
              <a:extLst>
                <a:ext uri="{FF2B5EF4-FFF2-40B4-BE49-F238E27FC236}">
                  <a16:creationId xmlns:a16="http://schemas.microsoft.com/office/drawing/2014/main" id="{659EE71B-22BB-4232-A035-A5026B954F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8">
          <xdr14:nvContentPartPr>
            <xdr14:cNvPr id="489" name="Rukopis 488">
              <a:extLst>
                <a:ext uri="{FF2B5EF4-FFF2-40B4-BE49-F238E27FC236}">
                  <a16:creationId xmlns:a16="http://schemas.microsoft.com/office/drawing/2014/main" id="{C4DCDBA4-F805-4BBD-A9A2-7056E133C0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9">
          <xdr14:nvContentPartPr>
            <xdr14:cNvPr id="490" name="Rukopis 489">
              <a:extLst>
                <a:ext uri="{FF2B5EF4-FFF2-40B4-BE49-F238E27FC236}">
                  <a16:creationId xmlns:a16="http://schemas.microsoft.com/office/drawing/2014/main" id="{1860E8B1-52D9-4381-960D-4002349ECF0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0">
          <xdr14:nvContentPartPr>
            <xdr14:cNvPr id="491" name="Rukopis 490">
              <a:extLst>
                <a:ext uri="{FF2B5EF4-FFF2-40B4-BE49-F238E27FC236}">
                  <a16:creationId xmlns:a16="http://schemas.microsoft.com/office/drawing/2014/main" id="{7905D6BC-C2C8-4047-88B5-51194015CFC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1">
          <xdr14:nvContentPartPr>
            <xdr14:cNvPr id="492" name="Rukopis 491">
              <a:extLst>
                <a:ext uri="{FF2B5EF4-FFF2-40B4-BE49-F238E27FC236}">
                  <a16:creationId xmlns:a16="http://schemas.microsoft.com/office/drawing/2014/main" id="{97D91F0E-5A40-46F2-B694-484B714F845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2">
          <xdr14:nvContentPartPr>
            <xdr14:cNvPr id="493" name="Rukopis 492">
              <a:extLst>
                <a:ext uri="{FF2B5EF4-FFF2-40B4-BE49-F238E27FC236}">
                  <a16:creationId xmlns:a16="http://schemas.microsoft.com/office/drawing/2014/main" id="{186CD9B4-C750-4A6C-94FD-5273D5B52F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3">
          <xdr14:nvContentPartPr>
            <xdr14:cNvPr id="494" name="Rukopis 493">
              <a:extLst>
                <a:ext uri="{FF2B5EF4-FFF2-40B4-BE49-F238E27FC236}">
                  <a16:creationId xmlns:a16="http://schemas.microsoft.com/office/drawing/2014/main" id="{22DCB82F-4DD7-4CB7-91C6-0A23322149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4">
          <xdr14:nvContentPartPr>
            <xdr14:cNvPr id="495" name="Rukopis 494">
              <a:extLst>
                <a:ext uri="{FF2B5EF4-FFF2-40B4-BE49-F238E27FC236}">
                  <a16:creationId xmlns:a16="http://schemas.microsoft.com/office/drawing/2014/main" id="{F925FCF3-6298-45C4-8E4A-2B8283E36CE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5">
          <xdr14:nvContentPartPr>
            <xdr14:cNvPr id="496" name="Rukopis 495">
              <a:extLst>
                <a:ext uri="{FF2B5EF4-FFF2-40B4-BE49-F238E27FC236}">
                  <a16:creationId xmlns:a16="http://schemas.microsoft.com/office/drawing/2014/main" id="{25E8C8C2-A73A-4673-958F-E49A0645920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6">
          <xdr14:nvContentPartPr>
            <xdr14:cNvPr id="497" name="Rukopis 496">
              <a:extLst>
                <a:ext uri="{FF2B5EF4-FFF2-40B4-BE49-F238E27FC236}">
                  <a16:creationId xmlns:a16="http://schemas.microsoft.com/office/drawing/2014/main" id="{33CD50F7-A066-4D24-96BD-F30BAFA99D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7">
          <xdr14:nvContentPartPr>
            <xdr14:cNvPr id="498" name="Rukopis 497">
              <a:extLst>
                <a:ext uri="{FF2B5EF4-FFF2-40B4-BE49-F238E27FC236}">
                  <a16:creationId xmlns:a16="http://schemas.microsoft.com/office/drawing/2014/main" id="{0ED6E462-499B-46BF-8571-2968D34DA97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8">
          <xdr14:nvContentPartPr>
            <xdr14:cNvPr id="499" name="Rukopis 498">
              <a:extLst>
                <a:ext uri="{FF2B5EF4-FFF2-40B4-BE49-F238E27FC236}">
                  <a16:creationId xmlns:a16="http://schemas.microsoft.com/office/drawing/2014/main" id="{A22D704E-A9DC-41FC-BE6F-B69F20FC41B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9">
          <xdr14:nvContentPartPr>
            <xdr14:cNvPr id="500" name="Rukopis 499">
              <a:extLst>
                <a:ext uri="{FF2B5EF4-FFF2-40B4-BE49-F238E27FC236}">
                  <a16:creationId xmlns:a16="http://schemas.microsoft.com/office/drawing/2014/main" id="{739B6044-D972-430C-92C2-98B31C67BEB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0">
          <xdr14:nvContentPartPr>
            <xdr14:cNvPr id="501" name="Rukopis 500">
              <a:extLst>
                <a:ext uri="{FF2B5EF4-FFF2-40B4-BE49-F238E27FC236}">
                  <a16:creationId xmlns:a16="http://schemas.microsoft.com/office/drawing/2014/main" id="{49633421-C5F5-46DC-9F00-BBAE63F4B32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1">
          <xdr14:nvContentPartPr>
            <xdr14:cNvPr id="502" name="Rukopis 501">
              <a:extLst>
                <a:ext uri="{FF2B5EF4-FFF2-40B4-BE49-F238E27FC236}">
                  <a16:creationId xmlns:a16="http://schemas.microsoft.com/office/drawing/2014/main" id="{3A08DAE1-B5AB-4750-BB48-353698EE9BC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2">
          <xdr14:nvContentPartPr>
            <xdr14:cNvPr id="503" name="Rukopis 502">
              <a:extLst>
                <a:ext uri="{FF2B5EF4-FFF2-40B4-BE49-F238E27FC236}">
                  <a16:creationId xmlns:a16="http://schemas.microsoft.com/office/drawing/2014/main" id="{5DA1AAED-7205-4A49-8C3B-9187A37E4F9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3">
          <xdr14:nvContentPartPr>
            <xdr14:cNvPr id="504" name="Rukopis 503">
              <a:extLst>
                <a:ext uri="{FF2B5EF4-FFF2-40B4-BE49-F238E27FC236}">
                  <a16:creationId xmlns:a16="http://schemas.microsoft.com/office/drawing/2014/main" id="{AAAC9197-DB2C-4667-8FD1-815069C93FF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4">
          <xdr14:nvContentPartPr>
            <xdr14:cNvPr id="505" name="Rukopis 504">
              <a:extLst>
                <a:ext uri="{FF2B5EF4-FFF2-40B4-BE49-F238E27FC236}">
                  <a16:creationId xmlns:a16="http://schemas.microsoft.com/office/drawing/2014/main" id="{E7E2C33B-6DA0-4AE6-91E7-5F32C64A4A8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5">
          <xdr14:nvContentPartPr>
            <xdr14:cNvPr id="506" name="Rukopis 505">
              <a:extLst>
                <a:ext uri="{FF2B5EF4-FFF2-40B4-BE49-F238E27FC236}">
                  <a16:creationId xmlns:a16="http://schemas.microsoft.com/office/drawing/2014/main" id="{6EC98018-E7E3-43B5-9B07-B4D7F17EB29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6">
          <xdr14:nvContentPartPr>
            <xdr14:cNvPr id="507" name="Rukopis 506">
              <a:extLst>
                <a:ext uri="{FF2B5EF4-FFF2-40B4-BE49-F238E27FC236}">
                  <a16:creationId xmlns:a16="http://schemas.microsoft.com/office/drawing/2014/main" id="{74BB9DA4-1DFD-4A53-8A60-9689C9BD69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7">
          <xdr14:nvContentPartPr>
            <xdr14:cNvPr id="508" name="Rukopis 507">
              <a:extLst>
                <a:ext uri="{FF2B5EF4-FFF2-40B4-BE49-F238E27FC236}">
                  <a16:creationId xmlns:a16="http://schemas.microsoft.com/office/drawing/2014/main" id="{D7888E5A-1341-45FB-B7DA-3486A9A5616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8">
          <xdr14:nvContentPartPr>
            <xdr14:cNvPr id="509" name="Rukopis 508">
              <a:extLst>
                <a:ext uri="{FF2B5EF4-FFF2-40B4-BE49-F238E27FC236}">
                  <a16:creationId xmlns:a16="http://schemas.microsoft.com/office/drawing/2014/main" id="{756141A4-60E8-4117-BE06-1CBD25B7C1F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9">
          <xdr14:nvContentPartPr>
            <xdr14:cNvPr id="510" name="Rukopis 509">
              <a:extLst>
                <a:ext uri="{FF2B5EF4-FFF2-40B4-BE49-F238E27FC236}">
                  <a16:creationId xmlns:a16="http://schemas.microsoft.com/office/drawing/2014/main" id="{C5DB1D07-2974-4AC8-BD06-0356164801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0">
          <xdr14:nvContentPartPr>
            <xdr14:cNvPr id="511" name="Rukopis 510">
              <a:extLst>
                <a:ext uri="{FF2B5EF4-FFF2-40B4-BE49-F238E27FC236}">
                  <a16:creationId xmlns:a16="http://schemas.microsoft.com/office/drawing/2014/main" id="{30C9F707-F17E-46D3-A044-935F0A04D5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1">
          <xdr14:nvContentPartPr>
            <xdr14:cNvPr id="512" name="Rukopis 511">
              <a:extLst>
                <a:ext uri="{FF2B5EF4-FFF2-40B4-BE49-F238E27FC236}">
                  <a16:creationId xmlns:a16="http://schemas.microsoft.com/office/drawing/2014/main" id="{044F7900-3E19-412A-A1A0-B0E458B629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2">
          <xdr14:nvContentPartPr>
            <xdr14:cNvPr id="513" name="Rukopis 512">
              <a:extLst>
                <a:ext uri="{FF2B5EF4-FFF2-40B4-BE49-F238E27FC236}">
                  <a16:creationId xmlns:a16="http://schemas.microsoft.com/office/drawing/2014/main" id="{20B4A8A2-30F6-4CD4-9E8D-2BD5D06E525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3">
          <xdr14:nvContentPartPr>
            <xdr14:cNvPr id="514" name="Rukopis 513">
              <a:extLst>
                <a:ext uri="{FF2B5EF4-FFF2-40B4-BE49-F238E27FC236}">
                  <a16:creationId xmlns:a16="http://schemas.microsoft.com/office/drawing/2014/main" id="{64DDCA14-822A-4292-947A-669224F5E4C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91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4">
          <xdr14:nvContentPartPr>
            <xdr14:cNvPr id="515" name="Rukopis 514">
              <a:extLst>
                <a:ext uri="{FF2B5EF4-FFF2-40B4-BE49-F238E27FC236}">
                  <a16:creationId xmlns:a16="http://schemas.microsoft.com/office/drawing/2014/main" id="{45B3DDB4-60A0-451B-B812-6F8E6B4FF3C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5">
          <xdr14:nvContentPartPr>
            <xdr14:cNvPr id="516" name="Rukopis 515">
              <a:extLst>
                <a:ext uri="{FF2B5EF4-FFF2-40B4-BE49-F238E27FC236}">
                  <a16:creationId xmlns:a16="http://schemas.microsoft.com/office/drawing/2014/main" id="{711770C6-CD0B-45E0-B5CF-C813EB6F81C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54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6">
          <xdr14:nvContentPartPr>
            <xdr14:cNvPr id="517" name="Rukopis 516">
              <a:extLst>
                <a:ext uri="{FF2B5EF4-FFF2-40B4-BE49-F238E27FC236}">
                  <a16:creationId xmlns:a16="http://schemas.microsoft.com/office/drawing/2014/main" id="{0EC1BD29-7BE3-4F83-A641-95D4FF899B2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7">
          <xdr14:nvContentPartPr>
            <xdr14:cNvPr id="518" name="Rukopis 517">
              <a:extLst>
                <a:ext uri="{FF2B5EF4-FFF2-40B4-BE49-F238E27FC236}">
                  <a16:creationId xmlns:a16="http://schemas.microsoft.com/office/drawing/2014/main" id="{556F355C-FAAF-45C6-984E-DBC5CE1A9B5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8">
          <xdr14:nvContentPartPr>
            <xdr14:cNvPr id="519" name="Rukopis 518">
              <a:extLst>
                <a:ext uri="{FF2B5EF4-FFF2-40B4-BE49-F238E27FC236}">
                  <a16:creationId xmlns:a16="http://schemas.microsoft.com/office/drawing/2014/main" id="{B0FB387D-539E-47EE-8473-F7475B6114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9">
          <xdr14:nvContentPartPr>
            <xdr14:cNvPr id="520" name="Rukopis 519">
              <a:extLst>
                <a:ext uri="{FF2B5EF4-FFF2-40B4-BE49-F238E27FC236}">
                  <a16:creationId xmlns:a16="http://schemas.microsoft.com/office/drawing/2014/main" id="{B6074C8A-CACA-432F-9811-1B75EDA9530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0">
          <xdr14:nvContentPartPr>
            <xdr14:cNvPr id="521" name="Rukopis 520">
              <a:extLst>
                <a:ext uri="{FF2B5EF4-FFF2-40B4-BE49-F238E27FC236}">
                  <a16:creationId xmlns:a16="http://schemas.microsoft.com/office/drawing/2014/main" id="{0974DC22-FB7C-46E7-82FA-DEE8A525D34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1">
          <xdr14:nvContentPartPr>
            <xdr14:cNvPr id="522" name="Rukopis 521">
              <a:extLst>
                <a:ext uri="{FF2B5EF4-FFF2-40B4-BE49-F238E27FC236}">
                  <a16:creationId xmlns:a16="http://schemas.microsoft.com/office/drawing/2014/main" id="{81573B9B-7FBB-4C99-B53F-3F40301C092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2">
          <xdr14:nvContentPartPr>
            <xdr14:cNvPr id="523" name="Rukopis 522">
              <a:extLst>
                <a:ext uri="{FF2B5EF4-FFF2-40B4-BE49-F238E27FC236}">
                  <a16:creationId xmlns:a16="http://schemas.microsoft.com/office/drawing/2014/main" id="{ECC2BFBD-444D-48B0-A0E8-2AB42DE4A80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3">
          <xdr14:nvContentPartPr>
            <xdr14:cNvPr id="524" name="Rukopis 523">
              <a:extLst>
                <a:ext uri="{FF2B5EF4-FFF2-40B4-BE49-F238E27FC236}">
                  <a16:creationId xmlns:a16="http://schemas.microsoft.com/office/drawing/2014/main" id="{7F552A46-CB10-4274-85BB-092D1FF880D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4">
          <xdr14:nvContentPartPr>
            <xdr14:cNvPr id="525" name="Rukopis 524">
              <a:extLst>
                <a:ext uri="{FF2B5EF4-FFF2-40B4-BE49-F238E27FC236}">
                  <a16:creationId xmlns:a16="http://schemas.microsoft.com/office/drawing/2014/main" id="{C2F50437-75CA-4FA7-8F2C-DED4C0E54BE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5">
          <xdr14:nvContentPartPr>
            <xdr14:cNvPr id="526" name="Rukopis 525">
              <a:extLst>
                <a:ext uri="{FF2B5EF4-FFF2-40B4-BE49-F238E27FC236}">
                  <a16:creationId xmlns:a16="http://schemas.microsoft.com/office/drawing/2014/main" id="{25C26BEA-D733-4EA5-94FA-37099B87D4B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6">
          <xdr14:nvContentPartPr>
            <xdr14:cNvPr id="527" name="Rukopis 526">
              <a:extLst>
                <a:ext uri="{FF2B5EF4-FFF2-40B4-BE49-F238E27FC236}">
                  <a16:creationId xmlns:a16="http://schemas.microsoft.com/office/drawing/2014/main" id="{9E448A4A-696E-40D7-831B-743F76CF2C0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7">
          <xdr14:nvContentPartPr>
            <xdr14:cNvPr id="528" name="Rukopis 527">
              <a:extLst>
                <a:ext uri="{FF2B5EF4-FFF2-40B4-BE49-F238E27FC236}">
                  <a16:creationId xmlns:a16="http://schemas.microsoft.com/office/drawing/2014/main" id="{A6D5B4E6-AB3B-4808-AE0D-93BD11E2F55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8">
          <xdr14:nvContentPartPr>
            <xdr14:cNvPr id="529" name="Rukopis 528">
              <a:extLst>
                <a:ext uri="{FF2B5EF4-FFF2-40B4-BE49-F238E27FC236}">
                  <a16:creationId xmlns:a16="http://schemas.microsoft.com/office/drawing/2014/main" id="{E4672582-F541-4A3A-A8BF-85E1891C851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9">
          <xdr14:nvContentPartPr>
            <xdr14:cNvPr id="530" name="Rukopis 529">
              <a:extLst>
                <a:ext uri="{FF2B5EF4-FFF2-40B4-BE49-F238E27FC236}">
                  <a16:creationId xmlns:a16="http://schemas.microsoft.com/office/drawing/2014/main" id="{E23F19D5-8864-4032-B0E0-AE020B8397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0">
          <xdr14:nvContentPartPr>
            <xdr14:cNvPr id="531" name="Rukopis 530">
              <a:extLst>
                <a:ext uri="{FF2B5EF4-FFF2-40B4-BE49-F238E27FC236}">
                  <a16:creationId xmlns:a16="http://schemas.microsoft.com/office/drawing/2014/main" id="{735B51E6-D26E-4BD5-935D-83F7D0AB38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1">
          <xdr14:nvContentPartPr>
            <xdr14:cNvPr id="532" name="Rukopis 531">
              <a:extLst>
                <a:ext uri="{FF2B5EF4-FFF2-40B4-BE49-F238E27FC236}">
                  <a16:creationId xmlns:a16="http://schemas.microsoft.com/office/drawing/2014/main" id="{EF1022DC-39C8-4507-A8EB-B3DEA77DA5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2">
          <xdr14:nvContentPartPr>
            <xdr14:cNvPr id="533" name="Rukopis 532">
              <a:extLst>
                <a:ext uri="{FF2B5EF4-FFF2-40B4-BE49-F238E27FC236}">
                  <a16:creationId xmlns:a16="http://schemas.microsoft.com/office/drawing/2014/main" id="{EE354161-6D41-4F8F-9A42-901C0B4DC21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3">
          <xdr14:nvContentPartPr>
            <xdr14:cNvPr id="534" name="Rukopis 533">
              <a:extLst>
                <a:ext uri="{FF2B5EF4-FFF2-40B4-BE49-F238E27FC236}">
                  <a16:creationId xmlns:a16="http://schemas.microsoft.com/office/drawing/2014/main" id="{5A14D62D-D817-43A1-8DF2-0C5DFEA5F75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4">
          <xdr14:nvContentPartPr>
            <xdr14:cNvPr id="535" name="Rukopis 534">
              <a:extLst>
                <a:ext uri="{FF2B5EF4-FFF2-40B4-BE49-F238E27FC236}">
                  <a16:creationId xmlns:a16="http://schemas.microsoft.com/office/drawing/2014/main" id="{FD700000-264E-4FFA-B5B7-F169F5A993E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5">
          <xdr14:nvContentPartPr>
            <xdr14:cNvPr id="536" name="Rukopis 535">
              <a:extLst>
                <a:ext uri="{FF2B5EF4-FFF2-40B4-BE49-F238E27FC236}">
                  <a16:creationId xmlns:a16="http://schemas.microsoft.com/office/drawing/2014/main" id="{E2840512-BFAE-4417-A99D-A4B56076556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2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6">
          <xdr14:nvContentPartPr>
            <xdr14:cNvPr id="537" name="Rukopis 536">
              <a:extLst>
                <a:ext uri="{FF2B5EF4-FFF2-40B4-BE49-F238E27FC236}">
                  <a16:creationId xmlns:a16="http://schemas.microsoft.com/office/drawing/2014/main" id="{8225E052-27BC-4860-B283-556CE9CD9B9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7">
          <xdr14:nvContentPartPr>
            <xdr14:cNvPr id="538" name="Rukopis 537">
              <a:extLst>
                <a:ext uri="{FF2B5EF4-FFF2-40B4-BE49-F238E27FC236}">
                  <a16:creationId xmlns:a16="http://schemas.microsoft.com/office/drawing/2014/main" id="{5A389BDD-B678-47E4-B485-9FE6B7D80D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8">
          <xdr14:nvContentPartPr>
            <xdr14:cNvPr id="539" name="Rukopis 538">
              <a:extLst>
                <a:ext uri="{FF2B5EF4-FFF2-40B4-BE49-F238E27FC236}">
                  <a16:creationId xmlns:a16="http://schemas.microsoft.com/office/drawing/2014/main" id="{6AC3910E-6322-4A9F-8DA5-63FA0EAC7BE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9">
          <xdr14:nvContentPartPr>
            <xdr14:cNvPr id="540" name="Rukopis 539">
              <a:extLst>
                <a:ext uri="{FF2B5EF4-FFF2-40B4-BE49-F238E27FC236}">
                  <a16:creationId xmlns:a16="http://schemas.microsoft.com/office/drawing/2014/main" id="{3B99DBA1-E0C6-42CE-B889-EBA6BE569BD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0">
          <xdr14:nvContentPartPr>
            <xdr14:cNvPr id="541" name="Rukopis 540">
              <a:extLst>
                <a:ext uri="{FF2B5EF4-FFF2-40B4-BE49-F238E27FC236}">
                  <a16:creationId xmlns:a16="http://schemas.microsoft.com/office/drawing/2014/main" id="{BECAB8B1-8CDA-4497-83ED-49914CFE1E0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1">
          <xdr14:nvContentPartPr>
            <xdr14:cNvPr id="542" name="Rukopis 541">
              <a:extLst>
                <a:ext uri="{FF2B5EF4-FFF2-40B4-BE49-F238E27FC236}">
                  <a16:creationId xmlns:a16="http://schemas.microsoft.com/office/drawing/2014/main" id="{A1865A03-605C-4DAD-A7DF-6BA8ADFB3A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2">
          <xdr14:nvContentPartPr>
            <xdr14:cNvPr id="543" name="Rukopis 542">
              <a:extLst>
                <a:ext uri="{FF2B5EF4-FFF2-40B4-BE49-F238E27FC236}">
                  <a16:creationId xmlns:a16="http://schemas.microsoft.com/office/drawing/2014/main" id="{A528CDE9-10B7-42DB-AE47-12BAA1B6C5D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3">
          <xdr14:nvContentPartPr>
            <xdr14:cNvPr id="544" name="Rukopis 543">
              <a:extLst>
                <a:ext uri="{FF2B5EF4-FFF2-40B4-BE49-F238E27FC236}">
                  <a16:creationId xmlns:a16="http://schemas.microsoft.com/office/drawing/2014/main" id="{1A187D6E-4D2E-4F9A-B285-315A014DFE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4">
          <xdr14:nvContentPartPr>
            <xdr14:cNvPr id="545" name="Rukopis 544">
              <a:extLst>
                <a:ext uri="{FF2B5EF4-FFF2-40B4-BE49-F238E27FC236}">
                  <a16:creationId xmlns:a16="http://schemas.microsoft.com/office/drawing/2014/main" id="{80C8F776-79E7-4F89-8DD9-3FACB557AF0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5">
          <xdr14:nvContentPartPr>
            <xdr14:cNvPr id="546" name="Rukopis 545">
              <a:extLst>
                <a:ext uri="{FF2B5EF4-FFF2-40B4-BE49-F238E27FC236}">
                  <a16:creationId xmlns:a16="http://schemas.microsoft.com/office/drawing/2014/main" id="{A8532B4C-5468-43D3-9FAD-B1F84899671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6">
          <xdr14:nvContentPartPr>
            <xdr14:cNvPr id="547" name="Rukopis 546">
              <a:extLst>
                <a:ext uri="{FF2B5EF4-FFF2-40B4-BE49-F238E27FC236}">
                  <a16:creationId xmlns:a16="http://schemas.microsoft.com/office/drawing/2014/main" id="{6807D495-998D-4F1F-B1EF-6CC9D56B45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7">
          <xdr14:nvContentPartPr>
            <xdr14:cNvPr id="548" name="Rukopis 547">
              <a:extLst>
                <a:ext uri="{FF2B5EF4-FFF2-40B4-BE49-F238E27FC236}">
                  <a16:creationId xmlns:a16="http://schemas.microsoft.com/office/drawing/2014/main" id="{1A4F5280-2BB6-4422-9236-F592D0C7AF6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8">
          <xdr14:nvContentPartPr>
            <xdr14:cNvPr id="549" name="Rukopis 548">
              <a:extLst>
                <a:ext uri="{FF2B5EF4-FFF2-40B4-BE49-F238E27FC236}">
                  <a16:creationId xmlns:a16="http://schemas.microsoft.com/office/drawing/2014/main" id="{CB65B781-15E5-4199-A209-76B43C7D90B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9">
          <xdr14:nvContentPartPr>
            <xdr14:cNvPr id="550" name="Rukopis 549">
              <a:extLst>
                <a:ext uri="{FF2B5EF4-FFF2-40B4-BE49-F238E27FC236}">
                  <a16:creationId xmlns:a16="http://schemas.microsoft.com/office/drawing/2014/main" id="{983E6BE7-22A6-4FDE-808B-DFB5A9C3B27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0">
          <xdr14:nvContentPartPr>
            <xdr14:cNvPr id="551" name="Rukopis 550">
              <a:extLst>
                <a:ext uri="{FF2B5EF4-FFF2-40B4-BE49-F238E27FC236}">
                  <a16:creationId xmlns:a16="http://schemas.microsoft.com/office/drawing/2014/main" id="{780F03A6-EC4C-4724-9FA9-AF5018A533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1">
          <xdr14:nvContentPartPr>
            <xdr14:cNvPr id="552" name="Rukopis 551">
              <a:extLst>
                <a:ext uri="{FF2B5EF4-FFF2-40B4-BE49-F238E27FC236}">
                  <a16:creationId xmlns:a16="http://schemas.microsoft.com/office/drawing/2014/main" id="{CC339C10-0C5F-49EB-8D8B-6800777F308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2">
          <xdr14:nvContentPartPr>
            <xdr14:cNvPr id="553" name="Rukopis 552">
              <a:extLst>
                <a:ext uri="{FF2B5EF4-FFF2-40B4-BE49-F238E27FC236}">
                  <a16:creationId xmlns:a16="http://schemas.microsoft.com/office/drawing/2014/main" id="{07C2B768-E364-473A-84D7-F428DDE477F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3">
          <xdr14:nvContentPartPr>
            <xdr14:cNvPr id="554" name="Rukopis 553">
              <a:extLst>
                <a:ext uri="{FF2B5EF4-FFF2-40B4-BE49-F238E27FC236}">
                  <a16:creationId xmlns:a16="http://schemas.microsoft.com/office/drawing/2014/main" id="{0B6EB527-4E41-4D35-8AD2-647AAE1508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4">
          <xdr14:nvContentPartPr>
            <xdr14:cNvPr id="555" name="Rukopis 554">
              <a:extLst>
                <a:ext uri="{FF2B5EF4-FFF2-40B4-BE49-F238E27FC236}">
                  <a16:creationId xmlns:a16="http://schemas.microsoft.com/office/drawing/2014/main" id="{5C4A2588-26D5-4A21-BD05-25B54E3B33E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5">
          <xdr14:nvContentPartPr>
            <xdr14:cNvPr id="556" name="Rukopis 555">
              <a:extLst>
                <a:ext uri="{FF2B5EF4-FFF2-40B4-BE49-F238E27FC236}">
                  <a16:creationId xmlns:a16="http://schemas.microsoft.com/office/drawing/2014/main" id="{49E1DC2C-0A2B-42F7-BBA6-9189CCBC162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6">
          <xdr14:nvContentPartPr>
            <xdr14:cNvPr id="557" name="Rukopis 556">
              <a:extLst>
                <a:ext uri="{FF2B5EF4-FFF2-40B4-BE49-F238E27FC236}">
                  <a16:creationId xmlns:a16="http://schemas.microsoft.com/office/drawing/2014/main" id="{D3EAFEF6-D788-4DE1-BA6B-FEA75C0E209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7">
          <xdr14:nvContentPartPr>
            <xdr14:cNvPr id="558" name="Rukopis 557">
              <a:extLst>
                <a:ext uri="{FF2B5EF4-FFF2-40B4-BE49-F238E27FC236}">
                  <a16:creationId xmlns:a16="http://schemas.microsoft.com/office/drawing/2014/main" id="{310081CD-D9B7-4FAD-8F8B-FCFDB18E768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8">
          <xdr14:nvContentPartPr>
            <xdr14:cNvPr id="559" name="Rukopis 558">
              <a:extLst>
                <a:ext uri="{FF2B5EF4-FFF2-40B4-BE49-F238E27FC236}">
                  <a16:creationId xmlns:a16="http://schemas.microsoft.com/office/drawing/2014/main" id="{FB0CB91A-5ED8-4BCD-AD61-90197F8E8A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9">
          <xdr14:nvContentPartPr>
            <xdr14:cNvPr id="560" name="Rukopis 559">
              <a:extLst>
                <a:ext uri="{FF2B5EF4-FFF2-40B4-BE49-F238E27FC236}">
                  <a16:creationId xmlns:a16="http://schemas.microsoft.com/office/drawing/2014/main" id="{8E749230-BD89-4EEC-B359-4C62849A4C4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0">
          <xdr14:nvContentPartPr>
            <xdr14:cNvPr id="561" name="Rukopis 560">
              <a:extLst>
                <a:ext uri="{FF2B5EF4-FFF2-40B4-BE49-F238E27FC236}">
                  <a16:creationId xmlns:a16="http://schemas.microsoft.com/office/drawing/2014/main" id="{E9674AEA-1034-4F5C-87B0-665353E0F5E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1">
          <xdr14:nvContentPartPr>
            <xdr14:cNvPr id="562" name="Rukopis 561">
              <a:extLst>
                <a:ext uri="{FF2B5EF4-FFF2-40B4-BE49-F238E27FC236}">
                  <a16:creationId xmlns:a16="http://schemas.microsoft.com/office/drawing/2014/main" id="{0BEEF80A-CFFE-4D33-9D47-7693B2A0FD9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2">
          <xdr14:nvContentPartPr>
            <xdr14:cNvPr id="563" name="Rukopis 562">
              <a:extLst>
                <a:ext uri="{FF2B5EF4-FFF2-40B4-BE49-F238E27FC236}">
                  <a16:creationId xmlns:a16="http://schemas.microsoft.com/office/drawing/2014/main" id="{F0B8032A-8F6F-4CB6-8200-D6620210C4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3">
          <xdr14:nvContentPartPr>
            <xdr14:cNvPr id="564" name="Rukopis 563">
              <a:extLst>
                <a:ext uri="{FF2B5EF4-FFF2-40B4-BE49-F238E27FC236}">
                  <a16:creationId xmlns:a16="http://schemas.microsoft.com/office/drawing/2014/main" id="{9012D60F-6C37-40FC-B790-B7796BF7F12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4">
          <xdr14:nvContentPartPr>
            <xdr14:cNvPr id="565" name="Rukopis 564">
              <a:extLst>
                <a:ext uri="{FF2B5EF4-FFF2-40B4-BE49-F238E27FC236}">
                  <a16:creationId xmlns:a16="http://schemas.microsoft.com/office/drawing/2014/main" id="{1177CC76-FFB4-4D13-8824-A01548D2CB6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5">
          <xdr14:nvContentPartPr>
            <xdr14:cNvPr id="566" name="Rukopis 565">
              <a:extLst>
                <a:ext uri="{FF2B5EF4-FFF2-40B4-BE49-F238E27FC236}">
                  <a16:creationId xmlns:a16="http://schemas.microsoft.com/office/drawing/2014/main" id="{9EA91117-B674-40C0-8C83-9B43065C6B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6">
          <xdr14:nvContentPartPr>
            <xdr14:cNvPr id="567" name="Rukopis 566">
              <a:extLst>
                <a:ext uri="{FF2B5EF4-FFF2-40B4-BE49-F238E27FC236}">
                  <a16:creationId xmlns:a16="http://schemas.microsoft.com/office/drawing/2014/main" id="{26077AFD-7282-4A9D-9F2C-57D709008A0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7">
          <xdr14:nvContentPartPr>
            <xdr14:cNvPr id="568" name="Rukopis 567">
              <a:extLst>
                <a:ext uri="{FF2B5EF4-FFF2-40B4-BE49-F238E27FC236}">
                  <a16:creationId xmlns:a16="http://schemas.microsoft.com/office/drawing/2014/main" id="{2EB0B892-88E9-4AB2-BFA8-3DBBA73BD6A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8">
          <xdr14:nvContentPartPr>
            <xdr14:cNvPr id="569" name="Rukopis 568">
              <a:extLst>
                <a:ext uri="{FF2B5EF4-FFF2-40B4-BE49-F238E27FC236}">
                  <a16:creationId xmlns:a16="http://schemas.microsoft.com/office/drawing/2014/main" id="{21F0E7D6-1CEB-4F14-B8EC-03BF3DEE364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9">
          <xdr14:nvContentPartPr>
            <xdr14:cNvPr id="570" name="Rukopis 569">
              <a:extLst>
                <a:ext uri="{FF2B5EF4-FFF2-40B4-BE49-F238E27FC236}">
                  <a16:creationId xmlns:a16="http://schemas.microsoft.com/office/drawing/2014/main" id="{68BC4C00-52A2-4C89-B208-C24D719DC53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0">
          <xdr14:nvContentPartPr>
            <xdr14:cNvPr id="571" name="Rukopis 570">
              <a:extLst>
                <a:ext uri="{FF2B5EF4-FFF2-40B4-BE49-F238E27FC236}">
                  <a16:creationId xmlns:a16="http://schemas.microsoft.com/office/drawing/2014/main" id="{BEB340D0-7A30-49C8-8A86-5770CE61721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1">
          <xdr14:nvContentPartPr>
            <xdr14:cNvPr id="572" name="Rukopis 571">
              <a:extLst>
                <a:ext uri="{FF2B5EF4-FFF2-40B4-BE49-F238E27FC236}">
                  <a16:creationId xmlns:a16="http://schemas.microsoft.com/office/drawing/2014/main" id="{742BB7EB-7D01-4DD0-9B6D-E9DB04DAD15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2">
          <xdr14:nvContentPartPr>
            <xdr14:cNvPr id="573" name="Rukopis 572">
              <a:extLst>
                <a:ext uri="{FF2B5EF4-FFF2-40B4-BE49-F238E27FC236}">
                  <a16:creationId xmlns:a16="http://schemas.microsoft.com/office/drawing/2014/main" id="{FCF9AAC4-5E4B-40C0-B65C-19DF95B189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3">
          <xdr14:nvContentPartPr>
            <xdr14:cNvPr id="574" name="Rukopis 573">
              <a:extLst>
                <a:ext uri="{FF2B5EF4-FFF2-40B4-BE49-F238E27FC236}">
                  <a16:creationId xmlns:a16="http://schemas.microsoft.com/office/drawing/2014/main" id="{4E936285-090F-44AC-8B6C-73F816C209A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4">
          <xdr14:nvContentPartPr>
            <xdr14:cNvPr id="575" name="Rukopis 574">
              <a:extLst>
                <a:ext uri="{FF2B5EF4-FFF2-40B4-BE49-F238E27FC236}">
                  <a16:creationId xmlns:a16="http://schemas.microsoft.com/office/drawing/2014/main" id="{E643F09B-314E-4025-871B-41B2E714EF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5">
          <xdr14:nvContentPartPr>
            <xdr14:cNvPr id="576" name="Rukopis 575">
              <a:extLst>
                <a:ext uri="{FF2B5EF4-FFF2-40B4-BE49-F238E27FC236}">
                  <a16:creationId xmlns:a16="http://schemas.microsoft.com/office/drawing/2014/main" id="{F5A9ABE4-51BC-4DE9-AC95-73AD34C28CA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6">
          <xdr14:nvContentPartPr>
            <xdr14:cNvPr id="577" name="Rukopis 576">
              <a:extLst>
                <a:ext uri="{FF2B5EF4-FFF2-40B4-BE49-F238E27FC236}">
                  <a16:creationId xmlns:a16="http://schemas.microsoft.com/office/drawing/2014/main" id="{26C6F8B4-D425-4507-9F13-8E662610AE7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7">
          <xdr14:nvContentPartPr>
            <xdr14:cNvPr id="578" name="Rukopis 577">
              <a:extLst>
                <a:ext uri="{FF2B5EF4-FFF2-40B4-BE49-F238E27FC236}">
                  <a16:creationId xmlns:a16="http://schemas.microsoft.com/office/drawing/2014/main" id="{4E4CB251-181A-47FE-B7EC-E78C346CAA8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8">
          <xdr14:nvContentPartPr>
            <xdr14:cNvPr id="579" name="Rukopis 578">
              <a:extLst>
                <a:ext uri="{FF2B5EF4-FFF2-40B4-BE49-F238E27FC236}">
                  <a16:creationId xmlns:a16="http://schemas.microsoft.com/office/drawing/2014/main" id="{EE119542-B734-4E6C-AEC5-20DC06A500C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9">
          <xdr14:nvContentPartPr>
            <xdr14:cNvPr id="580" name="Rukopis 579">
              <a:extLst>
                <a:ext uri="{FF2B5EF4-FFF2-40B4-BE49-F238E27FC236}">
                  <a16:creationId xmlns:a16="http://schemas.microsoft.com/office/drawing/2014/main" id="{4F3D559B-0A10-4ABF-B56B-DBAC7301D5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0">
          <xdr14:nvContentPartPr>
            <xdr14:cNvPr id="581" name="Rukopis 580">
              <a:extLst>
                <a:ext uri="{FF2B5EF4-FFF2-40B4-BE49-F238E27FC236}">
                  <a16:creationId xmlns:a16="http://schemas.microsoft.com/office/drawing/2014/main" id="{B177A479-8F19-45A5-8E81-5386453F113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1">
          <xdr14:nvContentPartPr>
            <xdr14:cNvPr id="582" name="Rukopis 581">
              <a:extLst>
                <a:ext uri="{FF2B5EF4-FFF2-40B4-BE49-F238E27FC236}">
                  <a16:creationId xmlns:a16="http://schemas.microsoft.com/office/drawing/2014/main" id="{C02319AB-9BB6-4632-B0C3-FF88B8EF623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2">
          <xdr14:nvContentPartPr>
            <xdr14:cNvPr id="583" name="Rukopis 582">
              <a:extLst>
                <a:ext uri="{FF2B5EF4-FFF2-40B4-BE49-F238E27FC236}">
                  <a16:creationId xmlns:a16="http://schemas.microsoft.com/office/drawing/2014/main" id="{C4126E44-85D1-4899-91B2-F66E369C7A4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3">
          <xdr14:nvContentPartPr>
            <xdr14:cNvPr id="584" name="Rukopis 583">
              <a:extLst>
                <a:ext uri="{FF2B5EF4-FFF2-40B4-BE49-F238E27FC236}">
                  <a16:creationId xmlns:a16="http://schemas.microsoft.com/office/drawing/2014/main" id="{FE2AAB44-D626-4122-AC11-848BE0C4F0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4">
          <xdr14:nvContentPartPr>
            <xdr14:cNvPr id="585" name="Rukopis 584">
              <a:extLst>
                <a:ext uri="{FF2B5EF4-FFF2-40B4-BE49-F238E27FC236}">
                  <a16:creationId xmlns:a16="http://schemas.microsoft.com/office/drawing/2014/main" id="{492C16B3-2345-4A11-88A2-5A669343899C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5">
          <xdr14:nvContentPartPr>
            <xdr14:cNvPr id="586" name="Rukopis 585">
              <a:extLst>
                <a:ext uri="{FF2B5EF4-FFF2-40B4-BE49-F238E27FC236}">
                  <a16:creationId xmlns:a16="http://schemas.microsoft.com/office/drawing/2014/main" id="{9508E5A4-B5D9-45A0-B5C9-0802FC0F975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3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6">
          <xdr14:nvContentPartPr>
            <xdr14:cNvPr id="587" name="Rukopis 586">
              <a:extLst>
                <a:ext uri="{FF2B5EF4-FFF2-40B4-BE49-F238E27FC236}">
                  <a16:creationId xmlns:a16="http://schemas.microsoft.com/office/drawing/2014/main" id="{50F95313-CFE9-45E6-A946-254BFFB1757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7">
          <xdr14:nvContentPartPr>
            <xdr14:cNvPr id="588" name="Rukopis 587">
              <a:extLst>
                <a:ext uri="{FF2B5EF4-FFF2-40B4-BE49-F238E27FC236}">
                  <a16:creationId xmlns:a16="http://schemas.microsoft.com/office/drawing/2014/main" id="{A85C6B1D-8BFA-4223-A47E-6875AD0F9B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8">
          <xdr14:nvContentPartPr>
            <xdr14:cNvPr id="589" name="Rukopis 588">
              <a:extLst>
                <a:ext uri="{FF2B5EF4-FFF2-40B4-BE49-F238E27FC236}">
                  <a16:creationId xmlns:a16="http://schemas.microsoft.com/office/drawing/2014/main" id="{54A3C89E-BF9F-44AE-929B-1E36DD344F2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9">
          <xdr14:nvContentPartPr>
            <xdr14:cNvPr id="590" name="Rukopis 589">
              <a:extLst>
                <a:ext uri="{FF2B5EF4-FFF2-40B4-BE49-F238E27FC236}">
                  <a16:creationId xmlns:a16="http://schemas.microsoft.com/office/drawing/2014/main" id="{DDE07106-B0E0-4BC4-90A4-D64E9F2335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0">
          <xdr14:nvContentPartPr>
            <xdr14:cNvPr id="591" name="Rukopis 590">
              <a:extLst>
                <a:ext uri="{FF2B5EF4-FFF2-40B4-BE49-F238E27FC236}">
                  <a16:creationId xmlns:a16="http://schemas.microsoft.com/office/drawing/2014/main" id="{99CBDEE8-25BD-4872-9F0F-A3C18AA057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1">
          <xdr14:nvContentPartPr>
            <xdr14:cNvPr id="592" name="Rukopis 591">
              <a:extLst>
                <a:ext uri="{FF2B5EF4-FFF2-40B4-BE49-F238E27FC236}">
                  <a16:creationId xmlns:a16="http://schemas.microsoft.com/office/drawing/2014/main" id="{BB0F9B2B-2524-4E21-8235-56311911730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2">
          <xdr14:nvContentPartPr>
            <xdr14:cNvPr id="593" name="Rukopis 592">
              <a:extLst>
                <a:ext uri="{FF2B5EF4-FFF2-40B4-BE49-F238E27FC236}">
                  <a16:creationId xmlns:a16="http://schemas.microsoft.com/office/drawing/2014/main" id="{0B391314-F9A0-44EB-99C2-FA6F988BE3A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3">
          <xdr14:nvContentPartPr>
            <xdr14:cNvPr id="594" name="Rukopis 593">
              <a:extLst>
                <a:ext uri="{FF2B5EF4-FFF2-40B4-BE49-F238E27FC236}">
                  <a16:creationId xmlns:a16="http://schemas.microsoft.com/office/drawing/2014/main" id="{16373995-8671-46D8-B59C-39C867DFFE9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4">
          <xdr14:nvContentPartPr>
            <xdr14:cNvPr id="595" name="Rukopis 594">
              <a:extLst>
                <a:ext uri="{FF2B5EF4-FFF2-40B4-BE49-F238E27FC236}">
                  <a16:creationId xmlns:a16="http://schemas.microsoft.com/office/drawing/2014/main" id="{F98715D5-5FE5-436B-BF2A-086F8F4DCA3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5">
          <xdr14:nvContentPartPr>
            <xdr14:cNvPr id="596" name="Rukopis 595">
              <a:extLst>
                <a:ext uri="{FF2B5EF4-FFF2-40B4-BE49-F238E27FC236}">
                  <a16:creationId xmlns:a16="http://schemas.microsoft.com/office/drawing/2014/main" id="{2136726C-0ADF-43DD-BFBD-B8E20F3A24F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6">
          <xdr14:nvContentPartPr>
            <xdr14:cNvPr id="597" name="Rukopis 596">
              <a:extLst>
                <a:ext uri="{FF2B5EF4-FFF2-40B4-BE49-F238E27FC236}">
                  <a16:creationId xmlns:a16="http://schemas.microsoft.com/office/drawing/2014/main" id="{CA1DA26D-550C-446B-9056-9124647B5FE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7">
          <xdr14:nvContentPartPr>
            <xdr14:cNvPr id="598" name="Rukopis 597">
              <a:extLst>
                <a:ext uri="{FF2B5EF4-FFF2-40B4-BE49-F238E27FC236}">
                  <a16:creationId xmlns:a16="http://schemas.microsoft.com/office/drawing/2014/main" id="{9C6FC2D0-766F-4D1F-BCDD-0EE8A4BBE3F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8">
          <xdr14:nvContentPartPr>
            <xdr14:cNvPr id="599" name="Rukopis 598">
              <a:extLst>
                <a:ext uri="{FF2B5EF4-FFF2-40B4-BE49-F238E27FC236}">
                  <a16:creationId xmlns:a16="http://schemas.microsoft.com/office/drawing/2014/main" id="{B863BE34-D7E3-4052-989A-0B81571D3A7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9">
          <xdr14:nvContentPartPr>
            <xdr14:cNvPr id="600" name="Rukopis 599">
              <a:extLst>
                <a:ext uri="{FF2B5EF4-FFF2-40B4-BE49-F238E27FC236}">
                  <a16:creationId xmlns:a16="http://schemas.microsoft.com/office/drawing/2014/main" id="{DA76153C-4625-4203-B6E1-08E5A6597A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0">
          <xdr14:nvContentPartPr>
            <xdr14:cNvPr id="601" name="Rukopis 600">
              <a:extLst>
                <a:ext uri="{FF2B5EF4-FFF2-40B4-BE49-F238E27FC236}">
                  <a16:creationId xmlns:a16="http://schemas.microsoft.com/office/drawing/2014/main" id="{F2D667D3-A135-458A-AB9A-5936E004F34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2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1">
          <xdr14:nvContentPartPr>
            <xdr14:cNvPr id="602" name="Rukopis 601">
              <a:extLst>
                <a:ext uri="{FF2B5EF4-FFF2-40B4-BE49-F238E27FC236}">
                  <a16:creationId xmlns:a16="http://schemas.microsoft.com/office/drawing/2014/main" id="{B481C1C2-627D-431A-A54F-6A80FB436B3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2">
          <xdr14:nvContentPartPr>
            <xdr14:cNvPr id="603" name="Rukopis 602">
              <a:extLst>
                <a:ext uri="{FF2B5EF4-FFF2-40B4-BE49-F238E27FC236}">
                  <a16:creationId xmlns:a16="http://schemas.microsoft.com/office/drawing/2014/main" id="{422CE54C-3960-4960-840C-AB5F1FDC5FC4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3">
          <xdr14:nvContentPartPr>
            <xdr14:cNvPr id="604" name="Rukopis 603">
              <a:extLst>
                <a:ext uri="{FF2B5EF4-FFF2-40B4-BE49-F238E27FC236}">
                  <a16:creationId xmlns:a16="http://schemas.microsoft.com/office/drawing/2014/main" id="{178D353B-0DC0-4973-A12F-F3C21D38C53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4">
          <xdr14:nvContentPartPr>
            <xdr14:cNvPr id="605" name="Rukopis 604">
              <a:extLst>
                <a:ext uri="{FF2B5EF4-FFF2-40B4-BE49-F238E27FC236}">
                  <a16:creationId xmlns:a16="http://schemas.microsoft.com/office/drawing/2014/main" id="{5C2D5683-4105-4288-AE8C-2E4BFFEC6A1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5">
          <xdr14:nvContentPartPr>
            <xdr14:cNvPr id="606" name="Rukopis 605">
              <a:extLst>
                <a:ext uri="{FF2B5EF4-FFF2-40B4-BE49-F238E27FC236}">
                  <a16:creationId xmlns:a16="http://schemas.microsoft.com/office/drawing/2014/main" id="{487C3864-93F8-43B7-8E2E-6BC2BD3DC36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3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6">
          <xdr14:nvContentPartPr>
            <xdr14:cNvPr id="607" name="Rukopis 606">
              <a:extLst>
                <a:ext uri="{FF2B5EF4-FFF2-40B4-BE49-F238E27FC236}">
                  <a16:creationId xmlns:a16="http://schemas.microsoft.com/office/drawing/2014/main" id="{BB69E837-5EB9-4581-AB27-FED1F20F264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7">
          <xdr14:nvContentPartPr>
            <xdr14:cNvPr id="608" name="Rukopis 607">
              <a:extLst>
                <a:ext uri="{FF2B5EF4-FFF2-40B4-BE49-F238E27FC236}">
                  <a16:creationId xmlns:a16="http://schemas.microsoft.com/office/drawing/2014/main" id="{23C6CC3D-C698-463B-83E6-33809D4A23E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8">
          <xdr14:nvContentPartPr>
            <xdr14:cNvPr id="609" name="Rukopis 608">
              <a:extLst>
                <a:ext uri="{FF2B5EF4-FFF2-40B4-BE49-F238E27FC236}">
                  <a16:creationId xmlns:a16="http://schemas.microsoft.com/office/drawing/2014/main" id="{1ECC20FE-E126-4649-AAEE-94199C0F787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9">
          <xdr14:nvContentPartPr>
            <xdr14:cNvPr id="610" name="Rukopis 609">
              <a:extLst>
                <a:ext uri="{FF2B5EF4-FFF2-40B4-BE49-F238E27FC236}">
                  <a16:creationId xmlns:a16="http://schemas.microsoft.com/office/drawing/2014/main" id="{FF580A1B-16BB-4E37-A274-06F6F60149B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0">
          <xdr14:nvContentPartPr>
            <xdr14:cNvPr id="611" name="Rukopis 610">
              <a:extLst>
                <a:ext uri="{FF2B5EF4-FFF2-40B4-BE49-F238E27FC236}">
                  <a16:creationId xmlns:a16="http://schemas.microsoft.com/office/drawing/2014/main" id="{CFC790C5-2EAA-4B46-BBA6-17122C0DBF1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4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1">
          <xdr14:nvContentPartPr>
            <xdr14:cNvPr id="612" name="Rukopis 611">
              <a:extLst>
                <a:ext uri="{FF2B5EF4-FFF2-40B4-BE49-F238E27FC236}">
                  <a16:creationId xmlns:a16="http://schemas.microsoft.com/office/drawing/2014/main" id="{E07747EF-929D-4CC0-BD06-DD0FE87187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36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2">
          <xdr14:nvContentPartPr>
            <xdr14:cNvPr id="613" name="Rukopis 612">
              <a:extLst>
                <a:ext uri="{FF2B5EF4-FFF2-40B4-BE49-F238E27FC236}">
                  <a16:creationId xmlns:a16="http://schemas.microsoft.com/office/drawing/2014/main" id="{5CD3A15F-A5A7-44B9-8243-353ECDEA1F61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3">
          <xdr14:nvContentPartPr>
            <xdr14:cNvPr id="614" name="Rukopis 613">
              <a:extLst>
                <a:ext uri="{FF2B5EF4-FFF2-40B4-BE49-F238E27FC236}">
                  <a16:creationId xmlns:a16="http://schemas.microsoft.com/office/drawing/2014/main" id="{D2C2BBFA-32BD-4DF1-B28F-30505559F35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4">
          <xdr14:nvContentPartPr>
            <xdr14:cNvPr id="615" name="Rukopis 614">
              <a:extLst>
                <a:ext uri="{FF2B5EF4-FFF2-40B4-BE49-F238E27FC236}">
                  <a16:creationId xmlns:a16="http://schemas.microsoft.com/office/drawing/2014/main" id="{4A146602-48B4-4EC0-9C92-5AFA898D7AE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5">
          <xdr14:nvContentPartPr>
            <xdr14:cNvPr id="616" name="Rukopis 615">
              <a:extLst>
                <a:ext uri="{FF2B5EF4-FFF2-40B4-BE49-F238E27FC236}">
                  <a16:creationId xmlns:a16="http://schemas.microsoft.com/office/drawing/2014/main" id="{ACD227BD-BB44-4FB4-86B8-3132233027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5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6">
          <xdr14:nvContentPartPr>
            <xdr14:cNvPr id="617" name="Rukopis 616">
              <a:extLst>
                <a:ext uri="{FF2B5EF4-FFF2-40B4-BE49-F238E27FC236}">
                  <a16:creationId xmlns:a16="http://schemas.microsoft.com/office/drawing/2014/main" id="{EFCC9268-10B8-490E-B94E-597603792C2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7">
          <xdr14:nvContentPartPr>
            <xdr14:cNvPr id="618" name="Rukopis 617">
              <a:extLst>
                <a:ext uri="{FF2B5EF4-FFF2-40B4-BE49-F238E27FC236}">
                  <a16:creationId xmlns:a16="http://schemas.microsoft.com/office/drawing/2014/main" id="{D68841B3-DC8C-41D3-80EB-83642E416F2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8">
          <xdr14:nvContentPartPr>
            <xdr14:cNvPr id="619" name="Rukopis 618">
              <a:extLst>
                <a:ext uri="{FF2B5EF4-FFF2-40B4-BE49-F238E27FC236}">
                  <a16:creationId xmlns:a16="http://schemas.microsoft.com/office/drawing/2014/main" id="{DC81DAB8-B4B5-4048-978B-0FEF3A9ED30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9">
          <xdr14:nvContentPartPr>
            <xdr14:cNvPr id="620" name="Rukopis 619">
              <a:extLst>
                <a:ext uri="{FF2B5EF4-FFF2-40B4-BE49-F238E27FC236}">
                  <a16:creationId xmlns:a16="http://schemas.microsoft.com/office/drawing/2014/main" id="{D50F2DA5-E8B0-4997-847A-B1902FF7238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0">
          <xdr14:nvContentPartPr>
            <xdr14:cNvPr id="621" name="Rukopis 620">
              <a:extLst>
                <a:ext uri="{FF2B5EF4-FFF2-40B4-BE49-F238E27FC236}">
                  <a16:creationId xmlns:a16="http://schemas.microsoft.com/office/drawing/2014/main" id="{7A42C1E2-82FE-4E48-9253-FD5E8926ADD6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6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1">
          <xdr14:nvContentPartPr>
            <xdr14:cNvPr id="622" name="Rukopis 621">
              <a:extLst>
                <a:ext uri="{FF2B5EF4-FFF2-40B4-BE49-F238E27FC236}">
                  <a16:creationId xmlns:a16="http://schemas.microsoft.com/office/drawing/2014/main" id="{F0FF4D9F-C558-4438-A7C2-1F04918E24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2">
          <xdr14:nvContentPartPr>
            <xdr14:cNvPr id="623" name="Rukopis 622">
              <a:extLst>
                <a:ext uri="{FF2B5EF4-FFF2-40B4-BE49-F238E27FC236}">
                  <a16:creationId xmlns:a16="http://schemas.microsoft.com/office/drawing/2014/main" id="{30D47C02-DA3B-47B7-8121-2ABB520655E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3">
          <xdr14:nvContentPartPr>
            <xdr14:cNvPr id="624" name="Rukopis 623">
              <a:extLst>
                <a:ext uri="{FF2B5EF4-FFF2-40B4-BE49-F238E27FC236}">
                  <a16:creationId xmlns:a16="http://schemas.microsoft.com/office/drawing/2014/main" id="{817E1B36-76B4-41E3-8E27-75843210D567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4">
          <xdr14:nvContentPartPr>
            <xdr14:cNvPr id="625" name="Rukopis 624">
              <a:extLst>
                <a:ext uri="{FF2B5EF4-FFF2-40B4-BE49-F238E27FC236}">
                  <a16:creationId xmlns:a16="http://schemas.microsoft.com/office/drawing/2014/main" id="{C52CD8BA-C8F2-4D71-A89A-57854815E1FA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5">
          <xdr14:nvContentPartPr>
            <xdr14:cNvPr id="626" name="Rukopis 625">
              <a:extLst>
                <a:ext uri="{FF2B5EF4-FFF2-40B4-BE49-F238E27FC236}">
                  <a16:creationId xmlns:a16="http://schemas.microsoft.com/office/drawing/2014/main" id="{ED968CC5-871A-40E5-AD68-D67B0E67605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7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6">
          <xdr14:nvContentPartPr>
            <xdr14:cNvPr id="627" name="Rukopis 626">
              <a:extLst>
                <a:ext uri="{FF2B5EF4-FFF2-40B4-BE49-F238E27FC236}">
                  <a16:creationId xmlns:a16="http://schemas.microsoft.com/office/drawing/2014/main" id="{7DF9E2AB-C4AE-40C5-99DB-4B4CC42E5E4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7">
          <xdr14:nvContentPartPr>
            <xdr14:cNvPr id="628" name="Rukopis 627">
              <a:extLst>
                <a:ext uri="{FF2B5EF4-FFF2-40B4-BE49-F238E27FC236}">
                  <a16:creationId xmlns:a16="http://schemas.microsoft.com/office/drawing/2014/main" id="{2A3C8EB9-07D7-4217-BF9A-5006D214478E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8">
          <xdr14:nvContentPartPr>
            <xdr14:cNvPr id="629" name="Rukopis 628">
              <a:extLst>
                <a:ext uri="{FF2B5EF4-FFF2-40B4-BE49-F238E27FC236}">
                  <a16:creationId xmlns:a16="http://schemas.microsoft.com/office/drawing/2014/main" id="{E57FC692-A3C0-47DA-8F93-99A7C584D69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9">
          <xdr14:nvContentPartPr>
            <xdr14:cNvPr id="630" name="Rukopis 629">
              <a:extLst>
                <a:ext uri="{FF2B5EF4-FFF2-40B4-BE49-F238E27FC236}">
                  <a16:creationId xmlns:a16="http://schemas.microsoft.com/office/drawing/2014/main" id="{AF654E66-074E-440B-A8ED-D04F7B0374A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0">
          <xdr14:nvContentPartPr>
            <xdr14:cNvPr id="631" name="Rukopis 630">
              <a:extLst>
                <a:ext uri="{FF2B5EF4-FFF2-40B4-BE49-F238E27FC236}">
                  <a16:creationId xmlns:a16="http://schemas.microsoft.com/office/drawing/2014/main" id="{833D9112-FA26-4420-8C56-5AA0F06AE26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8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1">
          <xdr14:nvContentPartPr>
            <xdr14:cNvPr id="632" name="Rukopis 631">
              <a:extLst>
                <a:ext uri="{FF2B5EF4-FFF2-40B4-BE49-F238E27FC236}">
                  <a16:creationId xmlns:a16="http://schemas.microsoft.com/office/drawing/2014/main" id="{3F778FF9-C5E2-4DEC-8147-6E797F64E10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2">
          <xdr14:nvContentPartPr>
            <xdr14:cNvPr id="633" name="Rukopis 632">
              <a:extLst>
                <a:ext uri="{FF2B5EF4-FFF2-40B4-BE49-F238E27FC236}">
                  <a16:creationId xmlns:a16="http://schemas.microsoft.com/office/drawing/2014/main" id="{81439EC3-1729-4C45-8162-C4329B64E56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3">
          <xdr14:nvContentPartPr>
            <xdr14:cNvPr id="634" name="Rukopis 633">
              <a:extLst>
                <a:ext uri="{FF2B5EF4-FFF2-40B4-BE49-F238E27FC236}">
                  <a16:creationId xmlns:a16="http://schemas.microsoft.com/office/drawing/2014/main" id="{0DD3737C-4A1C-4F12-94D3-1CF36DC61DC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4">
          <xdr14:nvContentPartPr>
            <xdr14:cNvPr id="635" name="Rukopis 634">
              <a:extLst>
                <a:ext uri="{FF2B5EF4-FFF2-40B4-BE49-F238E27FC236}">
                  <a16:creationId xmlns:a16="http://schemas.microsoft.com/office/drawing/2014/main" id="{A68F8757-4FA4-4EB3-B225-6797A12346B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5">
          <xdr14:nvContentPartPr>
            <xdr14:cNvPr id="636" name="Rukopis 635">
              <a:extLst>
                <a:ext uri="{FF2B5EF4-FFF2-40B4-BE49-F238E27FC236}">
                  <a16:creationId xmlns:a16="http://schemas.microsoft.com/office/drawing/2014/main" id="{DDD00672-430C-4CEA-BED5-9834607E3B2F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49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6">
          <xdr14:nvContentPartPr>
            <xdr14:cNvPr id="637" name="Rukopis 636">
              <a:extLst>
                <a:ext uri="{FF2B5EF4-FFF2-40B4-BE49-F238E27FC236}">
                  <a16:creationId xmlns:a16="http://schemas.microsoft.com/office/drawing/2014/main" id="{739D4BBF-7BDC-4D27-9873-8A991D335F6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7">
          <xdr14:nvContentPartPr>
            <xdr14:cNvPr id="638" name="Rukopis 637">
              <a:extLst>
                <a:ext uri="{FF2B5EF4-FFF2-40B4-BE49-F238E27FC236}">
                  <a16:creationId xmlns:a16="http://schemas.microsoft.com/office/drawing/2014/main" id="{9924785A-1566-4D11-ADA3-E4FEC1B84BB8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8">
          <xdr14:nvContentPartPr>
            <xdr14:cNvPr id="639" name="Rukopis 638">
              <a:extLst>
                <a:ext uri="{FF2B5EF4-FFF2-40B4-BE49-F238E27FC236}">
                  <a16:creationId xmlns:a16="http://schemas.microsoft.com/office/drawing/2014/main" id="{4216EA7D-EC43-497F-821C-091C22212763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9">
          <xdr14:nvContentPartPr>
            <xdr14:cNvPr id="640" name="Rukopis 639">
              <a:extLst>
                <a:ext uri="{FF2B5EF4-FFF2-40B4-BE49-F238E27FC236}">
                  <a16:creationId xmlns:a16="http://schemas.microsoft.com/office/drawing/2014/main" id="{CB6D4C80-17A0-4AEA-BC6F-0812425AF73B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0">
          <xdr14:nvContentPartPr>
            <xdr14:cNvPr id="641" name="Rukopis 640">
              <a:extLst>
                <a:ext uri="{FF2B5EF4-FFF2-40B4-BE49-F238E27FC236}">
                  <a16:creationId xmlns:a16="http://schemas.microsoft.com/office/drawing/2014/main" id="{C9BF4A9D-277D-4D56-81A6-504C99800D60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0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1">
          <xdr14:nvContentPartPr>
            <xdr14:cNvPr id="642" name="Rukopis 641">
              <a:extLst>
                <a:ext uri="{FF2B5EF4-FFF2-40B4-BE49-F238E27FC236}">
                  <a16:creationId xmlns:a16="http://schemas.microsoft.com/office/drawing/2014/main" id="{36EB0621-9CAC-4F32-9C0E-6E6FC640C489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0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2">
          <xdr14:nvContentPartPr>
            <xdr14:cNvPr id="643" name="Rukopis 642">
              <a:extLst>
                <a:ext uri="{FF2B5EF4-FFF2-40B4-BE49-F238E27FC236}">
                  <a16:creationId xmlns:a16="http://schemas.microsoft.com/office/drawing/2014/main" id="{5255023A-9FED-4C99-AF2E-8481D7976B32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2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92</xdr:col>
      <xdr:colOff>228270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3">
          <xdr14:nvContentPartPr>
            <xdr14:cNvPr id="644" name="Rukopis 643">
              <a:extLst>
                <a:ext uri="{FF2B5EF4-FFF2-40B4-BE49-F238E27FC236}">
                  <a16:creationId xmlns:a16="http://schemas.microsoft.com/office/drawing/2014/main" id="{5C50D882-9C69-4DF9-AA67-3BA66CB0C735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4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93</xdr:col>
      <xdr:colOff>0</xdr:colOff>
      <xdr:row>156</xdr:row>
      <xdr:rowOff>0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4">
          <xdr14:nvContentPartPr>
            <xdr14:cNvPr id="645" name="Rukopis 644">
              <a:extLst>
                <a:ext uri="{FF2B5EF4-FFF2-40B4-BE49-F238E27FC236}">
                  <a16:creationId xmlns:a16="http://schemas.microsoft.com/office/drawing/2014/main" id="{AE3F67EA-B1BA-4046-A8E1-F23B6C4C133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6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90</xdr:col>
      <xdr:colOff>228270</xdr:colOff>
      <xdr:row>158</xdr:row>
      <xdr:rowOff>75735</xdr:rowOff>
    </xdr:from>
    <xdr:ext cx="0" cy="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5">
          <xdr14:nvContentPartPr>
            <xdr14:cNvPr id="646" name="Rukopis 645">
              <a:extLst>
                <a:ext uri="{FF2B5EF4-FFF2-40B4-BE49-F238E27FC236}">
                  <a16:creationId xmlns:a16="http://schemas.microsoft.com/office/drawing/2014/main" id="{6EC4A8E1-53EA-42C5-85F1-87B948D028FD}"/>
                </a:ext>
              </a:extLst>
            </xdr14:cNvPr>
            <xdr14:cNvContentPartPr/>
          </xdr14:nvContentPartPr>
          <xdr14:nvPr macro=""/>
          <xdr14:xfrm>
            <a:off x="9915195" y="26231385"/>
            <a:ext cx="360" cy="360"/>
          </xdr14:xfrm>
        </xdr:contentPart>
      </mc:Choice>
      <mc:Fallback xmlns="">
        <xdr:pic>
          <xdr:nvPicPr>
            <xdr:cNvPr id="2" name="Rukopis 1">
              <a:extLst>
                <a:ext uri="{FF2B5EF4-FFF2-40B4-BE49-F238E27FC236}">
                  <a16:creationId xmlns:a16="http://schemas.microsoft.com/office/drawing/2014/main" id="{48E642E0-58FD-5D8A-21F1-B958CB3DFCEE}"/>
                </a:ext>
              </a:extLst>
            </xdr:cNvPr>
            <xdr:cNvPicPr/>
          </xdr:nvPicPr>
          <xdr:blipFill>
            <a:blip xmlns:r="http://schemas.openxmlformats.org/officeDocument/2006/relationships" r:embed="rId518"/>
            <a:stretch>
              <a:fillRect/>
            </a:stretch>
          </xdr:blipFill>
          <xdr:spPr>
            <a:xfrm>
              <a:off x="9906195" y="26222745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3-02T11:42:25.2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1-17T14:03:15.0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4-19T11:31:02.8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8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5-24T07:30:00.6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0-16T11:49:12.9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2.9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5-24T07:30:00.6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0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1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5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6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7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8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4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29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5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0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1-15T07:42:16.65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4-03-11T08:03:23.3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1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7-26T05:29:52.41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2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8T07:15:03.53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7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8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39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0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1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2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3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4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5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12-05T08:06:01.946"/>
    </inkml:context>
    <inkml:brush xml:id="br0">
      <inkml:brushProperty name="width" value="0.05" units="cm"/>
      <inkml:brushProperty name="height" value="0.05" units="cm"/>
      <inkml:brushProperty name="color" value="#E71224"/>
    </inkml:brush>
  </inkml:definitions>
  <inkml:trace contextRef="#ctx0" brushRef="#br0">0 1 24575</inkml:trace>
</inkml: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CC3300"/>
  </sheetPr>
  <dimension ref="A1:Z35"/>
  <sheetViews>
    <sheetView tabSelected="1" zoomScaleNormal="100" workbookViewId="0">
      <selection activeCell="Q18" sqref="Q18"/>
    </sheetView>
  </sheetViews>
  <sheetFormatPr defaultColWidth="9.140625" defaultRowHeight="15" customHeight="1" x14ac:dyDescent="0.2"/>
  <cols>
    <col min="1" max="1" width="6.7109375" style="229" customWidth="1"/>
    <col min="2" max="15" width="9.140625" style="229"/>
    <col min="16" max="16" width="10.85546875" style="229" customWidth="1"/>
    <col min="17" max="17" width="44.140625" style="229" customWidth="1"/>
    <col min="18" max="16384" width="9.140625" style="229"/>
  </cols>
  <sheetData>
    <row r="1" spans="1:26" ht="15" customHeight="1" x14ac:dyDescent="0.2">
      <c r="A1" s="764" t="s">
        <v>863</v>
      </c>
    </row>
    <row r="3" spans="1:26" ht="15" customHeight="1" x14ac:dyDescent="0.2">
      <c r="A3" s="229" t="s">
        <v>808</v>
      </c>
    </row>
    <row r="4" spans="1:26" ht="15" customHeight="1" x14ac:dyDescent="0.2">
      <c r="A4" s="229" t="s">
        <v>854</v>
      </c>
    </row>
    <row r="5" spans="1:26" ht="15" customHeight="1" x14ac:dyDescent="0.2">
      <c r="A5" s="229" t="s">
        <v>852</v>
      </c>
    </row>
    <row r="7" spans="1:26" ht="15" customHeight="1" x14ac:dyDescent="0.2">
      <c r="A7" s="229" t="s">
        <v>829</v>
      </c>
    </row>
    <row r="8" spans="1:26" ht="15" customHeight="1" x14ac:dyDescent="0.2">
      <c r="A8" s="229" t="s">
        <v>809</v>
      </c>
      <c r="B8" s="229" t="s">
        <v>855</v>
      </c>
    </row>
    <row r="9" spans="1:26" ht="15" customHeight="1" x14ac:dyDescent="0.2">
      <c r="A9" s="229" t="s">
        <v>810</v>
      </c>
      <c r="B9" s="229" t="s">
        <v>845</v>
      </c>
    </row>
    <row r="10" spans="1:26" ht="15" customHeight="1" x14ac:dyDescent="0.2">
      <c r="B10" s="229" t="s">
        <v>846</v>
      </c>
    </row>
    <row r="11" spans="1:26" ht="15" customHeight="1" x14ac:dyDescent="0.2">
      <c r="A11" s="229" t="s">
        <v>822</v>
      </c>
      <c r="B11" s="229" t="s">
        <v>853</v>
      </c>
    </row>
    <row r="12" spans="1:26" ht="15" customHeight="1" x14ac:dyDescent="0.2">
      <c r="A12" s="3" t="s">
        <v>860</v>
      </c>
      <c r="B12" s="765" t="s">
        <v>858</v>
      </c>
    </row>
    <row r="13" spans="1:26" ht="15" customHeight="1" x14ac:dyDescent="0.2">
      <c r="B13" s="765" t="s">
        <v>830</v>
      </c>
      <c r="R13" s="3"/>
      <c r="S13" s="3"/>
      <c r="T13" s="3"/>
      <c r="U13" s="3"/>
      <c r="V13" s="3"/>
      <c r="W13" s="3"/>
      <c r="X13" s="3"/>
      <c r="Y13" s="3"/>
      <c r="Z13" s="3"/>
    </row>
    <row r="14" spans="1:26" ht="15" customHeight="1" x14ac:dyDescent="0.2">
      <c r="A14" s="229" t="s">
        <v>831</v>
      </c>
      <c r="B14" s="229" t="s">
        <v>847</v>
      </c>
      <c r="R14" s="3"/>
      <c r="S14" s="3"/>
      <c r="T14" s="3"/>
      <c r="U14" s="3"/>
      <c r="V14" s="3"/>
      <c r="W14" s="3"/>
      <c r="X14" s="3"/>
      <c r="Y14" s="3"/>
      <c r="Z14" s="3"/>
    </row>
    <row r="15" spans="1:26" ht="15" customHeight="1" x14ac:dyDescent="0.2">
      <c r="A15" s="229" t="s">
        <v>832</v>
      </c>
      <c r="B15" s="229" t="s">
        <v>834</v>
      </c>
    </row>
    <row r="16" spans="1:26" ht="15" customHeight="1" x14ac:dyDescent="0.2">
      <c r="A16" s="229" t="s">
        <v>833</v>
      </c>
      <c r="B16" s="229" t="s">
        <v>835</v>
      </c>
    </row>
    <row r="17" spans="1:15" ht="15" customHeight="1" x14ac:dyDescent="0.2">
      <c r="B17" s="229" t="s">
        <v>848</v>
      </c>
    </row>
    <row r="18" spans="1:15" ht="15" customHeight="1" x14ac:dyDescent="0.2">
      <c r="A18" s="229" t="s">
        <v>856</v>
      </c>
      <c r="B18" s="229" t="s">
        <v>857</v>
      </c>
    </row>
    <row r="20" spans="1:15" ht="15" customHeight="1" x14ac:dyDescent="0.2">
      <c r="A20" s="765" t="s">
        <v>873</v>
      </c>
      <c r="C20" s="765"/>
      <c r="D20" s="765"/>
      <c r="E20" s="765"/>
      <c r="F20" s="765"/>
      <c r="G20" s="765"/>
      <c r="H20" s="765"/>
      <c r="I20" s="765"/>
      <c r="J20" s="765"/>
      <c r="K20" s="765"/>
      <c r="L20" s="765"/>
      <c r="M20" s="765"/>
      <c r="N20" s="765"/>
    </row>
    <row r="21" spans="1:15" ht="15" customHeight="1" x14ac:dyDescent="0.2">
      <c r="A21" s="765" t="s">
        <v>874</v>
      </c>
    </row>
    <row r="22" spans="1:15" ht="15" customHeight="1" x14ac:dyDescent="0.2">
      <c r="A22" s="765"/>
    </row>
    <row r="23" spans="1:15" ht="15" customHeight="1" x14ac:dyDescent="0.2">
      <c r="A23" s="765" t="s">
        <v>871</v>
      </c>
      <c r="C23" s="765"/>
      <c r="D23" s="765"/>
      <c r="E23" s="765"/>
      <c r="F23" s="765"/>
      <c r="G23" s="765"/>
      <c r="H23" s="765"/>
      <c r="I23" s="765"/>
      <c r="J23" s="765"/>
      <c r="K23" s="765"/>
      <c r="L23" s="765"/>
    </row>
    <row r="24" spans="1:15" ht="15" customHeight="1" x14ac:dyDescent="0.2">
      <c r="A24" s="765" t="s">
        <v>870</v>
      </c>
      <c r="C24" s="765"/>
      <c r="D24" s="765"/>
      <c r="E24" s="765"/>
      <c r="F24" s="765"/>
      <c r="G24" s="765"/>
      <c r="H24" s="765"/>
      <c r="I24" s="765"/>
      <c r="J24" s="765"/>
      <c r="K24" s="765"/>
      <c r="L24" s="765"/>
      <c r="M24" s="765"/>
      <c r="N24" s="765"/>
      <c r="O24" s="765"/>
    </row>
    <row r="25" spans="1:15" ht="15" customHeight="1" x14ac:dyDescent="0.2">
      <c r="A25" s="765" t="s">
        <v>872</v>
      </c>
      <c r="C25" s="765"/>
      <c r="D25" s="765"/>
      <c r="E25" s="765"/>
      <c r="F25" s="765"/>
      <c r="G25" s="765"/>
      <c r="H25" s="765"/>
      <c r="I25" s="765"/>
      <c r="J25" s="765"/>
      <c r="K25" s="765"/>
      <c r="L25" s="765"/>
      <c r="M25" s="765"/>
      <c r="N25" s="765"/>
      <c r="O25" s="765"/>
    </row>
    <row r="26" spans="1:15" ht="15" customHeight="1" x14ac:dyDescent="0.2">
      <c r="B26" s="765"/>
      <c r="C26" s="765"/>
      <c r="D26" s="765"/>
      <c r="E26" s="765"/>
      <c r="F26" s="765"/>
      <c r="G26" s="765"/>
      <c r="H26" s="765"/>
      <c r="I26" s="765"/>
      <c r="J26" s="765"/>
      <c r="K26" s="765"/>
      <c r="L26" s="765"/>
      <c r="M26" s="765"/>
      <c r="N26" s="765"/>
      <c r="O26" s="765"/>
    </row>
    <row r="27" spans="1:15" s="771" customFormat="1" ht="15" customHeight="1" x14ac:dyDescent="0.2">
      <c r="A27" s="769" t="s">
        <v>861</v>
      </c>
      <c r="B27" s="769"/>
      <c r="C27" s="769"/>
      <c r="D27" s="770"/>
      <c r="E27" s="770"/>
      <c r="F27" s="770"/>
      <c r="G27" s="770"/>
      <c r="H27" s="770"/>
      <c r="I27" s="770"/>
      <c r="J27" s="770"/>
      <c r="K27" s="770"/>
      <c r="L27" s="770"/>
      <c r="M27" s="770"/>
      <c r="N27" s="770"/>
      <c r="O27" s="770"/>
    </row>
    <row r="28" spans="1:15" s="771" customFormat="1" ht="15" customHeight="1" x14ac:dyDescent="0.2">
      <c r="A28" s="772" t="s">
        <v>869</v>
      </c>
      <c r="B28" s="770"/>
      <c r="C28" s="770"/>
      <c r="D28" s="770"/>
      <c r="E28" s="770"/>
      <c r="F28" s="770"/>
      <c r="G28" s="770"/>
      <c r="H28" s="770"/>
      <c r="I28" s="770"/>
      <c r="J28" s="770"/>
      <c r="K28" s="770"/>
      <c r="L28" s="770"/>
      <c r="M28" s="770"/>
      <c r="N28" s="770"/>
      <c r="O28" s="770"/>
    </row>
    <row r="29" spans="1:15" s="771" customFormat="1" ht="15" customHeight="1" x14ac:dyDescent="0.2">
      <c r="A29" s="772" t="s">
        <v>868</v>
      </c>
      <c r="B29" s="770"/>
      <c r="C29" s="770"/>
      <c r="D29" s="770"/>
      <c r="E29" s="770"/>
      <c r="F29" s="770"/>
      <c r="G29" s="770"/>
      <c r="H29" s="770"/>
      <c r="I29" s="770"/>
      <c r="J29" s="770"/>
      <c r="K29" s="770"/>
      <c r="L29" s="770"/>
      <c r="M29" s="770"/>
      <c r="N29" s="770"/>
      <c r="O29" s="770"/>
    </row>
    <row r="30" spans="1:15" s="771" customFormat="1" ht="15" customHeight="1" x14ac:dyDescent="0.2">
      <c r="A30" s="772" t="s">
        <v>866</v>
      </c>
      <c r="B30" s="770"/>
      <c r="C30" s="770"/>
      <c r="D30" s="770"/>
      <c r="E30" s="770"/>
      <c r="F30" s="770"/>
      <c r="G30" s="770"/>
      <c r="H30" s="770"/>
      <c r="I30" s="770"/>
      <c r="J30" s="770"/>
      <c r="K30" s="770"/>
      <c r="L30" s="770"/>
      <c r="M30" s="770"/>
      <c r="N30" s="770"/>
      <c r="O30" s="770"/>
    </row>
    <row r="31" spans="1:15" s="771" customFormat="1" ht="15" customHeight="1" x14ac:dyDescent="0.2">
      <c r="A31" s="772" t="s">
        <v>867</v>
      </c>
      <c r="B31" s="770"/>
      <c r="C31" s="770"/>
      <c r="D31" s="770"/>
      <c r="E31" s="770"/>
      <c r="F31" s="770"/>
      <c r="G31" s="770"/>
      <c r="H31" s="770"/>
      <c r="I31" s="770"/>
      <c r="J31" s="770"/>
      <c r="K31" s="770"/>
      <c r="L31" s="770"/>
      <c r="M31" s="770"/>
      <c r="N31" s="770"/>
      <c r="O31" s="770"/>
    </row>
    <row r="32" spans="1:15" s="771" customFormat="1" ht="15" customHeight="1" x14ac:dyDescent="0.2">
      <c r="A32" s="769" t="s">
        <v>862</v>
      </c>
      <c r="B32" s="770"/>
      <c r="C32" s="770"/>
      <c r="D32" s="770"/>
      <c r="E32" s="770"/>
      <c r="F32" s="770"/>
      <c r="G32" s="770"/>
      <c r="H32" s="770"/>
      <c r="I32" s="770"/>
      <c r="J32" s="770"/>
      <c r="K32" s="770"/>
      <c r="L32" s="770"/>
      <c r="M32" s="770"/>
      <c r="N32" s="770"/>
      <c r="O32" s="770"/>
    </row>
    <row r="34" spans="1:1" ht="15" customHeight="1" x14ac:dyDescent="0.2">
      <c r="A34" s="229" t="s">
        <v>864</v>
      </c>
    </row>
    <row r="35" spans="1:1" ht="15" customHeight="1" x14ac:dyDescent="0.2">
      <c r="A35" s="229" t="s">
        <v>811</v>
      </c>
    </row>
  </sheetData>
  <pageMargins left="0.19685039370078741" right="0" top="0.39370078740157483" bottom="0.3937007874015748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/>
  <dimension ref="A1:BA159"/>
  <sheetViews>
    <sheetView workbookViewId="0">
      <pane xSplit="8" ySplit="11" topLeftCell="AI124" activePane="bottomRight" state="frozen"/>
      <selection activeCell="AQ11" sqref="AQ11"/>
      <selection pane="topRight" activeCell="AQ11" sqref="AQ11"/>
      <selection pane="bottomLeft" activeCell="AQ11" sqref="AQ11"/>
      <selection pane="bottomRight" activeCell="AS6" sqref="AS6:BA7"/>
    </sheetView>
  </sheetViews>
  <sheetFormatPr defaultColWidth="9.140625" defaultRowHeight="15" x14ac:dyDescent="0.25"/>
  <cols>
    <col min="1" max="1" width="5" style="327" customWidth="1"/>
    <col min="2" max="2" width="6.140625" style="269" bestFit="1" customWidth="1"/>
    <col min="3" max="3" width="8.7109375" style="386" bestFit="1" customWidth="1"/>
    <col min="4" max="4" width="7.85546875" style="269" bestFit="1" customWidth="1"/>
    <col min="5" max="5" width="35.5703125" style="269" customWidth="1"/>
    <col min="6" max="6" width="4.42578125" style="269" bestFit="1" customWidth="1"/>
    <col min="7" max="7" width="10.28515625" style="269" bestFit="1" customWidth="1"/>
    <col min="8" max="8" width="8" style="269" bestFit="1" customWidth="1"/>
    <col min="9" max="9" width="10.85546875" style="333" customWidth="1"/>
    <col min="10" max="10" width="11.5703125" style="333" customWidth="1"/>
    <col min="11" max="13" width="10.42578125" style="333" customWidth="1"/>
    <col min="14" max="14" width="11.42578125" style="334" customWidth="1"/>
    <col min="15" max="16" width="10.42578125" style="334" customWidth="1"/>
    <col min="17" max="17" width="9.140625" style="333" customWidth="1"/>
    <col min="18" max="18" width="9.7109375" style="333" customWidth="1"/>
    <col min="19" max="20" width="9.140625" style="333" customWidth="1"/>
    <col min="21" max="21" width="9.7109375" style="333" customWidth="1"/>
    <col min="22" max="26" width="9.140625" style="333" customWidth="1"/>
    <col min="27" max="27" width="9.85546875" style="333" customWidth="1"/>
    <col min="28" max="33" width="9.140625" style="333" customWidth="1"/>
    <col min="34" max="44" width="9.140625" style="334" customWidth="1"/>
    <col min="45" max="45" width="10.140625" style="333" customWidth="1"/>
    <col min="46" max="46" width="11.85546875" style="333" customWidth="1"/>
    <col min="47" max="50" width="9.140625" style="333" customWidth="1"/>
    <col min="51" max="51" width="11.42578125" style="334" customWidth="1"/>
    <col min="52" max="53" width="9.28515625" style="334" customWidth="1"/>
    <col min="54" max="16384" width="9.140625" style="269"/>
  </cols>
  <sheetData>
    <row r="1" spans="1:53" ht="12" customHeight="1" x14ac:dyDescent="0.25">
      <c r="A1" s="424" t="s">
        <v>2</v>
      </c>
      <c r="B1" s="424"/>
      <c r="C1" s="267"/>
      <c r="D1" s="424"/>
      <c r="E1" s="424"/>
      <c r="F1" s="268"/>
      <c r="G1" s="268"/>
      <c r="H1" s="268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89"/>
      <c r="AK1" s="89"/>
      <c r="AL1" s="89"/>
      <c r="AM1" s="89"/>
      <c r="AN1" s="89"/>
      <c r="AO1" s="89"/>
      <c r="AP1" s="89"/>
      <c r="AQ1" s="89"/>
      <c r="AR1" s="89"/>
    </row>
    <row r="2" spans="1:53" ht="12" customHeight="1" x14ac:dyDescent="0.25">
      <c r="A2" s="424" t="s">
        <v>3</v>
      </c>
      <c r="B2" s="424"/>
      <c r="C2" s="267"/>
      <c r="D2" s="424"/>
      <c r="E2" s="424"/>
      <c r="F2" s="268"/>
      <c r="G2" s="268"/>
      <c r="H2" s="268"/>
    </row>
    <row r="3" spans="1:53" ht="12" customHeight="1" x14ac:dyDescent="0.25">
      <c r="A3" s="839" t="s">
        <v>4</v>
      </c>
      <c r="B3" s="839"/>
      <c r="C3" s="839"/>
      <c r="D3" s="839"/>
      <c r="E3" s="839"/>
      <c r="F3" s="268"/>
      <c r="G3" s="268"/>
      <c r="H3" s="268"/>
      <c r="I3" s="744"/>
      <c r="R3" s="631"/>
      <c r="S3" s="631"/>
      <c r="T3" s="631"/>
    </row>
    <row r="4" spans="1:53" ht="12" customHeight="1" x14ac:dyDescent="0.25">
      <c r="A4" s="270"/>
      <c r="B4" s="424"/>
      <c r="C4" s="424"/>
      <c r="D4" s="424"/>
      <c r="E4" s="424"/>
      <c r="F4" s="268"/>
      <c r="G4" s="268"/>
      <c r="H4" s="268"/>
      <c r="R4" s="712" t="s">
        <v>839</v>
      </c>
      <c r="S4" s="630"/>
      <c r="T4" s="630"/>
    </row>
    <row r="5" spans="1:53" ht="23.25" customHeight="1" thickBot="1" x14ac:dyDescent="0.3">
      <c r="A5" s="185" t="s">
        <v>827</v>
      </c>
      <c r="B5" s="52"/>
      <c r="C5" s="52"/>
      <c r="D5" s="52"/>
      <c r="E5" s="53"/>
      <c r="F5" s="271"/>
      <c r="G5" s="271"/>
      <c r="H5" s="271"/>
      <c r="R5" s="713" t="s">
        <v>840</v>
      </c>
      <c r="S5" s="630"/>
      <c r="T5" s="630"/>
    </row>
    <row r="6" spans="1:53" x14ac:dyDescent="0.25">
      <c r="A6" s="766" t="s">
        <v>859</v>
      </c>
      <c r="B6" s="767"/>
      <c r="C6" s="768"/>
      <c r="D6" s="768"/>
      <c r="E6" s="767"/>
      <c r="F6" s="767"/>
      <c r="G6" s="53"/>
      <c r="H6" s="268"/>
      <c r="I6" s="803" t="s">
        <v>828</v>
      </c>
      <c r="J6" s="804"/>
      <c r="K6" s="804"/>
      <c r="L6" s="804"/>
      <c r="M6" s="804"/>
      <c r="N6" s="804"/>
      <c r="O6" s="804"/>
      <c r="P6" s="805"/>
      <c r="Q6" s="809" t="s">
        <v>841</v>
      </c>
      <c r="R6" s="809"/>
      <c r="S6" s="809"/>
      <c r="T6" s="809"/>
      <c r="U6" s="809"/>
      <c r="V6" s="809"/>
      <c r="W6" s="809"/>
      <c r="X6" s="809"/>
      <c r="Y6" s="809"/>
      <c r="Z6" s="809"/>
      <c r="AA6" s="809"/>
      <c r="AB6" s="809"/>
      <c r="AC6" s="809"/>
      <c r="AD6" s="809"/>
      <c r="AE6" s="809"/>
      <c r="AF6" s="809"/>
      <c r="AG6" s="809"/>
      <c r="AH6" s="809"/>
      <c r="AI6" s="809"/>
      <c r="AJ6" s="809"/>
      <c r="AK6" s="809"/>
      <c r="AL6" s="809"/>
      <c r="AM6" s="809"/>
      <c r="AN6" s="809"/>
      <c r="AO6" s="809"/>
      <c r="AP6" s="809"/>
      <c r="AQ6" s="809"/>
      <c r="AR6" s="810"/>
      <c r="AS6" s="811" t="s">
        <v>865</v>
      </c>
      <c r="AT6" s="812"/>
      <c r="AU6" s="812"/>
      <c r="AV6" s="812"/>
      <c r="AW6" s="812"/>
      <c r="AX6" s="812"/>
      <c r="AY6" s="812"/>
      <c r="AZ6" s="812"/>
      <c r="BA6" s="813"/>
    </row>
    <row r="7" spans="1:53" ht="16.5" customHeight="1" thickBot="1" x14ac:dyDescent="0.3">
      <c r="A7" s="270"/>
      <c r="B7" s="272"/>
      <c r="C7" s="91"/>
      <c r="D7" s="273"/>
      <c r="E7" s="272"/>
      <c r="F7" s="268"/>
      <c r="G7" s="268"/>
      <c r="H7" s="268"/>
      <c r="I7" s="806"/>
      <c r="J7" s="807"/>
      <c r="K7" s="807"/>
      <c r="L7" s="807"/>
      <c r="M7" s="807"/>
      <c r="N7" s="807"/>
      <c r="O7" s="807"/>
      <c r="P7" s="808"/>
      <c r="Q7" s="817" t="s">
        <v>282</v>
      </c>
      <c r="R7" s="817"/>
      <c r="S7" s="817"/>
      <c r="T7" s="817"/>
      <c r="U7" s="817"/>
      <c r="V7" s="818"/>
      <c r="W7" s="823" t="s">
        <v>283</v>
      </c>
      <c r="X7" s="817"/>
      <c r="Y7" s="817"/>
      <c r="Z7" s="818"/>
      <c r="AA7" s="785" t="s">
        <v>284</v>
      </c>
      <c r="AB7" s="785" t="s">
        <v>5</v>
      </c>
      <c r="AC7" s="785" t="s">
        <v>285</v>
      </c>
      <c r="AD7" s="826"/>
      <c r="AE7" s="826"/>
      <c r="AF7" s="827"/>
      <c r="AG7" s="785" t="s">
        <v>305</v>
      </c>
      <c r="AH7" s="832" t="s">
        <v>850</v>
      </c>
      <c r="AI7" s="833"/>
      <c r="AJ7" s="833"/>
      <c r="AK7" s="833"/>
      <c r="AL7" s="833"/>
      <c r="AM7" s="833"/>
      <c r="AN7" s="833"/>
      <c r="AO7" s="833"/>
      <c r="AP7" s="833"/>
      <c r="AQ7" s="833"/>
      <c r="AR7" s="834"/>
      <c r="AS7" s="814"/>
      <c r="AT7" s="815"/>
      <c r="AU7" s="815"/>
      <c r="AV7" s="815"/>
      <c r="AW7" s="815"/>
      <c r="AX7" s="815"/>
      <c r="AY7" s="815"/>
      <c r="AZ7" s="815"/>
      <c r="BA7" s="816"/>
    </row>
    <row r="8" spans="1:53" ht="15" customHeight="1" x14ac:dyDescent="0.25">
      <c r="A8" s="274"/>
      <c r="B8" s="275"/>
      <c r="C8" s="275"/>
      <c r="D8" s="275"/>
      <c r="E8" s="275"/>
      <c r="F8" s="275"/>
      <c r="G8" s="275"/>
      <c r="H8" s="275"/>
      <c r="I8" s="794" t="s">
        <v>6</v>
      </c>
      <c r="J8" s="797" t="s">
        <v>802</v>
      </c>
      <c r="K8" s="798"/>
      <c r="L8" s="798"/>
      <c r="M8" s="799"/>
      <c r="N8" s="773" t="s">
        <v>849</v>
      </c>
      <c r="O8" s="776" t="s">
        <v>803</v>
      </c>
      <c r="P8" s="777"/>
      <c r="Q8" s="819"/>
      <c r="R8" s="819"/>
      <c r="S8" s="819"/>
      <c r="T8" s="819"/>
      <c r="U8" s="819"/>
      <c r="V8" s="820"/>
      <c r="W8" s="824"/>
      <c r="X8" s="819"/>
      <c r="Y8" s="819"/>
      <c r="Z8" s="820"/>
      <c r="AA8" s="786"/>
      <c r="AB8" s="786"/>
      <c r="AC8" s="786"/>
      <c r="AD8" s="828"/>
      <c r="AE8" s="828"/>
      <c r="AF8" s="829"/>
      <c r="AG8" s="786"/>
      <c r="AH8" s="780" t="s">
        <v>286</v>
      </c>
      <c r="AI8" s="781"/>
      <c r="AJ8" s="837" t="s">
        <v>287</v>
      </c>
      <c r="AK8" s="835" t="s">
        <v>842</v>
      </c>
      <c r="AL8" s="836"/>
      <c r="AM8" s="837" t="s">
        <v>820</v>
      </c>
      <c r="AN8" s="780" t="s">
        <v>288</v>
      </c>
      <c r="AO8" s="781"/>
      <c r="AP8" s="788" t="s">
        <v>851</v>
      </c>
      <c r="AQ8" s="789"/>
      <c r="AR8" s="790"/>
      <c r="AS8" s="794" t="s">
        <v>6</v>
      </c>
      <c r="AT8" s="797" t="s">
        <v>802</v>
      </c>
      <c r="AU8" s="798"/>
      <c r="AV8" s="798"/>
      <c r="AW8" s="798"/>
      <c r="AX8" s="799"/>
      <c r="AY8" s="773" t="s">
        <v>849</v>
      </c>
      <c r="AZ8" s="776" t="s">
        <v>804</v>
      </c>
      <c r="BA8" s="777"/>
    </row>
    <row r="9" spans="1:53" ht="15.75" customHeight="1" thickBot="1" x14ac:dyDescent="0.3">
      <c r="A9" s="276" t="s">
        <v>799</v>
      </c>
      <c r="B9" s="91"/>
      <c r="C9" s="91"/>
      <c r="D9" s="277"/>
      <c r="E9" s="91"/>
      <c r="F9" s="278"/>
      <c r="G9" s="279"/>
      <c r="H9" s="279"/>
      <c r="I9" s="795"/>
      <c r="J9" s="800"/>
      <c r="K9" s="801"/>
      <c r="L9" s="801"/>
      <c r="M9" s="802"/>
      <c r="N9" s="774"/>
      <c r="O9" s="778"/>
      <c r="P9" s="779"/>
      <c r="Q9" s="821"/>
      <c r="R9" s="821"/>
      <c r="S9" s="821"/>
      <c r="T9" s="821"/>
      <c r="U9" s="821"/>
      <c r="V9" s="822"/>
      <c r="W9" s="825"/>
      <c r="X9" s="821"/>
      <c r="Y9" s="821"/>
      <c r="Z9" s="822"/>
      <c r="AA9" s="786"/>
      <c r="AB9" s="786"/>
      <c r="AC9" s="786"/>
      <c r="AD9" s="830"/>
      <c r="AE9" s="830"/>
      <c r="AF9" s="831"/>
      <c r="AG9" s="786"/>
      <c r="AH9" s="782"/>
      <c r="AI9" s="783"/>
      <c r="AJ9" s="838"/>
      <c r="AK9" s="634" t="s">
        <v>817</v>
      </c>
      <c r="AL9" s="634" t="s">
        <v>818</v>
      </c>
      <c r="AM9" s="838"/>
      <c r="AN9" s="782"/>
      <c r="AO9" s="783"/>
      <c r="AP9" s="791"/>
      <c r="AQ9" s="792"/>
      <c r="AR9" s="793"/>
      <c r="AS9" s="795"/>
      <c r="AT9" s="800"/>
      <c r="AU9" s="801"/>
      <c r="AV9" s="801"/>
      <c r="AW9" s="801"/>
      <c r="AX9" s="802"/>
      <c r="AY9" s="774"/>
      <c r="AZ9" s="778"/>
      <c r="BA9" s="779"/>
    </row>
    <row r="10" spans="1:53" ht="34.5" thickBot="1" x14ac:dyDescent="0.3">
      <c r="A10" s="280" t="s">
        <v>776</v>
      </c>
      <c r="B10" s="281" t="s">
        <v>547</v>
      </c>
      <c r="C10" s="281" t="s">
        <v>548</v>
      </c>
      <c r="D10" s="281" t="s">
        <v>264</v>
      </c>
      <c r="E10" s="166" t="s">
        <v>778</v>
      </c>
      <c r="F10" s="281" t="s">
        <v>0</v>
      </c>
      <c r="G10" s="282" t="s">
        <v>265</v>
      </c>
      <c r="H10" s="37" t="s">
        <v>276</v>
      </c>
      <c r="I10" s="796"/>
      <c r="J10" s="439" t="s">
        <v>274</v>
      </c>
      <c r="K10" s="431" t="s">
        <v>5</v>
      </c>
      <c r="L10" s="431" t="s">
        <v>1</v>
      </c>
      <c r="M10" s="431" t="s">
        <v>7</v>
      </c>
      <c r="N10" s="775"/>
      <c r="O10" s="434" t="s">
        <v>280</v>
      </c>
      <c r="P10" s="435" t="s">
        <v>281</v>
      </c>
      <c r="Q10" s="642" t="s">
        <v>289</v>
      </c>
      <c r="R10" s="433" t="s">
        <v>287</v>
      </c>
      <c r="S10" s="433" t="s">
        <v>819</v>
      </c>
      <c r="T10" s="433" t="s">
        <v>820</v>
      </c>
      <c r="U10" s="433" t="s">
        <v>288</v>
      </c>
      <c r="V10" s="433" t="s">
        <v>821</v>
      </c>
      <c r="W10" s="432" t="s">
        <v>290</v>
      </c>
      <c r="X10" s="433" t="s">
        <v>801</v>
      </c>
      <c r="Y10" s="432" t="s">
        <v>291</v>
      </c>
      <c r="Z10" s="433" t="s">
        <v>768</v>
      </c>
      <c r="AA10" s="787"/>
      <c r="AB10" s="787"/>
      <c r="AC10" s="787"/>
      <c r="AD10" s="433" t="s">
        <v>287</v>
      </c>
      <c r="AE10" s="433" t="s">
        <v>292</v>
      </c>
      <c r="AF10" s="433" t="s">
        <v>769</v>
      </c>
      <c r="AG10" s="787"/>
      <c r="AH10" s="436" t="s">
        <v>280</v>
      </c>
      <c r="AI10" s="437" t="s">
        <v>281</v>
      </c>
      <c r="AJ10" s="436" t="s">
        <v>280</v>
      </c>
      <c r="AK10" s="436" t="s">
        <v>280</v>
      </c>
      <c r="AL10" s="437" t="s">
        <v>281</v>
      </c>
      <c r="AM10" s="436" t="s">
        <v>280</v>
      </c>
      <c r="AN10" s="436" t="s">
        <v>280</v>
      </c>
      <c r="AO10" s="437" t="s">
        <v>281</v>
      </c>
      <c r="AP10" s="436" t="s">
        <v>280</v>
      </c>
      <c r="AQ10" s="437" t="s">
        <v>281</v>
      </c>
      <c r="AR10" s="438" t="s">
        <v>301</v>
      </c>
      <c r="AS10" s="796"/>
      <c r="AT10" s="38" t="s">
        <v>274</v>
      </c>
      <c r="AU10" s="439" t="s">
        <v>283</v>
      </c>
      <c r="AV10" s="431" t="s">
        <v>5</v>
      </c>
      <c r="AW10" s="431" t="s">
        <v>1</v>
      </c>
      <c r="AX10" s="431" t="s">
        <v>7</v>
      </c>
      <c r="AY10" s="775"/>
      <c r="AZ10" s="434" t="s">
        <v>280</v>
      </c>
      <c r="BA10" s="435" t="s">
        <v>281</v>
      </c>
    </row>
    <row r="11" spans="1:53" s="286" customFormat="1" ht="11.25" customHeight="1" thickBot="1" x14ac:dyDescent="0.25">
      <c r="A11" s="283" t="s">
        <v>549</v>
      </c>
      <c r="B11" s="284" t="s">
        <v>550</v>
      </c>
      <c r="C11" s="284" t="s">
        <v>266</v>
      </c>
      <c r="D11" s="284" t="s">
        <v>267</v>
      </c>
      <c r="E11" s="284" t="s">
        <v>551</v>
      </c>
      <c r="F11" s="284" t="s">
        <v>0</v>
      </c>
      <c r="G11" s="284" t="s">
        <v>552</v>
      </c>
      <c r="H11" s="285" t="s">
        <v>772</v>
      </c>
      <c r="I11" s="139" t="s">
        <v>268</v>
      </c>
      <c r="J11" s="140" t="s">
        <v>269</v>
      </c>
      <c r="K11" s="140" t="s">
        <v>270</v>
      </c>
      <c r="L11" s="140" t="s">
        <v>271</v>
      </c>
      <c r="M11" s="140" t="s">
        <v>272</v>
      </c>
      <c r="N11" s="607" t="s">
        <v>273</v>
      </c>
      <c r="O11" s="193" t="s">
        <v>553</v>
      </c>
      <c r="P11" s="194" t="s">
        <v>554</v>
      </c>
      <c r="Q11" s="139" t="s">
        <v>293</v>
      </c>
      <c r="R11" s="140" t="s">
        <v>293</v>
      </c>
      <c r="S11" s="140" t="s">
        <v>293</v>
      </c>
      <c r="T11" s="140" t="s">
        <v>293</v>
      </c>
      <c r="U11" s="140" t="s">
        <v>293</v>
      </c>
      <c r="V11" s="140" t="s">
        <v>293</v>
      </c>
      <c r="W11" s="140" t="s">
        <v>294</v>
      </c>
      <c r="X11" s="140" t="s">
        <v>294</v>
      </c>
      <c r="Y11" s="140" t="s">
        <v>295</v>
      </c>
      <c r="Z11" s="140" t="s">
        <v>294</v>
      </c>
      <c r="AA11" s="140" t="s">
        <v>296</v>
      </c>
      <c r="AB11" s="140" t="s">
        <v>297</v>
      </c>
      <c r="AC11" s="140" t="s">
        <v>298</v>
      </c>
      <c r="AD11" s="140" t="s">
        <v>300</v>
      </c>
      <c r="AE11" s="140" t="s">
        <v>299</v>
      </c>
      <c r="AF11" s="140" t="s">
        <v>299</v>
      </c>
      <c r="AG11" s="140" t="s">
        <v>306</v>
      </c>
      <c r="AH11" s="193" t="s">
        <v>302</v>
      </c>
      <c r="AI11" s="193" t="s">
        <v>303</v>
      </c>
      <c r="AJ11" s="193" t="s">
        <v>302</v>
      </c>
      <c r="AK11" s="193" t="s">
        <v>302</v>
      </c>
      <c r="AL11" s="193" t="s">
        <v>303</v>
      </c>
      <c r="AM11" s="193" t="s">
        <v>302</v>
      </c>
      <c r="AN11" s="193" t="s">
        <v>302</v>
      </c>
      <c r="AO11" s="193" t="s">
        <v>303</v>
      </c>
      <c r="AP11" s="193" t="s">
        <v>302</v>
      </c>
      <c r="AQ11" s="193" t="s">
        <v>303</v>
      </c>
      <c r="AR11" s="194" t="s">
        <v>304</v>
      </c>
      <c r="AS11" s="629" t="s">
        <v>268</v>
      </c>
      <c r="AT11" s="140" t="s">
        <v>269</v>
      </c>
      <c r="AU11" s="140" t="s">
        <v>275</v>
      </c>
      <c r="AV11" s="140" t="s">
        <v>270</v>
      </c>
      <c r="AW11" s="140" t="s">
        <v>271</v>
      </c>
      <c r="AX11" s="140" t="s">
        <v>272</v>
      </c>
      <c r="AY11" s="193" t="s">
        <v>273</v>
      </c>
      <c r="AZ11" s="193" t="s">
        <v>553</v>
      </c>
      <c r="BA11" s="194" t="s">
        <v>554</v>
      </c>
    </row>
    <row r="12" spans="1:53" ht="15" customHeight="1" x14ac:dyDescent="0.25">
      <c r="A12" s="289">
        <v>1</v>
      </c>
      <c r="B12" s="336">
        <v>5415</v>
      </c>
      <c r="C12" s="337">
        <v>667000135</v>
      </c>
      <c r="D12" s="336">
        <v>71011170</v>
      </c>
      <c r="E12" s="362" t="s">
        <v>790</v>
      </c>
      <c r="F12" s="336">
        <v>3111</v>
      </c>
      <c r="G12" s="363" t="s">
        <v>321</v>
      </c>
      <c r="H12" s="339" t="s">
        <v>277</v>
      </c>
      <c r="I12" s="440">
        <f>SUM(J12:M12)</f>
        <v>18787386</v>
      </c>
      <c r="J12" s="441">
        <v>13860806</v>
      </c>
      <c r="K12" s="441">
        <f t="shared" ref="K12:K15" si="0">ROUND(J12*33.8%,0)</f>
        <v>4684952</v>
      </c>
      <c r="L12" s="441">
        <f>ROUND(J12*1%,0)</f>
        <v>138608</v>
      </c>
      <c r="M12" s="441">
        <v>103020</v>
      </c>
      <c r="N12" s="442">
        <f>O12+P12</f>
        <v>28.88</v>
      </c>
      <c r="O12" s="443">
        <v>22.45</v>
      </c>
      <c r="P12" s="586">
        <v>6.4300000000000006</v>
      </c>
      <c r="Q12" s="444">
        <f t="shared" ref="Q12:Q15" si="1">W12*-1</f>
        <v>-52000</v>
      </c>
      <c r="R12" s="445">
        <v>0</v>
      </c>
      <c r="S12" s="675">
        <v>0</v>
      </c>
      <c r="T12" s="445">
        <v>0</v>
      </c>
      <c r="U12" s="445">
        <v>0</v>
      </c>
      <c r="V12" s="445">
        <f>SUM(Q12:U12)</f>
        <v>-52000</v>
      </c>
      <c r="W12" s="445">
        <v>52000</v>
      </c>
      <c r="X12" s="445">
        <v>0</v>
      </c>
      <c r="Y12" s="445">
        <v>0</v>
      </c>
      <c r="Z12" s="445">
        <f t="shared" ref="Z12:Z15" si="2">SUM(W12:Y12)</f>
        <v>52000</v>
      </c>
      <c r="AA12" s="445">
        <f t="shared" ref="AA12:AA15" si="3">V12+Z12</f>
        <v>0</v>
      </c>
      <c r="AB12" s="147">
        <f t="shared" ref="AB12:AB15" si="4">ROUND((V12+W12+X12)*33.8%,0)</f>
        <v>0</v>
      </c>
      <c r="AC12" s="147">
        <f>ROUND(V12*1%,0)</f>
        <v>-520</v>
      </c>
      <c r="AD12" s="445">
        <v>0</v>
      </c>
      <c r="AE12" s="445">
        <v>0</v>
      </c>
      <c r="AF12" s="445">
        <f t="shared" ref="AF12:AF15" si="5">SUM(AD12:AE12)</f>
        <v>0</v>
      </c>
      <c r="AG12" s="445">
        <f t="shared" ref="AG12:AG15" si="6">AA12+AB12+AC12+AF12</f>
        <v>-520</v>
      </c>
      <c r="AH12" s="446">
        <v>0</v>
      </c>
      <c r="AI12" s="446">
        <v>-0.09</v>
      </c>
      <c r="AJ12" s="446">
        <v>0</v>
      </c>
      <c r="AK12" s="446">
        <v>0</v>
      </c>
      <c r="AL12" s="676">
        <v>0</v>
      </c>
      <c r="AM12" s="446">
        <v>0</v>
      </c>
      <c r="AN12" s="446">
        <v>0</v>
      </c>
      <c r="AO12" s="446">
        <v>0</v>
      </c>
      <c r="AP12" s="446">
        <f>AH12+AJ12+AK12+AM12+AN12</f>
        <v>0</v>
      </c>
      <c r="AQ12" s="446">
        <f>AI12+AL12+AO12</f>
        <v>-0.09</v>
      </c>
      <c r="AR12" s="448">
        <f t="shared" ref="AR12:AR15" si="7">SUM(AP12:AQ12)</f>
        <v>-0.09</v>
      </c>
      <c r="AS12" s="444">
        <f>I12+AG12</f>
        <v>18786866</v>
      </c>
      <c r="AT12" s="445">
        <f>J12+V12</f>
        <v>13808806</v>
      </c>
      <c r="AU12" s="445">
        <f>Z12</f>
        <v>52000</v>
      </c>
      <c r="AV12" s="445">
        <f t="shared" ref="AV12:AW15" si="8">K12+AB12</f>
        <v>4684952</v>
      </c>
      <c r="AW12" s="445">
        <f t="shared" si="8"/>
        <v>138088</v>
      </c>
      <c r="AX12" s="445">
        <f>M12+AF12</f>
        <v>103020</v>
      </c>
      <c r="AY12" s="446">
        <f>N12+AR12</f>
        <v>28.79</v>
      </c>
      <c r="AZ12" s="446">
        <f t="shared" ref="AZ12:BA15" si="9">O12+AP12</f>
        <v>22.45</v>
      </c>
      <c r="BA12" s="448">
        <f t="shared" si="9"/>
        <v>6.3400000000000007</v>
      </c>
    </row>
    <row r="13" spans="1:53" ht="13.5" customHeight="1" x14ac:dyDescent="0.25">
      <c r="A13" s="300">
        <v>1</v>
      </c>
      <c r="B13" s="340">
        <v>5415</v>
      </c>
      <c r="C13" s="341">
        <v>667000135</v>
      </c>
      <c r="D13" s="340">
        <v>71011170</v>
      </c>
      <c r="E13" s="362" t="s">
        <v>790</v>
      </c>
      <c r="F13" s="340">
        <v>3111</v>
      </c>
      <c r="G13" s="303" t="s">
        <v>308</v>
      </c>
      <c r="H13" s="303" t="s">
        <v>278</v>
      </c>
      <c r="I13" s="462">
        <f t="shared" ref="I13" si="10">SUM(J13:M13)</f>
        <v>0</v>
      </c>
      <c r="J13" s="457">
        <v>0</v>
      </c>
      <c r="K13" s="457">
        <f t="shared" si="0"/>
        <v>0</v>
      </c>
      <c r="L13" s="457">
        <f>ROUND(J13*1%,0)</f>
        <v>0</v>
      </c>
      <c r="M13" s="457">
        <v>0</v>
      </c>
      <c r="N13" s="458">
        <f t="shared" ref="N13:N15" si="11">O13+P13</f>
        <v>0</v>
      </c>
      <c r="O13" s="459">
        <v>0</v>
      </c>
      <c r="P13" s="646">
        <v>0</v>
      </c>
      <c r="Q13" s="469">
        <f t="shared" si="1"/>
        <v>0</v>
      </c>
      <c r="R13" s="460">
        <v>652553</v>
      </c>
      <c r="S13" s="673">
        <v>0</v>
      </c>
      <c r="T13" s="460">
        <v>0</v>
      </c>
      <c r="U13" s="460">
        <v>0</v>
      </c>
      <c r="V13" s="460">
        <f>SUM(Q13:U13)</f>
        <v>652553</v>
      </c>
      <c r="W13" s="460">
        <v>0</v>
      </c>
      <c r="X13" s="460">
        <v>0</v>
      </c>
      <c r="Y13" s="460">
        <v>0</v>
      </c>
      <c r="Z13" s="460">
        <f t="shared" si="2"/>
        <v>0</v>
      </c>
      <c r="AA13" s="460">
        <f t="shared" si="3"/>
        <v>652553</v>
      </c>
      <c r="AB13" s="69">
        <f t="shared" si="4"/>
        <v>220563</v>
      </c>
      <c r="AC13" s="69">
        <f>ROUND(V13*1%,0)</f>
        <v>6526</v>
      </c>
      <c r="AD13" s="460">
        <v>0</v>
      </c>
      <c r="AE13" s="460">
        <v>0</v>
      </c>
      <c r="AF13" s="460">
        <f t="shared" si="5"/>
        <v>0</v>
      </c>
      <c r="AG13" s="460">
        <f t="shared" si="6"/>
        <v>879642</v>
      </c>
      <c r="AH13" s="461">
        <v>0</v>
      </c>
      <c r="AI13" s="461">
        <v>0</v>
      </c>
      <c r="AJ13" s="461">
        <v>1.85</v>
      </c>
      <c r="AK13" s="461">
        <v>0</v>
      </c>
      <c r="AL13" s="674">
        <v>0</v>
      </c>
      <c r="AM13" s="461">
        <v>0</v>
      </c>
      <c r="AN13" s="461">
        <v>0</v>
      </c>
      <c r="AO13" s="461">
        <v>0</v>
      </c>
      <c r="AP13" s="461">
        <f>AH13+AJ13+AK13+AM13+AN13</f>
        <v>1.85</v>
      </c>
      <c r="AQ13" s="461">
        <f>AI13+AL13+AO13</f>
        <v>0</v>
      </c>
      <c r="AR13" s="463">
        <f t="shared" si="7"/>
        <v>1.85</v>
      </c>
      <c r="AS13" s="469">
        <f>I13+AG13</f>
        <v>879642</v>
      </c>
      <c r="AT13" s="460">
        <f>J13+V13</f>
        <v>652553</v>
      </c>
      <c r="AU13" s="460">
        <f>Z13</f>
        <v>0</v>
      </c>
      <c r="AV13" s="460">
        <f t="shared" si="8"/>
        <v>220563</v>
      </c>
      <c r="AW13" s="460">
        <f t="shared" si="8"/>
        <v>6526</v>
      </c>
      <c r="AX13" s="460">
        <f>M13+AF13</f>
        <v>0</v>
      </c>
      <c r="AY13" s="461">
        <f>N13+AR13</f>
        <v>1.85</v>
      </c>
      <c r="AZ13" s="461">
        <f t="shared" si="9"/>
        <v>1.85</v>
      </c>
      <c r="BA13" s="463">
        <f t="shared" si="9"/>
        <v>0</v>
      </c>
    </row>
    <row r="14" spans="1:53" ht="12.95" customHeight="1" x14ac:dyDescent="0.25">
      <c r="A14" s="300">
        <v>1</v>
      </c>
      <c r="B14" s="340">
        <v>5415</v>
      </c>
      <c r="C14" s="341">
        <v>667000135</v>
      </c>
      <c r="D14" s="340">
        <v>71011170</v>
      </c>
      <c r="E14" s="362" t="s">
        <v>790</v>
      </c>
      <c r="F14" s="340">
        <v>3111</v>
      </c>
      <c r="G14" s="305" t="s">
        <v>309</v>
      </c>
      <c r="H14" s="303" t="s">
        <v>277</v>
      </c>
      <c r="I14" s="462">
        <f t="shared" ref="I14:I15" si="12">SUM(J14:M14)</f>
        <v>542414</v>
      </c>
      <c r="J14" s="457">
        <v>402384</v>
      </c>
      <c r="K14" s="457">
        <f t="shared" si="0"/>
        <v>136006</v>
      </c>
      <c r="L14" s="457">
        <f t="shared" ref="L14:L15" si="13">ROUND(J14*1%,0)</f>
        <v>4024</v>
      </c>
      <c r="M14" s="457">
        <v>0</v>
      </c>
      <c r="N14" s="458">
        <f t="shared" si="11"/>
        <v>1</v>
      </c>
      <c r="O14" s="459">
        <v>1</v>
      </c>
      <c r="P14" s="646">
        <v>0</v>
      </c>
      <c r="Q14" s="469">
        <f t="shared" si="1"/>
        <v>0</v>
      </c>
      <c r="R14" s="460">
        <v>0</v>
      </c>
      <c r="S14" s="673">
        <v>0</v>
      </c>
      <c r="T14" s="460">
        <v>0</v>
      </c>
      <c r="U14" s="460">
        <v>0</v>
      </c>
      <c r="V14" s="460">
        <f>SUM(Q14:U14)</f>
        <v>0</v>
      </c>
      <c r="W14" s="460">
        <v>0</v>
      </c>
      <c r="X14" s="460">
        <v>0</v>
      </c>
      <c r="Y14" s="460">
        <v>0</v>
      </c>
      <c r="Z14" s="460">
        <f t="shared" si="2"/>
        <v>0</v>
      </c>
      <c r="AA14" s="460">
        <f t="shared" si="3"/>
        <v>0</v>
      </c>
      <c r="AB14" s="69">
        <f t="shared" si="4"/>
        <v>0</v>
      </c>
      <c r="AC14" s="69">
        <f t="shared" ref="AC14:AC15" si="14">ROUND(V14*1%,0)</f>
        <v>0</v>
      </c>
      <c r="AD14" s="460">
        <v>0</v>
      </c>
      <c r="AE14" s="460">
        <v>0</v>
      </c>
      <c r="AF14" s="460">
        <f t="shared" si="5"/>
        <v>0</v>
      </c>
      <c r="AG14" s="460">
        <f t="shared" si="6"/>
        <v>0</v>
      </c>
      <c r="AH14" s="461">
        <v>0</v>
      </c>
      <c r="AI14" s="461">
        <v>0</v>
      </c>
      <c r="AJ14" s="461">
        <v>0</v>
      </c>
      <c r="AK14" s="461">
        <v>0</v>
      </c>
      <c r="AL14" s="674">
        <v>0</v>
      </c>
      <c r="AM14" s="461">
        <v>0</v>
      </c>
      <c r="AN14" s="461">
        <v>0</v>
      </c>
      <c r="AO14" s="461">
        <v>0</v>
      </c>
      <c r="AP14" s="461">
        <f>AH14+AJ14+AK14+AM14+AN14</f>
        <v>0</v>
      </c>
      <c r="AQ14" s="461">
        <f>AI14+AL14+AO14</f>
        <v>0</v>
      </c>
      <c r="AR14" s="463">
        <f t="shared" si="7"/>
        <v>0</v>
      </c>
      <c r="AS14" s="469">
        <f>I14+AG14</f>
        <v>542414</v>
      </c>
      <c r="AT14" s="460">
        <f>J14+V14</f>
        <v>402384</v>
      </c>
      <c r="AU14" s="460">
        <f t="shared" ref="AU14:AU15" si="15">Z14</f>
        <v>0</v>
      </c>
      <c r="AV14" s="460">
        <f t="shared" si="8"/>
        <v>136006</v>
      </c>
      <c r="AW14" s="460">
        <f t="shared" si="8"/>
        <v>4024</v>
      </c>
      <c r="AX14" s="460">
        <f>M14+AF14</f>
        <v>0</v>
      </c>
      <c r="AY14" s="461">
        <f>N14+AR14</f>
        <v>1</v>
      </c>
      <c r="AZ14" s="461">
        <f t="shared" si="9"/>
        <v>1</v>
      </c>
      <c r="BA14" s="463">
        <f t="shared" si="9"/>
        <v>0</v>
      </c>
    </row>
    <row r="15" spans="1:53" ht="12.95" customHeight="1" x14ac:dyDescent="0.25">
      <c r="A15" s="300">
        <v>1</v>
      </c>
      <c r="B15" s="340">
        <v>5415</v>
      </c>
      <c r="C15" s="341">
        <v>667000135</v>
      </c>
      <c r="D15" s="340">
        <v>71011170</v>
      </c>
      <c r="E15" s="362" t="s">
        <v>790</v>
      </c>
      <c r="F15" s="340">
        <v>3141</v>
      </c>
      <c r="G15" s="364" t="s">
        <v>311</v>
      </c>
      <c r="H15" s="303" t="s">
        <v>278</v>
      </c>
      <c r="I15" s="462">
        <f t="shared" si="12"/>
        <v>2435678</v>
      </c>
      <c r="J15" s="457">
        <f>715096+709534+373998</f>
        <v>1798628</v>
      </c>
      <c r="K15" s="457">
        <f t="shared" si="0"/>
        <v>607936</v>
      </c>
      <c r="L15" s="457">
        <f t="shared" si="13"/>
        <v>17986</v>
      </c>
      <c r="M15" s="457">
        <f>4680+4628+1820</f>
        <v>11128</v>
      </c>
      <c r="N15" s="458">
        <f t="shared" si="11"/>
        <v>5.78</v>
      </c>
      <c r="O15" s="459">
        <v>0</v>
      </c>
      <c r="P15" s="646">
        <f>2.3+2.28+1.2</f>
        <v>5.78</v>
      </c>
      <c r="Q15" s="469">
        <f t="shared" si="1"/>
        <v>-13000</v>
      </c>
      <c r="R15" s="460">
        <v>0</v>
      </c>
      <c r="S15" s="673">
        <v>0</v>
      </c>
      <c r="T15" s="460">
        <v>0</v>
      </c>
      <c r="U15" s="460">
        <v>0</v>
      </c>
      <c r="V15" s="460">
        <f>SUM(Q15:U15)</f>
        <v>-13000</v>
      </c>
      <c r="W15" s="460">
        <v>13000</v>
      </c>
      <c r="X15" s="460">
        <v>0</v>
      </c>
      <c r="Y15" s="460">
        <v>0</v>
      </c>
      <c r="Z15" s="460">
        <f t="shared" si="2"/>
        <v>13000</v>
      </c>
      <c r="AA15" s="460">
        <f t="shared" si="3"/>
        <v>0</v>
      </c>
      <c r="AB15" s="69">
        <f t="shared" si="4"/>
        <v>0</v>
      </c>
      <c r="AC15" s="69">
        <f t="shared" si="14"/>
        <v>-130</v>
      </c>
      <c r="AD15" s="460">
        <v>0</v>
      </c>
      <c r="AE15" s="460">
        <v>0</v>
      </c>
      <c r="AF15" s="460">
        <f t="shared" si="5"/>
        <v>0</v>
      </c>
      <c r="AG15" s="460">
        <f t="shared" si="6"/>
        <v>-130</v>
      </c>
      <c r="AH15" s="461">
        <v>0</v>
      </c>
      <c r="AI15" s="461">
        <v>0</v>
      </c>
      <c r="AJ15" s="461">
        <v>0</v>
      </c>
      <c r="AK15" s="461">
        <v>0</v>
      </c>
      <c r="AL15" s="674">
        <v>0</v>
      </c>
      <c r="AM15" s="461">
        <v>0</v>
      </c>
      <c r="AN15" s="461">
        <v>0</v>
      </c>
      <c r="AO15" s="461">
        <v>0</v>
      </c>
      <c r="AP15" s="461">
        <f>AH15+AJ15+AK15+AM15+AN15</f>
        <v>0</v>
      </c>
      <c r="AQ15" s="461">
        <f>AI15+AL15+AO15</f>
        <v>0</v>
      </c>
      <c r="AR15" s="463">
        <f t="shared" si="7"/>
        <v>0</v>
      </c>
      <c r="AS15" s="469">
        <f>I15+AG15</f>
        <v>2435548</v>
      </c>
      <c r="AT15" s="460">
        <f>J15+V15</f>
        <v>1785628</v>
      </c>
      <c r="AU15" s="460">
        <f t="shared" si="15"/>
        <v>13000</v>
      </c>
      <c r="AV15" s="460">
        <f t="shared" si="8"/>
        <v>607936</v>
      </c>
      <c r="AW15" s="460">
        <f t="shared" si="8"/>
        <v>17856</v>
      </c>
      <c r="AX15" s="460">
        <f>M15+AF15</f>
        <v>11128</v>
      </c>
      <c r="AY15" s="461">
        <f>N15+AR15</f>
        <v>5.78</v>
      </c>
      <c r="AZ15" s="461">
        <f t="shared" si="9"/>
        <v>0</v>
      </c>
      <c r="BA15" s="463">
        <f t="shared" si="9"/>
        <v>5.78</v>
      </c>
    </row>
    <row r="16" spans="1:53" ht="12.95" customHeight="1" x14ac:dyDescent="0.25">
      <c r="A16" s="310">
        <v>1</v>
      </c>
      <c r="B16" s="294">
        <v>5415</v>
      </c>
      <c r="C16" s="365">
        <v>667000135</v>
      </c>
      <c r="D16" s="294">
        <v>71011170</v>
      </c>
      <c r="E16" s="430" t="s">
        <v>790</v>
      </c>
      <c r="F16" s="294"/>
      <c r="G16" s="366"/>
      <c r="H16" s="367"/>
      <c r="I16" s="536">
        <f t="shared" ref="I16:P16" si="16">SUM(I12:I15)</f>
        <v>21765478</v>
      </c>
      <c r="J16" s="532">
        <f t="shared" si="16"/>
        <v>16061818</v>
      </c>
      <c r="K16" s="532">
        <f t="shared" si="16"/>
        <v>5428894</v>
      </c>
      <c r="L16" s="532">
        <f t="shared" si="16"/>
        <v>160618</v>
      </c>
      <c r="M16" s="532">
        <f t="shared" si="16"/>
        <v>114148</v>
      </c>
      <c r="N16" s="533">
        <f t="shared" si="16"/>
        <v>35.659999999999997</v>
      </c>
      <c r="O16" s="533">
        <f t="shared" si="16"/>
        <v>23.45</v>
      </c>
      <c r="P16" s="298">
        <f t="shared" si="16"/>
        <v>12.21</v>
      </c>
      <c r="Q16" s="538">
        <f t="shared" ref="Q16:BA16" si="17">SUM(Q12:Q15)</f>
        <v>-65000</v>
      </c>
      <c r="R16" s="536">
        <f t="shared" si="17"/>
        <v>652553</v>
      </c>
      <c r="S16" s="536">
        <f t="shared" si="17"/>
        <v>0</v>
      </c>
      <c r="T16" s="536">
        <f t="shared" si="17"/>
        <v>0</v>
      </c>
      <c r="U16" s="536">
        <f t="shared" si="17"/>
        <v>0</v>
      </c>
      <c r="V16" s="536">
        <f t="shared" si="17"/>
        <v>587553</v>
      </c>
      <c r="W16" s="536">
        <f t="shared" si="17"/>
        <v>65000</v>
      </c>
      <c r="X16" s="536">
        <f t="shared" si="17"/>
        <v>0</v>
      </c>
      <c r="Y16" s="536">
        <f t="shared" si="17"/>
        <v>0</v>
      </c>
      <c r="Z16" s="536">
        <f t="shared" si="17"/>
        <v>65000</v>
      </c>
      <c r="AA16" s="536">
        <f t="shared" si="17"/>
        <v>652553</v>
      </c>
      <c r="AB16" s="536">
        <f t="shared" si="17"/>
        <v>220563</v>
      </c>
      <c r="AC16" s="536">
        <f t="shared" si="17"/>
        <v>5876</v>
      </c>
      <c r="AD16" s="536">
        <f t="shared" si="17"/>
        <v>0</v>
      </c>
      <c r="AE16" s="536">
        <f t="shared" si="17"/>
        <v>0</v>
      </c>
      <c r="AF16" s="536">
        <f t="shared" si="17"/>
        <v>0</v>
      </c>
      <c r="AG16" s="536">
        <f t="shared" si="17"/>
        <v>878992</v>
      </c>
      <c r="AH16" s="751">
        <f t="shared" si="17"/>
        <v>0</v>
      </c>
      <c r="AI16" s="751">
        <f t="shared" si="17"/>
        <v>-0.09</v>
      </c>
      <c r="AJ16" s="751">
        <f t="shared" si="17"/>
        <v>1.85</v>
      </c>
      <c r="AK16" s="751">
        <f t="shared" si="17"/>
        <v>0</v>
      </c>
      <c r="AL16" s="751">
        <f t="shared" si="17"/>
        <v>0</v>
      </c>
      <c r="AM16" s="751">
        <f t="shared" si="17"/>
        <v>0</v>
      </c>
      <c r="AN16" s="751">
        <f t="shared" si="17"/>
        <v>0</v>
      </c>
      <c r="AO16" s="751">
        <f t="shared" si="17"/>
        <v>0</v>
      </c>
      <c r="AP16" s="751">
        <f t="shared" si="17"/>
        <v>1.85</v>
      </c>
      <c r="AQ16" s="751">
        <f t="shared" si="17"/>
        <v>-0.09</v>
      </c>
      <c r="AR16" s="751">
        <f t="shared" si="17"/>
        <v>1.76</v>
      </c>
      <c r="AS16" s="538">
        <f t="shared" si="17"/>
        <v>22644470</v>
      </c>
      <c r="AT16" s="538">
        <f t="shared" si="17"/>
        <v>16649371</v>
      </c>
      <c r="AU16" s="538">
        <f t="shared" si="17"/>
        <v>65000</v>
      </c>
      <c r="AV16" s="538">
        <f t="shared" si="17"/>
        <v>5649457</v>
      </c>
      <c r="AW16" s="538">
        <f t="shared" si="17"/>
        <v>166494</v>
      </c>
      <c r="AX16" s="538">
        <f t="shared" si="17"/>
        <v>114148</v>
      </c>
      <c r="AY16" s="538">
        <f t="shared" si="17"/>
        <v>37.42</v>
      </c>
      <c r="AZ16" s="538">
        <f t="shared" si="17"/>
        <v>25.3</v>
      </c>
      <c r="BA16" s="538">
        <f t="shared" si="17"/>
        <v>12.120000000000001</v>
      </c>
    </row>
    <row r="17" spans="1:53" ht="12.95" customHeight="1" x14ac:dyDescent="0.25">
      <c r="A17" s="300">
        <v>2</v>
      </c>
      <c r="B17" s="340">
        <v>5416</v>
      </c>
      <c r="C17" s="341">
        <v>600099342</v>
      </c>
      <c r="D17" s="340">
        <v>854719</v>
      </c>
      <c r="E17" s="368" t="s">
        <v>428</v>
      </c>
      <c r="F17" s="340">
        <v>3113</v>
      </c>
      <c r="G17" s="364" t="s">
        <v>325</v>
      </c>
      <c r="H17" s="303" t="s">
        <v>277</v>
      </c>
      <c r="I17" s="462">
        <f t="shared" ref="I17:I20" si="18">SUM(J17:M17)</f>
        <v>22643540</v>
      </c>
      <c r="J17" s="457">
        <v>16495816</v>
      </c>
      <c r="K17" s="457">
        <f t="shared" ref="K17:K20" si="19">ROUND(J17*33.8%,0)</f>
        <v>5575586</v>
      </c>
      <c r="L17" s="457">
        <f t="shared" ref="L17:L20" si="20">ROUND(J17*1%,0)</f>
        <v>164958</v>
      </c>
      <c r="M17" s="457">
        <v>407180</v>
      </c>
      <c r="N17" s="458">
        <f t="shared" ref="N17:N20" si="21">O17+P17</f>
        <v>27.883499999999998</v>
      </c>
      <c r="O17" s="459">
        <v>22.363499999999998</v>
      </c>
      <c r="P17" s="646">
        <v>5.52</v>
      </c>
      <c r="Q17" s="469">
        <f t="shared" ref="Q17:Q20" si="22">W17*-1</f>
        <v>-110500</v>
      </c>
      <c r="R17" s="460">
        <v>0</v>
      </c>
      <c r="S17" s="673">
        <v>0</v>
      </c>
      <c r="T17" s="460">
        <v>24760</v>
      </c>
      <c r="U17" s="460">
        <v>0</v>
      </c>
      <c r="V17" s="460">
        <f>SUM(Q17:U17)</f>
        <v>-85740</v>
      </c>
      <c r="W17" s="460">
        <v>110500</v>
      </c>
      <c r="X17" s="460">
        <v>0</v>
      </c>
      <c r="Y17" s="460">
        <v>147000</v>
      </c>
      <c r="Z17" s="460">
        <f t="shared" ref="Z17:Z20" si="23">SUM(W17:Y17)</f>
        <v>257500</v>
      </c>
      <c r="AA17" s="460">
        <f t="shared" ref="AA17:AA20" si="24">V17+Z17</f>
        <v>171760</v>
      </c>
      <c r="AB17" s="69">
        <f t="shared" ref="AB17:AB20" si="25">ROUND((V17+W17+X17)*33.8%,0)</f>
        <v>8369</v>
      </c>
      <c r="AC17" s="69">
        <f t="shared" ref="AC17:AC20" si="26">ROUND(V17*1%,0)</f>
        <v>-857</v>
      </c>
      <c r="AD17" s="460">
        <v>0</v>
      </c>
      <c r="AE17" s="460">
        <v>0</v>
      </c>
      <c r="AF17" s="460">
        <f t="shared" ref="AF17:AF20" si="27">SUM(AD17:AE17)</f>
        <v>0</v>
      </c>
      <c r="AG17" s="460">
        <f t="shared" ref="AG17:AG20" si="28">AA17+AB17+AC17+AF17</f>
        <v>179272</v>
      </c>
      <c r="AH17" s="461">
        <v>-0.06</v>
      </c>
      <c r="AI17" s="461">
        <v>0</v>
      </c>
      <c r="AJ17" s="461">
        <v>0</v>
      </c>
      <c r="AK17" s="461">
        <v>0</v>
      </c>
      <c r="AL17" s="674">
        <v>0</v>
      </c>
      <c r="AM17" s="461">
        <v>0.02</v>
      </c>
      <c r="AN17" s="461">
        <v>0</v>
      </c>
      <c r="AO17" s="461">
        <v>0</v>
      </c>
      <c r="AP17" s="461">
        <f>AH17+AJ17+AK17+AM17+AN17</f>
        <v>-3.9999999999999994E-2</v>
      </c>
      <c r="AQ17" s="461">
        <f>AI17+AL17+AO17</f>
        <v>0</v>
      </c>
      <c r="AR17" s="463">
        <f t="shared" ref="AR17:AR20" si="29">SUM(AP17:AQ17)</f>
        <v>-3.9999999999999994E-2</v>
      </c>
      <c r="AS17" s="469">
        <f>I17+AG17</f>
        <v>22822812</v>
      </c>
      <c r="AT17" s="460">
        <f>J17+V17</f>
        <v>16410076</v>
      </c>
      <c r="AU17" s="460">
        <f t="shared" ref="AU17:AU20" si="30">Z17</f>
        <v>257500</v>
      </c>
      <c r="AV17" s="460">
        <f t="shared" ref="AV17:AW20" si="31">K17+AB17</f>
        <v>5583955</v>
      </c>
      <c r="AW17" s="460">
        <f t="shared" si="31"/>
        <v>164101</v>
      </c>
      <c r="AX17" s="460">
        <f>M17+AF17</f>
        <v>407180</v>
      </c>
      <c r="AY17" s="461">
        <f>N17+AR17</f>
        <v>27.843499999999999</v>
      </c>
      <c r="AZ17" s="461">
        <f t="shared" ref="AZ17:BA20" si="32">O17+AP17</f>
        <v>22.323499999999999</v>
      </c>
      <c r="BA17" s="463">
        <f t="shared" si="32"/>
        <v>5.52</v>
      </c>
    </row>
    <row r="18" spans="1:53" ht="12.95" customHeight="1" x14ac:dyDescent="0.25">
      <c r="A18" s="300">
        <v>2</v>
      </c>
      <c r="B18" s="340">
        <v>5416</v>
      </c>
      <c r="C18" s="341">
        <v>600099342</v>
      </c>
      <c r="D18" s="340">
        <v>854719</v>
      </c>
      <c r="E18" s="368" t="s">
        <v>428</v>
      </c>
      <c r="F18" s="340">
        <v>3113</v>
      </c>
      <c r="G18" s="303" t="s">
        <v>308</v>
      </c>
      <c r="H18" s="303" t="s">
        <v>278</v>
      </c>
      <c r="I18" s="462">
        <f t="shared" si="18"/>
        <v>0</v>
      </c>
      <c r="J18" s="457">
        <v>0</v>
      </c>
      <c r="K18" s="457">
        <f t="shared" si="19"/>
        <v>0</v>
      </c>
      <c r="L18" s="457">
        <f t="shared" si="20"/>
        <v>0</v>
      </c>
      <c r="M18" s="457">
        <v>0</v>
      </c>
      <c r="N18" s="458">
        <f t="shared" si="21"/>
        <v>0</v>
      </c>
      <c r="O18" s="459">
        <v>0</v>
      </c>
      <c r="P18" s="646">
        <v>0</v>
      </c>
      <c r="Q18" s="469">
        <f t="shared" si="22"/>
        <v>0</v>
      </c>
      <c r="R18" s="460">
        <v>1020112</v>
      </c>
      <c r="S18" s="673">
        <v>0</v>
      </c>
      <c r="T18" s="460">
        <v>0</v>
      </c>
      <c r="U18" s="460">
        <v>0</v>
      </c>
      <c r="V18" s="460">
        <f>SUM(Q18:U18)</f>
        <v>1020112</v>
      </c>
      <c r="W18" s="460">
        <v>0</v>
      </c>
      <c r="X18" s="460">
        <v>0</v>
      </c>
      <c r="Y18" s="460">
        <v>0</v>
      </c>
      <c r="Z18" s="460">
        <f t="shared" si="23"/>
        <v>0</v>
      </c>
      <c r="AA18" s="460">
        <f t="shared" si="24"/>
        <v>1020112</v>
      </c>
      <c r="AB18" s="69">
        <f t="shared" si="25"/>
        <v>344798</v>
      </c>
      <c r="AC18" s="69">
        <f t="shared" si="26"/>
        <v>10201</v>
      </c>
      <c r="AD18" s="460">
        <v>0</v>
      </c>
      <c r="AE18" s="460">
        <v>0</v>
      </c>
      <c r="AF18" s="460">
        <f t="shared" si="27"/>
        <v>0</v>
      </c>
      <c r="AG18" s="460">
        <f t="shared" si="28"/>
        <v>1375111</v>
      </c>
      <c r="AH18" s="461">
        <v>0</v>
      </c>
      <c r="AI18" s="461">
        <v>0</v>
      </c>
      <c r="AJ18" s="461">
        <v>2.95</v>
      </c>
      <c r="AK18" s="461">
        <v>0</v>
      </c>
      <c r="AL18" s="674">
        <v>0</v>
      </c>
      <c r="AM18" s="461">
        <v>0</v>
      </c>
      <c r="AN18" s="461">
        <v>0</v>
      </c>
      <c r="AO18" s="461">
        <v>0</v>
      </c>
      <c r="AP18" s="461">
        <f>AH18+AJ18+AK18+AM18+AN18</f>
        <v>2.95</v>
      </c>
      <c r="AQ18" s="461">
        <f>AI18+AL18+AO18</f>
        <v>0</v>
      </c>
      <c r="AR18" s="463">
        <f t="shared" si="29"/>
        <v>2.95</v>
      </c>
      <c r="AS18" s="469">
        <f>I18+AG18</f>
        <v>1375111</v>
      </c>
      <c r="AT18" s="460">
        <f>J18+V18</f>
        <v>1020112</v>
      </c>
      <c r="AU18" s="460">
        <f t="shared" si="30"/>
        <v>0</v>
      </c>
      <c r="AV18" s="460">
        <f t="shared" si="31"/>
        <v>344798</v>
      </c>
      <c r="AW18" s="460">
        <f t="shared" si="31"/>
        <v>10201</v>
      </c>
      <c r="AX18" s="460">
        <f>M18+AF18</f>
        <v>0</v>
      </c>
      <c r="AY18" s="461">
        <f>N18+AR18</f>
        <v>2.95</v>
      </c>
      <c r="AZ18" s="461">
        <f t="shared" si="32"/>
        <v>2.95</v>
      </c>
      <c r="BA18" s="463">
        <f t="shared" si="32"/>
        <v>0</v>
      </c>
    </row>
    <row r="19" spans="1:53" ht="12.95" customHeight="1" x14ac:dyDescent="0.25">
      <c r="A19" s="300">
        <v>2</v>
      </c>
      <c r="B19" s="340">
        <v>5416</v>
      </c>
      <c r="C19" s="341">
        <v>600099342</v>
      </c>
      <c r="D19" s="340">
        <v>854719</v>
      </c>
      <c r="E19" s="368" t="s">
        <v>428</v>
      </c>
      <c r="F19" s="340">
        <v>3143</v>
      </c>
      <c r="G19" s="303" t="s">
        <v>616</v>
      </c>
      <c r="H19" s="303" t="s">
        <v>277</v>
      </c>
      <c r="I19" s="462">
        <f t="shared" si="18"/>
        <v>1983023</v>
      </c>
      <c r="J19" s="457">
        <v>1471085</v>
      </c>
      <c r="K19" s="457">
        <f t="shared" si="19"/>
        <v>497227</v>
      </c>
      <c r="L19" s="457">
        <f t="shared" si="20"/>
        <v>14711</v>
      </c>
      <c r="M19" s="457">
        <v>0</v>
      </c>
      <c r="N19" s="458">
        <f t="shared" si="21"/>
        <v>2.8571</v>
      </c>
      <c r="O19" s="459">
        <v>2.8571</v>
      </c>
      <c r="P19" s="646">
        <v>0</v>
      </c>
      <c r="Q19" s="469">
        <f t="shared" si="22"/>
        <v>0</v>
      </c>
      <c r="R19" s="460">
        <v>0</v>
      </c>
      <c r="S19" s="673">
        <v>0</v>
      </c>
      <c r="T19" s="460">
        <v>0</v>
      </c>
      <c r="U19" s="460">
        <v>0</v>
      </c>
      <c r="V19" s="460">
        <f>SUM(Q19:U19)</f>
        <v>0</v>
      </c>
      <c r="W19" s="460">
        <v>0</v>
      </c>
      <c r="X19" s="460">
        <v>0</v>
      </c>
      <c r="Y19" s="460">
        <v>0</v>
      </c>
      <c r="Z19" s="460">
        <f t="shared" si="23"/>
        <v>0</v>
      </c>
      <c r="AA19" s="460">
        <f t="shared" si="24"/>
        <v>0</v>
      </c>
      <c r="AB19" s="69">
        <f t="shared" si="25"/>
        <v>0</v>
      </c>
      <c r="AC19" s="69">
        <f t="shared" si="26"/>
        <v>0</v>
      </c>
      <c r="AD19" s="460">
        <v>0</v>
      </c>
      <c r="AE19" s="460">
        <v>0</v>
      </c>
      <c r="AF19" s="460">
        <f t="shared" si="27"/>
        <v>0</v>
      </c>
      <c r="AG19" s="460">
        <f t="shared" si="28"/>
        <v>0</v>
      </c>
      <c r="AH19" s="461">
        <v>0</v>
      </c>
      <c r="AI19" s="461">
        <v>0</v>
      </c>
      <c r="AJ19" s="461">
        <v>0</v>
      </c>
      <c r="AK19" s="461">
        <v>0</v>
      </c>
      <c r="AL19" s="674">
        <v>0</v>
      </c>
      <c r="AM19" s="461">
        <v>0</v>
      </c>
      <c r="AN19" s="461">
        <v>0</v>
      </c>
      <c r="AO19" s="461">
        <v>0</v>
      </c>
      <c r="AP19" s="461">
        <f>AH19+AJ19+AK19+AM19+AN19</f>
        <v>0</v>
      </c>
      <c r="AQ19" s="461">
        <f>AI19+AL19+AO19</f>
        <v>0</v>
      </c>
      <c r="AR19" s="463">
        <f t="shared" si="29"/>
        <v>0</v>
      </c>
      <c r="AS19" s="469">
        <f>I19+AG19</f>
        <v>1983023</v>
      </c>
      <c r="AT19" s="460">
        <f>J19+V19</f>
        <v>1471085</v>
      </c>
      <c r="AU19" s="460">
        <f t="shared" si="30"/>
        <v>0</v>
      </c>
      <c r="AV19" s="460">
        <f t="shared" si="31"/>
        <v>497227</v>
      </c>
      <c r="AW19" s="460">
        <f t="shared" si="31"/>
        <v>14711</v>
      </c>
      <c r="AX19" s="460">
        <f>M19+AF19</f>
        <v>0</v>
      </c>
      <c r="AY19" s="461">
        <f>N19+AR19</f>
        <v>2.8571</v>
      </c>
      <c r="AZ19" s="461">
        <f t="shared" si="32"/>
        <v>2.8571</v>
      </c>
      <c r="BA19" s="463">
        <f t="shared" si="32"/>
        <v>0</v>
      </c>
    </row>
    <row r="20" spans="1:53" ht="12.95" customHeight="1" x14ac:dyDescent="0.25">
      <c r="A20" s="300">
        <v>2</v>
      </c>
      <c r="B20" s="340">
        <v>5416</v>
      </c>
      <c r="C20" s="341">
        <v>600099342</v>
      </c>
      <c r="D20" s="340">
        <v>854719</v>
      </c>
      <c r="E20" s="368" t="s">
        <v>428</v>
      </c>
      <c r="F20" s="340">
        <v>3143</v>
      </c>
      <c r="G20" s="303" t="s">
        <v>617</v>
      </c>
      <c r="H20" s="303" t="s">
        <v>278</v>
      </c>
      <c r="I20" s="462">
        <f t="shared" si="18"/>
        <v>65237</v>
      </c>
      <c r="J20" s="457">
        <v>46613</v>
      </c>
      <c r="K20" s="457">
        <f t="shared" si="19"/>
        <v>15755</v>
      </c>
      <c r="L20" s="457">
        <f t="shared" si="20"/>
        <v>466</v>
      </c>
      <c r="M20" s="457">
        <v>2403</v>
      </c>
      <c r="N20" s="458">
        <f t="shared" si="21"/>
        <v>0.19</v>
      </c>
      <c r="O20" s="459">
        <v>0</v>
      </c>
      <c r="P20" s="646">
        <v>0.19</v>
      </c>
      <c r="Q20" s="469">
        <f t="shared" si="22"/>
        <v>0</v>
      </c>
      <c r="R20" s="460">
        <v>0</v>
      </c>
      <c r="S20" s="673">
        <v>0</v>
      </c>
      <c r="T20" s="460">
        <v>0</v>
      </c>
      <c r="U20" s="460">
        <v>0</v>
      </c>
      <c r="V20" s="460">
        <f>SUM(Q20:U20)</f>
        <v>0</v>
      </c>
      <c r="W20" s="460">
        <v>0</v>
      </c>
      <c r="X20" s="460">
        <v>0</v>
      </c>
      <c r="Y20" s="460">
        <v>0</v>
      </c>
      <c r="Z20" s="460">
        <f t="shared" si="23"/>
        <v>0</v>
      </c>
      <c r="AA20" s="460">
        <f t="shared" si="24"/>
        <v>0</v>
      </c>
      <c r="AB20" s="69">
        <f t="shared" si="25"/>
        <v>0</v>
      </c>
      <c r="AC20" s="69">
        <f t="shared" si="26"/>
        <v>0</v>
      </c>
      <c r="AD20" s="460">
        <v>0</v>
      </c>
      <c r="AE20" s="460">
        <v>0</v>
      </c>
      <c r="AF20" s="460">
        <f t="shared" si="27"/>
        <v>0</v>
      </c>
      <c r="AG20" s="460">
        <f t="shared" si="28"/>
        <v>0</v>
      </c>
      <c r="AH20" s="461">
        <v>0</v>
      </c>
      <c r="AI20" s="461">
        <v>0</v>
      </c>
      <c r="AJ20" s="461">
        <v>0</v>
      </c>
      <c r="AK20" s="461">
        <v>0</v>
      </c>
      <c r="AL20" s="674">
        <v>0</v>
      </c>
      <c r="AM20" s="461">
        <v>0</v>
      </c>
      <c r="AN20" s="461">
        <v>0</v>
      </c>
      <c r="AO20" s="461">
        <v>0</v>
      </c>
      <c r="AP20" s="461">
        <f>AH20+AJ20+AK20+AM20+AN20</f>
        <v>0</v>
      </c>
      <c r="AQ20" s="461">
        <f>AI20+AL20+AO20</f>
        <v>0</v>
      </c>
      <c r="AR20" s="463">
        <f t="shared" si="29"/>
        <v>0</v>
      </c>
      <c r="AS20" s="469">
        <f>I20+AG20</f>
        <v>65237</v>
      </c>
      <c r="AT20" s="460">
        <f>J20+V20</f>
        <v>46613</v>
      </c>
      <c r="AU20" s="460">
        <f t="shared" si="30"/>
        <v>0</v>
      </c>
      <c r="AV20" s="460">
        <f t="shared" si="31"/>
        <v>15755</v>
      </c>
      <c r="AW20" s="460">
        <f t="shared" si="31"/>
        <v>466</v>
      </c>
      <c r="AX20" s="460">
        <f>M20+AF20</f>
        <v>2403</v>
      </c>
      <c r="AY20" s="461">
        <f>N20+AR20</f>
        <v>0.19</v>
      </c>
      <c r="AZ20" s="461">
        <f t="shared" si="32"/>
        <v>0</v>
      </c>
      <c r="BA20" s="463">
        <f t="shared" si="32"/>
        <v>0.19</v>
      </c>
    </row>
    <row r="21" spans="1:53" ht="12.95" customHeight="1" x14ac:dyDescent="0.25">
      <c r="A21" s="310">
        <v>2</v>
      </c>
      <c r="B21" s="344">
        <v>5416</v>
      </c>
      <c r="C21" s="345">
        <v>600099342</v>
      </c>
      <c r="D21" s="344">
        <v>854719</v>
      </c>
      <c r="E21" s="369" t="s">
        <v>429</v>
      </c>
      <c r="F21" s="344"/>
      <c r="G21" s="370"/>
      <c r="H21" s="371"/>
      <c r="I21" s="536">
        <f t="shared" ref="I21:P21" si="33">SUM(I17:I20)</f>
        <v>24691800</v>
      </c>
      <c r="J21" s="532">
        <f t="shared" si="33"/>
        <v>18013514</v>
      </c>
      <c r="K21" s="532">
        <f t="shared" si="33"/>
        <v>6088568</v>
      </c>
      <c r="L21" s="532">
        <f t="shared" si="33"/>
        <v>180135</v>
      </c>
      <c r="M21" s="532">
        <f t="shared" si="33"/>
        <v>409583</v>
      </c>
      <c r="N21" s="533">
        <f t="shared" si="33"/>
        <v>30.930599999999998</v>
      </c>
      <c r="O21" s="533">
        <f t="shared" si="33"/>
        <v>25.220599999999997</v>
      </c>
      <c r="P21" s="298">
        <f t="shared" si="33"/>
        <v>5.71</v>
      </c>
      <c r="Q21" s="538">
        <f t="shared" ref="Q21:BA21" si="34">SUM(Q17:Q20)</f>
        <v>-110500</v>
      </c>
      <c r="R21" s="532">
        <f t="shared" si="34"/>
        <v>1020112</v>
      </c>
      <c r="S21" s="532">
        <f t="shared" si="34"/>
        <v>0</v>
      </c>
      <c r="T21" s="532">
        <f t="shared" si="34"/>
        <v>24760</v>
      </c>
      <c r="U21" s="532">
        <f t="shared" si="34"/>
        <v>0</v>
      </c>
      <c r="V21" s="532">
        <f t="shared" si="34"/>
        <v>934372</v>
      </c>
      <c r="W21" s="532">
        <f t="shared" si="34"/>
        <v>110500</v>
      </c>
      <c r="X21" s="532">
        <f t="shared" si="34"/>
        <v>0</v>
      </c>
      <c r="Y21" s="532">
        <f t="shared" si="34"/>
        <v>147000</v>
      </c>
      <c r="Z21" s="532">
        <f t="shared" si="34"/>
        <v>257500</v>
      </c>
      <c r="AA21" s="532">
        <f t="shared" si="34"/>
        <v>1191872</v>
      </c>
      <c r="AB21" s="532">
        <f t="shared" si="34"/>
        <v>353167</v>
      </c>
      <c r="AC21" s="532">
        <f t="shared" si="34"/>
        <v>9344</v>
      </c>
      <c r="AD21" s="532">
        <f t="shared" si="34"/>
        <v>0</v>
      </c>
      <c r="AE21" s="532">
        <f t="shared" si="34"/>
        <v>0</v>
      </c>
      <c r="AF21" s="532">
        <f t="shared" si="34"/>
        <v>0</v>
      </c>
      <c r="AG21" s="532">
        <f t="shared" si="34"/>
        <v>1554383</v>
      </c>
      <c r="AH21" s="533">
        <f t="shared" si="34"/>
        <v>-0.06</v>
      </c>
      <c r="AI21" s="533">
        <f t="shared" si="34"/>
        <v>0</v>
      </c>
      <c r="AJ21" s="533">
        <f t="shared" si="34"/>
        <v>2.95</v>
      </c>
      <c r="AK21" s="533">
        <f t="shared" si="34"/>
        <v>0</v>
      </c>
      <c r="AL21" s="533">
        <f t="shared" si="34"/>
        <v>0</v>
      </c>
      <c r="AM21" s="533">
        <f t="shared" si="34"/>
        <v>0.02</v>
      </c>
      <c r="AN21" s="533">
        <f t="shared" si="34"/>
        <v>0</v>
      </c>
      <c r="AO21" s="533">
        <f t="shared" si="34"/>
        <v>0</v>
      </c>
      <c r="AP21" s="533">
        <f t="shared" si="34"/>
        <v>2.91</v>
      </c>
      <c r="AQ21" s="533">
        <f t="shared" si="34"/>
        <v>0</v>
      </c>
      <c r="AR21" s="298">
        <f t="shared" si="34"/>
        <v>2.91</v>
      </c>
      <c r="AS21" s="538">
        <f t="shared" si="34"/>
        <v>26246183</v>
      </c>
      <c r="AT21" s="532">
        <f t="shared" si="34"/>
        <v>18947886</v>
      </c>
      <c r="AU21" s="532">
        <f t="shared" si="34"/>
        <v>257500</v>
      </c>
      <c r="AV21" s="532">
        <f t="shared" si="34"/>
        <v>6441735</v>
      </c>
      <c r="AW21" s="532">
        <f t="shared" si="34"/>
        <v>189479</v>
      </c>
      <c r="AX21" s="532">
        <f t="shared" si="34"/>
        <v>409583</v>
      </c>
      <c r="AY21" s="533">
        <f t="shared" si="34"/>
        <v>33.840599999999995</v>
      </c>
      <c r="AZ21" s="533">
        <f t="shared" si="34"/>
        <v>28.130599999999998</v>
      </c>
      <c r="BA21" s="298">
        <f t="shared" si="34"/>
        <v>5.71</v>
      </c>
    </row>
    <row r="22" spans="1:53" ht="12.95" customHeight="1" x14ac:dyDescent="0.25">
      <c r="A22" s="300">
        <v>3</v>
      </c>
      <c r="B22" s="340">
        <v>5413</v>
      </c>
      <c r="C22" s="341">
        <v>600099334</v>
      </c>
      <c r="D22" s="340">
        <v>854697</v>
      </c>
      <c r="E22" s="368" t="s">
        <v>430</v>
      </c>
      <c r="F22" s="340">
        <v>3113</v>
      </c>
      <c r="G22" s="364" t="s">
        <v>325</v>
      </c>
      <c r="H22" s="303" t="s">
        <v>277</v>
      </c>
      <c r="I22" s="462">
        <f t="shared" ref="I22:I26" si="35">SUM(J22:M22)</f>
        <v>26308576</v>
      </c>
      <c r="J22" s="457">
        <v>19175865</v>
      </c>
      <c r="K22" s="457">
        <f t="shared" ref="K22:K26" si="36">ROUND(J22*33.8%,0)</f>
        <v>6481442</v>
      </c>
      <c r="L22" s="457">
        <f t="shared" ref="L22:L26" si="37">ROUND(J22*1%,0)</f>
        <v>191759</v>
      </c>
      <c r="M22" s="457">
        <v>459510</v>
      </c>
      <c r="N22" s="458">
        <f t="shared" ref="N22:N26" si="38">O22+P22</f>
        <v>31.791499999999999</v>
      </c>
      <c r="O22" s="459">
        <v>25.5915</v>
      </c>
      <c r="P22" s="717">
        <v>6.2</v>
      </c>
      <c r="Q22" s="469">
        <f t="shared" ref="Q22:Q26" si="39">W22*-1</f>
        <v>-71500</v>
      </c>
      <c r="R22" s="460">
        <v>0</v>
      </c>
      <c r="S22" s="673">
        <v>0</v>
      </c>
      <c r="T22" s="460">
        <v>0</v>
      </c>
      <c r="U22" s="460">
        <v>0</v>
      </c>
      <c r="V22" s="460">
        <f>SUM(Q22:U22)</f>
        <v>-71500</v>
      </c>
      <c r="W22" s="460">
        <v>71500</v>
      </c>
      <c r="X22" s="460">
        <v>0</v>
      </c>
      <c r="Y22" s="460">
        <v>0</v>
      </c>
      <c r="Z22" s="460">
        <f t="shared" ref="Z22:Z26" si="40">SUM(W22:Y22)</f>
        <v>71500</v>
      </c>
      <c r="AA22" s="460">
        <f t="shared" ref="AA22:AA26" si="41">V22+Z22</f>
        <v>0</v>
      </c>
      <c r="AB22" s="69">
        <f t="shared" ref="AB22:AB26" si="42">ROUND((V22+W22+X22)*33.8%,0)</f>
        <v>0</v>
      </c>
      <c r="AC22" s="69">
        <f t="shared" ref="AC22:AC26" si="43">ROUND(V22*1%,0)</f>
        <v>-715</v>
      </c>
      <c r="AD22" s="460">
        <v>0</v>
      </c>
      <c r="AE22" s="460">
        <v>0</v>
      </c>
      <c r="AF22" s="460">
        <f t="shared" ref="AF22:AF26" si="44">SUM(AD22:AE22)</f>
        <v>0</v>
      </c>
      <c r="AG22" s="460">
        <f t="shared" ref="AG22:AG26" si="45">AA22+AB22+AC22+AF22</f>
        <v>-715</v>
      </c>
      <c r="AH22" s="461">
        <v>-0.02</v>
      </c>
      <c r="AI22" s="461">
        <v>-0.12</v>
      </c>
      <c r="AJ22" s="461">
        <v>0</v>
      </c>
      <c r="AK22" s="461">
        <v>0</v>
      </c>
      <c r="AL22" s="674">
        <v>0</v>
      </c>
      <c r="AM22" s="461">
        <v>0</v>
      </c>
      <c r="AN22" s="461">
        <v>0</v>
      </c>
      <c r="AO22" s="461">
        <v>0</v>
      </c>
      <c r="AP22" s="461">
        <f>AH22+AJ22+AK22+AM22+AN22</f>
        <v>-0.02</v>
      </c>
      <c r="AQ22" s="461">
        <f>AI22+AL22+AO22</f>
        <v>-0.12</v>
      </c>
      <c r="AR22" s="463">
        <f t="shared" ref="AR22:AR26" si="46">SUM(AP22:AQ22)</f>
        <v>-0.13999999999999999</v>
      </c>
      <c r="AS22" s="469">
        <f>I22+AG22</f>
        <v>26307861</v>
      </c>
      <c r="AT22" s="460">
        <f>J22+V22</f>
        <v>19104365</v>
      </c>
      <c r="AU22" s="460">
        <f t="shared" ref="AU22:AU26" si="47">Z22</f>
        <v>71500</v>
      </c>
      <c r="AV22" s="460">
        <f t="shared" ref="AV22:AW26" si="48">K22+AB22</f>
        <v>6481442</v>
      </c>
      <c r="AW22" s="460">
        <f t="shared" si="48"/>
        <v>191044</v>
      </c>
      <c r="AX22" s="460">
        <f>M22+AF22</f>
        <v>459510</v>
      </c>
      <c r="AY22" s="461">
        <f>N22+AR22</f>
        <v>31.651499999999999</v>
      </c>
      <c r="AZ22" s="461">
        <f t="shared" ref="AZ22:BA26" si="49">O22+AP22</f>
        <v>25.5715</v>
      </c>
      <c r="BA22" s="463">
        <f t="shared" si="49"/>
        <v>6.08</v>
      </c>
    </row>
    <row r="23" spans="1:53" ht="12.95" customHeight="1" x14ac:dyDescent="0.25">
      <c r="A23" s="300">
        <v>3</v>
      </c>
      <c r="B23" s="340">
        <v>5413</v>
      </c>
      <c r="C23" s="341">
        <v>600099334</v>
      </c>
      <c r="D23" s="340">
        <v>854697</v>
      </c>
      <c r="E23" s="368" t="s">
        <v>430</v>
      </c>
      <c r="F23" s="340">
        <v>3113</v>
      </c>
      <c r="G23" s="303" t="s">
        <v>308</v>
      </c>
      <c r="H23" s="303" t="s">
        <v>278</v>
      </c>
      <c r="I23" s="462">
        <f t="shared" si="35"/>
        <v>0</v>
      </c>
      <c r="J23" s="457">
        <v>0</v>
      </c>
      <c r="K23" s="457">
        <f t="shared" si="36"/>
        <v>0</v>
      </c>
      <c r="L23" s="457">
        <f t="shared" si="37"/>
        <v>0</v>
      </c>
      <c r="M23" s="457">
        <v>0</v>
      </c>
      <c r="N23" s="458">
        <f t="shared" si="38"/>
        <v>0</v>
      </c>
      <c r="O23" s="459">
        <v>0</v>
      </c>
      <c r="P23" s="646">
        <v>0</v>
      </c>
      <c r="Q23" s="469">
        <f t="shared" si="39"/>
        <v>0</v>
      </c>
      <c r="R23" s="460">
        <v>1657482</v>
      </c>
      <c r="S23" s="673">
        <v>0</v>
      </c>
      <c r="T23" s="460">
        <v>0</v>
      </c>
      <c r="U23" s="460">
        <v>0</v>
      </c>
      <c r="V23" s="460">
        <f>SUM(Q23:U23)</f>
        <v>1657482</v>
      </c>
      <c r="W23" s="460">
        <v>0</v>
      </c>
      <c r="X23" s="460">
        <v>0</v>
      </c>
      <c r="Y23" s="460">
        <v>0</v>
      </c>
      <c r="Z23" s="460">
        <f t="shared" si="40"/>
        <v>0</v>
      </c>
      <c r="AA23" s="460">
        <f t="shared" si="41"/>
        <v>1657482</v>
      </c>
      <c r="AB23" s="69">
        <f t="shared" si="42"/>
        <v>560229</v>
      </c>
      <c r="AC23" s="69">
        <f t="shared" si="43"/>
        <v>16575</v>
      </c>
      <c r="AD23" s="460">
        <f>500+500+700</f>
        <v>1700</v>
      </c>
      <c r="AE23" s="460">
        <v>0</v>
      </c>
      <c r="AF23" s="460">
        <f t="shared" si="44"/>
        <v>1700</v>
      </c>
      <c r="AG23" s="460">
        <f t="shared" si="45"/>
        <v>2235986</v>
      </c>
      <c r="AH23" s="461">
        <v>0</v>
      </c>
      <c r="AI23" s="461">
        <v>0</v>
      </c>
      <c r="AJ23" s="461">
        <v>4.43</v>
      </c>
      <c r="AK23" s="461">
        <v>0</v>
      </c>
      <c r="AL23" s="674">
        <v>0</v>
      </c>
      <c r="AM23" s="461">
        <v>0</v>
      </c>
      <c r="AN23" s="461">
        <v>0</v>
      </c>
      <c r="AO23" s="461">
        <v>0</v>
      </c>
      <c r="AP23" s="461">
        <f>AH23+AJ23+AK23+AM23+AN23</f>
        <v>4.43</v>
      </c>
      <c r="AQ23" s="461">
        <f>AI23+AL23+AO23</f>
        <v>0</v>
      </c>
      <c r="AR23" s="463">
        <f t="shared" si="46"/>
        <v>4.43</v>
      </c>
      <c r="AS23" s="469">
        <f>I23+AG23</f>
        <v>2235986</v>
      </c>
      <c r="AT23" s="460">
        <f>J23+V23</f>
        <v>1657482</v>
      </c>
      <c r="AU23" s="460">
        <f t="shared" si="47"/>
        <v>0</v>
      </c>
      <c r="AV23" s="460">
        <f t="shared" si="48"/>
        <v>560229</v>
      </c>
      <c r="AW23" s="460">
        <f t="shared" si="48"/>
        <v>16575</v>
      </c>
      <c r="AX23" s="460">
        <f>M23+AF23</f>
        <v>1700</v>
      </c>
      <c r="AY23" s="461">
        <f>N23+AR23</f>
        <v>4.43</v>
      </c>
      <c r="AZ23" s="461">
        <f t="shared" si="49"/>
        <v>4.43</v>
      </c>
      <c r="BA23" s="463">
        <f t="shared" si="49"/>
        <v>0</v>
      </c>
    </row>
    <row r="24" spans="1:53" ht="12.95" customHeight="1" x14ac:dyDescent="0.25">
      <c r="A24" s="300">
        <v>3</v>
      </c>
      <c r="B24" s="340">
        <v>5413</v>
      </c>
      <c r="C24" s="341">
        <v>600099334</v>
      </c>
      <c r="D24" s="340">
        <v>854697</v>
      </c>
      <c r="E24" s="368" t="s">
        <v>430</v>
      </c>
      <c r="F24" s="340">
        <v>3143</v>
      </c>
      <c r="G24" s="303" t="s">
        <v>616</v>
      </c>
      <c r="H24" s="303" t="s">
        <v>277</v>
      </c>
      <c r="I24" s="462">
        <f t="shared" si="35"/>
        <v>1939106</v>
      </c>
      <c r="J24" s="457">
        <v>1438506</v>
      </c>
      <c r="K24" s="457">
        <f t="shared" si="36"/>
        <v>486215</v>
      </c>
      <c r="L24" s="457">
        <f t="shared" si="37"/>
        <v>14385</v>
      </c>
      <c r="M24" s="457">
        <v>0</v>
      </c>
      <c r="N24" s="458">
        <f t="shared" si="38"/>
        <v>2.8</v>
      </c>
      <c r="O24" s="459">
        <v>2.8</v>
      </c>
      <c r="P24" s="646">
        <v>0</v>
      </c>
      <c r="Q24" s="469">
        <f t="shared" si="39"/>
        <v>0</v>
      </c>
      <c r="R24" s="460">
        <v>0</v>
      </c>
      <c r="S24" s="673">
        <v>0</v>
      </c>
      <c r="T24" s="460">
        <v>0</v>
      </c>
      <c r="U24" s="460">
        <v>0</v>
      </c>
      <c r="V24" s="460">
        <f>SUM(Q24:U24)</f>
        <v>0</v>
      </c>
      <c r="W24" s="460">
        <v>0</v>
      </c>
      <c r="X24" s="460">
        <v>0</v>
      </c>
      <c r="Y24" s="460">
        <v>0</v>
      </c>
      <c r="Z24" s="460">
        <f t="shared" si="40"/>
        <v>0</v>
      </c>
      <c r="AA24" s="460">
        <f t="shared" si="41"/>
        <v>0</v>
      </c>
      <c r="AB24" s="69">
        <f t="shared" si="42"/>
        <v>0</v>
      </c>
      <c r="AC24" s="69">
        <f t="shared" si="43"/>
        <v>0</v>
      </c>
      <c r="AD24" s="460">
        <v>0</v>
      </c>
      <c r="AE24" s="460">
        <v>0</v>
      </c>
      <c r="AF24" s="460">
        <f t="shared" si="44"/>
        <v>0</v>
      </c>
      <c r="AG24" s="460">
        <f t="shared" si="45"/>
        <v>0</v>
      </c>
      <c r="AH24" s="461">
        <v>0</v>
      </c>
      <c r="AI24" s="461">
        <v>0</v>
      </c>
      <c r="AJ24" s="461">
        <v>0</v>
      </c>
      <c r="AK24" s="461">
        <v>0</v>
      </c>
      <c r="AL24" s="674">
        <v>0</v>
      </c>
      <c r="AM24" s="461">
        <v>0</v>
      </c>
      <c r="AN24" s="461">
        <v>0</v>
      </c>
      <c r="AO24" s="461">
        <v>0</v>
      </c>
      <c r="AP24" s="461">
        <f>AH24+AJ24+AK24+AM24+AN24</f>
        <v>0</v>
      </c>
      <c r="AQ24" s="461">
        <f>AI24+AL24+AO24</f>
        <v>0</v>
      </c>
      <c r="AR24" s="463">
        <f t="shared" si="46"/>
        <v>0</v>
      </c>
      <c r="AS24" s="469">
        <f>I24+AG24</f>
        <v>1939106</v>
      </c>
      <c r="AT24" s="460">
        <f>J24+V24</f>
        <v>1438506</v>
      </c>
      <c r="AU24" s="460">
        <f t="shared" si="47"/>
        <v>0</v>
      </c>
      <c r="AV24" s="460">
        <f t="shared" si="48"/>
        <v>486215</v>
      </c>
      <c r="AW24" s="460">
        <f t="shared" si="48"/>
        <v>14385</v>
      </c>
      <c r="AX24" s="460">
        <f>M24+AF24</f>
        <v>0</v>
      </c>
      <c r="AY24" s="461">
        <f>N24+AR24</f>
        <v>2.8</v>
      </c>
      <c r="AZ24" s="461">
        <f t="shared" si="49"/>
        <v>2.8</v>
      </c>
      <c r="BA24" s="463">
        <f t="shared" si="49"/>
        <v>0</v>
      </c>
    </row>
    <row r="25" spans="1:53" ht="12.95" customHeight="1" x14ac:dyDescent="0.25">
      <c r="A25" s="300">
        <v>3</v>
      </c>
      <c r="B25" s="340">
        <v>5413</v>
      </c>
      <c r="C25" s="341">
        <v>600099334</v>
      </c>
      <c r="D25" s="340">
        <v>854697</v>
      </c>
      <c r="E25" s="368" t="s">
        <v>430</v>
      </c>
      <c r="F25" s="340">
        <v>3143</v>
      </c>
      <c r="G25" s="303" t="s">
        <v>617</v>
      </c>
      <c r="H25" s="303" t="s">
        <v>278</v>
      </c>
      <c r="I25" s="462">
        <f t="shared" si="35"/>
        <v>65969</v>
      </c>
      <c r="J25" s="457">
        <v>47136</v>
      </c>
      <c r="K25" s="457">
        <f t="shared" si="36"/>
        <v>15932</v>
      </c>
      <c r="L25" s="457">
        <f t="shared" si="37"/>
        <v>471</v>
      </c>
      <c r="M25" s="457">
        <v>2430</v>
      </c>
      <c r="N25" s="458">
        <f t="shared" si="38"/>
        <v>0.19</v>
      </c>
      <c r="O25" s="459">
        <v>0</v>
      </c>
      <c r="P25" s="646">
        <v>0.19</v>
      </c>
      <c r="Q25" s="469">
        <f t="shared" si="39"/>
        <v>0</v>
      </c>
      <c r="R25" s="460">
        <v>0</v>
      </c>
      <c r="S25" s="673">
        <v>0</v>
      </c>
      <c r="T25" s="460">
        <v>0</v>
      </c>
      <c r="U25" s="460">
        <v>0</v>
      </c>
      <c r="V25" s="460">
        <f>SUM(Q25:U25)</f>
        <v>0</v>
      </c>
      <c r="W25" s="460">
        <v>0</v>
      </c>
      <c r="X25" s="460">
        <v>0</v>
      </c>
      <c r="Y25" s="460">
        <v>0</v>
      </c>
      <c r="Z25" s="460">
        <f t="shared" si="40"/>
        <v>0</v>
      </c>
      <c r="AA25" s="460">
        <f t="shared" si="41"/>
        <v>0</v>
      </c>
      <c r="AB25" s="69">
        <f t="shared" si="42"/>
        <v>0</v>
      </c>
      <c r="AC25" s="69">
        <f t="shared" si="43"/>
        <v>0</v>
      </c>
      <c r="AD25" s="460">
        <v>0</v>
      </c>
      <c r="AE25" s="460">
        <v>0</v>
      </c>
      <c r="AF25" s="460">
        <f t="shared" si="44"/>
        <v>0</v>
      </c>
      <c r="AG25" s="460">
        <f t="shared" si="45"/>
        <v>0</v>
      </c>
      <c r="AH25" s="461">
        <v>0</v>
      </c>
      <c r="AI25" s="461">
        <v>0</v>
      </c>
      <c r="AJ25" s="461">
        <v>0</v>
      </c>
      <c r="AK25" s="461">
        <v>0</v>
      </c>
      <c r="AL25" s="674">
        <v>0</v>
      </c>
      <c r="AM25" s="461">
        <v>0</v>
      </c>
      <c r="AN25" s="461">
        <v>0</v>
      </c>
      <c r="AO25" s="461">
        <v>0</v>
      </c>
      <c r="AP25" s="461">
        <f>AH25+AJ25+AK25+AM25+AN25</f>
        <v>0</v>
      </c>
      <c r="AQ25" s="461">
        <f>AI25+AL25+AO25</f>
        <v>0</v>
      </c>
      <c r="AR25" s="463">
        <f t="shared" si="46"/>
        <v>0</v>
      </c>
      <c r="AS25" s="469">
        <f>I25+AG25</f>
        <v>65969</v>
      </c>
      <c r="AT25" s="460">
        <f>J25+V25</f>
        <v>47136</v>
      </c>
      <c r="AU25" s="460">
        <f t="shared" si="47"/>
        <v>0</v>
      </c>
      <c r="AV25" s="460">
        <f t="shared" si="48"/>
        <v>15932</v>
      </c>
      <c r="AW25" s="460">
        <f t="shared" si="48"/>
        <v>471</v>
      </c>
      <c r="AX25" s="460">
        <f>M25+AF25</f>
        <v>2430</v>
      </c>
      <c r="AY25" s="461">
        <f>N25+AR25</f>
        <v>0.19</v>
      </c>
      <c r="AZ25" s="461">
        <f t="shared" si="49"/>
        <v>0</v>
      </c>
      <c r="BA25" s="463">
        <f t="shared" si="49"/>
        <v>0.19</v>
      </c>
    </row>
    <row r="26" spans="1:53" ht="12.95" customHeight="1" x14ac:dyDescent="0.25">
      <c r="A26" s="300">
        <v>3</v>
      </c>
      <c r="B26" s="340">
        <v>5413</v>
      </c>
      <c r="C26" s="341">
        <v>600099334</v>
      </c>
      <c r="D26" s="340">
        <v>854697</v>
      </c>
      <c r="E26" s="368" t="s">
        <v>430</v>
      </c>
      <c r="F26" s="340">
        <v>3143</v>
      </c>
      <c r="G26" s="364" t="s">
        <v>431</v>
      </c>
      <c r="H26" s="303" t="s">
        <v>278</v>
      </c>
      <c r="I26" s="462">
        <f t="shared" si="35"/>
        <v>420733</v>
      </c>
      <c r="J26" s="457">
        <v>310567</v>
      </c>
      <c r="K26" s="457">
        <f t="shared" si="36"/>
        <v>104972</v>
      </c>
      <c r="L26" s="457">
        <f t="shared" si="37"/>
        <v>3106</v>
      </c>
      <c r="M26" s="457">
        <v>2088</v>
      </c>
      <c r="N26" s="458">
        <f t="shared" si="38"/>
        <v>0.76</v>
      </c>
      <c r="O26" s="459">
        <v>0.52</v>
      </c>
      <c r="P26" s="646">
        <v>0.24</v>
      </c>
      <c r="Q26" s="469">
        <f t="shared" si="39"/>
        <v>0</v>
      </c>
      <c r="R26" s="460">
        <v>0</v>
      </c>
      <c r="S26" s="673">
        <v>0</v>
      </c>
      <c r="T26" s="460">
        <v>0</v>
      </c>
      <c r="U26" s="460">
        <v>0</v>
      </c>
      <c r="V26" s="460">
        <f>SUM(Q26:U26)</f>
        <v>0</v>
      </c>
      <c r="W26" s="460">
        <v>0</v>
      </c>
      <c r="X26" s="460">
        <v>0</v>
      </c>
      <c r="Y26" s="460">
        <v>0</v>
      </c>
      <c r="Z26" s="460">
        <f t="shared" si="40"/>
        <v>0</v>
      </c>
      <c r="AA26" s="460">
        <f t="shared" si="41"/>
        <v>0</v>
      </c>
      <c r="AB26" s="69">
        <f t="shared" si="42"/>
        <v>0</v>
      </c>
      <c r="AC26" s="69">
        <f t="shared" si="43"/>
        <v>0</v>
      </c>
      <c r="AD26" s="460">
        <v>0</v>
      </c>
      <c r="AE26" s="460">
        <v>0</v>
      </c>
      <c r="AF26" s="460">
        <f t="shared" si="44"/>
        <v>0</v>
      </c>
      <c r="AG26" s="460">
        <f t="shared" si="45"/>
        <v>0</v>
      </c>
      <c r="AH26" s="461">
        <v>0</v>
      </c>
      <c r="AI26" s="461">
        <v>0</v>
      </c>
      <c r="AJ26" s="461">
        <v>0</v>
      </c>
      <c r="AK26" s="461">
        <v>0</v>
      </c>
      <c r="AL26" s="674">
        <v>0</v>
      </c>
      <c r="AM26" s="461">
        <v>0</v>
      </c>
      <c r="AN26" s="461">
        <v>0</v>
      </c>
      <c r="AO26" s="461">
        <v>0</v>
      </c>
      <c r="AP26" s="461">
        <f>AH26+AJ26+AK26+AM26+AN26</f>
        <v>0</v>
      </c>
      <c r="AQ26" s="461">
        <f>AI26+AL26+AO26</f>
        <v>0</v>
      </c>
      <c r="AR26" s="463">
        <f t="shared" si="46"/>
        <v>0</v>
      </c>
      <c r="AS26" s="469">
        <f>I26+AG26</f>
        <v>420733</v>
      </c>
      <c r="AT26" s="460">
        <f>J26+V26</f>
        <v>310567</v>
      </c>
      <c r="AU26" s="460">
        <f t="shared" si="47"/>
        <v>0</v>
      </c>
      <c r="AV26" s="460">
        <f t="shared" si="48"/>
        <v>104972</v>
      </c>
      <c r="AW26" s="460">
        <f t="shared" si="48"/>
        <v>3106</v>
      </c>
      <c r="AX26" s="460">
        <f>M26+AF26</f>
        <v>2088</v>
      </c>
      <c r="AY26" s="461">
        <f>N26+AR26</f>
        <v>0.76</v>
      </c>
      <c r="AZ26" s="461">
        <f t="shared" si="49"/>
        <v>0.52</v>
      </c>
      <c r="BA26" s="463">
        <f t="shared" si="49"/>
        <v>0.24</v>
      </c>
    </row>
    <row r="27" spans="1:53" ht="12.95" customHeight="1" x14ac:dyDescent="0.25">
      <c r="A27" s="310">
        <v>3</v>
      </c>
      <c r="B27" s="344">
        <v>5413</v>
      </c>
      <c r="C27" s="345">
        <v>600099334</v>
      </c>
      <c r="D27" s="344">
        <v>854697</v>
      </c>
      <c r="E27" s="369" t="s">
        <v>432</v>
      </c>
      <c r="F27" s="344"/>
      <c r="G27" s="370"/>
      <c r="H27" s="371"/>
      <c r="I27" s="536">
        <f t="shared" ref="I27:P27" si="50">SUM(I22:I26)</f>
        <v>28734384</v>
      </c>
      <c r="J27" s="532">
        <f t="shared" si="50"/>
        <v>20972074</v>
      </c>
      <c r="K27" s="532">
        <f t="shared" si="50"/>
        <v>7088561</v>
      </c>
      <c r="L27" s="532">
        <f t="shared" si="50"/>
        <v>209721</v>
      </c>
      <c r="M27" s="532">
        <f t="shared" si="50"/>
        <v>464028</v>
      </c>
      <c r="N27" s="533">
        <f t="shared" si="50"/>
        <v>35.541499999999992</v>
      </c>
      <c r="O27" s="533">
        <f t="shared" si="50"/>
        <v>28.9115</v>
      </c>
      <c r="P27" s="298">
        <f t="shared" si="50"/>
        <v>6.6300000000000008</v>
      </c>
      <c r="Q27" s="538">
        <f t="shared" ref="Q27:BA27" si="51">SUM(Q22:Q26)</f>
        <v>-71500</v>
      </c>
      <c r="R27" s="532">
        <f t="shared" si="51"/>
        <v>1657482</v>
      </c>
      <c r="S27" s="532">
        <f t="shared" si="51"/>
        <v>0</v>
      </c>
      <c r="T27" s="532">
        <f t="shared" si="51"/>
        <v>0</v>
      </c>
      <c r="U27" s="532">
        <f t="shared" si="51"/>
        <v>0</v>
      </c>
      <c r="V27" s="532">
        <f t="shared" si="51"/>
        <v>1585982</v>
      </c>
      <c r="W27" s="532">
        <f t="shared" si="51"/>
        <v>71500</v>
      </c>
      <c r="X27" s="532">
        <f t="shared" si="51"/>
        <v>0</v>
      </c>
      <c r="Y27" s="532">
        <f t="shared" si="51"/>
        <v>0</v>
      </c>
      <c r="Z27" s="532">
        <f t="shared" si="51"/>
        <v>71500</v>
      </c>
      <c r="AA27" s="532">
        <f t="shared" si="51"/>
        <v>1657482</v>
      </c>
      <c r="AB27" s="532">
        <f t="shared" si="51"/>
        <v>560229</v>
      </c>
      <c r="AC27" s="532">
        <f t="shared" si="51"/>
        <v>15860</v>
      </c>
      <c r="AD27" s="532">
        <f t="shared" si="51"/>
        <v>1700</v>
      </c>
      <c r="AE27" s="532">
        <f t="shared" si="51"/>
        <v>0</v>
      </c>
      <c r="AF27" s="532">
        <f t="shared" si="51"/>
        <v>1700</v>
      </c>
      <c r="AG27" s="532">
        <f t="shared" si="51"/>
        <v>2235271</v>
      </c>
      <c r="AH27" s="533">
        <f t="shared" si="51"/>
        <v>-0.02</v>
      </c>
      <c r="AI27" s="533">
        <f t="shared" si="51"/>
        <v>-0.12</v>
      </c>
      <c r="AJ27" s="533">
        <f t="shared" si="51"/>
        <v>4.43</v>
      </c>
      <c r="AK27" s="533">
        <f t="shared" si="51"/>
        <v>0</v>
      </c>
      <c r="AL27" s="533">
        <f t="shared" si="51"/>
        <v>0</v>
      </c>
      <c r="AM27" s="533">
        <f t="shared" si="51"/>
        <v>0</v>
      </c>
      <c r="AN27" s="533">
        <f t="shared" si="51"/>
        <v>0</v>
      </c>
      <c r="AO27" s="533">
        <f t="shared" si="51"/>
        <v>0</v>
      </c>
      <c r="AP27" s="533">
        <f t="shared" si="51"/>
        <v>4.41</v>
      </c>
      <c r="AQ27" s="533">
        <f t="shared" si="51"/>
        <v>-0.12</v>
      </c>
      <c r="AR27" s="298">
        <f t="shared" si="51"/>
        <v>4.29</v>
      </c>
      <c r="AS27" s="538">
        <f t="shared" si="51"/>
        <v>30969655</v>
      </c>
      <c r="AT27" s="532">
        <f t="shared" si="51"/>
        <v>22558056</v>
      </c>
      <c r="AU27" s="532">
        <f t="shared" si="51"/>
        <v>71500</v>
      </c>
      <c r="AV27" s="532">
        <f t="shared" si="51"/>
        <v>7648790</v>
      </c>
      <c r="AW27" s="532">
        <f t="shared" si="51"/>
        <v>225581</v>
      </c>
      <c r="AX27" s="532">
        <f t="shared" si="51"/>
        <v>465728</v>
      </c>
      <c r="AY27" s="533">
        <f t="shared" si="51"/>
        <v>39.831499999999991</v>
      </c>
      <c r="AZ27" s="533">
        <f t="shared" si="51"/>
        <v>33.3215</v>
      </c>
      <c r="BA27" s="298">
        <f t="shared" si="51"/>
        <v>6.5100000000000007</v>
      </c>
    </row>
    <row r="28" spans="1:53" ht="12.95" customHeight="1" x14ac:dyDescent="0.25">
      <c r="A28" s="300">
        <v>4</v>
      </c>
      <c r="B28" s="340">
        <v>5475</v>
      </c>
      <c r="C28" s="341">
        <v>600099385</v>
      </c>
      <c r="D28" s="340">
        <v>854735</v>
      </c>
      <c r="E28" s="368" t="s">
        <v>433</v>
      </c>
      <c r="F28" s="340">
        <v>3231</v>
      </c>
      <c r="G28" s="364" t="s">
        <v>414</v>
      </c>
      <c r="H28" s="303" t="s">
        <v>277</v>
      </c>
      <c r="I28" s="462">
        <f t="shared" ref="I28" si="52">SUM(J28:M28)</f>
        <v>14429255</v>
      </c>
      <c r="J28" s="457">
        <v>10681256</v>
      </c>
      <c r="K28" s="457">
        <f t="shared" ref="K28" si="53">ROUND(J28*33.8%,0)</f>
        <v>3610265</v>
      </c>
      <c r="L28" s="457">
        <f>ROUND(J28*1%,0)</f>
        <v>106813</v>
      </c>
      <c r="M28" s="457">
        <v>30921</v>
      </c>
      <c r="N28" s="458">
        <f t="shared" ref="N28" si="54">O28+P28</f>
        <v>18.801600000000001</v>
      </c>
      <c r="O28" s="459">
        <v>17.046299999999999</v>
      </c>
      <c r="P28" s="646">
        <v>1.7553000000000001</v>
      </c>
      <c r="Q28" s="469">
        <f t="shared" ref="Q28" si="55">W28*-1</f>
        <v>0</v>
      </c>
      <c r="R28" s="460">
        <v>0</v>
      </c>
      <c r="S28" s="673">
        <v>0</v>
      </c>
      <c r="T28" s="460">
        <v>0</v>
      </c>
      <c r="U28" s="460">
        <v>0</v>
      </c>
      <c r="V28" s="460">
        <f>SUM(Q28:U28)</f>
        <v>0</v>
      </c>
      <c r="W28" s="460">
        <v>0</v>
      </c>
      <c r="X28" s="460">
        <v>0</v>
      </c>
      <c r="Y28" s="460">
        <v>0</v>
      </c>
      <c r="Z28" s="460">
        <f t="shared" ref="Z28" si="56">SUM(W28:Y28)</f>
        <v>0</v>
      </c>
      <c r="AA28" s="460">
        <f t="shared" ref="AA28" si="57">V28+Z28</f>
        <v>0</v>
      </c>
      <c r="AB28" s="69">
        <f t="shared" ref="AB28" si="58">ROUND((V28+W28+X28)*33.8%,0)</f>
        <v>0</v>
      </c>
      <c r="AC28" s="69">
        <f>ROUND(V28*1%,0)</f>
        <v>0</v>
      </c>
      <c r="AD28" s="460">
        <v>0</v>
      </c>
      <c r="AE28" s="460">
        <v>0</v>
      </c>
      <c r="AF28" s="460">
        <f t="shared" ref="AF28" si="59">SUM(AD28:AE28)</f>
        <v>0</v>
      </c>
      <c r="AG28" s="460">
        <f t="shared" ref="AG28" si="60">AA28+AB28+AC28+AF28</f>
        <v>0</v>
      </c>
      <c r="AH28" s="461">
        <v>0</v>
      </c>
      <c r="AI28" s="461">
        <v>0</v>
      </c>
      <c r="AJ28" s="461">
        <v>0</v>
      </c>
      <c r="AK28" s="461">
        <v>0</v>
      </c>
      <c r="AL28" s="674">
        <v>0</v>
      </c>
      <c r="AM28" s="461">
        <v>0</v>
      </c>
      <c r="AN28" s="461">
        <v>0</v>
      </c>
      <c r="AO28" s="461">
        <v>0</v>
      </c>
      <c r="AP28" s="461">
        <f>AH28+AJ28+AK28+AM28+AN28</f>
        <v>0</v>
      </c>
      <c r="AQ28" s="461">
        <f>AI28+AL28+AO28</f>
        <v>0</v>
      </c>
      <c r="AR28" s="463">
        <f t="shared" ref="AR28" si="61">SUM(AP28:AQ28)</f>
        <v>0</v>
      </c>
      <c r="AS28" s="469">
        <f>I28+AG28</f>
        <v>14429255</v>
      </c>
      <c r="AT28" s="460">
        <f>J28+V28</f>
        <v>10681256</v>
      </c>
      <c r="AU28" s="460">
        <f>Z28</f>
        <v>0</v>
      </c>
      <c r="AV28" s="460">
        <f>K28+AB28</f>
        <v>3610265</v>
      </c>
      <c r="AW28" s="460">
        <f>L28+AC28</f>
        <v>106813</v>
      </c>
      <c r="AX28" s="460">
        <f>M28+AF28</f>
        <v>30921</v>
      </c>
      <c r="AY28" s="461">
        <f>N28+AR28</f>
        <v>18.801600000000001</v>
      </c>
      <c r="AZ28" s="461">
        <f>O28+AP28</f>
        <v>17.046299999999999</v>
      </c>
      <c r="BA28" s="463">
        <f>P28+AQ28</f>
        <v>1.7553000000000001</v>
      </c>
    </row>
    <row r="29" spans="1:53" ht="12.95" customHeight="1" x14ac:dyDescent="0.25">
      <c r="A29" s="310">
        <v>4</v>
      </c>
      <c r="B29" s="344">
        <v>5475</v>
      </c>
      <c r="C29" s="345">
        <v>600099385</v>
      </c>
      <c r="D29" s="344">
        <v>854735</v>
      </c>
      <c r="E29" s="369" t="s">
        <v>434</v>
      </c>
      <c r="F29" s="344"/>
      <c r="G29" s="370"/>
      <c r="H29" s="371"/>
      <c r="I29" s="536">
        <f t="shared" ref="I29:BA29" si="62">SUM(I28)</f>
        <v>14429255</v>
      </c>
      <c r="J29" s="532">
        <f t="shared" si="62"/>
        <v>10681256</v>
      </c>
      <c r="K29" s="532">
        <f t="shared" si="62"/>
        <v>3610265</v>
      </c>
      <c r="L29" s="532">
        <f t="shared" si="62"/>
        <v>106813</v>
      </c>
      <c r="M29" s="532">
        <f t="shared" si="62"/>
        <v>30921</v>
      </c>
      <c r="N29" s="533">
        <f t="shared" si="62"/>
        <v>18.801600000000001</v>
      </c>
      <c r="O29" s="533">
        <f t="shared" si="62"/>
        <v>17.046299999999999</v>
      </c>
      <c r="P29" s="298">
        <f t="shared" si="62"/>
        <v>1.7553000000000001</v>
      </c>
      <c r="Q29" s="538">
        <f t="shared" si="62"/>
        <v>0</v>
      </c>
      <c r="R29" s="532">
        <f t="shared" si="62"/>
        <v>0</v>
      </c>
      <c r="S29" s="532">
        <f t="shared" si="62"/>
        <v>0</v>
      </c>
      <c r="T29" s="532">
        <f t="shared" si="62"/>
        <v>0</v>
      </c>
      <c r="U29" s="532">
        <f t="shared" si="62"/>
        <v>0</v>
      </c>
      <c r="V29" s="532">
        <f t="shared" si="62"/>
        <v>0</v>
      </c>
      <c r="W29" s="532">
        <f t="shared" si="62"/>
        <v>0</v>
      </c>
      <c r="X29" s="532">
        <f t="shared" si="62"/>
        <v>0</v>
      </c>
      <c r="Y29" s="532">
        <f t="shared" si="62"/>
        <v>0</v>
      </c>
      <c r="Z29" s="532">
        <f t="shared" si="62"/>
        <v>0</v>
      </c>
      <c r="AA29" s="532">
        <f t="shared" si="62"/>
        <v>0</v>
      </c>
      <c r="AB29" s="532">
        <f t="shared" si="62"/>
        <v>0</v>
      </c>
      <c r="AC29" s="532">
        <f t="shared" si="62"/>
        <v>0</v>
      </c>
      <c r="AD29" s="532">
        <f t="shared" si="62"/>
        <v>0</v>
      </c>
      <c r="AE29" s="532">
        <f t="shared" si="62"/>
        <v>0</v>
      </c>
      <c r="AF29" s="532">
        <f t="shared" si="62"/>
        <v>0</v>
      </c>
      <c r="AG29" s="532">
        <f t="shared" si="62"/>
        <v>0</v>
      </c>
      <c r="AH29" s="533">
        <f t="shared" si="62"/>
        <v>0</v>
      </c>
      <c r="AI29" s="533">
        <f t="shared" si="62"/>
        <v>0</v>
      </c>
      <c r="AJ29" s="533">
        <f t="shared" si="62"/>
        <v>0</v>
      </c>
      <c r="AK29" s="533">
        <f t="shared" si="62"/>
        <v>0</v>
      </c>
      <c r="AL29" s="533">
        <f t="shared" si="62"/>
        <v>0</v>
      </c>
      <c r="AM29" s="533">
        <f t="shared" si="62"/>
        <v>0</v>
      </c>
      <c r="AN29" s="533">
        <f t="shared" si="62"/>
        <v>0</v>
      </c>
      <c r="AO29" s="533">
        <f t="shared" si="62"/>
        <v>0</v>
      </c>
      <c r="AP29" s="533">
        <f t="shared" si="62"/>
        <v>0</v>
      </c>
      <c r="AQ29" s="533">
        <f t="shared" si="62"/>
        <v>0</v>
      </c>
      <c r="AR29" s="298">
        <f t="shared" si="62"/>
        <v>0</v>
      </c>
      <c r="AS29" s="538">
        <f t="shared" si="62"/>
        <v>14429255</v>
      </c>
      <c r="AT29" s="532">
        <f t="shared" si="62"/>
        <v>10681256</v>
      </c>
      <c r="AU29" s="532">
        <f t="shared" si="62"/>
        <v>0</v>
      </c>
      <c r="AV29" s="532">
        <f t="shared" si="62"/>
        <v>3610265</v>
      </c>
      <c r="AW29" s="532">
        <f t="shared" si="62"/>
        <v>106813</v>
      </c>
      <c r="AX29" s="532">
        <f t="shared" si="62"/>
        <v>30921</v>
      </c>
      <c r="AY29" s="533">
        <f t="shared" si="62"/>
        <v>18.801600000000001</v>
      </c>
      <c r="AZ29" s="533">
        <f t="shared" si="62"/>
        <v>17.046299999999999</v>
      </c>
      <c r="BA29" s="298">
        <f t="shared" si="62"/>
        <v>1.7553000000000001</v>
      </c>
    </row>
    <row r="30" spans="1:53" x14ac:dyDescent="0.25">
      <c r="A30" s="300">
        <v>5</v>
      </c>
      <c r="B30" s="340">
        <v>5402</v>
      </c>
      <c r="C30" s="341">
        <v>600098958</v>
      </c>
      <c r="D30" s="340">
        <v>70983623</v>
      </c>
      <c r="E30" s="368" t="s">
        <v>825</v>
      </c>
      <c r="F30" s="340">
        <v>3111</v>
      </c>
      <c r="G30" s="364" t="s">
        <v>321</v>
      </c>
      <c r="H30" s="303" t="s">
        <v>277</v>
      </c>
      <c r="I30" s="462">
        <f t="shared" ref="I30:I35" si="63">SUM(J30:M30)</f>
        <v>1562545</v>
      </c>
      <c r="J30" s="457">
        <v>1153223</v>
      </c>
      <c r="K30" s="457">
        <f>ROUND(J30*33.8%,0)+1</f>
        <v>389790</v>
      </c>
      <c r="L30" s="457">
        <f t="shared" ref="L30:L35" si="64">ROUND(J30*1%,0)</f>
        <v>11532</v>
      </c>
      <c r="M30" s="457">
        <v>8000</v>
      </c>
      <c r="N30" s="458">
        <f t="shared" ref="N30:N35" si="65">O30+P30</f>
        <v>2.36</v>
      </c>
      <c r="O30" s="459">
        <v>2</v>
      </c>
      <c r="P30" s="646">
        <v>0.36</v>
      </c>
      <c r="Q30" s="469">
        <f t="shared" ref="Q30:Q35" si="66">W30*-1</f>
        <v>-19500</v>
      </c>
      <c r="R30" s="460">
        <v>0</v>
      </c>
      <c r="S30" s="673">
        <v>0</v>
      </c>
      <c r="T30" s="460">
        <v>0</v>
      </c>
      <c r="U30" s="460">
        <v>0</v>
      </c>
      <c r="V30" s="460">
        <f t="shared" ref="V30:V35" si="67">SUM(Q30:U30)</f>
        <v>-19500</v>
      </c>
      <c r="W30" s="460">
        <v>19500</v>
      </c>
      <c r="X30" s="460">
        <v>0</v>
      </c>
      <c r="Y30" s="460">
        <v>0</v>
      </c>
      <c r="Z30" s="460">
        <f t="shared" ref="Z30:Z35" si="68">SUM(W30:Y30)</f>
        <v>19500</v>
      </c>
      <c r="AA30" s="460">
        <f t="shared" ref="AA30:AA35" si="69">V30+Z30</f>
        <v>0</v>
      </c>
      <c r="AB30" s="69">
        <f t="shared" ref="AB30:AB35" si="70">ROUND((V30+W30+X30)*33.8%,0)</f>
        <v>0</v>
      </c>
      <c r="AC30" s="69">
        <f>ROUND(V30*1%,0)</f>
        <v>-195</v>
      </c>
      <c r="AD30" s="460">
        <v>0</v>
      </c>
      <c r="AE30" s="460">
        <v>0</v>
      </c>
      <c r="AF30" s="460">
        <f t="shared" ref="AF30:AF35" si="71">SUM(AD30:AE30)</f>
        <v>0</v>
      </c>
      <c r="AG30" s="460">
        <f t="shared" ref="AG30:AG35" si="72">AA30+AB30+AC30+AF30</f>
        <v>-195</v>
      </c>
      <c r="AH30" s="461">
        <v>-0.01</v>
      </c>
      <c r="AI30" s="461">
        <v>-0.05</v>
      </c>
      <c r="AJ30" s="461">
        <v>0</v>
      </c>
      <c r="AK30" s="461">
        <v>0</v>
      </c>
      <c r="AL30" s="674">
        <v>0</v>
      </c>
      <c r="AM30" s="461">
        <v>0</v>
      </c>
      <c r="AN30" s="461">
        <v>0</v>
      </c>
      <c r="AO30" s="461">
        <v>0</v>
      </c>
      <c r="AP30" s="461">
        <f t="shared" ref="AP30:AP35" si="73">AH30+AJ30+AK30+AM30+AN30</f>
        <v>-0.01</v>
      </c>
      <c r="AQ30" s="461">
        <f t="shared" ref="AQ30:AQ35" si="74">AI30+AL30+AO30</f>
        <v>-0.05</v>
      </c>
      <c r="AR30" s="463">
        <f t="shared" ref="AR30" si="75">SUM(AP30:AQ30)</f>
        <v>-6.0000000000000005E-2</v>
      </c>
      <c r="AS30" s="469">
        <f t="shared" ref="AS30:AS35" si="76">I30+AG30</f>
        <v>1562350</v>
      </c>
      <c r="AT30" s="460">
        <f t="shared" ref="AT30:AT35" si="77">J30+V30</f>
        <v>1133723</v>
      </c>
      <c r="AU30" s="460">
        <f t="shared" ref="AU30:AU35" si="78">Z30</f>
        <v>19500</v>
      </c>
      <c r="AV30" s="460">
        <f t="shared" ref="AV30:AW35" si="79">K30+AB30</f>
        <v>389790</v>
      </c>
      <c r="AW30" s="460">
        <f t="shared" si="79"/>
        <v>11337</v>
      </c>
      <c r="AX30" s="460">
        <f t="shared" ref="AX30:AX35" si="80">M30+AF30</f>
        <v>8000</v>
      </c>
      <c r="AY30" s="461">
        <f t="shared" ref="AY30:AY35" si="81">N30+AR30</f>
        <v>2.2999999999999998</v>
      </c>
      <c r="AZ30" s="461">
        <f t="shared" ref="AZ30:BA35" si="82">O30+AP30</f>
        <v>1.99</v>
      </c>
      <c r="BA30" s="463">
        <f t="shared" si="82"/>
        <v>0.31</v>
      </c>
    </row>
    <row r="31" spans="1:53" ht="12.95" customHeight="1" x14ac:dyDescent="0.25">
      <c r="A31" s="300">
        <v>5</v>
      </c>
      <c r="B31" s="340">
        <v>5402</v>
      </c>
      <c r="C31" s="341">
        <v>600098958</v>
      </c>
      <c r="D31" s="340">
        <v>70983623</v>
      </c>
      <c r="E31" s="368" t="s">
        <v>823</v>
      </c>
      <c r="F31" s="340">
        <v>3117</v>
      </c>
      <c r="G31" s="364" t="s">
        <v>325</v>
      </c>
      <c r="H31" s="303" t="s">
        <v>277</v>
      </c>
      <c r="I31" s="462">
        <f t="shared" si="63"/>
        <v>5164966</v>
      </c>
      <c r="J31" s="457">
        <v>3775772</v>
      </c>
      <c r="K31" s="457">
        <f t="shared" ref="K31:K35" si="83">ROUND(J31*33.8%,0)</f>
        <v>1276211</v>
      </c>
      <c r="L31" s="457">
        <f t="shared" si="64"/>
        <v>37758</v>
      </c>
      <c r="M31" s="457">
        <v>75225</v>
      </c>
      <c r="N31" s="458">
        <f t="shared" si="65"/>
        <v>7.2370999999999999</v>
      </c>
      <c r="O31" s="459">
        <v>5.0770999999999997</v>
      </c>
      <c r="P31" s="646">
        <v>2.16</v>
      </c>
      <c r="Q31" s="469">
        <f t="shared" si="66"/>
        <v>-6500</v>
      </c>
      <c r="R31" s="460">
        <v>0</v>
      </c>
      <c r="S31" s="673">
        <v>0</v>
      </c>
      <c r="T31" s="460">
        <v>0</v>
      </c>
      <c r="U31" s="460">
        <v>0</v>
      </c>
      <c r="V31" s="460">
        <f t="shared" si="67"/>
        <v>-6500</v>
      </c>
      <c r="W31" s="460">
        <v>6500</v>
      </c>
      <c r="X31" s="460">
        <v>0</v>
      </c>
      <c r="Y31" s="460">
        <v>0</v>
      </c>
      <c r="Z31" s="460">
        <f t="shared" si="68"/>
        <v>6500</v>
      </c>
      <c r="AA31" s="460">
        <f t="shared" si="69"/>
        <v>0</v>
      </c>
      <c r="AB31" s="69">
        <f t="shared" si="70"/>
        <v>0</v>
      </c>
      <c r="AC31" s="69">
        <f t="shared" ref="AC31:AC35" si="84">ROUND(V31*1%,0)</f>
        <v>-65</v>
      </c>
      <c r="AD31" s="460">
        <v>0</v>
      </c>
      <c r="AE31" s="460">
        <v>0</v>
      </c>
      <c r="AF31" s="460">
        <f t="shared" si="71"/>
        <v>0</v>
      </c>
      <c r="AG31" s="460">
        <f t="shared" si="72"/>
        <v>-65</v>
      </c>
      <c r="AH31" s="461">
        <v>0</v>
      </c>
      <c r="AI31" s="461">
        <v>-0.01</v>
      </c>
      <c r="AJ31" s="461">
        <v>0</v>
      </c>
      <c r="AK31" s="461">
        <v>0</v>
      </c>
      <c r="AL31" s="674">
        <v>0</v>
      </c>
      <c r="AM31" s="461">
        <v>0</v>
      </c>
      <c r="AN31" s="461">
        <v>0</v>
      </c>
      <c r="AO31" s="461">
        <v>0</v>
      </c>
      <c r="AP31" s="461">
        <f t="shared" si="73"/>
        <v>0</v>
      </c>
      <c r="AQ31" s="461">
        <f t="shared" si="74"/>
        <v>-0.01</v>
      </c>
      <c r="AR31" s="463">
        <f t="shared" ref="AR31:AR35" si="85">SUM(AP31:AQ31)</f>
        <v>-0.01</v>
      </c>
      <c r="AS31" s="469">
        <f t="shared" si="76"/>
        <v>5164901</v>
      </c>
      <c r="AT31" s="460">
        <f t="shared" si="77"/>
        <v>3769272</v>
      </c>
      <c r="AU31" s="460">
        <f t="shared" si="78"/>
        <v>6500</v>
      </c>
      <c r="AV31" s="460">
        <f t="shared" si="79"/>
        <v>1276211</v>
      </c>
      <c r="AW31" s="460">
        <f t="shared" si="79"/>
        <v>37693</v>
      </c>
      <c r="AX31" s="460">
        <f t="shared" si="80"/>
        <v>75225</v>
      </c>
      <c r="AY31" s="461">
        <f t="shared" si="81"/>
        <v>7.2271000000000001</v>
      </c>
      <c r="AZ31" s="461">
        <f t="shared" si="82"/>
        <v>5.0770999999999997</v>
      </c>
      <c r="BA31" s="463">
        <f t="shared" si="82"/>
        <v>2.1500000000000004</v>
      </c>
    </row>
    <row r="32" spans="1:53" ht="12.95" customHeight="1" x14ac:dyDescent="0.25">
      <c r="A32" s="300">
        <v>5</v>
      </c>
      <c r="B32" s="340">
        <v>5402</v>
      </c>
      <c r="C32" s="341">
        <v>600098958</v>
      </c>
      <c r="D32" s="340">
        <v>70983623</v>
      </c>
      <c r="E32" s="368" t="s">
        <v>823</v>
      </c>
      <c r="F32" s="340">
        <v>3117</v>
      </c>
      <c r="G32" s="303" t="s">
        <v>308</v>
      </c>
      <c r="H32" s="303" t="s">
        <v>278</v>
      </c>
      <c r="I32" s="462">
        <f t="shared" si="63"/>
        <v>0</v>
      </c>
      <c r="J32" s="457">
        <v>0</v>
      </c>
      <c r="K32" s="457">
        <f t="shared" si="83"/>
        <v>0</v>
      </c>
      <c r="L32" s="457">
        <f t="shared" si="64"/>
        <v>0</v>
      </c>
      <c r="M32" s="457">
        <v>0</v>
      </c>
      <c r="N32" s="458">
        <f t="shared" si="65"/>
        <v>0</v>
      </c>
      <c r="O32" s="459">
        <v>0</v>
      </c>
      <c r="P32" s="646">
        <v>0</v>
      </c>
      <c r="Q32" s="469">
        <f t="shared" si="66"/>
        <v>0</v>
      </c>
      <c r="R32" s="460">
        <v>411878</v>
      </c>
      <c r="S32" s="673">
        <v>0</v>
      </c>
      <c r="T32" s="460">
        <v>0</v>
      </c>
      <c r="U32" s="460">
        <v>0</v>
      </c>
      <c r="V32" s="460">
        <f t="shared" si="67"/>
        <v>411878</v>
      </c>
      <c r="W32" s="460">
        <v>0</v>
      </c>
      <c r="X32" s="460">
        <v>0</v>
      </c>
      <c r="Y32" s="460">
        <v>0</v>
      </c>
      <c r="Z32" s="460">
        <f t="shared" si="68"/>
        <v>0</v>
      </c>
      <c r="AA32" s="460">
        <f t="shared" si="69"/>
        <v>411878</v>
      </c>
      <c r="AB32" s="69">
        <f t="shared" si="70"/>
        <v>139215</v>
      </c>
      <c r="AC32" s="69">
        <f t="shared" si="84"/>
        <v>4119</v>
      </c>
      <c r="AD32" s="460">
        <v>0</v>
      </c>
      <c r="AE32" s="460">
        <v>0</v>
      </c>
      <c r="AF32" s="460">
        <f t="shared" si="71"/>
        <v>0</v>
      </c>
      <c r="AG32" s="460">
        <f t="shared" si="72"/>
        <v>555212</v>
      </c>
      <c r="AH32" s="461">
        <v>0</v>
      </c>
      <c r="AI32" s="461">
        <v>0</v>
      </c>
      <c r="AJ32" s="461">
        <v>1.39</v>
      </c>
      <c r="AK32" s="461">
        <v>0</v>
      </c>
      <c r="AL32" s="674">
        <v>0</v>
      </c>
      <c r="AM32" s="461">
        <v>0</v>
      </c>
      <c r="AN32" s="461">
        <v>0</v>
      </c>
      <c r="AO32" s="461">
        <v>0</v>
      </c>
      <c r="AP32" s="461">
        <f t="shared" si="73"/>
        <v>1.39</v>
      </c>
      <c r="AQ32" s="461">
        <f t="shared" si="74"/>
        <v>0</v>
      </c>
      <c r="AR32" s="463">
        <f t="shared" si="85"/>
        <v>1.39</v>
      </c>
      <c r="AS32" s="469">
        <f t="shared" si="76"/>
        <v>555212</v>
      </c>
      <c r="AT32" s="460">
        <f t="shared" si="77"/>
        <v>411878</v>
      </c>
      <c r="AU32" s="460">
        <f t="shared" si="78"/>
        <v>0</v>
      </c>
      <c r="AV32" s="460">
        <f t="shared" si="79"/>
        <v>139215</v>
      </c>
      <c r="AW32" s="460">
        <f t="shared" si="79"/>
        <v>4119</v>
      </c>
      <c r="AX32" s="460">
        <f t="shared" si="80"/>
        <v>0</v>
      </c>
      <c r="AY32" s="461">
        <f t="shared" si="81"/>
        <v>1.39</v>
      </c>
      <c r="AZ32" s="461">
        <f t="shared" si="82"/>
        <v>1.39</v>
      </c>
      <c r="BA32" s="463">
        <f t="shared" si="82"/>
        <v>0</v>
      </c>
    </row>
    <row r="33" spans="1:53" ht="12.95" customHeight="1" x14ac:dyDescent="0.25">
      <c r="A33" s="300">
        <v>5</v>
      </c>
      <c r="B33" s="340">
        <v>5402</v>
      </c>
      <c r="C33" s="341">
        <v>600098958</v>
      </c>
      <c r="D33" s="340">
        <v>70983623</v>
      </c>
      <c r="E33" s="368" t="s">
        <v>823</v>
      </c>
      <c r="F33" s="340">
        <v>3141</v>
      </c>
      <c r="G33" s="364" t="s">
        <v>311</v>
      </c>
      <c r="H33" s="303" t="s">
        <v>278</v>
      </c>
      <c r="I33" s="462">
        <f t="shared" si="63"/>
        <v>903420</v>
      </c>
      <c r="J33" s="457">
        <f>98050+391910+177295</f>
        <v>667255</v>
      </c>
      <c r="K33" s="457">
        <f t="shared" si="83"/>
        <v>225532</v>
      </c>
      <c r="L33" s="457">
        <f t="shared" si="64"/>
        <v>6673</v>
      </c>
      <c r="M33" s="457">
        <f>680+2188+1092</f>
        <v>3960</v>
      </c>
      <c r="N33" s="458">
        <f t="shared" si="65"/>
        <v>2.15</v>
      </c>
      <c r="O33" s="459">
        <v>0</v>
      </c>
      <c r="P33" s="646">
        <f>0.32+1.26+0.57</f>
        <v>2.15</v>
      </c>
      <c r="Q33" s="469">
        <f t="shared" si="66"/>
        <v>-3250</v>
      </c>
      <c r="R33" s="460">
        <v>0</v>
      </c>
      <c r="S33" s="673">
        <v>0</v>
      </c>
      <c r="T33" s="460">
        <v>0</v>
      </c>
      <c r="U33" s="460">
        <v>0</v>
      </c>
      <c r="V33" s="460">
        <f t="shared" si="67"/>
        <v>-3250</v>
      </c>
      <c r="W33" s="460">
        <v>3250</v>
      </c>
      <c r="X33" s="460">
        <v>0</v>
      </c>
      <c r="Y33" s="460">
        <v>0</v>
      </c>
      <c r="Z33" s="460">
        <f t="shared" si="68"/>
        <v>3250</v>
      </c>
      <c r="AA33" s="460">
        <f t="shared" si="69"/>
        <v>0</v>
      </c>
      <c r="AB33" s="69">
        <f t="shared" si="70"/>
        <v>0</v>
      </c>
      <c r="AC33" s="69">
        <f t="shared" si="84"/>
        <v>-33</v>
      </c>
      <c r="AD33" s="460">
        <v>0</v>
      </c>
      <c r="AE33" s="460">
        <v>0</v>
      </c>
      <c r="AF33" s="460">
        <f t="shared" si="71"/>
        <v>0</v>
      </c>
      <c r="AG33" s="460">
        <f t="shared" si="72"/>
        <v>-33</v>
      </c>
      <c r="AH33" s="461">
        <v>0</v>
      </c>
      <c r="AI33" s="461">
        <v>0</v>
      </c>
      <c r="AJ33" s="461">
        <v>0</v>
      </c>
      <c r="AK33" s="461">
        <v>0</v>
      </c>
      <c r="AL33" s="674">
        <v>0</v>
      </c>
      <c r="AM33" s="461">
        <v>0</v>
      </c>
      <c r="AN33" s="461">
        <v>0</v>
      </c>
      <c r="AO33" s="461">
        <v>0</v>
      </c>
      <c r="AP33" s="461">
        <f t="shared" si="73"/>
        <v>0</v>
      </c>
      <c r="AQ33" s="461">
        <f t="shared" si="74"/>
        <v>0</v>
      </c>
      <c r="AR33" s="463">
        <f t="shared" si="85"/>
        <v>0</v>
      </c>
      <c r="AS33" s="469">
        <f t="shared" si="76"/>
        <v>903387</v>
      </c>
      <c r="AT33" s="460">
        <f t="shared" si="77"/>
        <v>664005</v>
      </c>
      <c r="AU33" s="460">
        <f t="shared" si="78"/>
        <v>3250</v>
      </c>
      <c r="AV33" s="460">
        <f t="shared" si="79"/>
        <v>225532</v>
      </c>
      <c r="AW33" s="460">
        <f t="shared" si="79"/>
        <v>6640</v>
      </c>
      <c r="AX33" s="460">
        <f t="shared" si="80"/>
        <v>3960</v>
      </c>
      <c r="AY33" s="461">
        <f t="shared" si="81"/>
        <v>2.15</v>
      </c>
      <c r="AZ33" s="461">
        <f t="shared" si="82"/>
        <v>0</v>
      </c>
      <c r="BA33" s="463">
        <f t="shared" si="82"/>
        <v>2.15</v>
      </c>
    </row>
    <row r="34" spans="1:53" ht="12.95" customHeight="1" x14ac:dyDescent="0.25">
      <c r="A34" s="300">
        <v>5</v>
      </c>
      <c r="B34" s="340">
        <v>5402</v>
      </c>
      <c r="C34" s="341">
        <v>600098958</v>
      </c>
      <c r="D34" s="340">
        <v>70983623</v>
      </c>
      <c r="E34" s="368" t="s">
        <v>823</v>
      </c>
      <c r="F34" s="340">
        <v>3143</v>
      </c>
      <c r="G34" s="303" t="s">
        <v>616</v>
      </c>
      <c r="H34" s="303" t="s">
        <v>277</v>
      </c>
      <c r="I34" s="462">
        <f t="shared" si="63"/>
        <v>1294109</v>
      </c>
      <c r="J34" s="457">
        <v>960022</v>
      </c>
      <c r="K34" s="457">
        <f t="shared" si="83"/>
        <v>324487</v>
      </c>
      <c r="L34" s="457">
        <f t="shared" si="64"/>
        <v>9600</v>
      </c>
      <c r="M34" s="457">
        <v>0</v>
      </c>
      <c r="N34" s="458">
        <f t="shared" si="65"/>
        <v>2.0177999999999998</v>
      </c>
      <c r="O34" s="459">
        <v>2.0177999999999998</v>
      </c>
      <c r="P34" s="646">
        <v>0</v>
      </c>
      <c r="Q34" s="469">
        <f t="shared" si="66"/>
        <v>-3250</v>
      </c>
      <c r="R34" s="460">
        <v>0</v>
      </c>
      <c r="S34" s="673">
        <v>0</v>
      </c>
      <c r="T34" s="460">
        <v>0</v>
      </c>
      <c r="U34" s="460">
        <v>0</v>
      </c>
      <c r="V34" s="460">
        <f t="shared" si="67"/>
        <v>-3250</v>
      </c>
      <c r="W34" s="460">
        <v>3250</v>
      </c>
      <c r="X34" s="460">
        <v>0</v>
      </c>
      <c r="Y34" s="460">
        <v>0</v>
      </c>
      <c r="Z34" s="460">
        <f t="shared" si="68"/>
        <v>3250</v>
      </c>
      <c r="AA34" s="460">
        <f t="shared" si="69"/>
        <v>0</v>
      </c>
      <c r="AB34" s="69">
        <f t="shared" si="70"/>
        <v>0</v>
      </c>
      <c r="AC34" s="69">
        <f t="shared" si="84"/>
        <v>-33</v>
      </c>
      <c r="AD34" s="460">
        <v>0</v>
      </c>
      <c r="AE34" s="460">
        <v>0</v>
      </c>
      <c r="AF34" s="460">
        <f t="shared" si="71"/>
        <v>0</v>
      </c>
      <c r="AG34" s="460">
        <f t="shared" si="72"/>
        <v>-33</v>
      </c>
      <c r="AH34" s="461">
        <v>0</v>
      </c>
      <c r="AI34" s="461">
        <v>0</v>
      </c>
      <c r="AJ34" s="461">
        <v>0</v>
      </c>
      <c r="AK34" s="461">
        <v>0</v>
      </c>
      <c r="AL34" s="674">
        <v>0</v>
      </c>
      <c r="AM34" s="461">
        <v>0</v>
      </c>
      <c r="AN34" s="461">
        <v>0</v>
      </c>
      <c r="AO34" s="461">
        <v>0</v>
      </c>
      <c r="AP34" s="461">
        <f t="shared" si="73"/>
        <v>0</v>
      </c>
      <c r="AQ34" s="461">
        <f t="shared" si="74"/>
        <v>0</v>
      </c>
      <c r="AR34" s="463">
        <f t="shared" si="85"/>
        <v>0</v>
      </c>
      <c r="AS34" s="469">
        <f t="shared" si="76"/>
        <v>1294076</v>
      </c>
      <c r="AT34" s="460">
        <f t="shared" si="77"/>
        <v>956772</v>
      </c>
      <c r="AU34" s="460">
        <f t="shared" si="78"/>
        <v>3250</v>
      </c>
      <c r="AV34" s="460">
        <f t="shared" si="79"/>
        <v>324487</v>
      </c>
      <c r="AW34" s="460">
        <f t="shared" si="79"/>
        <v>9567</v>
      </c>
      <c r="AX34" s="460">
        <f t="shared" si="80"/>
        <v>0</v>
      </c>
      <c r="AY34" s="461">
        <f t="shared" si="81"/>
        <v>2.0177999999999998</v>
      </c>
      <c r="AZ34" s="461">
        <f t="shared" si="82"/>
        <v>2.0177999999999998</v>
      </c>
      <c r="BA34" s="463">
        <f t="shared" si="82"/>
        <v>0</v>
      </c>
    </row>
    <row r="35" spans="1:53" ht="12.95" customHeight="1" x14ac:dyDescent="0.25">
      <c r="A35" s="300">
        <v>5</v>
      </c>
      <c r="B35" s="340">
        <v>5402</v>
      </c>
      <c r="C35" s="341">
        <v>600098958</v>
      </c>
      <c r="D35" s="340">
        <v>70983623</v>
      </c>
      <c r="E35" s="368" t="s">
        <v>823</v>
      </c>
      <c r="F35" s="340">
        <v>3143</v>
      </c>
      <c r="G35" s="303" t="s">
        <v>617</v>
      </c>
      <c r="H35" s="303" t="s">
        <v>278</v>
      </c>
      <c r="I35" s="462">
        <f t="shared" si="63"/>
        <v>35917</v>
      </c>
      <c r="J35" s="457">
        <f>15188+10475</f>
        <v>25663</v>
      </c>
      <c r="K35" s="457">
        <f t="shared" si="83"/>
        <v>8674</v>
      </c>
      <c r="L35" s="457">
        <f t="shared" si="64"/>
        <v>257</v>
      </c>
      <c r="M35" s="457">
        <f>783+540</f>
        <v>1323</v>
      </c>
      <c r="N35" s="458">
        <f t="shared" si="65"/>
        <v>0.1</v>
      </c>
      <c r="O35" s="459">
        <v>0</v>
      </c>
      <c r="P35" s="646">
        <f>0.06+0.04</f>
        <v>0.1</v>
      </c>
      <c r="Q35" s="469">
        <f t="shared" si="66"/>
        <v>0</v>
      </c>
      <c r="R35" s="460">
        <v>0</v>
      </c>
      <c r="S35" s="673">
        <v>0</v>
      </c>
      <c r="T35" s="460">
        <v>0</v>
      </c>
      <c r="U35" s="460">
        <v>0</v>
      </c>
      <c r="V35" s="460">
        <f t="shared" si="67"/>
        <v>0</v>
      </c>
      <c r="W35" s="460">
        <v>0</v>
      </c>
      <c r="X35" s="460">
        <v>0</v>
      </c>
      <c r="Y35" s="460">
        <v>0</v>
      </c>
      <c r="Z35" s="460">
        <f t="shared" si="68"/>
        <v>0</v>
      </c>
      <c r="AA35" s="460">
        <f t="shared" si="69"/>
        <v>0</v>
      </c>
      <c r="AB35" s="69">
        <f t="shared" si="70"/>
        <v>0</v>
      </c>
      <c r="AC35" s="69">
        <f t="shared" si="84"/>
        <v>0</v>
      </c>
      <c r="AD35" s="460">
        <v>0</v>
      </c>
      <c r="AE35" s="460">
        <v>0</v>
      </c>
      <c r="AF35" s="460">
        <f t="shared" si="71"/>
        <v>0</v>
      </c>
      <c r="AG35" s="460">
        <f t="shared" si="72"/>
        <v>0</v>
      </c>
      <c r="AH35" s="461">
        <v>0</v>
      </c>
      <c r="AI35" s="461">
        <v>0</v>
      </c>
      <c r="AJ35" s="461">
        <v>0</v>
      </c>
      <c r="AK35" s="461">
        <v>0</v>
      </c>
      <c r="AL35" s="674">
        <v>0</v>
      </c>
      <c r="AM35" s="461">
        <v>0</v>
      </c>
      <c r="AN35" s="461">
        <v>0</v>
      </c>
      <c r="AO35" s="461">
        <v>0</v>
      </c>
      <c r="AP35" s="461">
        <f t="shared" si="73"/>
        <v>0</v>
      </c>
      <c r="AQ35" s="461">
        <f t="shared" si="74"/>
        <v>0</v>
      </c>
      <c r="AR35" s="463">
        <f t="shared" si="85"/>
        <v>0</v>
      </c>
      <c r="AS35" s="469">
        <f t="shared" si="76"/>
        <v>35917</v>
      </c>
      <c r="AT35" s="460">
        <f t="shared" si="77"/>
        <v>25663</v>
      </c>
      <c r="AU35" s="460">
        <f t="shared" si="78"/>
        <v>0</v>
      </c>
      <c r="AV35" s="460">
        <f t="shared" si="79"/>
        <v>8674</v>
      </c>
      <c r="AW35" s="460">
        <f t="shared" si="79"/>
        <v>257</v>
      </c>
      <c r="AX35" s="460">
        <f t="shared" si="80"/>
        <v>1323</v>
      </c>
      <c r="AY35" s="461">
        <f t="shared" si="81"/>
        <v>0.1</v>
      </c>
      <c r="AZ35" s="461">
        <f t="shared" si="82"/>
        <v>0</v>
      </c>
      <c r="BA35" s="463">
        <f t="shared" si="82"/>
        <v>0.1</v>
      </c>
    </row>
    <row r="36" spans="1:53" ht="12.95" customHeight="1" x14ac:dyDescent="0.25">
      <c r="A36" s="310">
        <v>5</v>
      </c>
      <c r="B36" s="344">
        <v>5402</v>
      </c>
      <c r="C36" s="345">
        <v>600098958</v>
      </c>
      <c r="D36" s="344">
        <v>70983623</v>
      </c>
      <c r="E36" s="369" t="s">
        <v>824</v>
      </c>
      <c r="F36" s="344"/>
      <c r="G36" s="370"/>
      <c r="H36" s="371"/>
      <c r="I36" s="560">
        <f>SUM(I30:I35)</f>
        <v>8960957</v>
      </c>
      <c r="J36" s="558">
        <f t="shared" ref="J36:BA36" si="86">SUM(J30:J35)</f>
        <v>6581935</v>
      </c>
      <c r="K36" s="558">
        <f t="shared" si="86"/>
        <v>2224694</v>
      </c>
      <c r="L36" s="558">
        <f t="shared" si="86"/>
        <v>65820</v>
      </c>
      <c r="M36" s="558">
        <f t="shared" si="86"/>
        <v>88508</v>
      </c>
      <c r="N36" s="559">
        <f t="shared" si="86"/>
        <v>13.864899999999999</v>
      </c>
      <c r="O36" s="559">
        <f t="shared" si="86"/>
        <v>9.0948999999999991</v>
      </c>
      <c r="P36" s="372">
        <f t="shared" si="86"/>
        <v>4.7699999999999996</v>
      </c>
      <c r="Q36" s="561">
        <f t="shared" si="86"/>
        <v>-32500</v>
      </c>
      <c r="R36" s="558">
        <f t="shared" si="86"/>
        <v>411878</v>
      </c>
      <c r="S36" s="558">
        <f t="shared" si="86"/>
        <v>0</v>
      </c>
      <c r="T36" s="558">
        <f t="shared" si="86"/>
        <v>0</v>
      </c>
      <c r="U36" s="558">
        <f t="shared" si="86"/>
        <v>0</v>
      </c>
      <c r="V36" s="558">
        <f t="shared" si="86"/>
        <v>379378</v>
      </c>
      <c r="W36" s="558">
        <f t="shared" si="86"/>
        <v>32500</v>
      </c>
      <c r="X36" s="558">
        <f t="shared" si="86"/>
        <v>0</v>
      </c>
      <c r="Y36" s="558">
        <f t="shared" si="86"/>
        <v>0</v>
      </c>
      <c r="Z36" s="558">
        <f t="shared" si="86"/>
        <v>32500</v>
      </c>
      <c r="AA36" s="558">
        <f t="shared" si="86"/>
        <v>411878</v>
      </c>
      <c r="AB36" s="558">
        <f t="shared" si="86"/>
        <v>139215</v>
      </c>
      <c r="AC36" s="558">
        <f t="shared" si="86"/>
        <v>3793</v>
      </c>
      <c r="AD36" s="558">
        <f t="shared" si="86"/>
        <v>0</v>
      </c>
      <c r="AE36" s="558">
        <f t="shared" si="86"/>
        <v>0</v>
      </c>
      <c r="AF36" s="558">
        <f t="shared" si="86"/>
        <v>0</v>
      </c>
      <c r="AG36" s="558">
        <f t="shared" si="86"/>
        <v>554886</v>
      </c>
      <c r="AH36" s="559">
        <f t="shared" si="86"/>
        <v>-0.01</v>
      </c>
      <c r="AI36" s="559">
        <f t="shared" si="86"/>
        <v>-6.0000000000000005E-2</v>
      </c>
      <c r="AJ36" s="559">
        <f t="shared" si="86"/>
        <v>1.39</v>
      </c>
      <c r="AK36" s="559">
        <f t="shared" si="86"/>
        <v>0</v>
      </c>
      <c r="AL36" s="559">
        <f t="shared" si="86"/>
        <v>0</v>
      </c>
      <c r="AM36" s="559">
        <f t="shared" si="86"/>
        <v>0</v>
      </c>
      <c r="AN36" s="559">
        <f t="shared" si="86"/>
        <v>0</v>
      </c>
      <c r="AO36" s="559">
        <f t="shared" si="86"/>
        <v>0</v>
      </c>
      <c r="AP36" s="559">
        <f t="shared" si="86"/>
        <v>1.38</v>
      </c>
      <c r="AQ36" s="559">
        <f t="shared" si="86"/>
        <v>-6.0000000000000005E-2</v>
      </c>
      <c r="AR36" s="372">
        <f t="shared" si="86"/>
        <v>1.3199999999999998</v>
      </c>
      <c r="AS36" s="561">
        <f t="shared" si="86"/>
        <v>9515843</v>
      </c>
      <c r="AT36" s="558">
        <f t="shared" si="86"/>
        <v>6961313</v>
      </c>
      <c r="AU36" s="558">
        <f t="shared" si="86"/>
        <v>32500</v>
      </c>
      <c r="AV36" s="558">
        <f t="shared" si="86"/>
        <v>2363909</v>
      </c>
      <c r="AW36" s="558">
        <f t="shared" si="86"/>
        <v>69613</v>
      </c>
      <c r="AX36" s="558">
        <f t="shared" si="86"/>
        <v>88508</v>
      </c>
      <c r="AY36" s="559">
        <f t="shared" si="86"/>
        <v>15.184900000000001</v>
      </c>
      <c r="AZ36" s="559">
        <f t="shared" si="86"/>
        <v>10.4749</v>
      </c>
      <c r="BA36" s="372">
        <f t="shared" si="86"/>
        <v>4.71</v>
      </c>
    </row>
    <row r="37" spans="1:53" ht="12.95" customHeight="1" x14ac:dyDescent="0.25">
      <c r="A37" s="300">
        <v>6</v>
      </c>
      <c r="B37" s="300">
        <v>5405</v>
      </c>
      <c r="C37" s="349">
        <v>600099121</v>
      </c>
      <c r="D37" s="300">
        <v>70695521</v>
      </c>
      <c r="E37" s="302" t="s">
        <v>435</v>
      </c>
      <c r="F37" s="300">
        <v>3111</v>
      </c>
      <c r="G37" s="364" t="s">
        <v>321</v>
      </c>
      <c r="H37" s="303" t="s">
        <v>277</v>
      </c>
      <c r="I37" s="462">
        <f t="shared" ref="I37:I42" si="87">SUM(J37:M37)</f>
        <v>1542257</v>
      </c>
      <c r="J37" s="457">
        <v>1138174</v>
      </c>
      <c r="K37" s="457">
        <f>ROUND(J37*33.8%,0)-1</f>
        <v>384702</v>
      </c>
      <c r="L37" s="457">
        <f>ROUND(J37*1%,0)-1</f>
        <v>11381</v>
      </c>
      <c r="M37" s="457">
        <v>8000</v>
      </c>
      <c r="N37" s="458">
        <f t="shared" ref="N37:N42" si="88">O37+P37</f>
        <v>2.2955000000000001</v>
      </c>
      <c r="O37" s="459">
        <v>1.9355</v>
      </c>
      <c r="P37" s="646">
        <v>0.36</v>
      </c>
      <c r="Q37" s="469">
        <f t="shared" ref="Q37:Q42" si="89">W37*-1</f>
        <v>0</v>
      </c>
      <c r="R37" s="460">
        <v>0</v>
      </c>
      <c r="S37" s="673">
        <v>0</v>
      </c>
      <c r="T37" s="460">
        <v>0</v>
      </c>
      <c r="U37" s="460">
        <v>0</v>
      </c>
      <c r="V37" s="460">
        <f t="shared" ref="V37:V42" si="90">SUM(Q37:U37)</f>
        <v>0</v>
      </c>
      <c r="W37" s="460">
        <v>0</v>
      </c>
      <c r="X37" s="460">
        <v>0</v>
      </c>
      <c r="Y37" s="460">
        <v>0</v>
      </c>
      <c r="Z37" s="460">
        <f t="shared" ref="Z37:Z42" si="91">SUM(W37:Y37)</f>
        <v>0</v>
      </c>
      <c r="AA37" s="460">
        <f t="shared" ref="AA37:AA42" si="92">V37+Z37</f>
        <v>0</v>
      </c>
      <c r="AB37" s="69">
        <f t="shared" ref="AB37:AB42" si="93">ROUND((V37+W37+X37)*33.8%,0)</f>
        <v>0</v>
      </c>
      <c r="AC37" s="69">
        <f t="shared" ref="AC37:AC42" si="94">ROUND(V37*1%,0)</f>
        <v>0</v>
      </c>
      <c r="AD37" s="460">
        <v>0</v>
      </c>
      <c r="AE37" s="460">
        <v>0</v>
      </c>
      <c r="AF37" s="460">
        <f t="shared" ref="AF37:AF42" si="95">SUM(AD37:AE37)</f>
        <v>0</v>
      </c>
      <c r="AG37" s="460">
        <f t="shared" ref="AG37:AG42" si="96">AA37+AB37+AC37+AF37</f>
        <v>0</v>
      </c>
      <c r="AH37" s="461">
        <v>0</v>
      </c>
      <c r="AI37" s="461">
        <v>0</v>
      </c>
      <c r="AJ37" s="461">
        <v>0</v>
      </c>
      <c r="AK37" s="461">
        <v>0</v>
      </c>
      <c r="AL37" s="674">
        <v>0</v>
      </c>
      <c r="AM37" s="461">
        <v>0</v>
      </c>
      <c r="AN37" s="461">
        <v>0</v>
      </c>
      <c r="AO37" s="461">
        <v>0</v>
      </c>
      <c r="AP37" s="461">
        <f t="shared" ref="AP37:AP42" si="97">AH37+AJ37+AK37+AM37+AN37</f>
        <v>0</v>
      </c>
      <c r="AQ37" s="461">
        <f t="shared" ref="AQ37:AQ42" si="98">AI37+AL37+AO37</f>
        <v>0</v>
      </c>
      <c r="AR37" s="463">
        <f t="shared" ref="AR37:AR42" si="99">SUM(AP37:AQ37)</f>
        <v>0</v>
      </c>
      <c r="AS37" s="469">
        <f t="shared" ref="AS37:AS42" si="100">I37+AG37</f>
        <v>1542257</v>
      </c>
      <c r="AT37" s="460">
        <f t="shared" ref="AT37:AT42" si="101">J37+V37</f>
        <v>1138174</v>
      </c>
      <c r="AU37" s="460">
        <f t="shared" ref="AU37:AU42" si="102">Z37</f>
        <v>0</v>
      </c>
      <c r="AV37" s="460">
        <f t="shared" ref="AV37:AW42" si="103">K37+AB37</f>
        <v>384702</v>
      </c>
      <c r="AW37" s="460">
        <f t="shared" si="103"/>
        <v>11381</v>
      </c>
      <c r="AX37" s="460">
        <f t="shared" ref="AX37:AX42" si="104">M37+AF37</f>
        <v>8000</v>
      </c>
      <c r="AY37" s="461">
        <f t="shared" ref="AY37:AY42" si="105">N37+AR37</f>
        <v>2.2955000000000001</v>
      </c>
      <c r="AZ37" s="461">
        <f t="shared" ref="AZ37:BA42" si="106">O37+AP37</f>
        <v>1.9355</v>
      </c>
      <c r="BA37" s="463">
        <f t="shared" si="106"/>
        <v>0.36</v>
      </c>
    </row>
    <row r="38" spans="1:53" ht="12.95" customHeight="1" x14ac:dyDescent="0.25">
      <c r="A38" s="300">
        <v>6</v>
      </c>
      <c r="B38" s="340">
        <v>5405</v>
      </c>
      <c r="C38" s="341">
        <v>600099121</v>
      </c>
      <c r="D38" s="300">
        <v>70695521</v>
      </c>
      <c r="E38" s="368" t="s">
        <v>435</v>
      </c>
      <c r="F38" s="340">
        <v>3113</v>
      </c>
      <c r="G38" s="364" t="s">
        <v>325</v>
      </c>
      <c r="H38" s="303" t="s">
        <v>277</v>
      </c>
      <c r="I38" s="462">
        <f t="shared" si="87"/>
        <v>8107173</v>
      </c>
      <c r="J38" s="457">
        <v>5884271</v>
      </c>
      <c r="K38" s="457">
        <f t="shared" ref="K38:K42" si="107">ROUND(J38*33.8%,0)</f>
        <v>1988884</v>
      </c>
      <c r="L38" s="457">
        <f t="shared" ref="L38:L42" si="108">ROUND(J38*1%,0)</f>
        <v>58843</v>
      </c>
      <c r="M38" s="457">
        <v>175175</v>
      </c>
      <c r="N38" s="458">
        <f t="shared" si="88"/>
        <v>11.428899999999999</v>
      </c>
      <c r="O38" s="459">
        <v>9.3088999999999995</v>
      </c>
      <c r="P38" s="646">
        <v>2.12</v>
      </c>
      <c r="Q38" s="469">
        <f t="shared" si="89"/>
        <v>0</v>
      </c>
      <c r="R38" s="460">
        <v>0</v>
      </c>
      <c r="S38" s="673">
        <v>0</v>
      </c>
      <c r="T38" s="460">
        <v>0</v>
      </c>
      <c r="U38" s="460">
        <v>0</v>
      </c>
      <c r="V38" s="460">
        <f t="shared" si="90"/>
        <v>0</v>
      </c>
      <c r="W38" s="460">
        <v>0</v>
      </c>
      <c r="X38" s="460">
        <v>0</v>
      </c>
      <c r="Y38" s="460">
        <v>0</v>
      </c>
      <c r="Z38" s="460">
        <f t="shared" si="91"/>
        <v>0</v>
      </c>
      <c r="AA38" s="460">
        <f t="shared" si="92"/>
        <v>0</v>
      </c>
      <c r="AB38" s="69">
        <f t="shared" si="93"/>
        <v>0</v>
      </c>
      <c r="AC38" s="69">
        <f t="shared" si="94"/>
        <v>0</v>
      </c>
      <c r="AD38" s="460">
        <v>0</v>
      </c>
      <c r="AE38" s="460">
        <v>0</v>
      </c>
      <c r="AF38" s="460">
        <f t="shared" si="95"/>
        <v>0</v>
      </c>
      <c r="AG38" s="460">
        <f t="shared" si="96"/>
        <v>0</v>
      </c>
      <c r="AH38" s="461">
        <v>0</v>
      </c>
      <c r="AI38" s="461">
        <v>0</v>
      </c>
      <c r="AJ38" s="461">
        <v>0</v>
      </c>
      <c r="AK38" s="461">
        <v>0</v>
      </c>
      <c r="AL38" s="674">
        <v>0</v>
      </c>
      <c r="AM38" s="461">
        <v>0</v>
      </c>
      <c r="AN38" s="461">
        <v>0</v>
      </c>
      <c r="AO38" s="461">
        <v>0</v>
      </c>
      <c r="AP38" s="461">
        <f t="shared" si="97"/>
        <v>0</v>
      </c>
      <c r="AQ38" s="461">
        <f t="shared" si="98"/>
        <v>0</v>
      </c>
      <c r="AR38" s="463">
        <f t="shared" si="99"/>
        <v>0</v>
      </c>
      <c r="AS38" s="469">
        <f t="shared" si="100"/>
        <v>8107173</v>
      </c>
      <c r="AT38" s="460">
        <f t="shared" si="101"/>
        <v>5884271</v>
      </c>
      <c r="AU38" s="460">
        <f t="shared" si="102"/>
        <v>0</v>
      </c>
      <c r="AV38" s="460">
        <f t="shared" si="103"/>
        <v>1988884</v>
      </c>
      <c r="AW38" s="460">
        <f t="shared" si="103"/>
        <v>58843</v>
      </c>
      <c r="AX38" s="460">
        <f t="shared" si="104"/>
        <v>175175</v>
      </c>
      <c r="AY38" s="461">
        <f t="shared" si="105"/>
        <v>11.428899999999999</v>
      </c>
      <c r="AZ38" s="461">
        <f t="shared" si="106"/>
        <v>9.3088999999999995</v>
      </c>
      <c r="BA38" s="463">
        <f t="shared" si="106"/>
        <v>2.12</v>
      </c>
    </row>
    <row r="39" spans="1:53" ht="12.95" customHeight="1" x14ac:dyDescent="0.25">
      <c r="A39" s="300">
        <v>6</v>
      </c>
      <c r="B39" s="340">
        <v>5405</v>
      </c>
      <c r="C39" s="341">
        <v>600099121</v>
      </c>
      <c r="D39" s="300">
        <v>70695521</v>
      </c>
      <c r="E39" s="368" t="s">
        <v>435</v>
      </c>
      <c r="F39" s="340">
        <v>3113</v>
      </c>
      <c r="G39" s="303" t="s">
        <v>308</v>
      </c>
      <c r="H39" s="303" t="s">
        <v>278</v>
      </c>
      <c r="I39" s="462">
        <f t="shared" si="87"/>
        <v>0</v>
      </c>
      <c r="J39" s="457">
        <v>0</v>
      </c>
      <c r="K39" s="457">
        <f t="shared" si="107"/>
        <v>0</v>
      </c>
      <c r="L39" s="457">
        <f t="shared" si="108"/>
        <v>0</v>
      </c>
      <c r="M39" s="457">
        <v>0</v>
      </c>
      <c r="N39" s="458">
        <f t="shared" si="88"/>
        <v>0</v>
      </c>
      <c r="O39" s="459">
        <v>0</v>
      </c>
      <c r="P39" s="646">
        <v>0</v>
      </c>
      <c r="Q39" s="469">
        <f t="shared" si="89"/>
        <v>0</v>
      </c>
      <c r="R39" s="460">
        <f>1845819+79394</f>
        <v>1925213</v>
      </c>
      <c r="S39" s="673">
        <v>0</v>
      </c>
      <c r="T39" s="460">
        <v>0</v>
      </c>
      <c r="U39" s="460">
        <v>0</v>
      </c>
      <c r="V39" s="460">
        <f t="shared" si="90"/>
        <v>1925213</v>
      </c>
      <c r="W39" s="460">
        <v>0</v>
      </c>
      <c r="X39" s="460">
        <v>0</v>
      </c>
      <c r="Y39" s="460">
        <v>0</v>
      </c>
      <c r="Z39" s="460">
        <f t="shared" si="91"/>
        <v>0</v>
      </c>
      <c r="AA39" s="460">
        <f t="shared" si="92"/>
        <v>1925213</v>
      </c>
      <c r="AB39" s="69">
        <f t="shared" si="93"/>
        <v>650722</v>
      </c>
      <c r="AC39" s="69">
        <f t="shared" si="94"/>
        <v>19252</v>
      </c>
      <c r="AD39" s="460">
        <v>0</v>
      </c>
      <c r="AE39" s="460">
        <v>0</v>
      </c>
      <c r="AF39" s="460">
        <f t="shared" si="95"/>
        <v>0</v>
      </c>
      <c r="AG39" s="460">
        <f t="shared" si="96"/>
        <v>2595187</v>
      </c>
      <c r="AH39" s="461">
        <v>0</v>
      </c>
      <c r="AI39" s="461">
        <v>0</v>
      </c>
      <c r="AJ39" s="461">
        <f>5.58+0.23</f>
        <v>5.8100000000000005</v>
      </c>
      <c r="AK39" s="461">
        <v>0</v>
      </c>
      <c r="AL39" s="674">
        <v>0</v>
      </c>
      <c r="AM39" s="461">
        <v>0</v>
      </c>
      <c r="AN39" s="461">
        <v>0</v>
      </c>
      <c r="AO39" s="461">
        <v>0</v>
      </c>
      <c r="AP39" s="461">
        <f t="shared" si="97"/>
        <v>5.8100000000000005</v>
      </c>
      <c r="AQ39" s="461">
        <f t="shared" si="98"/>
        <v>0</v>
      </c>
      <c r="AR39" s="463">
        <f t="shared" si="99"/>
        <v>5.8100000000000005</v>
      </c>
      <c r="AS39" s="469">
        <f t="shared" si="100"/>
        <v>2595187</v>
      </c>
      <c r="AT39" s="460">
        <f t="shared" si="101"/>
        <v>1925213</v>
      </c>
      <c r="AU39" s="460">
        <f t="shared" si="102"/>
        <v>0</v>
      </c>
      <c r="AV39" s="460">
        <f t="shared" si="103"/>
        <v>650722</v>
      </c>
      <c r="AW39" s="460">
        <f t="shared" si="103"/>
        <v>19252</v>
      </c>
      <c r="AX39" s="460">
        <f t="shared" si="104"/>
        <v>0</v>
      </c>
      <c r="AY39" s="461">
        <f t="shared" si="105"/>
        <v>5.8100000000000005</v>
      </c>
      <c r="AZ39" s="461">
        <f t="shared" si="106"/>
        <v>5.8100000000000005</v>
      </c>
      <c r="BA39" s="463">
        <f t="shared" si="106"/>
        <v>0</v>
      </c>
    </row>
    <row r="40" spans="1:53" ht="12.95" customHeight="1" x14ac:dyDescent="0.25">
      <c r="A40" s="300">
        <v>6</v>
      </c>
      <c r="B40" s="340">
        <v>5405</v>
      </c>
      <c r="C40" s="341">
        <v>600099121</v>
      </c>
      <c r="D40" s="300">
        <v>70695521</v>
      </c>
      <c r="E40" s="368" t="s">
        <v>435</v>
      </c>
      <c r="F40" s="340">
        <v>3141</v>
      </c>
      <c r="G40" s="364" t="s">
        <v>311</v>
      </c>
      <c r="H40" s="303" t="s">
        <v>278</v>
      </c>
      <c r="I40" s="462">
        <f t="shared" si="87"/>
        <v>1008128</v>
      </c>
      <c r="J40" s="457">
        <v>744205</v>
      </c>
      <c r="K40" s="457">
        <f t="shared" si="107"/>
        <v>251541</v>
      </c>
      <c r="L40" s="457">
        <f t="shared" si="108"/>
        <v>7442</v>
      </c>
      <c r="M40" s="457">
        <v>4940</v>
      </c>
      <c r="N40" s="458">
        <f t="shared" si="88"/>
        <v>2.39</v>
      </c>
      <c r="O40" s="459">
        <v>0</v>
      </c>
      <c r="P40" s="646">
        <v>2.39</v>
      </c>
      <c r="Q40" s="469">
        <f t="shared" si="89"/>
        <v>0</v>
      </c>
      <c r="R40" s="460">
        <v>0</v>
      </c>
      <c r="S40" s="673">
        <v>0</v>
      </c>
      <c r="T40" s="460">
        <v>0</v>
      </c>
      <c r="U40" s="460">
        <v>0</v>
      </c>
      <c r="V40" s="460">
        <f t="shared" si="90"/>
        <v>0</v>
      </c>
      <c r="W40" s="460">
        <v>0</v>
      </c>
      <c r="X40" s="460">
        <v>0</v>
      </c>
      <c r="Y40" s="460">
        <v>0</v>
      </c>
      <c r="Z40" s="460">
        <f t="shared" si="91"/>
        <v>0</v>
      </c>
      <c r="AA40" s="460">
        <f t="shared" si="92"/>
        <v>0</v>
      </c>
      <c r="AB40" s="69">
        <f t="shared" si="93"/>
        <v>0</v>
      </c>
      <c r="AC40" s="69">
        <f t="shared" si="94"/>
        <v>0</v>
      </c>
      <c r="AD40" s="460">
        <v>0</v>
      </c>
      <c r="AE40" s="460">
        <v>0</v>
      </c>
      <c r="AF40" s="460">
        <f t="shared" si="95"/>
        <v>0</v>
      </c>
      <c r="AG40" s="460">
        <f t="shared" si="96"/>
        <v>0</v>
      </c>
      <c r="AH40" s="461">
        <v>0</v>
      </c>
      <c r="AI40" s="461">
        <v>0</v>
      </c>
      <c r="AJ40" s="461">
        <v>0</v>
      </c>
      <c r="AK40" s="461">
        <v>0</v>
      </c>
      <c r="AL40" s="674">
        <v>0</v>
      </c>
      <c r="AM40" s="461">
        <v>0</v>
      </c>
      <c r="AN40" s="461">
        <v>0</v>
      </c>
      <c r="AO40" s="461">
        <v>0</v>
      </c>
      <c r="AP40" s="461">
        <f t="shared" si="97"/>
        <v>0</v>
      </c>
      <c r="AQ40" s="461">
        <f t="shared" si="98"/>
        <v>0</v>
      </c>
      <c r="AR40" s="463">
        <f t="shared" si="99"/>
        <v>0</v>
      </c>
      <c r="AS40" s="469">
        <f t="shared" si="100"/>
        <v>1008128</v>
      </c>
      <c r="AT40" s="460">
        <f t="shared" si="101"/>
        <v>744205</v>
      </c>
      <c r="AU40" s="460">
        <f t="shared" si="102"/>
        <v>0</v>
      </c>
      <c r="AV40" s="460">
        <f t="shared" si="103"/>
        <v>251541</v>
      </c>
      <c r="AW40" s="460">
        <f t="shared" si="103"/>
        <v>7442</v>
      </c>
      <c r="AX40" s="460">
        <f t="shared" si="104"/>
        <v>4940</v>
      </c>
      <c r="AY40" s="461">
        <f t="shared" si="105"/>
        <v>2.39</v>
      </c>
      <c r="AZ40" s="461">
        <f t="shared" si="106"/>
        <v>0</v>
      </c>
      <c r="BA40" s="463">
        <f t="shared" si="106"/>
        <v>2.39</v>
      </c>
    </row>
    <row r="41" spans="1:53" ht="12.95" customHeight="1" x14ac:dyDescent="0.25">
      <c r="A41" s="300">
        <v>6</v>
      </c>
      <c r="B41" s="340">
        <v>5405</v>
      </c>
      <c r="C41" s="341">
        <v>600099121</v>
      </c>
      <c r="D41" s="300">
        <v>70695521</v>
      </c>
      <c r="E41" s="368" t="s">
        <v>435</v>
      </c>
      <c r="F41" s="340">
        <v>3143</v>
      </c>
      <c r="G41" s="303" t="s">
        <v>616</v>
      </c>
      <c r="H41" s="303" t="s">
        <v>277</v>
      </c>
      <c r="I41" s="462">
        <f t="shared" si="87"/>
        <v>681917</v>
      </c>
      <c r="J41" s="457">
        <v>505873</v>
      </c>
      <c r="K41" s="457">
        <f t="shared" si="107"/>
        <v>170985</v>
      </c>
      <c r="L41" s="457">
        <f t="shared" si="108"/>
        <v>5059</v>
      </c>
      <c r="M41" s="457">
        <v>0</v>
      </c>
      <c r="N41" s="458">
        <f t="shared" si="88"/>
        <v>1</v>
      </c>
      <c r="O41" s="459">
        <v>1</v>
      </c>
      <c r="P41" s="646">
        <v>0</v>
      </c>
      <c r="Q41" s="469">
        <f t="shared" si="89"/>
        <v>0</v>
      </c>
      <c r="R41" s="460">
        <v>0</v>
      </c>
      <c r="S41" s="673">
        <v>0</v>
      </c>
      <c r="T41" s="460">
        <v>0</v>
      </c>
      <c r="U41" s="460">
        <v>0</v>
      </c>
      <c r="V41" s="460">
        <f t="shared" si="90"/>
        <v>0</v>
      </c>
      <c r="W41" s="460">
        <v>0</v>
      </c>
      <c r="X41" s="460">
        <v>0</v>
      </c>
      <c r="Y41" s="460">
        <v>0</v>
      </c>
      <c r="Z41" s="460">
        <f t="shared" si="91"/>
        <v>0</v>
      </c>
      <c r="AA41" s="460">
        <f t="shared" si="92"/>
        <v>0</v>
      </c>
      <c r="AB41" s="69">
        <f t="shared" si="93"/>
        <v>0</v>
      </c>
      <c r="AC41" s="69">
        <f t="shared" si="94"/>
        <v>0</v>
      </c>
      <c r="AD41" s="460">
        <v>0</v>
      </c>
      <c r="AE41" s="460">
        <v>0</v>
      </c>
      <c r="AF41" s="460">
        <f t="shared" si="95"/>
        <v>0</v>
      </c>
      <c r="AG41" s="460">
        <f t="shared" si="96"/>
        <v>0</v>
      </c>
      <c r="AH41" s="461">
        <v>0</v>
      </c>
      <c r="AI41" s="461">
        <v>0</v>
      </c>
      <c r="AJ41" s="461">
        <v>0</v>
      </c>
      <c r="AK41" s="461">
        <v>0</v>
      </c>
      <c r="AL41" s="674">
        <v>0</v>
      </c>
      <c r="AM41" s="461">
        <v>0</v>
      </c>
      <c r="AN41" s="461">
        <v>0</v>
      </c>
      <c r="AO41" s="461">
        <v>0</v>
      </c>
      <c r="AP41" s="461">
        <f t="shared" si="97"/>
        <v>0</v>
      </c>
      <c r="AQ41" s="461">
        <f t="shared" si="98"/>
        <v>0</v>
      </c>
      <c r="AR41" s="463">
        <f t="shared" si="99"/>
        <v>0</v>
      </c>
      <c r="AS41" s="469">
        <f t="shared" si="100"/>
        <v>681917</v>
      </c>
      <c r="AT41" s="460">
        <f t="shared" si="101"/>
        <v>505873</v>
      </c>
      <c r="AU41" s="460">
        <f t="shared" si="102"/>
        <v>0</v>
      </c>
      <c r="AV41" s="460">
        <f t="shared" si="103"/>
        <v>170985</v>
      </c>
      <c r="AW41" s="460">
        <f t="shared" si="103"/>
        <v>5059</v>
      </c>
      <c r="AX41" s="460">
        <f t="shared" si="104"/>
        <v>0</v>
      </c>
      <c r="AY41" s="461">
        <f t="shared" si="105"/>
        <v>1</v>
      </c>
      <c r="AZ41" s="461">
        <f t="shared" si="106"/>
        <v>1</v>
      </c>
      <c r="BA41" s="463">
        <f t="shared" si="106"/>
        <v>0</v>
      </c>
    </row>
    <row r="42" spans="1:53" ht="12.95" customHeight="1" x14ac:dyDescent="0.25">
      <c r="A42" s="300">
        <v>6</v>
      </c>
      <c r="B42" s="340">
        <v>5405</v>
      </c>
      <c r="C42" s="341">
        <v>600099121</v>
      </c>
      <c r="D42" s="300">
        <v>70695521</v>
      </c>
      <c r="E42" s="368" t="s">
        <v>435</v>
      </c>
      <c r="F42" s="340">
        <v>3143</v>
      </c>
      <c r="G42" s="303" t="s">
        <v>617</v>
      </c>
      <c r="H42" s="303" t="s">
        <v>278</v>
      </c>
      <c r="I42" s="462">
        <f t="shared" si="87"/>
        <v>18324</v>
      </c>
      <c r="J42" s="457">
        <v>13093</v>
      </c>
      <c r="K42" s="457">
        <f t="shared" si="107"/>
        <v>4425</v>
      </c>
      <c r="L42" s="457">
        <f t="shared" si="108"/>
        <v>131</v>
      </c>
      <c r="M42" s="457">
        <v>675</v>
      </c>
      <c r="N42" s="458">
        <f t="shared" si="88"/>
        <v>0.05</v>
      </c>
      <c r="O42" s="459">
        <v>0</v>
      </c>
      <c r="P42" s="646">
        <v>0.05</v>
      </c>
      <c r="Q42" s="469">
        <f t="shared" si="89"/>
        <v>0</v>
      </c>
      <c r="R42" s="460">
        <v>0</v>
      </c>
      <c r="S42" s="673">
        <v>0</v>
      </c>
      <c r="T42" s="460">
        <v>0</v>
      </c>
      <c r="U42" s="460">
        <v>0</v>
      </c>
      <c r="V42" s="460">
        <f t="shared" si="90"/>
        <v>0</v>
      </c>
      <c r="W42" s="460">
        <v>0</v>
      </c>
      <c r="X42" s="460">
        <v>0</v>
      </c>
      <c r="Y42" s="460">
        <v>0</v>
      </c>
      <c r="Z42" s="460">
        <f t="shared" si="91"/>
        <v>0</v>
      </c>
      <c r="AA42" s="460">
        <f t="shared" si="92"/>
        <v>0</v>
      </c>
      <c r="AB42" s="69">
        <f t="shared" si="93"/>
        <v>0</v>
      </c>
      <c r="AC42" s="69">
        <f t="shared" si="94"/>
        <v>0</v>
      </c>
      <c r="AD42" s="460">
        <v>0</v>
      </c>
      <c r="AE42" s="460">
        <v>0</v>
      </c>
      <c r="AF42" s="460">
        <f t="shared" si="95"/>
        <v>0</v>
      </c>
      <c r="AG42" s="460">
        <f t="shared" si="96"/>
        <v>0</v>
      </c>
      <c r="AH42" s="461">
        <v>0</v>
      </c>
      <c r="AI42" s="461">
        <v>0</v>
      </c>
      <c r="AJ42" s="461">
        <v>0</v>
      </c>
      <c r="AK42" s="461">
        <v>0</v>
      </c>
      <c r="AL42" s="674">
        <v>0</v>
      </c>
      <c r="AM42" s="461">
        <v>0</v>
      </c>
      <c r="AN42" s="461">
        <v>0</v>
      </c>
      <c r="AO42" s="461">
        <v>0</v>
      </c>
      <c r="AP42" s="461">
        <f t="shared" si="97"/>
        <v>0</v>
      </c>
      <c r="AQ42" s="461">
        <f t="shared" si="98"/>
        <v>0</v>
      </c>
      <c r="AR42" s="463">
        <f t="shared" si="99"/>
        <v>0</v>
      </c>
      <c r="AS42" s="469">
        <f t="shared" si="100"/>
        <v>18324</v>
      </c>
      <c r="AT42" s="460">
        <f t="shared" si="101"/>
        <v>13093</v>
      </c>
      <c r="AU42" s="460">
        <f t="shared" si="102"/>
        <v>0</v>
      </c>
      <c r="AV42" s="460">
        <f t="shared" si="103"/>
        <v>4425</v>
      </c>
      <c r="AW42" s="460">
        <f t="shared" si="103"/>
        <v>131</v>
      </c>
      <c r="AX42" s="460">
        <f t="shared" si="104"/>
        <v>675</v>
      </c>
      <c r="AY42" s="461">
        <f t="shared" si="105"/>
        <v>0.05</v>
      </c>
      <c r="AZ42" s="461">
        <f t="shared" si="106"/>
        <v>0</v>
      </c>
      <c r="BA42" s="463">
        <f t="shared" si="106"/>
        <v>0.05</v>
      </c>
    </row>
    <row r="43" spans="1:53" ht="12.95" customHeight="1" x14ac:dyDescent="0.25">
      <c r="A43" s="310">
        <v>6</v>
      </c>
      <c r="B43" s="373">
        <v>5405</v>
      </c>
      <c r="C43" s="351">
        <v>600099121</v>
      </c>
      <c r="D43" s="373">
        <v>70695521</v>
      </c>
      <c r="E43" s="369" t="s">
        <v>436</v>
      </c>
      <c r="F43" s="373"/>
      <c r="G43" s="374"/>
      <c r="H43" s="375"/>
      <c r="I43" s="560">
        <f t="shared" ref="I43:P43" si="109">SUM(I37:I42)</f>
        <v>11357799</v>
      </c>
      <c r="J43" s="558">
        <f t="shared" si="109"/>
        <v>8285616</v>
      </c>
      <c r="K43" s="558">
        <f t="shared" si="109"/>
        <v>2800537</v>
      </c>
      <c r="L43" s="558">
        <f t="shared" si="109"/>
        <v>82856</v>
      </c>
      <c r="M43" s="558">
        <f t="shared" si="109"/>
        <v>188790</v>
      </c>
      <c r="N43" s="559">
        <f t="shared" si="109"/>
        <v>17.164400000000001</v>
      </c>
      <c r="O43" s="559">
        <f t="shared" si="109"/>
        <v>12.244399999999999</v>
      </c>
      <c r="P43" s="372">
        <f t="shared" si="109"/>
        <v>4.92</v>
      </c>
      <c r="Q43" s="561">
        <f t="shared" ref="Q43:BA43" si="110">SUM(Q37:Q42)</f>
        <v>0</v>
      </c>
      <c r="R43" s="558">
        <f t="shared" si="110"/>
        <v>1925213</v>
      </c>
      <c r="S43" s="558">
        <f t="shared" si="110"/>
        <v>0</v>
      </c>
      <c r="T43" s="558">
        <f t="shared" si="110"/>
        <v>0</v>
      </c>
      <c r="U43" s="558">
        <f t="shared" si="110"/>
        <v>0</v>
      </c>
      <c r="V43" s="558">
        <f t="shared" si="110"/>
        <v>1925213</v>
      </c>
      <c r="W43" s="558">
        <f t="shared" si="110"/>
        <v>0</v>
      </c>
      <c r="X43" s="558">
        <f t="shared" si="110"/>
        <v>0</v>
      </c>
      <c r="Y43" s="558">
        <f t="shared" si="110"/>
        <v>0</v>
      </c>
      <c r="Z43" s="558">
        <f t="shared" si="110"/>
        <v>0</v>
      </c>
      <c r="AA43" s="558">
        <f t="shared" si="110"/>
        <v>1925213</v>
      </c>
      <c r="AB43" s="558">
        <f t="shared" si="110"/>
        <v>650722</v>
      </c>
      <c r="AC43" s="558">
        <f t="shared" si="110"/>
        <v>19252</v>
      </c>
      <c r="AD43" s="558">
        <f t="shared" si="110"/>
        <v>0</v>
      </c>
      <c r="AE43" s="558">
        <f t="shared" si="110"/>
        <v>0</v>
      </c>
      <c r="AF43" s="558">
        <f t="shared" si="110"/>
        <v>0</v>
      </c>
      <c r="AG43" s="558">
        <f t="shared" si="110"/>
        <v>2595187</v>
      </c>
      <c r="AH43" s="559">
        <f t="shared" si="110"/>
        <v>0</v>
      </c>
      <c r="AI43" s="559">
        <f t="shared" si="110"/>
        <v>0</v>
      </c>
      <c r="AJ43" s="559">
        <f t="shared" si="110"/>
        <v>5.8100000000000005</v>
      </c>
      <c r="AK43" s="559">
        <f t="shared" si="110"/>
        <v>0</v>
      </c>
      <c r="AL43" s="559">
        <f t="shared" si="110"/>
        <v>0</v>
      </c>
      <c r="AM43" s="559">
        <f t="shared" si="110"/>
        <v>0</v>
      </c>
      <c r="AN43" s="559">
        <f t="shared" si="110"/>
        <v>0</v>
      </c>
      <c r="AO43" s="559">
        <f t="shared" si="110"/>
        <v>0</v>
      </c>
      <c r="AP43" s="559">
        <f t="shared" si="110"/>
        <v>5.8100000000000005</v>
      </c>
      <c r="AQ43" s="559">
        <f t="shared" si="110"/>
        <v>0</v>
      </c>
      <c r="AR43" s="372">
        <f t="shared" si="110"/>
        <v>5.8100000000000005</v>
      </c>
      <c r="AS43" s="561">
        <f t="shared" si="110"/>
        <v>13952986</v>
      </c>
      <c r="AT43" s="558">
        <f t="shared" si="110"/>
        <v>10210829</v>
      </c>
      <c r="AU43" s="558">
        <f t="shared" si="110"/>
        <v>0</v>
      </c>
      <c r="AV43" s="558">
        <f t="shared" si="110"/>
        <v>3451259</v>
      </c>
      <c r="AW43" s="558">
        <f t="shared" si="110"/>
        <v>102108</v>
      </c>
      <c r="AX43" s="558">
        <f t="shared" si="110"/>
        <v>188790</v>
      </c>
      <c r="AY43" s="559">
        <f t="shared" si="110"/>
        <v>22.974399999999999</v>
      </c>
      <c r="AZ43" s="559">
        <f t="shared" si="110"/>
        <v>18.054400000000001</v>
      </c>
      <c r="BA43" s="372">
        <f t="shared" si="110"/>
        <v>4.92</v>
      </c>
    </row>
    <row r="44" spans="1:53" ht="12.95" customHeight="1" x14ac:dyDescent="0.25">
      <c r="A44" s="300">
        <v>7</v>
      </c>
      <c r="B44" s="340">
        <v>5410</v>
      </c>
      <c r="C44" s="341">
        <v>600099318</v>
      </c>
      <c r="D44" s="300">
        <v>854778</v>
      </c>
      <c r="E44" s="368" t="s">
        <v>437</v>
      </c>
      <c r="F44" s="340">
        <v>3111</v>
      </c>
      <c r="G44" s="364" t="s">
        <v>321</v>
      </c>
      <c r="H44" s="303" t="s">
        <v>277</v>
      </c>
      <c r="I44" s="462">
        <f t="shared" ref="I44:I49" si="111">SUM(J44:M44)</f>
        <v>3689221</v>
      </c>
      <c r="J44" s="457">
        <v>2719303</v>
      </c>
      <c r="K44" s="457">
        <f t="shared" ref="K44:K49" si="112">ROUND(J44*33.8%,0)</f>
        <v>919124</v>
      </c>
      <c r="L44" s="457">
        <f>ROUND(J44*1%,0)+1</f>
        <v>27194</v>
      </c>
      <c r="M44" s="457">
        <v>23600</v>
      </c>
      <c r="N44" s="458">
        <f t="shared" ref="N44:N49" si="113">O44+P44</f>
        <v>5.8100000000000005</v>
      </c>
      <c r="O44" s="459">
        <v>4.7300000000000004</v>
      </c>
      <c r="P44" s="646">
        <v>1.08</v>
      </c>
      <c r="Q44" s="469">
        <f t="shared" ref="Q44:Q49" si="114">W44*-1</f>
        <v>-13000</v>
      </c>
      <c r="R44" s="460">
        <v>0</v>
      </c>
      <c r="S44" s="673">
        <v>0</v>
      </c>
      <c r="T44" s="460">
        <v>0</v>
      </c>
      <c r="U44" s="460">
        <v>0</v>
      </c>
      <c r="V44" s="460">
        <f t="shared" ref="V44:V49" si="115">SUM(Q44:U44)</f>
        <v>-13000</v>
      </c>
      <c r="W44" s="460">
        <v>13000</v>
      </c>
      <c r="X44" s="460">
        <v>0</v>
      </c>
      <c r="Y44" s="460">
        <v>0</v>
      </c>
      <c r="Z44" s="460">
        <f t="shared" ref="Z44:Z49" si="116">SUM(W44:Y44)</f>
        <v>13000</v>
      </c>
      <c r="AA44" s="460">
        <f t="shared" ref="AA44:AA49" si="117">V44+Z44</f>
        <v>0</v>
      </c>
      <c r="AB44" s="69">
        <f t="shared" ref="AB44:AB49" si="118">ROUND((V44+W44+X44)*33.8%,0)</f>
        <v>0</v>
      </c>
      <c r="AC44" s="69">
        <f t="shared" ref="AC44:AC49" si="119">ROUND(V44*1%,0)</f>
        <v>-130</v>
      </c>
      <c r="AD44" s="460">
        <v>0</v>
      </c>
      <c r="AE44" s="460">
        <v>0</v>
      </c>
      <c r="AF44" s="460">
        <f t="shared" ref="AF44:AF49" si="120">SUM(AD44:AE44)</f>
        <v>0</v>
      </c>
      <c r="AG44" s="460">
        <f t="shared" ref="AG44:AG49" si="121">AA44+AB44+AC44+AF44</f>
        <v>-130</v>
      </c>
      <c r="AH44" s="461">
        <v>0</v>
      </c>
      <c r="AI44" s="461">
        <v>0</v>
      </c>
      <c r="AJ44" s="461">
        <v>0</v>
      </c>
      <c r="AK44" s="461">
        <v>0</v>
      </c>
      <c r="AL44" s="674">
        <v>0</v>
      </c>
      <c r="AM44" s="461">
        <v>0</v>
      </c>
      <c r="AN44" s="461">
        <v>0</v>
      </c>
      <c r="AO44" s="461">
        <v>0</v>
      </c>
      <c r="AP44" s="461">
        <f t="shared" ref="AP44:AP49" si="122">AH44+AJ44+AK44+AM44+AN44</f>
        <v>0</v>
      </c>
      <c r="AQ44" s="461">
        <f t="shared" ref="AQ44:AQ49" si="123">AI44+AL44+AO44</f>
        <v>0</v>
      </c>
      <c r="AR44" s="463">
        <f t="shared" ref="AR44:AR49" si="124">SUM(AP44:AQ44)</f>
        <v>0</v>
      </c>
      <c r="AS44" s="469">
        <f t="shared" ref="AS44:AS49" si="125">I44+AG44</f>
        <v>3689091</v>
      </c>
      <c r="AT44" s="460">
        <f t="shared" ref="AT44:AT49" si="126">J44+V44</f>
        <v>2706303</v>
      </c>
      <c r="AU44" s="460">
        <f t="shared" ref="AU44:AU49" si="127">Z44</f>
        <v>13000</v>
      </c>
      <c r="AV44" s="460">
        <f t="shared" ref="AV44:AW49" si="128">K44+AB44</f>
        <v>919124</v>
      </c>
      <c r="AW44" s="460">
        <f t="shared" si="128"/>
        <v>27064</v>
      </c>
      <c r="AX44" s="460">
        <f t="shared" ref="AX44:AX49" si="129">M44+AF44</f>
        <v>23600</v>
      </c>
      <c r="AY44" s="461">
        <f t="shared" ref="AY44:AY49" si="130">N44+AR44</f>
        <v>5.8100000000000005</v>
      </c>
      <c r="AZ44" s="461">
        <f t="shared" ref="AZ44:BA49" si="131">O44+AP44</f>
        <v>4.7300000000000004</v>
      </c>
      <c r="BA44" s="463">
        <f t="shared" si="131"/>
        <v>1.08</v>
      </c>
    </row>
    <row r="45" spans="1:53" ht="12.95" customHeight="1" x14ac:dyDescent="0.25">
      <c r="A45" s="300">
        <v>7</v>
      </c>
      <c r="B45" s="340">
        <v>5410</v>
      </c>
      <c r="C45" s="341">
        <v>600099318</v>
      </c>
      <c r="D45" s="300">
        <v>854778</v>
      </c>
      <c r="E45" s="368" t="s">
        <v>437</v>
      </c>
      <c r="F45" s="340">
        <v>3113</v>
      </c>
      <c r="G45" s="364" t="s">
        <v>325</v>
      </c>
      <c r="H45" s="303" t="s">
        <v>277</v>
      </c>
      <c r="I45" s="462">
        <f t="shared" si="111"/>
        <v>13226183</v>
      </c>
      <c r="J45" s="457">
        <v>9661735</v>
      </c>
      <c r="K45" s="457">
        <f t="shared" si="112"/>
        <v>3265666</v>
      </c>
      <c r="L45" s="457">
        <f t="shared" ref="L45:L49" si="132">ROUND(J45*1%,0)</f>
        <v>96617</v>
      </c>
      <c r="M45" s="457">
        <v>202165</v>
      </c>
      <c r="N45" s="458">
        <f t="shared" si="113"/>
        <v>17.843400000000003</v>
      </c>
      <c r="O45" s="459">
        <v>13.1134</v>
      </c>
      <c r="P45" s="646">
        <v>4.7300000000000004</v>
      </c>
      <c r="Q45" s="469">
        <f t="shared" si="114"/>
        <v>-26000</v>
      </c>
      <c r="R45" s="460">
        <v>0</v>
      </c>
      <c r="S45" s="673">
        <v>0</v>
      </c>
      <c r="T45" s="460">
        <v>0</v>
      </c>
      <c r="U45" s="460">
        <v>0</v>
      </c>
      <c r="V45" s="460">
        <f t="shared" si="115"/>
        <v>-26000</v>
      </c>
      <c r="W45" s="460">
        <v>26000</v>
      </c>
      <c r="X45" s="460">
        <v>0</v>
      </c>
      <c r="Y45" s="460">
        <v>0</v>
      </c>
      <c r="Z45" s="460">
        <f t="shared" si="116"/>
        <v>26000</v>
      </c>
      <c r="AA45" s="460">
        <f t="shared" si="117"/>
        <v>0</v>
      </c>
      <c r="AB45" s="69">
        <f t="shared" si="118"/>
        <v>0</v>
      </c>
      <c r="AC45" s="69">
        <f t="shared" si="119"/>
        <v>-260</v>
      </c>
      <c r="AD45" s="460">
        <v>0</v>
      </c>
      <c r="AE45" s="460">
        <v>0</v>
      </c>
      <c r="AF45" s="460">
        <f t="shared" si="120"/>
        <v>0</v>
      </c>
      <c r="AG45" s="460">
        <f t="shared" si="121"/>
        <v>-260</v>
      </c>
      <c r="AH45" s="461">
        <v>0</v>
      </c>
      <c r="AI45" s="461">
        <v>0</v>
      </c>
      <c r="AJ45" s="461">
        <v>0</v>
      </c>
      <c r="AK45" s="461">
        <v>0</v>
      </c>
      <c r="AL45" s="674">
        <v>0</v>
      </c>
      <c r="AM45" s="461">
        <v>0</v>
      </c>
      <c r="AN45" s="461">
        <v>0</v>
      </c>
      <c r="AO45" s="461">
        <v>0</v>
      </c>
      <c r="AP45" s="461">
        <f t="shared" si="122"/>
        <v>0</v>
      </c>
      <c r="AQ45" s="461">
        <f t="shared" si="123"/>
        <v>0</v>
      </c>
      <c r="AR45" s="463">
        <f t="shared" si="124"/>
        <v>0</v>
      </c>
      <c r="AS45" s="469">
        <f t="shared" si="125"/>
        <v>13225923</v>
      </c>
      <c r="AT45" s="460">
        <f t="shared" si="126"/>
        <v>9635735</v>
      </c>
      <c r="AU45" s="460">
        <f t="shared" si="127"/>
        <v>26000</v>
      </c>
      <c r="AV45" s="460">
        <f t="shared" si="128"/>
        <v>3265666</v>
      </c>
      <c r="AW45" s="460">
        <f t="shared" si="128"/>
        <v>96357</v>
      </c>
      <c r="AX45" s="460">
        <f t="shared" si="129"/>
        <v>202165</v>
      </c>
      <c r="AY45" s="461">
        <f t="shared" si="130"/>
        <v>17.843400000000003</v>
      </c>
      <c r="AZ45" s="461">
        <f t="shared" si="131"/>
        <v>13.1134</v>
      </c>
      <c r="BA45" s="463">
        <f t="shared" si="131"/>
        <v>4.7300000000000004</v>
      </c>
    </row>
    <row r="46" spans="1:53" ht="12.95" customHeight="1" x14ac:dyDescent="0.25">
      <c r="A46" s="300">
        <v>7</v>
      </c>
      <c r="B46" s="340">
        <v>5410</v>
      </c>
      <c r="C46" s="341">
        <v>600099318</v>
      </c>
      <c r="D46" s="300">
        <v>854778</v>
      </c>
      <c r="E46" s="368" t="s">
        <v>437</v>
      </c>
      <c r="F46" s="340">
        <v>3113</v>
      </c>
      <c r="G46" s="303" t="s">
        <v>308</v>
      </c>
      <c r="H46" s="303" t="s">
        <v>278</v>
      </c>
      <c r="I46" s="462">
        <f t="shared" si="111"/>
        <v>0</v>
      </c>
      <c r="J46" s="457">
        <v>0</v>
      </c>
      <c r="K46" s="457">
        <f t="shared" si="112"/>
        <v>0</v>
      </c>
      <c r="L46" s="457">
        <f t="shared" si="132"/>
        <v>0</v>
      </c>
      <c r="M46" s="457">
        <v>0</v>
      </c>
      <c r="N46" s="458">
        <f t="shared" si="113"/>
        <v>0</v>
      </c>
      <c r="O46" s="459">
        <v>0</v>
      </c>
      <c r="P46" s="646">
        <v>0</v>
      </c>
      <c r="Q46" s="469">
        <f t="shared" si="114"/>
        <v>0</v>
      </c>
      <c r="R46" s="460">
        <v>288903</v>
      </c>
      <c r="S46" s="673">
        <v>0</v>
      </c>
      <c r="T46" s="460">
        <v>0</v>
      </c>
      <c r="U46" s="460">
        <v>0</v>
      </c>
      <c r="V46" s="460">
        <f t="shared" si="115"/>
        <v>288903</v>
      </c>
      <c r="W46" s="460">
        <v>0</v>
      </c>
      <c r="X46" s="460">
        <v>0</v>
      </c>
      <c r="Y46" s="460">
        <v>0</v>
      </c>
      <c r="Z46" s="460">
        <f t="shared" si="116"/>
        <v>0</v>
      </c>
      <c r="AA46" s="460">
        <f t="shared" si="117"/>
        <v>288903</v>
      </c>
      <c r="AB46" s="69">
        <f t="shared" si="118"/>
        <v>97649</v>
      </c>
      <c r="AC46" s="69">
        <f t="shared" si="119"/>
        <v>2889</v>
      </c>
      <c r="AD46" s="460">
        <v>1400</v>
      </c>
      <c r="AE46" s="460">
        <v>0</v>
      </c>
      <c r="AF46" s="460">
        <f t="shared" si="120"/>
        <v>1400</v>
      </c>
      <c r="AG46" s="460">
        <f t="shared" si="121"/>
        <v>390841</v>
      </c>
      <c r="AH46" s="461">
        <v>0</v>
      </c>
      <c r="AI46" s="461">
        <v>0</v>
      </c>
      <c r="AJ46" s="461">
        <v>0.75</v>
      </c>
      <c r="AK46" s="461">
        <v>0</v>
      </c>
      <c r="AL46" s="674">
        <v>0</v>
      </c>
      <c r="AM46" s="461">
        <v>0</v>
      </c>
      <c r="AN46" s="461">
        <v>0</v>
      </c>
      <c r="AO46" s="461">
        <v>0</v>
      </c>
      <c r="AP46" s="461">
        <f t="shared" si="122"/>
        <v>0.75</v>
      </c>
      <c r="AQ46" s="461">
        <f t="shared" si="123"/>
        <v>0</v>
      </c>
      <c r="AR46" s="463">
        <f t="shared" si="124"/>
        <v>0.75</v>
      </c>
      <c r="AS46" s="469">
        <f t="shared" si="125"/>
        <v>390841</v>
      </c>
      <c r="AT46" s="460">
        <f t="shared" si="126"/>
        <v>288903</v>
      </c>
      <c r="AU46" s="460">
        <f t="shared" si="127"/>
        <v>0</v>
      </c>
      <c r="AV46" s="460">
        <f t="shared" si="128"/>
        <v>97649</v>
      </c>
      <c r="AW46" s="460">
        <f t="shared" si="128"/>
        <v>2889</v>
      </c>
      <c r="AX46" s="460">
        <f t="shared" si="129"/>
        <v>1400</v>
      </c>
      <c r="AY46" s="461">
        <f t="shared" si="130"/>
        <v>0.75</v>
      </c>
      <c r="AZ46" s="461">
        <f t="shared" si="131"/>
        <v>0.75</v>
      </c>
      <c r="BA46" s="463">
        <f t="shared" si="131"/>
        <v>0</v>
      </c>
    </row>
    <row r="47" spans="1:53" ht="12.95" customHeight="1" x14ac:dyDescent="0.25">
      <c r="A47" s="300">
        <v>7</v>
      </c>
      <c r="B47" s="340">
        <v>5410</v>
      </c>
      <c r="C47" s="341">
        <v>600099318</v>
      </c>
      <c r="D47" s="300">
        <v>854778</v>
      </c>
      <c r="E47" s="368" t="s">
        <v>437</v>
      </c>
      <c r="F47" s="340">
        <v>3141</v>
      </c>
      <c r="G47" s="364" t="s">
        <v>311</v>
      </c>
      <c r="H47" s="303" t="s">
        <v>278</v>
      </c>
      <c r="I47" s="462">
        <f t="shared" si="111"/>
        <v>1938837</v>
      </c>
      <c r="J47" s="457">
        <f>1166862+149599+113044</f>
        <v>1429505</v>
      </c>
      <c r="K47" s="457">
        <f t="shared" si="112"/>
        <v>483173</v>
      </c>
      <c r="L47" s="457">
        <f t="shared" si="132"/>
        <v>14295</v>
      </c>
      <c r="M47" s="457">
        <f>9858+1190+816</f>
        <v>11864</v>
      </c>
      <c r="N47" s="458">
        <f t="shared" si="113"/>
        <v>4.5900000000000007</v>
      </c>
      <c r="O47" s="459">
        <v>0</v>
      </c>
      <c r="P47" s="646">
        <f>3.75+0.48+0.36</f>
        <v>4.5900000000000007</v>
      </c>
      <c r="Q47" s="469">
        <f t="shared" si="114"/>
        <v>0</v>
      </c>
      <c r="R47" s="460">
        <v>0</v>
      </c>
      <c r="S47" s="673">
        <v>0</v>
      </c>
      <c r="T47" s="460">
        <v>0</v>
      </c>
      <c r="U47" s="460">
        <v>0</v>
      </c>
      <c r="V47" s="460">
        <f t="shared" si="115"/>
        <v>0</v>
      </c>
      <c r="W47" s="460">
        <v>0</v>
      </c>
      <c r="X47" s="460">
        <v>0</v>
      </c>
      <c r="Y47" s="460">
        <v>0</v>
      </c>
      <c r="Z47" s="460">
        <f t="shared" si="116"/>
        <v>0</v>
      </c>
      <c r="AA47" s="460">
        <f t="shared" si="117"/>
        <v>0</v>
      </c>
      <c r="AB47" s="69">
        <f t="shared" si="118"/>
        <v>0</v>
      </c>
      <c r="AC47" s="69">
        <f t="shared" si="119"/>
        <v>0</v>
      </c>
      <c r="AD47" s="460">
        <v>0</v>
      </c>
      <c r="AE47" s="460">
        <v>0</v>
      </c>
      <c r="AF47" s="460">
        <f t="shared" si="120"/>
        <v>0</v>
      </c>
      <c r="AG47" s="460">
        <f t="shared" si="121"/>
        <v>0</v>
      </c>
      <c r="AH47" s="461">
        <v>0</v>
      </c>
      <c r="AI47" s="461">
        <v>0</v>
      </c>
      <c r="AJ47" s="461">
        <v>0</v>
      </c>
      <c r="AK47" s="461">
        <v>0</v>
      </c>
      <c r="AL47" s="674">
        <v>0</v>
      </c>
      <c r="AM47" s="461">
        <v>0</v>
      </c>
      <c r="AN47" s="461">
        <v>0</v>
      </c>
      <c r="AO47" s="461">
        <v>0</v>
      </c>
      <c r="AP47" s="461">
        <f t="shared" si="122"/>
        <v>0</v>
      </c>
      <c r="AQ47" s="461">
        <f t="shared" si="123"/>
        <v>0</v>
      </c>
      <c r="AR47" s="463">
        <f t="shared" si="124"/>
        <v>0</v>
      </c>
      <c r="AS47" s="469">
        <f t="shared" si="125"/>
        <v>1938837</v>
      </c>
      <c r="AT47" s="460">
        <f t="shared" si="126"/>
        <v>1429505</v>
      </c>
      <c r="AU47" s="460">
        <f t="shared" si="127"/>
        <v>0</v>
      </c>
      <c r="AV47" s="460">
        <f t="shared" si="128"/>
        <v>483173</v>
      </c>
      <c r="AW47" s="460">
        <f t="shared" si="128"/>
        <v>14295</v>
      </c>
      <c r="AX47" s="460">
        <f t="shared" si="129"/>
        <v>11864</v>
      </c>
      <c r="AY47" s="461">
        <f t="shared" si="130"/>
        <v>4.5900000000000007</v>
      </c>
      <c r="AZ47" s="461">
        <f t="shared" si="131"/>
        <v>0</v>
      </c>
      <c r="BA47" s="463">
        <f t="shared" si="131"/>
        <v>4.5900000000000007</v>
      </c>
    </row>
    <row r="48" spans="1:53" ht="12.95" customHeight="1" x14ac:dyDescent="0.25">
      <c r="A48" s="300">
        <v>7</v>
      </c>
      <c r="B48" s="340">
        <v>5410</v>
      </c>
      <c r="C48" s="341">
        <v>600099318</v>
      </c>
      <c r="D48" s="300">
        <v>854778</v>
      </c>
      <c r="E48" s="368" t="s">
        <v>437</v>
      </c>
      <c r="F48" s="340">
        <v>3143</v>
      </c>
      <c r="G48" s="303" t="s">
        <v>616</v>
      </c>
      <c r="H48" s="303" t="s">
        <v>277</v>
      </c>
      <c r="I48" s="462">
        <f t="shared" si="111"/>
        <v>812906</v>
      </c>
      <c r="J48" s="457">
        <v>603046</v>
      </c>
      <c r="K48" s="457">
        <f t="shared" si="112"/>
        <v>203830</v>
      </c>
      <c r="L48" s="457">
        <f t="shared" si="132"/>
        <v>6030</v>
      </c>
      <c r="M48" s="457">
        <v>0</v>
      </c>
      <c r="N48" s="458">
        <f t="shared" si="113"/>
        <v>1.2942</v>
      </c>
      <c r="O48" s="459">
        <v>1.2942</v>
      </c>
      <c r="P48" s="646">
        <v>0</v>
      </c>
      <c r="Q48" s="469">
        <f t="shared" si="114"/>
        <v>0</v>
      </c>
      <c r="R48" s="460">
        <v>0</v>
      </c>
      <c r="S48" s="673">
        <v>0</v>
      </c>
      <c r="T48" s="460">
        <v>0</v>
      </c>
      <c r="U48" s="460">
        <v>0</v>
      </c>
      <c r="V48" s="460">
        <f t="shared" si="115"/>
        <v>0</v>
      </c>
      <c r="W48" s="460">
        <v>0</v>
      </c>
      <c r="X48" s="460">
        <v>0</v>
      </c>
      <c r="Y48" s="460">
        <v>0</v>
      </c>
      <c r="Z48" s="460">
        <f t="shared" si="116"/>
        <v>0</v>
      </c>
      <c r="AA48" s="460">
        <f t="shared" si="117"/>
        <v>0</v>
      </c>
      <c r="AB48" s="69">
        <f t="shared" si="118"/>
        <v>0</v>
      </c>
      <c r="AC48" s="69">
        <f t="shared" si="119"/>
        <v>0</v>
      </c>
      <c r="AD48" s="460">
        <v>0</v>
      </c>
      <c r="AE48" s="460">
        <v>0</v>
      </c>
      <c r="AF48" s="460">
        <f t="shared" si="120"/>
        <v>0</v>
      </c>
      <c r="AG48" s="460">
        <f t="shared" si="121"/>
        <v>0</v>
      </c>
      <c r="AH48" s="461">
        <v>0</v>
      </c>
      <c r="AI48" s="461">
        <v>0</v>
      </c>
      <c r="AJ48" s="461">
        <v>0</v>
      </c>
      <c r="AK48" s="461">
        <v>0</v>
      </c>
      <c r="AL48" s="674">
        <v>0</v>
      </c>
      <c r="AM48" s="461">
        <v>0</v>
      </c>
      <c r="AN48" s="461">
        <v>0</v>
      </c>
      <c r="AO48" s="461">
        <v>0</v>
      </c>
      <c r="AP48" s="461">
        <f t="shared" si="122"/>
        <v>0</v>
      </c>
      <c r="AQ48" s="461">
        <f t="shared" si="123"/>
        <v>0</v>
      </c>
      <c r="AR48" s="463">
        <f t="shared" si="124"/>
        <v>0</v>
      </c>
      <c r="AS48" s="469">
        <f t="shared" si="125"/>
        <v>812906</v>
      </c>
      <c r="AT48" s="460">
        <f t="shared" si="126"/>
        <v>603046</v>
      </c>
      <c r="AU48" s="460">
        <f t="shared" si="127"/>
        <v>0</v>
      </c>
      <c r="AV48" s="460">
        <f t="shared" si="128"/>
        <v>203830</v>
      </c>
      <c r="AW48" s="460">
        <f t="shared" si="128"/>
        <v>6030</v>
      </c>
      <c r="AX48" s="460">
        <f t="shared" si="129"/>
        <v>0</v>
      </c>
      <c r="AY48" s="461">
        <f t="shared" si="130"/>
        <v>1.2942</v>
      </c>
      <c r="AZ48" s="461">
        <f t="shared" si="131"/>
        <v>1.2942</v>
      </c>
      <c r="BA48" s="463">
        <f t="shared" si="131"/>
        <v>0</v>
      </c>
    </row>
    <row r="49" spans="1:53" ht="12.95" customHeight="1" x14ac:dyDescent="0.25">
      <c r="A49" s="300">
        <v>7</v>
      </c>
      <c r="B49" s="340">
        <v>5410</v>
      </c>
      <c r="C49" s="341">
        <v>600099318</v>
      </c>
      <c r="D49" s="300">
        <v>854778</v>
      </c>
      <c r="E49" s="368" t="s">
        <v>437</v>
      </c>
      <c r="F49" s="340">
        <v>3143</v>
      </c>
      <c r="G49" s="303" t="s">
        <v>617</v>
      </c>
      <c r="H49" s="303" t="s">
        <v>278</v>
      </c>
      <c r="I49" s="462">
        <f t="shared" si="111"/>
        <v>30053</v>
      </c>
      <c r="J49" s="457">
        <v>21473</v>
      </c>
      <c r="K49" s="457">
        <f t="shared" si="112"/>
        <v>7258</v>
      </c>
      <c r="L49" s="457">
        <f t="shared" si="132"/>
        <v>215</v>
      </c>
      <c r="M49" s="457">
        <v>1107</v>
      </c>
      <c r="N49" s="458">
        <f t="shared" si="113"/>
        <v>0.09</v>
      </c>
      <c r="O49" s="459">
        <v>0</v>
      </c>
      <c r="P49" s="646">
        <v>0.09</v>
      </c>
      <c r="Q49" s="469">
        <f t="shared" si="114"/>
        <v>0</v>
      </c>
      <c r="R49" s="460">
        <v>0</v>
      </c>
      <c r="S49" s="673">
        <v>0</v>
      </c>
      <c r="T49" s="460">
        <v>0</v>
      </c>
      <c r="U49" s="460">
        <v>0</v>
      </c>
      <c r="V49" s="460">
        <f t="shared" si="115"/>
        <v>0</v>
      </c>
      <c r="W49" s="460">
        <v>0</v>
      </c>
      <c r="X49" s="460">
        <v>0</v>
      </c>
      <c r="Y49" s="460">
        <v>0</v>
      </c>
      <c r="Z49" s="460">
        <f t="shared" si="116"/>
        <v>0</v>
      </c>
      <c r="AA49" s="460">
        <f t="shared" si="117"/>
        <v>0</v>
      </c>
      <c r="AB49" s="69">
        <f t="shared" si="118"/>
        <v>0</v>
      </c>
      <c r="AC49" s="69">
        <f t="shared" si="119"/>
        <v>0</v>
      </c>
      <c r="AD49" s="460">
        <v>0</v>
      </c>
      <c r="AE49" s="460">
        <v>0</v>
      </c>
      <c r="AF49" s="460">
        <f t="shared" si="120"/>
        <v>0</v>
      </c>
      <c r="AG49" s="460">
        <f t="shared" si="121"/>
        <v>0</v>
      </c>
      <c r="AH49" s="461">
        <v>0</v>
      </c>
      <c r="AI49" s="461">
        <v>0</v>
      </c>
      <c r="AJ49" s="461">
        <v>0</v>
      </c>
      <c r="AK49" s="461">
        <v>0</v>
      </c>
      <c r="AL49" s="674">
        <v>0</v>
      </c>
      <c r="AM49" s="461">
        <v>0</v>
      </c>
      <c r="AN49" s="461">
        <v>0</v>
      </c>
      <c r="AO49" s="461">
        <v>0</v>
      </c>
      <c r="AP49" s="461">
        <f t="shared" si="122"/>
        <v>0</v>
      </c>
      <c r="AQ49" s="461">
        <f t="shared" si="123"/>
        <v>0</v>
      </c>
      <c r="AR49" s="463">
        <f t="shared" si="124"/>
        <v>0</v>
      </c>
      <c r="AS49" s="469">
        <f t="shared" si="125"/>
        <v>30053</v>
      </c>
      <c r="AT49" s="460">
        <f t="shared" si="126"/>
        <v>21473</v>
      </c>
      <c r="AU49" s="460">
        <f t="shared" si="127"/>
        <v>0</v>
      </c>
      <c r="AV49" s="460">
        <f t="shared" si="128"/>
        <v>7258</v>
      </c>
      <c r="AW49" s="460">
        <f t="shared" si="128"/>
        <v>215</v>
      </c>
      <c r="AX49" s="460">
        <f t="shared" si="129"/>
        <v>1107</v>
      </c>
      <c r="AY49" s="461">
        <f t="shared" si="130"/>
        <v>0.09</v>
      </c>
      <c r="AZ49" s="461">
        <f t="shared" si="131"/>
        <v>0</v>
      </c>
      <c r="BA49" s="463">
        <f t="shared" si="131"/>
        <v>0.09</v>
      </c>
    </row>
    <row r="50" spans="1:53" ht="12.95" customHeight="1" x14ac:dyDescent="0.25">
      <c r="A50" s="310">
        <v>7</v>
      </c>
      <c r="B50" s="344">
        <v>5410</v>
      </c>
      <c r="C50" s="345">
        <v>600099318</v>
      </c>
      <c r="D50" s="344">
        <v>854778</v>
      </c>
      <c r="E50" s="369" t="s">
        <v>438</v>
      </c>
      <c r="F50" s="344"/>
      <c r="G50" s="370"/>
      <c r="H50" s="371"/>
      <c r="I50" s="536">
        <f t="shared" ref="I50:P50" si="133">SUM(I44:I49)</f>
        <v>19697200</v>
      </c>
      <c r="J50" s="532">
        <f t="shared" si="133"/>
        <v>14435062</v>
      </c>
      <c r="K50" s="532">
        <f t="shared" si="133"/>
        <v>4879051</v>
      </c>
      <c r="L50" s="532">
        <f t="shared" si="133"/>
        <v>144351</v>
      </c>
      <c r="M50" s="532">
        <f t="shared" si="133"/>
        <v>238736</v>
      </c>
      <c r="N50" s="533">
        <f t="shared" si="133"/>
        <v>29.627600000000005</v>
      </c>
      <c r="O50" s="533">
        <f t="shared" si="133"/>
        <v>19.137600000000003</v>
      </c>
      <c r="P50" s="298">
        <f t="shared" si="133"/>
        <v>10.490000000000002</v>
      </c>
      <c r="Q50" s="538">
        <f t="shared" ref="Q50:BA50" si="134">SUM(Q44:Q49)</f>
        <v>-39000</v>
      </c>
      <c r="R50" s="532">
        <f t="shared" si="134"/>
        <v>288903</v>
      </c>
      <c r="S50" s="532">
        <f t="shared" si="134"/>
        <v>0</v>
      </c>
      <c r="T50" s="532">
        <f t="shared" si="134"/>
        <v>0</v>
      </c>
      <c r="U50" s="532">
        <f t="shared" si="134"/>
        <v>0</v>
      </c>
      <c r="V50" s="532">
        <f t="shared" si="134"/>
        <v>249903</v>
      </c>
      <c r="W50" s="532">
        <f t="shared" si="134"/>
        <v>39000</v>
      </c>
      <c r="X50" s="532">
        <f t="shared" si="134"/>
        <v>0</v>
      </c>
      <c r="Y50" s="532">
        <f t="shared" si="134"/>
        <v>0</v>
      </c>
      <c r="Z50" s="532">
        <f t="shared" si="134"/>
        <v>39000</v>
      </c>
      <c r="AA50" s="532">
        <f t="shared" si="134"/>
        <v>288903</v>
      </c>
      <c r="AB50" s="532">
        <f t="shared" si="134"/>
        <v>97649</v>
      </c>
      <c r="AC50" s="532">
        <f t="shared" si="134"/>
        <v>2499</v>
      </c>
      <c r="AD50" s="532">
        <f t="shared" si="134"/>
        <v>1400</v>
      </c>
      <c r="AE50" s="532">
        <f t="shared" si="134"/>
        <v>0</v>
      </c>
      <c r="AF50" s="532">
        <f t="shared" si="134"/>
        <v>1400</v>
      </c>
      <c r="AG50" s="532">
        <f t="shared" si="134"/>
        <v>390451</v>
      </c>
      <c r="AH50" s="533">
        <f t="shared" si="134"/>
        <v>0</v>
      </c>
      <c r="AI50" s="533">
        <f t="shared" si="134"/>
        <v>0</v>
      </c>
      <c r="AJ50" s="533">
        <f t="shared" si="134"/>
        <v>0.75</v>
      </c>
      <c r="AK50" s="533">
        <f t="shared" si="134"/>
        <v>0</v>
      </c>
      <c r="AL50" s="533">
        <f t="shared" si="134"/>
        <v>0</v>
      </c>
      <c r="AM50" s="533">
        <f t="shared" si="134"/>
        <v>0</v>
      </c>
      <c r="AN50" s="533">
        <f t="shared" si="134"/>
        <v>0</v>
      </c>
      <c r="AO50" s="533">
        <f t="shared" si="134"/>
        <v>0</v>
      </c>
      <c r="AP50" s="533">
        <f t="shared" si="134"/>
        <v>0.75</v>
      </c>
      <c r="AQ50" s="533">
        <f t="shared" si="134"/>
        <v>0</v>
      </c>
      <c r="AR50" s="298">
        <f t="shared" si="134"/>
        <v>0.75</v>
      </c>
      <c r="AS50" s="538">
        <f t="shared" si="134"/>
        <v>20087651</v>
      </c>
      <c r="AT50" s="532">
        <f t="shared" si="134"/>
        <v>14684965</v>
      </c>
      <c r="AU50" s="532">
        <f t="shared" si="134"/>
        <v>39000</v>
      </c>
      <c r="AV50" s="532">
        <f t="shared" si="134"/>
        <v>4976700</v>
      </c>
      <c r="AW50" s="532">
        <f t="shared" si="134"/>
        <v>146850</v>
      </c>
      <c r="AX50" s="532">
        <f t="shared" si="134"/>
        <v>240136</v>
      </c>
      <c r="AY50" s="533">
        <f t="shared" si="134"/>
        <v>30.377600000000005</v>
      </c>
      <c r="AZ50" s="533">
        <f t="shared" si="134"/>
        <v>19.887600000000003</v>
      </c>
      <c r="BA50" s="298">
        <f t="shared" si="134"/>
        <v>10.490000000000002</v>
      </c>
    </row>
    <row r="51" spans="1:53" ht="12.95" customHeight="1" x14ac:dyDescent="0.25">
      <c r="A51" s="300">
        <v>8</v>
      </c>
      <c r="B51" s="340">
        <v>5476</v>
      </c>
      <c r="C51" s="341">
        <v>650046072</v>
      </c>
      <c r="D51" s="300">
        <v>71002723</v>
      </c>
      <c r="E51" s="368" t="s">
        <v>439</v>
      </c>
      <c r="F51" s="340">
        <v>3111</v>
      </c>
      <c r="G51" s="364" t="s">
        <v>321</v>
      </c>
      <c r="H51" s="303" t="s">
        <v>277</v>
      </c>
      <c r="I51" s="462">
        <f t="shared" ref="I51:I57" si="135">SUM(J51:M51)</f>
        <v>2746830</v>
      </c>
      <c r="J51" s="457">
        <v>2026432</v>
      </c>
      <c r="K51" s="457">
        <f t="shared" ref="K51:K57" si="136">ROUND(J51*33.8%,0)</f>
        <v>684934</v>
      </c>
      <c r="L51" s="457">
        <f t="shared" ref="L51:L57" si="137">ROUND(J51*1%,0)</f>
        <v>20264</v>
      </c>
      <c r="M51" s="457">
        <v>15200</v>
      </c>
      <c r="N51" s="458">
        <f t="shared" ref="N51:N57" si="138">O51+P51</f>
        <v>4.12</v>
      </c>
      <c r="O51" s="459">
        <v>3.4</v>
      </c>
      <c r="P51" s="646">
        <v>0.72</v>
      </c>
      <c r="Q51" s="469">
        <f t="shared" ref="Q51:Q57" si="139">W51*-1</f>
        <v>-3250</v>
      </c>
      <c r="R51" s="460">
        <v>0</v>
      </c>
      <c r="S51" s="673">
        <v>0</v>
      </c>
      <c r="T51" s="460">
        <v>0</v>
      </c>
      <c r="U51" s="460">
        <v>0</v>
      </c>
      <c r="V51" s="460">
        <f t="shared" ref="V51:V57" si="140">SUM(Q51:U51)</f>
        <v>-3250</v>
      </c>
      <c r="W51" s="460">
        <v>3250</v>
      </c>
      <c r="X51" s="460">
        <v>0</v>
      </c>
      <c r="Y51" s="460">
        <v>0</v>
      </c>
      <c r="Z51" s="460">
        <f t="shared" ref="Z51:Z57" si="141">SUM(W51:Y51)</f>
        <v>3250</v>
      </c>
      <c r="AA51" s="460">
        <f t="shared" ref="AA51:AA57" si="142">V51+Z51</f>
        <v>0</v>
      </c>
      <c r="AB51" s="69">
        <f t="shared" ref="AB51:AB57" si="143">ROUND((V51+W51+X51)*33.8%,0)</f>
        <v>0</v>
      </c>
      <c r="AC51" s="69">
        <f t="shared" ref="AC51:AC57" si="144">ROUND(V51*1%,0)</f>
        <v>-33</v>
      </c>
      <c r="AD51" s="460">
        <v>0</v>
      </c>
      <c r="AE51" s="460">
        <v>0</v>
      </c>
      <c r="AF51" s="460">
        <f t="shared" ref="AF51:AF57" si="145">SUM(AD51:AE51)</f>
        <v>0</v>
      </c>
      <c r="AG51" s="460">
        <f t="shared" ref="AG51:AG57" si="146">AA51+AB51+AC51+AF51</f>
        <v>-33</v>
      </c>
      <c r="AH51" s="461">
        <v>0</v>
      </c>
      <c r="AI51" s="461">
        <v>0</v>
      </c>
      <c r="AJ51" s="461">
        <v>0</v>
      </c>
      <c r="AK51" s="461">
        <v>0</v>
      </c>
      <c r="AL51" s="674">
        <v>0</v>
      </c>
      <c r="AM51" s="461">
        <v>0</v>
      </c>
      <c r="AN51" s="461">
        <v>0</v>
      </c>
      <c r="AO51" s="461">
        <v>0</v>
      </c>
      <c r="AP51" s="461">
        <f t="shared" ref="AP51:AP57" si="147">AH51+AJ51+AK51+AM51+AN51</f>
        <v>0</v>
      </c>
      <c r="AQ51" s="461">
        <f t="shared" ref="AQ51:AQ57" si="148">AI51+AL51+AO51</f>
        <v>0</v>
      </c>
      <c r="AR51" s="463">
        <f t="shared" ref="AR51:AR57" si="149">SUM(AP51:AQ51)</f>
        <v>0</v>
      </c>
      <c r="AS51" s="469">
        <f t="shared" ref="AS51:AS57" si="150">I51+AG51</f>
        <v>2746797</v>
      </c>
      <c r="AT51" s="460">
        <f t="shared" ref="AT51:AT57" si="151">J51+V51</f>
        <v>2023182</v>
      </c>
      <c r="AU51" s="460">
        <f t="shared" ref="AU51:AU57" si="152">Z51</f>
        <v>3250</v>
      </c>
      <c r="AV51" s="460">
        <f t="shared" ref="AV51:AW57" si="153">K51+AB51</f>
        <v>684934</v>
      </c>
      <c r="AW51" s="460">
        <f t="shared" si="153"/>
        <v>20231</v>
      </c>
      <c r="AX51" s="460">
        <f t="shared" ref="AX51:AX57" si="154">M51+AF51</f>
        <v>15200</v>
      </c>
      <c r="AY51" s="461">
        <f t="shared" ref="AY51:AY57" si="155">N51+AR51</f>
        <v>4.12</v>
      </c>
      <c r="AZ51" s="461">
        <f t="shared" ref="AZ51:BA57" si="156">O51+AP51</f>
        <v>3.4</v>
      </c>
      <c r="BA51" s="463">
        <f t="shared" si="156"/>
        <v>0.72</v>
      </c>
    </row>
    <row r="52" spans="1:53" ht="12.95" customHeight="1" x14ac:dyDescent="0.25">
      <c r="A52" s="300">
        <v>8</v>
      </c>
      <c r="B52" s="340">
        <v>5476</v>
      </c>
      <c r="C52" s="341">
        <v>650046072</v>
      </c>
      <c r="D52" s="300">
        <v>71002723</v>
      </c>
      <c r="E52" s="368" t="s">
        <v>439</v>
      </c>
      <c r="F52" s="340">
        <v>3113</v>
      </c>
      <c r="G52" s="364" t="s">
        <v>325</v>
      </c>
      <c r="H52" s="303" t="s">
        <v>277</v>
      </c>
      <c r="I52" s="462">
        <f t="shared" si="135"/>
        <v>12268843</v>
      </c>
      <c r="J52" s="457">
        <v>8974664</v>
      </c>
      <c r="K52" s="457">
        <f>ROUND(J52*33.8%,0)+1</f>
        <v>3033437</v>
      </c>
      <c r="L52" s="457">
        <f t="shared" si="137"/>
        <v>89747</v>
      </c>
      <c r="M52" s="457">
        <v>170995</v>
      </c>
      <c r="N52" s="458">
        <f t="shared" si="138"/>
        <v>16.175799999999999</v>
      </c>
      <c r="O52" s="459">
        <v>12.5458</v>
      </c>
      <c r="P52" s="646">
        <v>3.63</v>
      </c>
      <c r="Q52" s="469">
        <f t="shared" si="139"/>
        <v>-48750</v>
      </c>
      <c r="R52" s="460">
        <v>0</v>
      </c>
      <c r="S52" s="673">
        <v>0</v>
      </c>
      <c r="T52" s="460">
        <v>0</v>
      </c>
      <c r="U52" s="460">
        <v>0</v>
      </c>
      <c r="V52" s="460">
        <f t="shared" si="140"/>
        <v>-48750</v>
      </c>
      <c r="W52" s="460">
        <v>48750</v>
      </c>
      <c r="X52" s="460">
        <v>0</v>
      </c>
      <c r="Y52" s="460">
        <v>0</v>
      </c>
      <c r="Z52" s="460">
        <f t="shared" si="141"/>
        <v>48750</v>
      </c>
      <c r="AA52" s="460">
        <f t="shared" si="142"/>
        <v>0</v>
      </c>
      <c r="AB52" s="69">
        <f t="shared" si="143"/>
        <v>0</v>
      </c>
      <c r="AC52" s="69">
        <f t="shared" si="144"/>
        <v>-488</v>
      </c>
      <c r="AD52" s="460">
        <v>0</v>
      </c>
      <c r="AE52" s="460">
        <v>0</v>
      </c>
      <c r="AF52" s="460">
        <f t="shared" si="145"/>
        <v>0</v>
      </c>
      <c r="AG52" s="460">
        <f t="shared" si="146"/>
        <v>-488</v>
      </c>
      <c r="AH52" s="461">
        <v>-0.03</v>
      </c>
      <c r="AI52" s="461">
        <v>-7.0000000000000007E-2</v>
      </c>
      <c r="AJ52" s="461">
        <v>0</v>
      </c>
      <c r="AK52" s="461">
        <v>0</v>
      </c>
      <c r="AL52" s="674">
        <v>0</v>
      </c>
      <c r="AM52" s="461">
        <v>0</v>
      </c>
      <c r="AN52" s="461">
        <v>0</v>
      </c>
      <c r="AO52" s="461">
        <v>0</v>
      </c>
      <c r="AP52" s="461">
        <f t="shared" si="147"/>
        <v>-0.03</v>
      </c>
      <c r="AQ52" s="461">
        <f t="shared" si="148"/>
        <v>-7.0000000000000007E-2</v>
      </c>
      <c r="AR52" s="463">
        <f t="shared" si="149"/>
        <v>-0.1</v>
      </c>
      <c r="AS52" s="469">
        <f t="shared" si="150"/>
        <v>12268355</v>
      </c>
      <c r="AT52" s="460">
        <f t="shared" si="151"/>
        <v>8925914</v>
      </c>
      <c r="AU52" s="460">
        <f t="shared" si="152"/>
        <v>48750</v>
      </c>
      <c r="AV52" s="460">
        <f t="shared" si="153"/>
        <v>3033437</v>
      </c>
      <c r="AW52" s="460">
        <f t="shared" si="153"/>
        <v>89259</v>
      </c>
      <c r="AX52" s="460">
        <f t="shared" si="154"/>
        <v>170995</v>
      </c>
      <c r="AY52" s="461">
        <f t="shared" si="155"/>
        <v>16.075799999999997</v>
      </c>
      <c r="AZ52" s="461">
        <f t="shared" si="156"/>
        <v>12.5158</v>
      </c>
      <c r="BA52" s="463">
        <f t="shared" si="156"/>
        <v>3.56</v>
      </c>
    </row>
    <row r="53" spans="1:53" ht="12.95" customHeight="1" x14ac:dyDescent="0.25">
      <c r="A53" s="300">
        <v>8</v>
      </c>
      <c r="B53" s="340">
        <v>5476</v>
      </c>
      <c r="C53" s="341">
        <v>650046072</v>
      </c>
      <c r="D53" s="300">
        <v>71002723</v>
      </c>
      <c r="E53" s="368" t="s">
        <v>439</v>
      </c>
      <c r="F53" s="340">
        <v>3113</v>
      </c>
      <c r="G53" s="303" t="s">
        <v>308</v>
      </c>
      <c r="H53" s="303" t="s">
        <v>278</v>
      </c>
      <c r="I53" s="462">
        <f t="shared" si="135"/>
        <v>0</v>
      </c>
      <c r="J53" s="457">
        <v>0</v>
      </c>
      <c r="K53" s="457">
        <f t="shared" si="136"/>
        <v>0</v>
      </c>
      <c r="L53" s="457">
        <f t="shared" si="137"/>
        <v>0</v>
      </c>
      <c r="M53" s="457">
        <v>0</v>
      </c>
      <c r="N53" s="458">
        <f t="shared" si="138"/>
        <v>0</v>
      </c>
      <c r="O53" s="459">
        <v>0</v>
      </c>
      <c r="P53" s="646">
        <v>0</v>
      </c>
      <c r="Q53" s="469">
        <f t="shared" si="139"/>
        <v>0</v>
      </c>
      <c r="R53" s="460">
        <v>360161</v>
      </c>
      <c r="S53" s="673">
        <v>0</v>
      </c>
      <c r="T53" s="460">
        <v>0</v>
      </c>
      <c r="U53" s="460">
        <v>0</v>
      </c>
      <c r="V53" s="460">
        <f t="shared" si="140"/>
        <v>360161</v>
      </c>
      <c r="W53" s="460">
        <v>0</v>
      </c>
      <c r="X53" s="460">
        <v>0</v>
      </c>
      <c r="Y53" s="460">
        <v>0</v>
      </c>
      <c r="Z53" s="460">
        <f t="shared" si="141"/>
        <v>0</v>
      </c>
      <c r="AA53" s="460">
        <f t="shared" si="142"/>
        <v>360161</v>
      </c>
      <c r="AB53" s="69">
        <f t="shared" si="143"/>
        <v>121734</v>
      </c>
      <c r="AC53" s="69">
        <f t="shared" si="144"/>
        <v>3602</v>
      </c>
      <c r="AD53" s="460">
        <v>0</v>
      </c>
      <c r="AE53" s="460">
        <v>0</v>
      </c>
      <c r="AF53" s="460">
        <f t="shared" si="145"/>
        <v>0</v>
      </c>
      <c r="AG53" s="460">
        <f t="shared" si="146"/>
        <v>485497</v>
      </c>
      <c r="AH53" s="461">
        <v>0</v>
      </c>
      <c r="AI53" s="461">
        <v>0</v>
      </c>
      <c r="AJ53" s="461">
        <v>0.94</v>
      </c>
      <c r="AK53" s="461">
        <v>0</v>
      </c>
      <c r="AL53" s="674">
        <v>0</v>
      </c>
      <c r="AM53" s="461">
        <v>0</v>
      </c>
      <c r="AN53" s="461">
        <v>0</v>
      </c>
      <c r="AO53" s="461">
        <v>0</v>
      </c>
      <c r="AP53" s="461">
        <f t="shared" si="147"/>
        <v>0.94</v>
      </c>
      <c r="AQ53" s="461">
        <f t="shared" si="148"/>
        <v>0</v>
      </c>
      <c r="AR53" s="463">
        <f t="shared" si="149"/>
        <v>0.94</v>
      </c>
      <c r="AS53" s="469">
        <f t="shared" si="150"/>
        <v>485497</v>
      </c>
      <c r="AT53" s="460">
        <f t="shared" si="151"/>
        <v>360161</v>
      </c>
      <c r="AU53" s="460">
        <f t="shared" si="152"/>
        <v>0</v>
      </c>
      <c r="AV53" s="460">
        <f t="shared" si="153"/>
        <v>121734</v>
      </c>
      <c r="AW53" s="460">
        <f t="shared" si="153"/>
        <v>3602</v>
      </c>
      <c r="AX53" s="460">
        <f t="shared" si="154"/>
        <v>0</v>
      </c>
      <c r="AY53" s="461">
        <f t="shared" si="155"/>
        <v>0.94</v>
      </c>
      <c r="AZ53" s="461">
        <f t="shared" si="156"/>
        <v>0.94</v>
      </c>
      <c r="BA53" s="463">
        <f t="shared" si="156"/>
        <v>0</v>
      </c>
    </row>
    <row r="54" spans="1:53" ht="12.95" customHeight="1" x14ac:dyDescent="0.25">
      <c r="A54" s="300">
        <v>8</v>
      </c>
      <c r="B54" s="340">
        <v>5476</v>
      </c>
      <c r="C54" s="341">
        <v>650046072</v>
      </c>
      <c r="D54" s="300">
        <v>71002723</v>
      </c>
      <c r="E54" s="368" t="s">
        <v>439</v>
      </c>
      <c r="F54" s="340">
        <v>3141</v>
      </c>
      <c r="G54" s="364" t="s">
        <v>311</v>
      </c>
      <c r="H54" s="303" t="s">
        <v>278</v>
      </c>
      <c r="I54" s="462">
        <f t="shared" si="135"/>
        <v>1601148</v>
      </c>
      <c r="J54" s="457">
        <f>769886+411197</f>
        <v>1181083</v>
      </c>
      <c r="K54" s="457">
        <f t="shared" si="136"/>
        <v>399206</v>
      </c>
      <c r="L54" s="457">
        <f t="shared" si="137"/>
        <v>11811</v>
      </c>
      <c r="M54" s="457">
        <f>6968+2080</f>
        <v>9048</v>
      </c>
      <c r="N54" s="458">
        <f t="shared" si="138"/>
        <v>3.79</v>
      </c>
      <c r="O54" s="459">
        <v>0</v>
      </c>
      <c r="P54" s="646">
        <f>2.47+1.32</f>
        <v>3.79</v>
      </c>
      <c r="Q54" s="469">
        <f t="shared" si="139"/>
        <v>0</v>
      </c>
      <c r="R54" s="460">
        <v>0</v>
      </c>
      <c r="S54" s="673">
        <v>0</v>
      </c>
      <c r="T54" s="460">
        <v>0</v>
      </c>
      <c r="U54" s="460">
        <v>0</v>
      </c>
      <c r="V54" s="460">
        <f t="shared" si="140"/>
        <v>0</v>
      </c>
      <c r="W54" s="460">
        <v>0</v>
      </c>
      <c r="X54" s="460">
        <v>0</v>
      </c>
      <c r="Y54" s="460">
        <v>0</v>
      </c>
      <c r="Z54" s="460">
        <f t="shared" si="141"/>
        <v>0</v>
      </c>
      <c r="AA54" s="460">
        <f t="shared" si="142"/>
        <v>0</v>
      </c>
      <c r="AB54" s="69">
        <f t="shared" si="143"/>
        <v>0</v>
      </c>
      <c r="AC54" s="69">
        <f t="shared" si="144"/>
        <v>0</v>
      </c>
      <c r="AD54" s="460">
        <v>0</v>
      </c>
      <c r="AE54" s="460">
        <v>0</v>
      </c>
      <c r="AF54" s="460">
        <f t="shared" si="145"/>
        <v>0</v>
      </c>
      <c r="AG54" s="460">
        <f t="shared" si="146"/>
        <v>0</v>
      </c>
      <c r="AH54" s="461">
        <v>0</v>
      </c>
      <c r="AI54" s="461">
        <v>0</v>
      </c>
      <c r="AJ54" s="461">
        <v>0</v>
      </c>
      <c r="AK54" s="461">
        <v>0</v>
      </c>
      <c r="AL54" s="674">
        <v>0</v>
      </c>
      <c r="AM54" s="461">
        <v>0</v>
      </c>
      <c r="AN54" s="461">
        <v>0</v>
      </c>
      <c r="AO54" s="461">
        <v>0</v>
      </c>
      <c r="AP54" s="461">
        <f t="shared" si="147"/>
        <v>0</v>
      </c>
      <c r="AQ54" s="461">
        <f t="shared" si="148"/>
        <v>0</v>
      </c>
      <c r="AR54" s="463">
        <f t="shared" si="149"/>
        <v>0</v>
      </c>
      <c r="AS54" s="469">
        <f t="shared" si="150"/>
        <v>1601148</v>
      </c>
      <c r="AT54" s="460">
        <f t="shared" si="151"/>
        <v>1181083</v>
      </c>
      <c r="AU54" s="460">
        <f t="shared" si="152"/>
        <v>0</v>
      </c>
      <c r="AV54" s="460">
        <f t="shared" si="153"/>
        <v>399206</v>
      </c>
      <c r="AW54" s="460">
        <f t="shared" si="153"/>
        <v>11811</v>
      </c>
      <c r="AX54" s="460">
        <f t="shared" si="154"/>
        <v>9048</v>
      </c>
      <c r="AY54" s="461">
        <f t="shared" si="155"/>
        <v>3.79</v>
      </c>
      <c r="AZ54" s="461">
        <f t="shared" si="156"/>
        <v>0</v>
      </c>
      <c r="BA54" s="463">
        <f t="shared" si="156"/>
        <v>3.79</v>
      </c>
    </row>
    <row r="55" spans="1:53" ht="12.95" customHeight="1" x14ac:dyDescent="0.25">
      <c r="A55" s="300">
        <v>8</v>
      </c>
      <c r="B55" s="340">
        <v>5476</v>
      </c>
      <c r="C55" s="341">
        <v>650046072</v>
      </c>
      <c r="D55" s="300">
        <v>71002723</v>
      </c>
      <c r="E55" s="368" t="s">
        <v>439</v>
      </c>
      <c r="F55" s="340">
        <v>3143</v>
      </c>
      <c r="G55" s="303" t="s">
        <v>616</v>
      </c>
      <c r="H55" s="303" t="s">
        <v>277</v>
      </c>
      <c r="I55" s="462">
        <f t="shared" si="135"/>
        <v>761815</v>
      </c>
      <c r="J55" s="457">
        <v>565145</v>
      </c>
      <c r="K55" s="457">
        <f t="shared" si="136"/>
        <v>191019</v>
      </c>
      <c r="L55" s="457">
        <f t="shared" si="137"/>
        <v>5651</v>
      </c>
      <c r="M55" s="457">
        <v>0</v>
      </c>
      <c r="N55" s="458">
        <f t="shared" si="138"/>
        <v>1.3</v>
      </c>
      <c r="O55" s="459">
        <v>1.3</v>
      </c>
      <c r="P55" s="646">
        <v>0</v>
      </c>
      <c r="Q55" s="469">
        <f t="shared" si="139"/>
        <v>0</v>
      </c>
      <c r="R55" s="460">
        <v>0</v>
      </c>
      <c r="S55" s="673">
        <v>0</v>
      </c>
      <c r="T55" s="460">
        <v>0</v>
      </c>
      <c r="U55" s="460">
        <v>0</v>
      </c>
      <c r="V55" s="460">
        <f t="shared" si="140"/>
        <v>0</v>
      </c>
      <c r="W55" s="460">
        <v>0</v>
      </c>
      <c r="X55" s="460">
        <v>0</v>
      </c>
      <c r="Y55" s="460">
        <v>0</v>
      </c>
      <c r="Z55" s="460">
        <f t="shared" si="141"/>
        <v>0</v>
      </c>
      <c r="AA55" s="460">
        <f t="shared" si="142"/>
        <v>0</v>
      </c>
      <c r="AB55" s="69">
        <f t="shared" si="143"/>
        <v>0</v>
      </c>
      <c r="AC55" s="69">
        <f t="shared" si="144"/>
        <v>0</v>
      </c>
      <c r="AD55" s="460">
        <v>0</v>
      </c>
      <c r="AE55" s="460">
        <v>0</v>
      </c>
      <c r="AF55" s="460">
        <f t="shared" si="145"/>
        <v>0</v>
      </c>
      <c r="AG55" s="460">
        <f t="shared" si="146"/>
        <v>0</v>
      </c>
      <c r="AH55" s="461">
        <v>0</v>
      </c>
      <c r="AI55" s="461">
        <v>0</v>
      </c>
      <c r="AJ55" s="461">
        <v>0</v>
      </c>
      <c r="AK55" s="461">
        <v>0</v>
      </c>
      <c r="AL55" s="674">
        <v>0</v>
      </c>
      <c r="AM55" s="461">
        <v>0</v>
      </c>
      <c r="AN55" s="461">
        <v>0</v>
      </c>
      <c r="AO55" s="461">
        <v>0</v>
      </c>
      <c r="AP55" s="461">
        <f t="shared" si="147"/>
        <v>0</v>
      </c>
      <c r="AQ55" s="461">
        <f t="shared" si="148"/>
        <v>0</v>
      </c>
      <c r="AR55" s="463">
        <f t="shared" si="149"/>
        <v>0</v>
      </c>
      <c r="AS55" s="469">
        <f t="shared" si="150"/>
        <v>761815</v>
      </c>
      <c r="AT55" s="460">
        <f t="shared" si="151"/>
        <v>565145</v>
      </c>
      <c r="AU55" s="460">
        <f t="shared" si="152"/>
        <v>0</v>
      </c>
      <c r="AV55" s="460">
        <f t="shared" si="153"/>
        <v>191019</v>
      </c>
      <c r="AW55" s="460">
        <f t="shared" si="153"/>
        <v>5651</v>
      </c>
      <c r="AX55" s="460">
        <f t="shared" si="154"/>
        <v>0</v>
      </c>
      <c r="AY55" s="461">
        <f t="shared" si="155"/>
        <v>1.3</v>
      </c>
      <c r="AZ55" s="461">
        <f t="shared" si="156"/>
        <v>1.3</v>
      </c>
      <c r="BA55" s="463">
        <f t="shared" si="156"/>
        <v>0</v>
      </c>
    </row>
    <row r="56" spans="1:53" ht="12.95" customHeight="1" x14ac:dyDescent="0.25">
      <c r="A56" s="300">
        <v>8</v>
      </c>
      <c r="B56" s="340">
        <v>5476</v>
      </c>
      <c r="C56" s="341">
        <v>650046072</v>
      </c>
      <c r="D56" s="300">
        <v>71002723</v>
      </c>
      <c r="E56" s="368" t="s">
        <v>439</v>
      </c>
      <c r="F56" s="340">
        <v>3143</v>
      </c>
      <c r="G56" s="303" t="s">
        <v>617</v>
      </c>
      <c r="H56" s="303" t="s">
        <v>278</v>
      </c>
      <c r="I56" s="462">
        <f t="shared" si="135"/>
        <v>29321</v>
      </c>
      <c r="J56" s="457">
        <v>20950</v>
      </c>
      <c r="K56" s="457">
        <f t="shared" si="136"/>
        <v>7081</v>
      </c>
      <c r="L56" s="457">
        <f t="shared" si="137"/>
        <v>210</v>
      </c>
      <c r="M56" s="457">
        <v>1080</v>
      </c>
      <c r="N56" s="458">
        <f t="shared" si="138"/>
        <v>0.08</v>
      </c>
      <c r="O56" s="459">
        <v>0</v>
      </c>
      <c r="P56" s="646">
        <v>0.08</v>
      </c>
      <c r="Q56" s="469">
        <f t="shared" si="139"/>
        <v>0</v>
      </c>
      <c r="R56" s="460">
        <v>0</v>
      </c>
      <c r="S56" s="673">
        <v>0</v>
      </c>
      <c r="T56" s="460">
        <v>0</v>
      </c>
      <c r="U56" s="460">
        <v>0</v>
      </c>
      <c r="V56" s="460">
        <f t="shared" si="140"/>
        <v>0</v>
      </c>
      <c r="W56" s="460">
        <v>0</v>
      </c>
      <c r="X56" s="460">
        <v>0</v>
      </c>
      <c r="Y56" s="460">
        <v>0</v>
      </c>
      <c r="Z56" s="460">
        <f t="shared" si="141"/>
        <v>0</v>
      </c>
      <c r="AA56" s="460">
        <f t="shared" si="142"/>
        <v>0</v>
      </c>
      <c r="AB56" s="69">
        <f t="shared" si="143"/>
        <v>0</v>
      </c>
      <c r="AC56" s="69">
        <f t="shared" si="144"/>
        <v>0</v>
      </c>
      <c r="AD56" s="460">
        <v>0</v>
      </c>
      <c r="AE56" s="460">
        <v>0</v>
      </c>
      <c r="AF56" s="460">
        <f t="shared" si="145"/>
        <v>0</v>
      </c>
      <c r="AG56" s="460">
        <f t="shared" si="146"/>
        <v>0</v>
      </c>
      <c r="AH56" s="461">
        <v>0</v>
      </c>
      <c r="AI56" s="461">
        <v>0</v>
      </c>
      <c r="AJ56" s="461">
        <v>0</v>
      </c>
      <c r="AK56" s="461">
        <v>0</v>
      </c>
      <c r="AL56" s="674">
        <v>0</v>
      </c>
      <c r="AM56" s="461">
        <v>0</v>
      </c>
      <c r="AN56" s="461">
        <v>0</v>
      </c>
      <c r="AO56" s="461">
        <v>0</v>
      </c>
      <c r="AP56" s="461">
        <f t="shared" si="147"/>
        <v>0</v>
      </c>
      <c r="AQ56" s="461">
        <f t="shared" si="148"/>
        <v>0</v>
      </c>
      <c r="AR56" s="463">
        <f t="shared" si="149"/>
        <v>0</v>
      </c>
      <c r="AS56" s="469">
        <f t="shared" si="150"/>
        <v>29321</v>
      </c>
      <c r="AT56" s="460">
        <f t="shared" si="151"/>
        <v>20950</v>
      </c>
      <c r="AU56" s="460">
        <f t="shared" si="152"/>
        <v>0</v>
      </c>
      <c r="AV56" s="460">
        <f t="shared" si="153"/>
        <v>7081</v>
      </c>
      <c r="AW56" s="460">
        <f t="shared" si="153"/>
        <v>210</v>
      </c>
      <c r="AX56" s="460">
        <f t="shared" si="154"/>
        <v>1080</v>
      </c>
      <c r="AY56" s="461">
        <f t="shared" si="155"/>
        <v>0.08</v>
      </c>
      <c r="AZ56" s="461">
        <f t="shared" si="156"/>
        <v>0</v>
      </c>
      <c r="BA56" s="463">
        <f t="shared" si="156"/>
        <v>0.08</v>
      </c>
    </row>
    <row r="57" spans="1:53" ht="12.95" customHeight="1" x14ac:dyDescent="0.25">
      <c r="A57" s="300">
        <v>8</v>
      </c>
      <c r="B57" s="340">
        <v>5476</v>
      </c>
      <c r="C57" s="341">
        <v>650046072</v>
      </c>
      <c r="D57" s="300">
        <v>71002723</v>
      </c>
      <c r="E57" s="368" t="s">
        <v>439</v>
      </c>
      <c r="F57" s="340">
        <v>3231</v>
      </c>
      <c r="G57" s="364" t="s">
        <v>312</v>
      </c>
      <c r="H57" s="303" t="s">
        <v>277</v>
      </c>
      <c r="I57" s="462">
        <f t="shared" si="135"/>
        <v>7025432</v>
      </c>
      <c r="J57" s="457">
        <v>5201087</v>
      </c>
      <c r="K57" s="457">
        <f t="shared" si="136"/>
        <v>1757967</v>
      </c>
      <c r="L57" s="457">
        <f t="shared" si="137"/>
        <v>52011</v>
      </c>
      <c r="M57" s="457">
        <v>14367</v>
      </c>
      <c r="N57" s="458">
        <f t="shared" si="138"/>
        <v>9.2014999999999993</v>
      </c>
      <c r="O57" s="459">
        <v>8.2843999999999998</v>
      </c>
      <c r="P57" s="646">
        <v>0.91710000000000003</v>
      </c>
      <c r="Q57" s="469">
        <f t="shared" si="139"/>
        <v>0</v>
      </c>
      <c r="R57" s="460">
        <v>0</v>
      </c>
      <c r="S57" s="673">
        <v>0</v>
      </c>
      <c r="T57" s="460">
        <v>0</v>
      </c>
      <c r="U57" s="460">
        <v>0</v>
      </c>
      <c r="V57" s="460">
        <f t="shared" si="140"/>
        <v>0</v>
      </c>
      <c r="W57" s="460">
        <v>0</v>
      </c>
      <c r="X57" s="460">
        <v>0</v>
      </c>
      <c r="Y57" s="460">
        <v>0</v>
      </c>
      <c r="Z57" s="460">
        <f t="shared" si="141"/>
        <v>0</v>
      </c>
      <c r="AA57" s="460">
        <f t="shared" si="142"/>
        <v>0</v>
      </c>
      <c r="AB57" s="69">
        <f t="shared" si="143"/>
        <v>0</v>
      </c>
      <c r="AC57" s="69">
        <f t="shared" si="144"/>
        <v>0</v>
      </c>
      <c r="AD57" s="460">
        <v>0</v>
      </c>
      <c r="AE57" s="460">
        <v>0</v>
      </c>
      <c r="AF57" s="460">
        <f t="shared" si="145"/>
        <v>0</v>
      </c>
      <c r="AG57" s="460">
        <f t="shared" si="146"/>
        <v>0</v>
      </c>
      <c r="AH57" s="461">
        <v>0</v>
      </c>
      <c r="AI57" s="461">
        <v>0</v>
      </c>
      <c r="AJ57" s="461">
        <v>0</v>
      </c>
      <c r="AK57" s="461">
        <v>0</v>
      </c>
      <c r="AL57" s="674">
        <v>0</v>
      </c>
      <c r="AM57" s="461">
        <v>0</v>
      </c>
      <c r="AN57" s="461">
        <v>0</v>
      </c>
      <c r="AO57" s="461">
        <v>0</v>
      </c>
      <c r="AP57" s="461">
        <f t="shared" si="147"/>
        <v>0</v>
      </c>
      <c r="AQ57" s="461">
        <f t="shared" si="148"/>
        <v>0</v>
      </c>
      <c r="AR57" s="463">
        <f t="shared" si="149"/>
        <v>0</v>
      </c>
      <c r="AS57" s="469">
        <f t="shared" si="150"/>
        <v>7025432</v>
      </c>
      <c r="AT57" s="460">
        <f t="shared" si="151"/>
        <v>5201087</v>
      </c>
      <c r="AU57" s="460">
        <f t="shared" si="152"/>
        <v>0</v>
      </c>
      <c r="AV57" s="460">
        <f t="shared" si="153"/>
        <v>1757967</v>
      </c>
      <c r="AW57" s="460">
        <f t="shared" si="153"/>
        <v>52011</v>
      </c>
      <c r="AX57" s="460">
        <f t="shared" si="154"/>
        <v>14367</v>
      </c>
      <c r="AY57" s="461">
        <f t="shared" si="155"/>
        <v>9.2014999999999993</v>
      </c>
      <c r="AZ57" s="461">
        <f t="shared" si="156"/>
        <v>8.2843999999999998</v>
      </c>
      <c r="BA57" s="463">
        <f t="shared" si="156"/>
        <v>0.91710000000000003</v>
      </c>
    </row>
    <row r="58" spans="1:53" ht="12.95" customHeight="1" x14ac:dyDescent="0.25">
      <c r="A58" s="310">
        <v>8</v>
      </c>
      <c r="B58" s="344">
        <v>5476</v>
      </c>
      <c r="C58" s="345">
        <v>650046072</v>
      </c>
      <c r="D58" s="344">
        <v>71002723</v>
      </c>
      <c r="E58" s="369" t="s">
        <v>440</v>
      </c>
      <c r="F58" s="344"/>
      <c r="G58" s="370"/>
      <c r="H58" s="371"/>
      <c r="I58" s="536">
        <f t="shared" ref="I58:P58" si="157">SUM(I51:I57)</f>
        <v>24433389</v>
      </c>
      <c r="J58" s="532">
        <f t="shared" si="157"/>
        <v>17969361</v>
      </c>
      <c r="K58" s="532">
        <f t="shared" si="157"/>
        <v>6073644</v>
      </c>
      <c r="L58" s="532">
        <f t="shared" si="157"/>
        <v>179694</v>
      </c>
      <c r="M58" s="532">
        <f t="shared" si="157"/>
        <v>210690</v>
      </c>
      <c r="N58" s="533">
        <f t="shared" si="157"/>
        <v>34.667299999999997</v>
      </c>
      <c r="O58" s="533">
        <f t="shared" si="157"/>
        <v>25.530200000000001</v>
      </c>
      <c r="P58" s="298">
        <f t="shared" si="157"/>
        <v>9.1371000000000002</v>
      </c>
      <c r="Q58" s="538">
        <f t="shared" ref="Q58:BA58" si="158">SUM(Q51:Q57)</f>
        <v>-52000</v>
      </c>
      <c r="R58" s="532">
        <f t="shared" si="158"/>
        <v>360161</v>
      </c>
      <c r="S58" s="532">
        <f t="shared" si="158"/>
        <v>0</v>
      </c>
      <c r="T58" s="532">
        <f t="shared" si="158"/>
        <v>0</v>
      </c>
      <c r="U58" s="532">
        <f t="shared" si="158"/>
        <v>0</v>
      </c>
      <c r="V58" s="532">
        <f t="shared" si="158"/>
        <v>308161</v>
      </c>
      <c r="W58" s="532">
        <f t="shared" si="158"/>
        <v>52000</v>
      </c>
      <c r="X58" s="532">
        <f t="shared" si="158"/>
        <v>0</v>
      </c>
      <c r="Y58" s="532">
        <f t="shared" si="158"/>
        <v>0</v>
      </c>
      <c r="Z58" s="532">
        <f t="shared" si="158"/>
        <v>52000</v>
      </c>
      <c r="AA58" s="532">
        <f t="shared" si="158"/>
        <v>360161</v>
      </c>
      <c r="AB58" s="532">
        <f t="shared" si="158"/>
        <v>121734</v>
      </c>
      <c r="AC58" s="532">
        <f t="shared" si="158"/>
        <v>3081</v>
      </c>
      <c r="AD58" s="532">
        <f t="shared" si="158"/>
        <v>0</v>
      </c>
      <c r="AE58" s="532">
        <f t="shared" si="158"/>
        <v>0</v>
      </c>
      <c r="AF58" s="532">
        <f t="shared" si="158"/>
        <v>0</v>
      </c>
      <c r="AG58" s="532">
        <f t="shared" si="158"/>
        <v>484976</v>
      </c>
      <c r="AH58" s="533">
        <f t="shared" si="158"/>
        <v>-0.03</v>
      </c>
      <c r="AI58" s="533">
        <f t="shared" si="158"/>
        <v>-7.0000000000000007E-2</v>
      </c>
      <c r="AJ58" s="533">
        <f t="shared" si="158"/>
        <v>0.94</v>
      </c>
      <c r="AK58" s="533">
        <f t="shared" si="158"/>
        <v>0</v>
      </c>
      <c r="AL58" s="533">
        <f t="shared" si="158"/>
        <v>0</v>
      </c>
      <c r="AM58" s="533">
        <f t="shared" si="158"/>
        <v>0</v>
      </c>
      <c r="AN58" s="533">
        <f t="shared" si="158"/>
        <v>0</v>
      </c>
      <c r="AO58" s="533">
        <f t="shared" si="158"/>
        <v>0</v>
      </c>
      <c r="AP58" s="533">
        <f t="shared" si="158"/>
        <v>0.90999999999999992</v>
      </c>
      <c r="AQ58" s="533">
        <f t="shared" si="158"/>
        <v>-7.0000000000000007E-2</v>
      </c>
      <c r="AR58" s="298">
        <f t="shared" si="158"/>
        <v>0.84</v>
      </c>
      <c r="AS58" s="538">
        <f t="shared" si="158"/>
        <v>24918365</v>
      </c>
      <c r="AT58" s="532">
        <f t="shared" si="158"/>
        <v>18277522</v>
      </c>
      <c r="AU58" s="532">
        <f t="shared" si="158"/>
        <v>52000</v>
      </c>
      <c r="AV58" s="532">
        <f t="shared" si="158"/>
        <v>6195378</v>
      </c>
      <c r="AW58" s="532">
        <f t="shared" si="158"/>
        <v>182775</v>
      </c>
      <c r="AX58" s="532">
        <f t="shared" si="158"/>
        <v>210690</v>
      </c>
      <c r="AY58" s="533">
        <f t="shared" si="158"/>
        <v>35.507300000000001</v>
      </c>
      <c r="AZ58" s="533">
        <f t="shared" si="158"/>
        <v>26.440200000000004</v>
      </c>
      <c r="BA58" s="298">
        <f t="shared" si="158"/>
        <v>9.0670999999999999</v>
      </c>
    </row>
    <row r="59" spans="1:53" ht="12.95" customHeight="1" x14ac:dyDescent="0.25">
      <c r="A59" s="300">
        <v>9</v>
      </c>
      <c r="B59" s="340">
        <v>5414</v>
      </c>
      <c r="C59" s="341">
        <v>600099008</v>
      </c>
      <c r="D59" s="300">
        <v>70695555</v>
      </c>
      <c r="E59" s="368" t="s">
        <v>441</v>
      </c>
      <c r="F59" s="340">
        <v>3111</v>
      </c>
      <c r="G59" s="364" t="s">
        <v>321</v>
      </c>
      <c r="H59" s="303" t="s">
        <v>277</v>
      </c>
      <c r="I59" s="462">
        <f t="shared" ref="I59:I60" si="159">SUM(J59:M59)</f>
        <v>1772547</v>
      </c>
      <c r="J59" s="457">
        <v>1308121</v>
      </c>
      <c r="K59" s="457">
        <f t="shared" ref="K59:K60" si="160">ROUND(J59*33.8%,0)</f>
        <v>442145</v>
      </c>
      <c r="L59" s="457">
        <f t="shared" ref="L59:L60" si="161">ROUND(J59*1%,0)</f>
        <v>13081</v>
      </c>
      <c r="M59" s="457">
        <v>9200</v>
      </c>
      <c r="N59" s="458">
        <f t="shared" ref="N59:N60" si="162">O59+P59</f>
        <v>2.6</v>
      </c>
      <c r="O59" s="459">
        <v>2</v>
      </c>
      <c r="P59" s="646">
        <v>0.60000000000000009</v>
      </c>
      <c r="Q59" s="469">
        <f t="shared" ref="Q59:Q60" si="163">W59*-1</f>
        <v>0</v>
      </c>
      <c r="R59" s="460">
        <v>0</v>
      </c>
      <c r="S59" s="673">
        <v>0</v>
      </c>
      <c r="T59" s="460">
        <v>0</v>
      </c>
      <c r="U59" s="460">
        <v>0</v>
      </c>
      <c r="V59" s="460">
        <f>SUM(Q59:U59)</f>
        <v>0</v>
      </c>
      <c r="W59" s="460">
        <v>0</v>
      </c>
      <c r="X59" s="460">
        <v>0</v>
      </c>
      <c r="Y59" s="460">
        <v>0</v>
      </c>
      <c r="Z59" s="460">
        <f t="shared" ref="Z59:Z60" si="164">SUM(W59:Y59)</f>
        <v>0</v>
      </c>
      <c r="AA59" s="460">
        <f t="shared" ref="AA59:AA60" si="165">V59+Z59</f>
        <v>0</v>
      </c>
      <c r="AB59" s="69">
        <f t="shared" ref="AB59:AB60" si="166">ROUND((V59+W59+X59)*33.8%,0)</f>
        <v>0</v>
      </c>
      <c r="AC59" s="69">
        <f t="shared" ref="AC59:AC60" si="167">ROUND(V59*1%,0)</f>
        <v>0</v>
      </c>
      <c r="AD59" s="460">
        <v>0</v>
      </c>
      <c r="AE59" s="460">
        <v>0</v>
      </c>
      <c r="AF59" s="460">
        <f t="shared" ref="AF59:AF60" si="168">SUM(AD59:AE59)</f>
        <v>0</v>
      </c>
      <c r="AG59" s="460">
        <f t="shared" ref="AG59:AG60" si="169">AA59+AB59+AC59+AF59</f>
        <v>0</v>
      </c>
      <c r="AH59" s="461">
        <v>0</v>
      </c>
      <c r="AI59" s="461">
        <v>0</v>
      </c>
      <c r="AJ59" s="461">
        <v>0</v>
      </c>
      <c r="AK59" s="461">
        <v>0</v>
      </c>
      <c r="AL59" s="674">
        <v>0</v>
      </c>
      <c r="AM59" s="461">
        <v>0</v>
      </c>
      <c r="AN59" s="461">
        <v>0</v>
      </c>
      <c r="AO59" s="461">
        <v>0</v>
      </c>
      <c r="AP59" s="461">
        <f>AH59+AJ59+AK59+AM59+AN59</f>
        <v>0</v>
      </c>
      <c r="AQ59" s="461">
        <f>AI59+AL59+AO59</f>
        <v>0</v>
      </c>
      <c r="AR59" s="463">
        <f t="shared" ref="AR59:AR60" si="170">SUM(AP59:AQ59)</f>
        <v>0</v>
      </c>
      <c r="AS59" s="469">
        <f>I59+AG59</f>
        <v>1772547</v>
      </c>
      <c r="AT59" s="460">
        <f>J59+V59</f>
        <v>1308121</v>
      </c>
      <c r="AU59" s="460">
        <f t="shared" ref="AU59:AU60" si="171">Z59</f>
        <v>0</v>
      </c>
      <c r="AV59" s="460">
        <f>K59+AB59</f>
        <v>442145</v>
      </c>
      <c r="AW59" s="460">
        <f>L59+AC59</f>
        <v>13081</v>
      </c>
      <c r="AX59" s="460">
        <f>M59+AF59</f>
        <v>9200</v>
      </c>
      <c r="AY59" s="461">
        <f>N59+AR59</f>
        <v>2.6</v>
      </c>
      <c r="AZ59" s="461">
        <f>O59+AP59</f>
        <v>2</v>
      </c>
      <c r="BA59" s="463">
        <f>P59+AQ59</f>
        <v>0.60000000000000009</v>
      </c>
    </row>
    <row r="60" spans="1:53" ht="12.95" customHeight="1" x14ac:dyDescent="0.25">
      <c r="A60" s="300">
        <v>9</v>
      </c>
      <c r="B60" s="340">
        <v>5414</v>
      </c>
      <c r="C60" s="341">
        <v>600099008</v>
      </c>
      <c r="D60" s="300">
        <v>70695555</v>
      </c>
      <c r="E60" s="368" t="s">
        <v>441</v>
      </c>
      <c r="F60" s="340">
        <v>3141</v>
      </c>
      <c r="G60" s="364" t="s">
        <v>311</v>
      </c>
      <c r="H60" s="303" t="s">
        <v>278</v>
      </c>
      <c r="I60" s="462">
        <f t="shared" si="159"/>
        <v>148247</v>
      </c>
      <c r="J60" s="457">
        <v>109395</v>
      </c>
      <c r="K60" s="457">
        <f t="shared" si="160"/>
        <v>36976</v>
      </c>
      <c r="L60" s="457">
        <f t="shared" si="161"/>
        <v>1094</v>
      </c>
      <c r="M60" s="457">
        <v>782</v>
      </c>
      <c r="N60" s="458">
        <f t="shared" si="162"/>
        <v>0.35</v>
      </c>
      <c r="O60" s="459">
        <v>0</v>
      </c>
      <c r="P60" s="646">
        <v>0.35</v>
      </c>
      <c r="Q60" s="469">
        <f t="shared" si="163"/>
        <v>0</v>
      </c>
      <c r="R60" s="460">
        <v>0</v>
      </c>
      <c r="S60" s="673">
        <v>0</v>
      </c>
      <c r="T60" s="460">
        <v>0</v>
      </c>
      <c r="U60" s="460">
        <v>0</v>
      </c>
      <c r="V60" s="460">
        <f>SUM(Q60:U60)</f>
        <v>0</v>
      </c>
      <c r="W60" s="460">
        <v>0</v>
      </c>
      <c r="X60" s="460">
        <v>0</v>
      </c>
      <c r="Y60" s="460">
        <v>0</v>
      </c>
      <c r="Z60" s="460">
        <f t="shared" si="164"/>
        <v>0</v>
      </c>
      <c r="AA60" s="460">
        <f t="shared" si="165"/>
        <v>0</v>
      </c>
      <c r="AB60" s="69">
        <f t="shared" si="166"/>
        <v>0</v>
      </c>
      <c r="AC60" s="69">
        <f t="shared" si="167"/>
        <v>0</v>
      </c>
      <c r="AD60" s="460">
        <v>0</v>
      </c>
      <c r="AE60" s="460">
        <v>0</v>
      </c>
      <c r="AF60" s="460">
        <f t="shared" si="168"/>
        <v>0</v>
      </c>
      <c r="AG60" s="460">
        <f t="shared" si="169"/>
        <v>0</v>
      </c>
      <c r="AH60" s="461">
        <v>0</v>
      </c>
      <c r="AI60" s="461">
        <v>0</v>
      </c>
      <c r="AJ60" s="461">
        <v>0</v>
      </c>
      <c r="AK60" s="461">
        <v>0</v>
      </c>
      <c r="AL60" s="674">
        <v>0</v>
      </c>
      <c r="AM60" s="461">
        <v>0</v>
      </c>
      <c r="AN60" s="461">
        <v>0</v>
      </c>
      <c r="AO60" s="461">
        <v>0</v>
      </c>
      <c r="AP60" s="461">
        <f>AH60+AJ60+AK60+AM60+AN60</f>
        <v>0</v>
      </c>
      <c r="AQ60" s="461">
        <f>AI60+AL60+AO60</f>
        <v>0</v>
      </c>
      <c r="AR60" s="463">
        <f t="shared" si="170"/>
        <v>0</v>
      </c>
      <c r="AS60" s="469">
        <f>I60+AG60</f>
        <v>148247</v>
      </c>
      <c r="AT60" s="460">
        <f>J60+V60</f>
        <v>109395</v>
      </c>
      <c r="AU60" s="460">
        <f t="shared" si="171"/>
        <v>0</v>
      </c>
      <c r="AV60" s="460">
        <f>K60+AB60</f>
        <v>36976</v>
      </c>
      <c r="AW60" s="460">
        <f>L60+AC60</f>
        <v>1094</v>
      </c>
      <c r="AX60" s="460">
        <f>M60+AF60</f>
        <v>782</v>
      </c>
      <c r="AY60" s="461">
        <f>N60+AR60</f>
        <v>0.35</v>
      </c>
      <c r="AZ60" s="461">
        <f>O60+AP60</f>
        <v>0</v>
      </c>
      <c r="BA60" s="463">
        <f>P60+AQ60</f>
        <v>0.35</v>
      </c>
    </row>
    <row r="61" spans="1:53" ht="12.95" customHeight="1" x14ac:dyDescent="0.25">
      <c r="A61" s="373">
        <v>9</v>
      </c>
      <c r="B61" s="344">
        <v>5414</v>
      </c>
      <c r="C61" s="345">
        <v>600099008</v>
      </c>
      <c r="D61" s="344">
        <v>70695555</v>
      </c>
      <c r="E61" s="369" t="s">
        <v>442</v>
      </c>
      <c r="F61" s="344"/>
      <c r="G61" s="370"/>
      <c r="H61" s="371"/>
      <c r="I61" s="536">
        <f t="shared" ref="I61:P61" si="172">SUM(I59:I60)</f>
        <v>1920794</v>
      </c>
      <c r="J61" s="532">
        <f t="shared" si="172"/>
        <v>1417516</v>
      </c>
      <c r="K61" s="532">
        <f t="shared" si="172"/>
        <v>479121</v>
      </c>
      <c r="L61" s="532">
        <f t="shared" si="172"/>
        <v>14175</v>
      </c>
      <c r="M61" s="532">
        <f t="shared" si="172"/>
        <v>9982</v>
      </c>
      <c r="N61" s="533">
        <f t="shared" si="172"/>
        <v>2.95</v>
      </c>
      <c r="O61" s="533">
        <f t="shared" si="172"/>
        <v>2</v>
      </c>
      <c r="P61" s="298">
        <f t="shared" si="172"/>
        <v>0.95000000000000007</v>
      </c>
      <c r="Q61" s="538">
        <f t="shared" ref="Q61:BA61" si="173">SUM(Q59:Q60)</f>
        <v>0</v>
      </c>
      <c r="R61" s="532">
        <f t="shared" si="173"/>
        <v>0</v>
      </c>
      <c r="S61" s="532">
        <f t="shared" si="173"/>
        <v>0</v>
      </c>
      <c r="T61" s="532">
        <f t="shared" si="173"/>
        <v>0</v>
      </c>
      <c r="U61" s="532">
        <f t="shared" si="173"/>
        <v>0</v>
      </c>
      <c r="V61" s="532">
        <f t="shared" si="173"/>
        <v>0</v>
      </c>
      <c r="W61" s="532">
        <f t="shared" si="173"/>
        <v>0</v>
      </c>
      <c r="X61" s="532">
        <f t="shared" si="173"/>
        <v>0</v>
      </c>
      <c r="Y61" s="532">
        <f t="shared" si="173"/>
        <v>0</v>
      </c>
      <c r="Z61" s="532">
        <f t="shared" si="173"/>
        <v>0</v>
      </c>
      <c r="AA61" s="532">
        <f t="shared" si="173"/>
        <v>0</v>
      </c>
      <c r="AB61" s="532">
        <f t="shared" si="173"/>
        <v>0</v>
      </c>
      <c r="AC61" s="532">
        <f t="shared" si="173"/>
        <v>0</v>
      </c>
      <c r="AD61" s="532">
        <f t="shared" si="173"/>
        <v>0</v>
      </c>
      <c r="AE61" s="532">
        <f t="shared" si="173"/>
        <v>0</v>
      </c>
      <c r="AF61" s="532">
        <f t="shared" si="173"/>
        <v>0</v>
      </c>
      <c r="AG61" s="532">
        <f t="shared" si="173"/>
        <v>0</v>
      </c>
      <c r="AH61" s="533">
        <f t="shared" si="173"/>
        <v>0</v>
      </c>
      <c r="AI61" s="533">
        <f t="shared" si="173"/>
        <v>0</v>
      </c>
      <c r="AJ61" s="533">
        <f t="shared" si="173"/>
        <v>0</v>
      </c>
      <c r="AK61" s="533">
        <f t="shared" si="173"/>
        <v>0</v>
      </c>
      <c r="AL61" s="533">
        <f t="shared" si="173"/>
        <v>0</v>
      </c>
      <c r="AM61" s="533">
        <f t="shared" si="173"/>
        <v>0</v>
      </c>
      <c r="AN61" s="533">
        <f t="shared" si="173"/>
        <v>0</v>
      </c>
      <c r="AO61" s="533">
        <f t="shared" si="173"/>
        <v>0</v>
      </c>
      <c r="AP61" s="533">
        <f t="shared" si="173"/>
        <v>0</v>
      </c>
      <c r="AQ61" s="533">
        <f t="shared" si="173"/>
        <v>0</v>
      </c>
      <c r="AR61" s="298">
        <f t="shared" si="173"/>
        <v>0</v>
      </c>
      <c r="AS61" s="538">
        <f t="shared" si="173"/>
        <v>1920794</v>
      </c>
      <c r="AT61" s="532">
        <f t="shared" si="173"/>
        <v>1417516</v>
      </c>
      <c r="AU61" s="532">
        <f t="shared" si="173"/>
        <v>0</v>
      </c>
      <c r="AV61" s="532">
        <f t="shared" si="173"/>
        <v>479121</v>
      </c>
      <c r="AW61" s="532">
        <f t="shared" si="173"/>
        <v>14175</v>
      </c>
      <c r="AX61" s="532">
        <f t="shared" si="173"/>
        <v>9982</v>
      </c>
      <c r="AY61" s="533">
        <f t="shared" si="173"/>
        <v>2.95</v>
      </c>
      <c r="AZ61" s="533">
        <f t="shared" si="173"/>
        <v>2</v>
      </c>
      <c r="BA61" s="298">
        <f t="shared" si="173"/>
        <v>0.95000000000000007</v>
      </c>
    </row>
    <row r="62" spans="1:53" ht="12.95" customHeight="1" x14ac:dyDescent="0.25">
      <c r="A62" s="300">
        <v>10</v>
      </c>
      <c r="B62" s="340">
        <v>5483</v>
      </c>
      <c r="C62" s="341">
        <v>600098460</v>
      </c>
      <c r="D62" s="300">
        <v>72745207</v>
      </c>
      <c r="E62" s="368" t="s">
        <v>443</v>
      </c>
      <c r="F62" s="340">
        <v>3111</v>
      </c>
      <c r="G62" s="364" t="s">
        <v>321</v>
      </c>
      <c r="H62" s="303" t="s">
        <v>277</v>
      </c>
      <c r="I62" s="462">
        <f t="shared" ref="I62:I64" si="174">SUM(J62:M62)</f>
        <v>1794709</v>
      </c>
      <c r="J62" s="457">
        <v>1325155</v>
      </c>
      <c r="K62" s="457">
        <f t="shared" ref="K62:K64" si="175">ROUND(J62*33.8%,0)</f>
        <v>447902</v>
      </c>
      <c r="L62" s="457">
        <f t="shared" ref="L62:L64" si="176">ROUND(J62*1%,0)</f>
        <v>13252</v>
      </c>
      <c r="M62" s="457">
        <v>8400</v>
      </c>
      <c r="N62" s="458">
        <f t="shared" ref="N62:N64" si="177">O62+P62</f>
        <v>2.7718000000000003</v>
      </c>
      <c r="O62" s="459">
        <v>2.1718000000000002</v>
      </c>
      <c r="P62" s="646">
        <v>0.60000000000000009</v>
      </c>
      <c r="Q62" s="469">
        <f t="shared" ref="Q62:Q64" si="178">W62*-1</f>
        <v>-43420</v>
      </c>
      <c r="R62" s="460">
        <v>0</v>
      </c>
      <c r="S62" s="673">
        <v>0</v>
      </c>
      <c r="T62" s="460">
        <v>0</v>
      </c>
      <c r="U62" s="460">
        <v>0</v>
      </c>
      <c r="V62" s="460">
        <f>SUM(Q62:U62)</f>
        <v>-43420</v>
      </c>
      <c r="W62" s="460">
        <v>43420</v>
      </c>
      <c r="X62" s="460">
        <v>0</v>
      </c>
      <c r="Y62" s="460">
        <v>0</v>
      </c>
      <c r="Z62" s="460">
        <f t="shared" ref="Z62:Z64" si="179">SUM(W62:Y62)</f>
        <v>43420</v>
      </c>
      <c r="AA62" s="460">
        <f t="shared" ref="AA62:AA64" si="180">V62+Z62</f>
        <v>0</v>
      </c>
      <c r="AB62" s="69">
        <f t="shared" ref="AB62:AB64" si="181">ROUND((V62+W62+X62)*33.8%,0)</f>
        <v>0</v>
      </c>
      <c r="AC62" s="69">
        <f t="shared" ref="AC62:AC64" si="182">ROUND(V62*1%,0)</f>
        <v>-434</v>
      </c>
      <c r="AD62" s="460">
        <v>0</v>
      </c>
      <c r="AE62" s="460">
        <v>0</v>
      </c>
      <c r="AF62" s="460">
        <f t="shared" ref="AF62:AF64" si="183">SUM(AD62:AE62)</f>
        <v>0</v>
      </c>
      <c r="AG62" s="460">
        <f t="shared" ref="AG62:AG64" si="184">AA62+AB62+AC62+AF62</f>
        <v>-434</v>
      </c>
      <c r="AH62" s="461">
        <v>0</v>
      </c>
      <c r="AI62" s="461">
        <v>-0.03</v>
      </c>
      <c r="AJ62" s="461">
        <v>0</v>
      </c>
      <c r="AK62" s="461">
        <v>0</v>
      </c>
      <c r="AL62" s="674">
        <v>0</v>
      </c>
      <c r="AM62" s="461">
        <v>0</v>
      </c>
      <c r="AN62" s="461">
        <v>0</v>
      </c>
      <c r="AO62" s="461">
        <v>0</v>
      </c>
      <c r="AP62" s="461">
        <f>AH62+AJ62+AK62+AM62+AN62</f>
        <v>0</v>
      </c>
      <c r="AQ62" s="461">
        <f>AI62+AL62+AO62</f>
        <v>-0.03</v>
      </c>
      <c r="AR62" s="463">
        <f t="shared" ref="AR62:AR64" si="185">SUM(AP62:AQ62)</f>
        <v>-0.03</v>
      </c>
      <c r="AS62" s="469">
        <f>I62+AG62</f>
        <v>1794275</v>
      </c>
      <c r="AT62" s="460">
        <f>J62+V62</f>
        <v>1281735</v>
      </c>
      <c r="AU62" s="460">
        <f t="shared" ref="AU62:AU64" si="186">Z62</f>
        <v>43420</v>
      </c>
      <c r="AV62" s="460">
        <f t="shared" ref="AV62:AW64" si="187">K62+AB62</f>
        <v>447902</v>
      </c>
      <c r="AW62" s="460">
        <f t="shared" si="187"/>
        <v>12818</v>
      </c>
      <c r="AX62" s="460">
        <f>M62+AF62</f>
        <v>8400</v>
      </c>
      <c r="AY62" s="461">
        <f>N62+AR62</f>
        <v>2.7418000000000005</v>
      </c>
      <c r="AZ62" s="461">
        <f t="shared" ref="AZ62:BA64" si="188">O62+AP62</f>
        <v>2.1718000000000002</v>
      </c>
      <c r="BA62" s="463">
        <f t="shared" si="188"/>
        <v>0.57000000000000006</v>
      </c>
    </row>
    <row r="63" spans="1:53" ht="12.95" customHeight="1" x14ac:dyDescent="0.25">
      <c r="A63" s="300">
        <v>10</v>
      </c>
      <c r="B63" s="340">
        <v>5483</v>
      </c>
      <c r="C63" s="341">
        <v>600098460</v>
      </c>
      <c r="D63" s="300">
        <v>72745207</v>
      </c>
      <c r="E63" s="368" t="s">
        <v>443</v>
      </c>
      <c r="F63" s="340">
        <v>3111</v>
      </c>
      <c r="G63" s="303" t="s">
        <v>308</v>
      </c>
      <c r="H63" s="303" t="s">
        <v>278</v>
      </c>
      <c r="I63" s="462">
        <f t="shared" si="174"/>
        <v>0</v>
      </c>
      <c r="J63" s="457">
        <v>0</v>
      </c>
      <c r="K63" s="457">
        <f t="shared" si="175"/>
        <v>0</v>
      </c>
      <c r="L63" s="457">
        <f t="shared" si="176"/>
        <v>0</v>
      </c>
      <c r="M63" s="457">
        <v>0</v>
      </c>
      <c r="N63" s="458">
        <f t="shared" si="177"/>
        <v>0</v>
      </c>
      <c r="O63" s="459">
        <v>0</v>
      </c>
      <c r="P63" s="646">
        <v>0</v>
      </c>
      <c r="Q63" s="469">
        <f t="shared" si="178"/>
        <v>0</v>
      </c>
      <c r="R63" s="460">
        <v>0</v>
      </c>
      <c r="S63" s="673">
        <v>0</v>
      </c>
      <c r="T63" s="460">
        <v>0</v>
      </c>
      <c r="U63" s="460">
        <v>0</v>
      </c>
      <c r="V63" s="460">
        <f>SUM(Q63:U63)</f>
        <v>0</v>
      </c>
      <c r="W63" s="460">
        <v>0</v>
      </c>
      <c r="X63" s="460">
        <v>0</v>
      </c>
      <c r="Y63" s="460">
        <v>0</v>
      </c>
      <c r="Z63" s="460">
        <f t="shared" si="179"/>
        <v>0</v>
      </c>
      <c r="AA63" s="460">
        <f t="shared" si="180"/>
        <v>0</v>
      </c>
      <c r="AB63" s="69">
        <f t="shared" si="181"/>
        <v>0</v>
      </c>
      <c r="AC63" s="69">
        <f t="shared" si="182"/>
        <v>0</v>
      </c>
      <c r="AD63" s="460">
        <v>0</v>
      </c>
      <c r="AE63" s="460">
        <v>0</v>
      </c>
      <c r="AF63" s="460">
        <f t="shared" si="183"/>
        <v>0</v>
      </c>
      <c r="AG63" s="460">
        <f t="shared" si="184"/>
        <v>0</v>
      </c>
      <c r="AH63" s="461">
        <v>0</v>
      </c>
      <c r="AI63" s="461">
        <v>0</v>
      </c>
      <c r="AJ63" s="461">
        <v>0</v>
      </c>
      <c r="AK63" s="461">
        <v>0</v>
      </c>
      <c r="AL63" s="674">
        <v>0</v>
      </c>
      <c r="AM63" s="461">
        <v>0</v>
      </c>
      <c r="AN63" s="461">
        <v>0</v>
      </c>
      <c r="AO63" s="461">
        <v>0</v>
      </c>
      <c r="AP63" s="461">
        <f>AH63+AJ63+AK63+AM63+AN63</f>
        <v>0</v>
      </c>
      <c r="AQ63" s="461">
        <f>AI63+AL63+AO63</f>
        <v>0</v>
      </c>
      <c r="AR63" s="463">
        <f t="shared" si="185"/>
        <v>0</v>
      </c>
      <c r="AS63" s="469">
        <f>I63+AG63</f>
        <v>0</v>
      </c>
      <c r="AT63" s="460">
        <f>J63+V63</f>
        <v>0</v>
      </c>
      <c r="AU63" s="460">
        <f t="shared" si="186"/>
        <v>0</v>
      </c>
      <c r="AV63" s="460">
        <f t="shared" si="187"/>
        <v>0</v>
      </c>
      <c r="AW63" s="460">
        <f t="shared" si="187"/>
        <v>0</v>
      </c>
      <c r="AX63" s="460">
        <f>M63+AF63</f>
        <v>0</v>
      </c>
      <c r="AY63" s="461">
        <f>N63+AR63</f>
        <v>0</v>
      </c>
      <c r="AZ63" s="461">
        <f t="shared" si="188"/>
        <v>0</v>
      </c>
      <c r="BA63" s="463">
        <f t="shared" si="188"/>
        <v>0</v>
      </c>
    </row>
    <row r="64" spans="1:53" ht="12.95" customHeight="1" x14ac:dyDescent="0.25">
      <c r="A64" s="300">
        <v>10</v>
      </c>
      <c r="B64" s="340">
        <v>5483</v>
      </c>
      <c r="C64" s="341">
        <v>600098460</v>
      </c>
      <c r="D64" s="300">
        <v>72745207</v>
      </c>
      <c r="E64" s="368" t="s">
        <v>443</v>
      </c>
      <c r="F64" s="340">
        <v>3141</v>
      </c>
      <c r="G64" s="364" t="s">
        <v>311</v>
      </c>
      <c r="H64" s="303" t="s">
        <v>278</v>
      </c>
      <c r="I64" s="462">
        <f t="shared" si="174"/>
        <v>344498</v>
      </c>
      <c r="J64" s="457">
        <v>254752</v>
      </c>
      <c r="K64" s="457">
        <f t="shared" si="175"/>
        <v>86106</v>
      </c>
      <c r="L64" s="457">
        <f t="shared" si="176"/>
        <v>2548</v>
      </c>
      <c r="M64" s="457">
        <v>1092</v>
      </c>
      <c r="N64" s="458">
        <f t="shared" si="177"/>
        <v>0.82</v>
      </c>
      <c r="O64" s="459">
        <v>0</v>
      </c>
      <c r="P64" s="646">
        <v>0.82</v>
      </c>
      <c r="Q64" s="469">
        <f t="shared" si="178"/>
        <v>0</v>
      </c>
      <c r="R64" s="460">
        <v>0</v>
      </c>
      <c r="S64" s="673">
        <v>0</v>
      </c>
      <c r="T64" s="460">
        <v>0</v>
      </c>
      <c r="U64" s="460">
        <v>0</v>
      </c>
      <c r="V64" s="460">
        <f>SUM(Q64:U64)</f>
        <v>0</v>
      </c>
      <c r="W64" s="460">
        <v>0</v>
      </c>
      <c r="X64" s="460">
        <v>0</v>
      </c>
      <c r="Y64" s="460">
        <v>0</v>
      </c>
      <c r="Z64" s="460">
        <f t="shared" si="179"/>
        <v>0</v>
      </c>
      <c r="AA64" s="460">
        <f t="shared" si="180"/>
        <v>0</v>
      </c>
      <c r="AB64" s="69">
        <f t="shared" si="181"/>
        <v>0</v>
      </c>
      <c r="AC64" s="69">
        <f t="shared" si="182"/>
        <v>0</v>
      </c>
      <c r="AD64" s="460">
        <v>0</v>
      </c>
      <c r="AE64" s="460">
        <v>0</v>
      </c>
      <c r="AF64" s="460">
        <f t="shared" si="183"/>
        <v>0</v>
      </c>
      <c r="AG64" s="460">
        <f t="shared" si="184"/>
        <v>0</v>
      </c>
      <c r="AH64" s="461">
        <v>0</v>
      </c>
      <c r="AI64" s="461">
        <v>0</v>
      </c>
      <c r="AJ64" s="461">
        <v>0</v>
      </c>
      <c r="AK64" s="461">
        <v>0</v>
      </c>
      <c r="AL64" s="674">
        <v>0</v>
      </c>
      <c r="AM64" s="461">
        <v>0</v>
      </c>
      <c r="AN64" s="461">
        <v>0</v>
      </c>
      <c r="AO64" s="461">
        <v>0</v>
      </c>
      <c r="AP64" s="461">
        <f>AH64+AJ64+AK64+AM64+AN64</f>
        <v>0</v>
      </c>
      <c r="AQ64" s="461">
        <f>AI64+AL64+AO64</f>
        <v>0</v>
      </c>
      <c r="AR64" s="463">
        <f t="shared" si="185"/>
        <v>0</v>
      </c>
      <c r="AS64" s="469">
        <f>I64+AG64</f>
        <v>344498</v>
      </c>
      <c r="AT64" s="460">
        <f>J64+V64</f>
        <v>254752</v>
      </c>
      <c r="AU64" s="460">
        <f t="shared" si="186"/>
        <v>0</v>
      </c>
      <c r="AV64" s="460">
        <f t="shared" si="187"/>
        <v>86106</v>
      </c>
      <c r="AW64" s="460">
        <f t="shared" si="187"/>
        <v>2548</v>
      </c>
      <c r="AX64" s="460">
        <f>M64+AF64</f>
        <v>1092</v>
      </c>
      <c r="AY64" s="461">
        <f>N64+AR64</f>
        <v>0.82</v>
      </c>
      <c r="AZ64" s="461">
        <f t="shared" si="188"/>
        <v>0</v>
      </c>
      <c r="BA64" s="463">
        <f t="shared" si="188"/>
        <v>0.82</v>
      </c>
    </row>
    <row r="65" spans="1:53" ht="12.95" customHeight="1" x14ac:dyDescent="0.25">
      <c r="A65" s="310">
        <v>10</v>
      </c>
      <c r="B65" s="344">
        <v>5483</v>
      </c>
      <c r="C65" s="345">
        <v>600098460</v>
      </c>
      <c r="D65" s="344">
        <v>72745207</v>
      </c>
      <c r="E65" s="369" t="s">
        <v>444</v>
      </c>
      <c r="F65" s="344"/>
      <c r="G65" s="370"/>
      <c r="H65" s="371"/>
      <c r="I65" s="536">
        <f t="shared" ref="I65:P65" si="189">SUM(I62:I64)</f>
        <v>2139207</v>
      </c>
      <c r="J65" s="532">
        <f t="shared" si="189"/>
        <v>1579907</v>
      </c>
      <c r="K65" s="532">
        <f t="shared" si="189"/>
        <v>534008</v>
      </c>
      <c r="L65" s="532">
        <f t="shared" si="189"/>
        <v>15800</v>
      </c>
      <c r="M65" s="532">
        <f t="shared" si="189"/>
        <v>9492</v>
      </c>
      <c r="N65" s="533">
        <f t="shared" si="189"/>
        <v>3.5918000000000001</v>
      </c>
      <c r="O65" s="533">
        <f t="shared" si="189"/>
        <v>2.1718000000000002</v>
      </c>
      <c r="P65" s="298">
        <f t="shared" si="189"/>
        <v>1.42</v>
      </c>
      <c r="Q65" s="538">
        <f t="shared" ref="Q65:BA65" si="190">SUM(Q62:Q64)</f>
        <v>-43420</v>
      </c>
      <c r="R65" s="532">
        <f t="shared" si="190"/>
        <v>0</v>
      </c>
      <c r="S65" s="532">
        <f t="shared" si="190"/>
        <v>0</v>
      </c>
      <c r="T65" s="532">
        <f t="shared" si="190"/>
        <v>0</v>
      </c>
      <c r="U65" s="532">
        <f t="shared" si="190"/>
        <v>0</v>
      </c>
      <c r="V65" s="532">
        <f t="shared" si="190"/>
        <v>-43420</v>
      </c>
      <c r="W65" s="532">
        <f t="shared" si="190"/>
        <v>43420</v>
      </c>
      <c r="X65" s="532">
        <f t="shared" si="190"/>
        <v>0</v>
      </c>
      <c r="Y65" s="532">
        <f t="shared" si="190"/>
        <v>0</v>
      </c>
      <c r="Z65" s="532">
        <f t="shared" si="190"/>
        <v>43420</v>
      </c>
      <c r="AA65" s="532">
        <f t="shared" si="190"/>
        <v>0</v>
      </c>
      <c r="AB65" s="532">
        <f t="shared" si="190"/>
        <v>0</v>
      </c>
      <c r="AC65" s="532">
        <f t="shared" si="190"/>
        <v>-434</v>
      </c>
      <c r="AD65" s="532">
        <f t="shared" si="190"/>
        <v>0</v>
      </c>
      <c r="AE65" s="532">
        <f t="shared" si="190"/>
        <v>0</v>
      </c>
      <c r="AF65" s="532">
        <f t="shared" si="190"/>
        <v>0</v>
      </c>
      <c r="AG65" s="532">
        <f t="shared" si="190"/>
        <v>-434</v>
      </c>
      <c r="AH65" s="533">
        <f t="shared" si="190"/>
        <v>0</v>
      </c>
      <c r="AI65" s="533">
        <f t="shared" si="190"/>
        <v>-0.03</v>
      </c>
      <c r="AJ65" s="533">
        <f t="shared" si="190"/>
        <v>0</v>
      </c>
      <c r="AK65" s="533">
        <f t="shared" si="190"/>
        <v>0</v>
      </c>
      <c r="AL65" s="533">
        <f t="shared" si="190"/>
        <v>0</v>
      </c>
      <c r="AM65" s="533">
        <f t="shared" si="190"/>
        <v>0</v>
      </c>
      <c r="AN65" s="533">
        <f t="shared" si="190"/>
        <v>0</v>
      </c>
      <c r="AO65" s="533">
        <f t="shared" si="190"/>
        <v>0</v>
      </c>
      <c r="AP65" s="533">
        <f t="shared" si="190"/>
        <v>0</v>
      </c>
      <c r="AQ65" s="533">
        <f t="shared" si="190"/>
        <v>-0.03</v>
      </c>
      <c r="AR65" s="298">
        <f t="shared" si="190"/>
        <v>-0.03</v>
      </c>
      <c r="AS65" s="538">
        <f t="shared" si="190"/>
        <v>2138773</v>
      </c>
      <c r="AT65" s="532">
        <f t="shared" si="190"/>
        <v>1536487</v>
      </c>
      <c r="AU65" s="532">
        <f t="shared" si="190"/>
        <v>43420</v>
      </c>
      <c r="AV65" s="532">
        <f t="shared" si="190"/>
        <v>534008</v>
      </c>
      <c r="AW65" s="532">
        <f t="shared" si="190"/>
        <v>15366</v>
      </c>
      <c r="AX65" s="532">
        <f t="shared" si="190"/>
        <v>9492</v>
      </c>
      <c r="AY65" s="533">
        <f t="shared" si="190"/>
        <v>3.5618000000000003</v>
      </c>
      <c r="AZ65" s="533">
        <f t="shared" si="190"/>
        <v>2.1718000000000002</v>
      </c>
      <c r="BA65" s="298">
        <f t="shared" si="190"/>
        <v>1.3900000000000001</v>
      </c>
    </row>
    <row r="66" spans="1:53" ht="12.95" customHeight="1" x14ac:dyDescent="0.25">
      <c r="A66" s="300">
        <v>11</v>
      </c>
      <c r="B66" s="340">
        <v>5430</v>
      </c>
      <c r="C66" s="341">
        <v>650026144</v>
      </c>
      <c r="D66" s="300">
        <v>70695148</v>
      </c>
      <c r="E66" s="368" t="s">
        <v>445</v>
      </c>
      <c r="F66" s="340">
        <v>3111</v>
      </c>
      <c r="G66" s="364" t="s">
        <v>321</v>
      </c>
      <c r="H66" s="303" t="s">
        <v>277</v>
      </c>
      <c r="I66" s="462">
        <f t="shared" ref="I66:I71" si="191">SUM(J66:M66)</f>
        <v>2300382</v>
      </c>
      <c r="J66" s="457">
        <v>1697316</v>
      </c>
      <c r="K66" s="457">
        <f t="shared" ref="K66:K71" si="192">ROUND(J66*33.8%,0)</f>
        <v>573693</v>
      </c>
      <c r="L66" s="457">
        <f t="shared" ref="L66:L71" si="193">ROUND(J66*1%,0)</f>
        <v>16973</v>
      </c>
      <c r="M66" s="457">
        <v>12400</v>
      </c>
      <c r="N66" s="458">
        <f t="shared" ref="N66:N71" si="194">O66+P66</f>
        <v>3.7199999999999998</v>
      </c>
      <c r="O66" s="459">
        <v>3</v>
      </c>
      <c r="P66" s="646">
        <v>0.72</v>
      </c>
      <c r="Q66" s="469">
        <f t="shared" ref="Q66:Q71" si="195">W66*-1</f>
        <v>0</v>
      </c>
      <c r="R66" s="460">
        <v>0</v>
      </c>
      <c r="S66" s="673">
        <v>0</v>
      </c>
      <c r="T66" s="460">
        <v>0</v>
      </c>
      <c r="U66" s="460">
        <v>0</v>
      </c>
      <c r="V66" s="460">
        <f t="shared" ref="V66:V71" si="196">SUM(Q66:U66)</f>
        <v>0</v>
      </c>
      <c r="W66" s="460">
        <v>0</v>
      </c>
      <c r="X66" s="460">
        <v>0</v>
      </c>
      <c r="Y66" s="460">
        <v>0</v>
      </c>
      <c r="Z66" s="460">
        <f t="shared" ref="Z66:Z71" si="197">SUM(W66:Y66)</f>
        <v>0</v>
      </c>
      <c r="AA66" s="460">
        <f t="shared" ref="AA66:AA71" si="198">V66+Z66</f>
        <v>0</v>
      </c>
      <c r="AB66" s="69">
        <f t="shared" ref="AB66:AB71" si="199">ROUND((V66+W66+X66)*33.8%,0)</f>
        <v>0</v>
      </c>
      <c r="AC66" s="69">
        <f t="shared" ref="AC66:AC71" si="200">ROUND(V66*1%,0)</f>
        <v>0</v>
      </c>
      <c r="AD66" s="460">
        <v>0</v>
      </c>
      <c r="AE66" s="460">
        <v>0</v>
      </c>
      <c r="AF66" s="460">
        <f t="shared" ref="AF66:AF71" si="201">SUM(AD66:AE66)</f>
        <v>0</v>
      </c>
      <c r="AG66" s="460">
        <f t="shared" ref="AG66:AG71" si="202">AA66+AB66+AC66+AF66</f>
        <v>0</v>
      </c>
      <c r="AH66" s="461">
        <v>0</v>
      </c>
      <c r="AI66" s="461">
        <v>0</v>
      </c>
      <c r="AJ66" s="461">
        <v>0</v>
      </c>
      <c r="AK66" s="461">
        <v>0</v>
      </c>
      <c r="AL66" s="674">
        <v>0</v>
      </c>
      <c r="AM66" s="461">
        <v>0</v>
      </c>
      <c r="AN66" s="461">
        <v>0</v>
      </c>
      <c r="AO66" s="461">
        <v>0</v>
      </c>
      <c r="AP66" s="461">
        <f t="shared" ref="AP66:AP71" si="203">AH66+AJ66+AK66+AM66+AN66</f>
        <v>0</v>
      </c>
      <c r="AQ66" s="461">
        <f t="shared" ref="AQ66:AQ71" si="204">AI66+AL66+AO66</f>
        <v>0</v>
      </c>
      <c r="AR66" s="463">
        <f t="shared" ref="AR66:AR71" si="205">SUM(AP66:AQ66)</f>
        <v>0</v>
      </c>
      <c r="AS66" s="469">
        <f t="shared" ref="AS66:AS71" si="206">I66+AG66</f>
        <v>2300382</v>
      </c>
      <c r="AT66" s="460">
        <f t="shared" ref="AT66:AT71" si="207">J66+V66</f>
        <v>1697316</v>
      </c>
      <c r="AU66" s="460">
        <f t="shared" ref="AU66:AU71" si="208">Z66</f>
        <v>0</v>
      </c>
      <c r="AV66" s="460">
        <f t="shared" ref="AV66:AW71" si="209">K66+AB66</f>
        <v>573693</v>
      </c>
      <c r="AW66" s="460">
        <f t="shared" si="209"/>
        <v>16973</v>
      </c>
      <c r="AX66" s="460">
        <f t="shared" ref="AX66:AX71" si="210">M66+AF66</f>
        <v>12400</v>
      </c>
      <c r="AY66" s="461">
        <f t="shared" ref="AY66:AY71" si="211">N66+AR66</f>
        <v>3.7199999999999998</v>
      </c>
      <c r="AZ66" s="461">
        <f t="shared" ref="AZ66:BA71" si="212">O66+AP66</f>
        <v>3</v>
      </c>
      <c r="BA66" s="463">
        <f t="shared" si="212"/>
        <v>0.72</v>
      </c>
    </row>
    <row r="67" spans="1:53" ht="12.95" customHeight="1" x14ac:dyDescent="0.25">
      <c r="A67" s="300">
        <v>11</v>
      </c>
      <c r="B67" s="340">
        <v>5430</v>
      </c>
      <c r="C67" s="341">
        <v>650026144</v>
      </c>
      <c r="D67" s="300">
        <v>70695148</v>
      </c>
      <c r="E67" s="368" t="s">
        <v>445</v>
      </c>
      <c r="F67" s="340">
        <v>3117</v>
      </c>
      <c r="G67" s="364" t="s">
        <v>325</v>
      </c>
      <c r="H67" s="303" t="s">
        <v>277</v>
      </c>
      <c r="I67" s="462">
        <f t="shared" si="191"/>
        <v>3710773</v>
      </c>
      <c r="J67" s="457">
        <v>2723255</v>
      </c>
      <c r="K67" s="457">
        <f t="shared" si="192"/>
        <v>920460</v>
      </c>
      <c r="L67" s="457">
        <f t="shared" si="193"/>
        <v>27233</v>
      </c>
      <c r="M67" s="457">
        <v>39825</v>
      </c>
      <c r="N67" s="458">
        <f t="shared" si="194"/>
        <v>5.3105000000000002</v>
      </c>
      <c r="O67" s="459">
        <v>3.6741000000000001</v>
      </c>
      <c r="P67" s="646">
        <v>1.6364000000000001</v>
      </c>
      <c r="Q67" s="469">
        <f t="shared" si="195"/>
        <v>-9360</v>
      </c>
      <c r="R67" s="460">
        <v>0</v>
      </c>
      <c r="S67" s="673">
        <v>0</v>
      </c>
      <c r="T67" s="460">
        <v>0</v>
      </c>
      <c r="U67" s="460">
        <v>0</v>
      </c>
      <c r="V67" s="460">
        <f t="shared" si="196"/>
        <v>-9360</v>
      </c>
      <c r="W67" s="460">
        <v>9360</v>
      </c>
      <c r="X67" s="460">
        <v>0</v>
      </c>
      <c r="Y67" s="460">
        <v>0</v>
      </c>
      <c r="Z67" s="460">
        <f t="shared" si="197"/>
        <v>9360</v>
      </c>
      <c r="AA67" s="460">
        <f t="shared" si="198"/>
        <v>0</v>
      </c>
      <c r="AB67" s="69">
        <f t="shared" si="199"/>
        <v>0</v>
      </c>
      <c r="AC67" s="69">
        <f t="shared" si="200"/>
        <v>-94</v>
      </c>
      <c r="AD67" s="460">
        <v>0</v>
      </c>
      <c r="AE67" s="460">
        <v>0</v>
      </c>
      <c r="AF67" s="460">
        <f t="shared" si="201"/>
        <v>0</v>
      </c>
      <c r="AG67" s="460">
        <f t="shared" si="202"/>
        <v>-94</v>
      </c>
      <c r="AH67" s="461">
        <v>0</v>
      </c>
      <c r="AI67" s="461">
        <v>0.03</v>
      </c>
      <c r="AJ67" s="461">
        <v>0</v>
      </c>
      <c r="AK67" s="461">
        <v>0</v>
      </c>
      <c r="AL67" s="674">
        <v>0</v>
      </c>
      <c r="AM67" s="461">
        <v>0</v>
      </c>
      <c r="AN67" s="461">
        <v>0</v>
      </c>
      <c r="AO67" s="461">
        <v>0</v>
      </c>
      <c r="AP67" s="461">
        <f t="shared" si="203"/>
        <v>0</v>
      </c>
      <c r="AQ67" s="461">
        <f t="shared" si="204"/>
        <v>0.03</v>
      </c>
      <c r="AR67" s="463">
        <f t="shared" si="205"/>
        <v>0.03</v>
      </c>
      <c r="AS67" s="469">
        <f t="shared" si="206"/>
        <v>3710679</v>
      </c>
      <c r="AT67" s="460">
        <f t="shared" si="207"/>
        <v>2713895</v>
      </c>
      <c r="AU67" s="460">
        <f t="shared" si="208"/>
        <v>9360</v>
      </c>
      <c r="AV67" s="460">
        <f t="shared" si="209"/>
        <v>920460</v>
      </c>
      <c r="AW67" s="460">
        <f t="shared" si="209"/>
        <v>27139</v>
      </c>
      <c r="AX67" s="460">
        <f t="shared" si="210"/>
        <v>39825</v>
      </c>
      <c r="AY67" s="461">
        <f t="shared" si="211"/>
        <v>5.3405000000000005</v>
      </c>
      <c r="AZ67" s="461">
        <f t="shared" si="212"/>
        <v>3.6741000000000001</v>
      </c>
      <c r="BA67" s="463">
        <f t="shared" si="212"/>
        <v>1.6664000000000001</v>
      </c>
    </row>
    <row r="68" spans="1:53" ht="12.95" customHeight="1" x14ac:dyDescent="0.25">
      <c r="A68" s="300">
        <v>11</v>
      </c>
      <c r="B68" s="340">
        <v>5430</v>
      </c>
      <c r="C68" s="341">
        <v>650026144</v>
      </c>
      <c r="D68" s="300">
        <v>70695148</v>
      </c>
      <c r="E68" s="368" t="s">
        <v>445</v>
      </c>
      <c r="F68" s="340">
        <v>3117</v>
      </c>
      <c r="G68" s="303" t="s">
        <v>308</v>
      </c>
      <c r="H68" s="303" t="s">
        <v>278</v>
      </c>
      <c r="I68" s="462">
        <f t="shared" si="191"/>
        <v>0</v>
      </c>
      <c r="J68" s="457">
        <v>0</v>
      </c>
      <c r="K68" s="457">
        <f t="shared" si="192"/>
        <v>0</v>
      </c>
      <c r="L68" s="457">
        <f t="shared" si="193"/>
        <v>0</v>
      </c>
      <c r="M68" s="457">
        <v>0</v>
      </c>
      <c r="N68" s="458">
        <f t="shared" si="194"/>
        <v>0</v>
      </c>
      <c r="O68" s="459">
        <v>0</v>
      </c>
      <c r="P68" s="646">
        <v>0</v>
      </c>
      <c r="Q68" s="469">
        <f t="shared" si="195"/>
        <v>0</v>
      </c>
      <c r="R68" s="460">
        <v>23136</v>
      </c>
      <c r="S68" s="673">
        <v>0</v>
      </c>
      <c r="T68" s="460">
        <v>0</v>
      </c>
      <c r="U68" s="460">
        <v>0</v>
      </c>
      <c r="V68" s="460">
        <f t="shared" si="196"/>
        <v>23136</v>
      </c>
      <c r="W68" s="460">
        <v>0</v>
      </c>
      <c r="X68" s="460">
        <v>0</v>
      </c>
      <c r="Y68" s="460">
        <v>0</v>
      </c>
      <c r="Z68" s="460">
        <f t="shared" si="197"/>
        <v>0</v>
      </c>
      <c r="AA68" s="460">
        <f t="shared" si="198"/>
        <v>23136</v>
      </c>
      <c r="AB68" s="69">
        <f t="shared" si="199"/>
        <v>7820</v>
      </c>
      <c r="AC68" s="69">
        <f t="shared" si="200"/>
        <v>231</v>
      </c>
      <c r="AD68" s="460">
        <v>0</v>
      </c>
      <c r="AE68" s="460">
        <v>0</v>
      </c>
      <c r="AF68" s="460">
        <f t="shared" si="201"/>
        <v>0</v>
      </c>
      <c r="AG68" s="460">
        <f t="shared" si="202"/>
        <v>31187</v>
      </c>
      <c r="AH68" s="461">
        <v>0</v>
      </c>
      <c r="AI68" s="461">
        <v>0</v>
      </c>
      <c r="AJ68" s="461">
        <v>0.05</v>
      </c>
      <c r="AK68" s="461">
        <v>0</v>
      </c>
      <c r="AL68" s="674">
        <v>0</v>
      </c>
      <c r="AM68" s="461">
        <v>0</v>
      </c>
      <c r="AN68" s="461">
        <v>0</v>
      </c>
      <c r="AO68" s="461">
        <v>0</v>
      </c>
      <c r="AP68" s="461">
        <f t="shared" si="203"/>
        <v>0.05</v>
      </c>
      <c r="AQ68" s="461">
        <f t="shared" si="204"/>
        <v>0</v>
      </c>
      <c r="AR68" s="463">
        <f t="shared" si="205"/>
        <v>0.05</v>
      </c>
      <c r="AS68" s="469">
        <f t="shared" si="206"/>
        <v>31187</v>
      </c>
      <c r="AT68" s="460">
        <f t="shared" si="207"/>
        <v>23136</v>
      </c>
      <c r="AU68" s="460">
        <f t="shared" si="208"/>
        <v>0</v>
      </c>
      <c r="AV68" s="460">
        <f t="shared" si="209"/>
        <v>7820</v>
      </c>
      <c r="AW68" s="460">
        <f t="shared" si="209"/>
        <v>231</v>
      </c>
      <c r="AX68" s="460">
        <f t="shared" si="210"/>
        <v>0</v>
      </c>
      <c r="AY68" s="461">
        <f t="shared" si="211"/>
        <v>0.05</v>
      </c>
      <c r="AZ68" s="461">
        <f t="shared" si="212"/>
        <v>0.05</v>
      </c>
      <c r="BA68" s="463">
        <f t="shared" si="212"/>
        <v>0</v>
      </c>
    </row>
    <row r="69" spans="1:53" ht="12.95" customHeight="1" x14ac:dyDescent="0.25">
      <c r="A69" s="300">
        <v>11</v>
      </c>
      <c r="B69" s="300">
        <v>5430</v>
      </c>
      <c r="C69" s="349">
        <v>650026144</v>
      </c>
      <c r="D69" s="300">
        <v>70695148</v>
      </c>
      <c r="E69" s="302" t="s">
        <v>445</v>
      </c>
      <c r="F69" s="300">
        <v>3141</v>
      </c>
      <c r="G69" s="364" t="s">
        <v>311</v>
      </c>
      <c r="H69" s="303" t="s">
        <v>278</v>
      </c>
      <c r="I69" s="462">
        <f t="shared" si="191"/>
        <v>771941</v>
      </c>
      <c r="J69" s="457">
        <v>570419</v>
      </c>
      <c r="K69" s="457">
        <f t="shared" si="192"/>
        <v>192802</v>
      </c>
      <c r="L69" s="457">
        <f t="shared" si="193"/>
        <v>5704</v>
      </c>
      <c r="M69" s="457">
        <v>3016</v>
      </c>
      <c r="N69" s="458">
        <f t="shared" si="194"/>
        <v>1.83</v>
      </c>
      <c r="O69" s="459">
        <v>0</v>
      </c>
      <c r="P69" s="646">
        <v>1.83</v>
      </c>
      <c r="Q69" s="469">
        <f t="shared" si="195"/>
        <v>0</v>
      </c>
      <c r="R69" s="460">
        <v>0</v>
      </c>
      <c r="S69" s="673">
        <v>0</v>
      </c>
      <c r="T69" s="460">
        <v>0</v>
      </c>
      <c r="U69" s="460">
        <v>0</v>
      </c>
      <c r="V69" s="460">
        <f t="shared" si="196"/>
        <v>0</v>
      </c>
      <c r="W69" s="460">
        <v>0</v>
      </c>
      <c r="X69" s="460">
        <v>0</v>
      </c>
      <c r="Y69" s="460">
        <v>0</v>
      </c>
      <c r="Z69" s="460">
        <f t="shared" si="197"/>
        <v>0</v>
      </c>
      <c r="AA69" s="460">
        <f t="shared" si="198"/>
        <v>0</v>
      </c>
      <c r="AB69" s="69">
        <f t="shared" si="199"/>
        <v>0</v>
      </c>
      <c r="AC69" s="69">
        <f t="shared" si="200"/>
        <v>0</v>
      </c>
      <c r="AD69" s="460">
        <v>0</v>
      </c>
      <c r="AE69" s="460">
        <v>0</v>
      </c>
      <c r="AF69" s="460">
        <f t="shared" si="201"/>
        <v>0</v>
      </c>
      <c r="AG69" s="460">
        <f t="shared" si="202"/>
        <v>0</v>
      </c>
      <c r="AH69" s="461">
        <v>0</v>
      </c>
      <c r="AI69" s="461">
        <v>0</v>
      </c>
      <c r="AJ69" s="461">
        <v>0</v>
      </c>
      <c r="AK69" s="461">
        <v>0</v>
      </c>
      <c r="AL69" s="674">
        <v>0</v>
      </c>
      <c r="AM69" s="461">
        <v>0</v>
      </c>
      <c r="AN69" s="461">
        <v>0</v>
      </c>
      <c r="AO69" s="461">
        <v>0</v>
      </c>
      <c r="AP69" s="461">
        <f t="shared" si="203"/>
        <v>0</v>
      </c>
      <c r="AQ69" s="461">
        <f t="shared" si="204"/>
        <v>0</v>
      </c>
      <c r="AR69" s="463">
        <f t="shared" si="205"/>
        <v>0</v>
      </c>
      <c r="AS69" s="469">
        <f t="shared" si="206"/>
        <v>771941</v>
      </c>
      <c r="AT69" s="460">
        <f t="shared" si="207"/>
        <v>570419</v>
      </c>
      <c r="AU69" s="460">
        <f t="shared" si="208"/>
        <v>0</v>
      </c>
      <c r="AV69" s="460">
        <f t="shared" si="209"/>
        <v>192802</v>
      </c>
      <c r="AW69" s="460">
        <f t="shared" si="209"/>
        <v>5704</v>
      </c>
      <c r="AX69" s="460">
        <f t="shared" si="210"/>
        <v>3016</v>
      </c>
      <c r="AY69" s="461">
        <f t="shared" si="211"/>
        <v>1.83</v>
      </c>
      <c r="AZ69" s="461">
        <f t="shared" si="212"/>
        <v>0</v>
      </c>
      <c r="BA69" s="463">
        <f t="shared" si="212"/>
        <v>1.83</v>
      </c>
    </row>
    <row r="70" spans="1:53" ht="12.95" customHeight="1" x14ac:dyDescent="0.25">
      <c r="A70" s="300">
        <v>11</v>
      </c>
      <c r="B70" s="340">
        <v>5430</v>
      </c>
      <c r="C70" s="341">
        <v>650026144</v>
      </c>
      <c r="D70" s="300">
        <v>70695148</v>
      </c>
      <c r="E70" s="368" t="s">
        <v>445</v>
      </c>
      <c r="F70" s="340">
        <v>3143</v>
      </c>
      <c r="G70" s="303" t="s">
        <v>616</v>
      </c>
      <c r="H70" s="303" t="s">
        <v>277</v>
      </c>
      <c r="I70" s="462">
        <f t="shared" si="191"/>
        <v>605686</v>
      </c>
      <c r="J70" s="457">
        <v>449322</v>
      </c>
      <c r="K70" s="457">
        <f t="shared" si="192"/>
        <v>151871</v>
      </c>
      <c r="L70" s="457">
        <f t="shared" si="193"/>
        <v>4493</v>
      </c>
      <c r="M70" s="457">
        <v>0</v>
      </c>
      <c r="N70" s="458">
        <f t="shared" si="194"/>
        <v>0.88070000000000004</v>
      </c>
      <c r="O70" s="459">
        <v>0.88070000000000004</v>
      </c>
      <c r="P70" s="646">
        <v>0</v>
      </c>
      <c r="Q70" s="469">
        <f t="shared" si="195"/>
        <v>0</v>
      </c>
      <c r="R70" s="460">
        <v>0</v>
      </c>
      <c r="S70" s="673">
        <v>0</v>
      </c>
      <c r="T70" s="460">
        <v>0</v>
      </c>
      <c r="U70" s="460">
        <v>0</v>
      </c>
      <c r="V70" s="460">
        <f t="shared" si="196"/>
        <v>0</v>
      </c>
      <c r="W70" s="460">
        <v>0</v>
      </c>
      <c r="X70" s="460">
        <v>0</v>
      </c>
      <c r="Y70" s="460">
        <v>0</v>
      </c>
      <c r="Z70" s="460">
        <f t="shared" si="197"/>
        <v>0</v>
      </c>
      <c r="AA70" s="460">
        <f t="shared" si="198"/>
        <v>0</v>
      </c>
      <c r="AB70" s="69">
        <f t="shared" si="199"/>
        <v>0</v>
      </c>
      <c r="AC70" s="69">
        <f t="shared" si="200"/>
        <v>0</v>
      </c>
      <c r="AD70" s="460">
        <v>0</v>
      </c>
      <c r="AE70" s="460">
        <v>0</v>
      </c>
      <c r="AF70" s="460">
        <f t="shared" si="201"/>
        <v>0</v>
      </c>
      <c r="AG70" s="460">
        <f t="shared" si="202"/>
        <v>0</v>
      </c>
      <c r="AH70" s="461">
        <v>0</v>
      </c>
      <c r="AI70" s="461">
        <v>0</v>
      </c>
      <c r="AJ70" s="461">
        <v>0</v>
      </c>
      <c r="AK70" s="461">
        <v>0</v>
      </c>
      <c r="AL70" s="674">
        <v>0</v>
      </c>
      <c r="AM70" s="461">
        <v>0</v>
      </c>
      <c r="AN70" s="461">
        <v>0</v>
      </c>
      <c r="AO70" s="461">
        <v>0</v>
      </c>
      <c r="AP70" s="461">
        <f t="shared" si="203"/>
        <v>0</v>
      </c>
      <c r="AQ70" s="461">
        <f t="shared" si="204"/>
        <v>0</v>
      </c>
      <c r="AR70" s="463">
        <f t="shared" si="205"/>
        <v>0</v>
      </c>
      <c r="AS70" s="469">
        <f t="shared" si="206"/>
        <v>605686</v>
      </c>
      <c r="AT70" s="460">
        <f t="shared" si="207"/>
        <v>449322</v>
      </c>
      <c r="AU70" s="460">
        <f t="shared" si="208"/>
        <v>0</v>
      </c>
      <c r="AV70" s="460">
        <f t="shared" si="209"/>
        <v>151871</v>
      </c>
      <c r="AW70" s="460">
        <f t="shared" si="209"/>
        <v>4493</v>
      </c>
      <c r="AX70" s="460">
        <f t="shared" si="210"/>
        <v>0</v>
      </c>
      <c r="AY70" s="461">
        <f t="shared" si="211"/>
        <v>0.88070000000000004</v>
      </c>
      <c r="AZ70" s="461">
        <f t="shared" si="212"/>
        <v>0.88070000000000004</v>
      </c>
      <c r="BA70" s="463">
        <f t="shared" si="212"/>
        <v>0</v>
      </c>
    </row>
    <row r="71" spans="1:53" ht="12.95" customHeight="1" x14ac:dyDescent="0.25">
      <c r="A71" s="300">
        <v>11</v>
      </c>
      <c r="B71" s="340">
        <v>5430</v>
      </c>
      <c r="C71" s="341">
        <v>650026144</v>
      </c>
      <c r="D71" s="300">
        <v>70695148</v>
      </c>
      <c r="E71" s="368" t="s">
        <v>445</v>
      </c>
      <c r="F71" s="340">
        <v>3143</v>
      </c>
      <c r="G71" s="303" t="s">
        <v>617</v>
      </c>
      <c r="H71" s="303" t="s">
        <v>278</v>
      </c>
      <c r="I71" s="462">
        <f t="shared" si="191"/>
        <v>19058</v>
      </c>
      <c r="J71" s="457">
        <v>13617</v>
      </c>
      <c r="K71" s="457">
        <f t="shared" si="192"/>
        <v>4603</v>
      </c>
      <c r="L71" s="457">
        <f t="shared" si="193"/>
        <v>136</v>
      </c>
      <c r="M71" s="457">
        <v>702</v>
      </c>
      <c r="N71" s="458">
        <f t="shared" si="194"/>
        <v>0.05</v>
      </c>
      <c r="O71" s="459">
        <v>0</v>
      </c>
      <c r="P71" s="646">
        <v>0.05</v>
      </c>
      <c r="Q71" s="469">
        <f t="shared" si="195"/>
        <v>0</v>
      </c>
      <c r="R71" s="460">
        <v>0</v>
      </c>
      <c r="S71" s="673">
        <v>0</v>
      </c>
      <c r="T71" s="460">
        <v>0</v>
      </c>
      <c r="U71" s="460">
        <v>0</v>
      </c>
      <c r="V71" s="460">
        <f t="shared" si="196"/>
        <v>0</v>
      </c>
      <c r="W71" s="460">
        <v>0</v>
      </c>
      <c r="X71" s="460">
        <v>0</v>
      </c>
      <c r="Y71" s="460">
        <v>0</v>
      </c>
      <c r="Z71" s="460">
        <f t="shared" si="197"/>
        <v>0</v>
      </c>
      <c r="AA71" s="460">
        <f t="shared" si="198"/>
        <v>0</v>
      </c>
      <c r="AB71" s="69">
        <f t="shared" si="199"/>
        <v>0</v>
      </c>
      <c r="AC71" s="69">
        <f t="shared" si="200"/>
        <v>0</v>
      </c>
      <c r="AD71" s="460">
        <v>0</v>
      </c>
      <c r="AE71" s="460">
        <v>0</v>
      </c>
      <c r="AF71" s="460">
        <f t="shared" si="201"/>
        <v>0</v>
      </c>
      <c r="AG71" s="460">
        <f t="shared" si="202"/>
        <v>0</v>
      </c>
      <c r="AH71" s="461">
        <v>0</v>
      </c>
      <c r="AI71" s="461">
        <v>0</v>
      </c>
      <c r="AJ71" s="461">
        <v>0</v>
      </c>
      <c r="AK71" s="461">
        <v>0</v>
      </c>
      <c r="AL71" s="674">
        <v>0</v>
      </c>
      <c r="AM71" s="461">
        <v>0</v>
      </c>
      <c r="AN71" s="461">
        <v>0</v>
      </c>
      <c r="AO71" s="461">
        <v>0</v>
      </c>
      <c r="AP71" s="461">
        <f t="shared" si="203"/>
        <v>0</v>
      </c>
      <c r="AQ71" s="461">
        <f t="shared" si="204"/>
        <v>0</v>
      </c>
      <c r="AR71" s="463">
        <f t="shared" si="205"/>
        <v>0</v>
      </c>
      <c r="AS71" s="469">
        <f t="shared" si="206"/>
        <v>19058</v>
      </c>
      <c r="AT71" s="460">
        <f t="shared" si="207"/>
        <v>13617</v>
      </c>
      <c r="AU71" s="460">
        <f t="shared" si="208"/>
        <v>0</v>
      </c>
      <c r="AV71" s="460">
        <f t="shared" si="209"/>
        <v>4603</v>
      </c>
      <c r="AW71" s="460">
        <f t="shared" si="209"/>
        <v>136</v>
      </c>
      <c r="AX71" s="460">
        <f t="shared" si="210"/>
        <v>702</v>
      </c>
      <c r="AY71" s="461">
        <f t="shared" si="211"/>
        <v>0.05</v>
      </c>
      <c r="AZ71" s="461">
        <f t="shared" si="212"/>
        <v>0</v>
      </c>
      <c r="BA71" s="463">
        <f t="shared" si="212"/>
        <v>0.05</v>
      </c>
    </row>
    <row r="72" spans="1:53" ht="12.95" customHeight="1" x14ac:dyDescent="0.25">
      <c r="A72" s="310">
        <v>11</v>
      </c>
      <c r="B72" s="344">
        <v>5430</v>
      </c>
      <c r="C72" s="345">
        <v>650026144</v>
      </c>
      <c r="D72" s="344">
        <v>70695148</v>
      </c>
      <c r="E72" s="369" t="s">
        <v>446</v>
      </c>
      <c r="F72" s="344"/>
      <c r="G72" s="370"/>
      <c r="H72" s="371"/>
      <c r="I72" s="536">
        <f t="shared" ref="I72:BA72" si="213">SUM(I66:I71)</f>
        <v>7407840</v>
      </c>
      <c r="J72" s="532">
        <f t="shared" si="213"/>
        <v>5453929</v>
      </c>
      <c r="K72" s="532">
        <f t="shared" si="213"/>
        <v>1843429</v>
      </c>
      <c r="L72" s="532">
        <f t="shared" si="213"/>
        <v>54539</v>
      </c>
      <c r="M72" s="532">
        <f t="shared" si="213"/>
        <v>55943</v>
      </c>
      <c r="N72" s="533">
        <f t="shared" si="213"/>
        <v>11.7912</v>
      </c>
      <c r="O72" s="533">
        <f t="shared" si="213"/>
        <v>7.5548000000000002</v>
      </c>
      <c r="P72" s="298">
        <f t="shared" si="213"/>
        <v>4.2363999999999997</v>
      </c>
      <c r="Q72" s="538">
        <f t="shared" si="213"/>
        <v>-9360</v>
      </c>
      <c r="R72" s="532">
        <f t="shared" si="213"/>
        <v>23136</v>
      </c>
      <c r="S72" s="532">
        <f t="shared" si="213"/>
        <v>0</v>
      </c>
      <c r="T72" s="532">
        <f t="shared" si="213"/>
        <v>0</v>
      </c>
      <c r="U72" s="532">
        <f t="shared" si="213"/>
        <v>0</v>
      </c>
      <c r="V72" s="532">
        <f t="shared" si="213"/>
        <v>13776</v>
      </c>
      <c r="W72" s="532">
        <f t="shared" si="213"/>
        <v>9360</v>
      </c>
      <c r="X72" s="532">
        <f t="shared" si="213"/>
        <v>0</v>
      </c>
      <c r="Y72" s="532">
        <f t="shared" si="213"/>
        <v>0</v>
      </c>
      <c r="Z72" s="532">
        <f t="shared" si="213"/>
        <v>9360</v>
      </c>
      <c r="AA72" s="532">
        <f t="shared" si="213"/>
        <v>23136</v>
      </c>
      <c r="AB72" s="532">
        <f t="shared" si="213"/>
        <v>7820</v>
      </c>
      <c r="AC72" s="532">
        <f t="shared" si="213"/>
        <v>137</v>
      </c>
      <c r="AD72" s="532">
        <f t="shared" si="213"/>
        <v>0</v>
      </c>
      <c r="AE72" s="532">
        <f t="shared" si="213"/>
        <v>0</v>
      </c>
      <c r="AF72" s="532">
        <f t="shared" si="213"/>
        <v>0</v>
      </c>
      <c r="AG72" s="532">
        <f t="shared" si="213"/>
        <v>31093</v>
      </c>
      <c r="AH72" s="533">
        <f t="shared" si="213"/>
        <v>0</v>
      </c>
      <c r="AI72" s="533">
        <f t="shared" si="213"/>
        <v>0.03</v>
      </c>
      <c r="AJ72" s="533">
        <f>SUM(AJ66:AJ71)</f>
        <v>0.05</v>
      </c>
      <c r="AK72" s="533">
        <f t="shared" ref="AK72:AR72" si="214">SUM(AK66:AK71)</f>
        <v>0</v>
      </c>
      <c r="AL72" s="533">
        <f t="shared" si="214"/>
        <v>0</v>
      </c>
      <c r="AM72" s="533">
        <f t="shared" si="214"/>
        <v>0</v>
      </c>
      <c r="AN72" s="533">
        <f t="shared" si="214"/>
        <v>0</v>
      </c>
      <c r="AO72" s="533">
        <f t="shared" si="214"/>
        <v>0</v>
      </c>
      <c r="AP72" s="533">
        <f t="shared" si="214"/>
        <v>0.05</v>
      </c>
      <c r="AQ72" s="533">
        <f t="shared" si="214"/>
        <v>0.03</v>
      </c>
      <c r="AR72" s="298">
        <f t="shared" si="214"/>
        <v>0.08</v>
      </c>
      <c r="AS72" s="538">
        <f t="shared" si="213"/>
        <v>7438933</v>
      </c>
      <c r="AT72" s="532">
        <f t="shared" si="213"/>
        <v>5467705</v>
      </c>
      <c r="AU72" s="532">
        <f t="shared" si="213"/>
        <v>9360</v>
      </c>
      <c r="AV72" s="532">
        <f t="shared" si="213"/>
        <v>1851249</v>
      </c>
      <c r="AW72" s="532">
        <f t="shared" si="213"/>
        <v>54676</v>
      </c>
      <c r="AX72" s="532">
        <f t="shared" si="213"/>
        <v>55943</v>
      </c>
      <c r="AY72" s="533">
        <f t="shared" si="213"/>
        <v>11.871200000000002</v>
      </c>
      <c r="AZ72" s="533">
        <f t="shared" si="213"/>
        <v>7.6048</v>
      </c>
      <c r="BA72" s="298">
        <f t="shared" si="213"/>
        <v>4.2664</v>
      </c>
    </row>
    <row r="73" spans="1:53" ht="12.95" customHeight="1" x14ac:dyDescent="0.25">
      <c r="A73" s="300">
        <v>12</v>
      </c>
      <c r="B73" s="340">
        <v>5431</v>
      </c>
      <c r="C73" s="341">
        <v>600099016</v>
      </c>
      <c r="D73" s="300">
        <v>70698112</v>
      </c>
      <c r="E73" s="368" t="s">
        <v>447</v>
      </c>
      <c r="F73" s="340">
        <v>3111</v>
      </c>
      <c r="G73" s="364" t="s">
        <v>321</v>
      </c>
      <c r="H73" s="303" t="s">
        <v>277</v>
      </c>
      <c r="I73" s="462">
        <f t="shared" ref="I73:I78" si="215">SUM(J73:M73)</f>
        <v>1566155</v>
      </c>
      <c r="J73" s="457">
        <v>1155309</v>
      </c>
      <c r="K73" s="457">
        <f t="shared" ref="K73:K78" si="216">ROUND(J73*33.8%,0)</f>
        <v>390494</v>
      </c>
      <c r="L73" s="457">
        <f>ROUND(J73*1%,0)-1</f>
        <v>11552</v>
      </c>
      <c r="M73" s="457">
        <v>8800</v>
      </c>
      <c r="N73" s="458">
        <f t="shared" ref="N73:N78" si="217">O73+P73</f>
        <v>2.3355000000000001</v>
      </c>
      <c r="O73" s="459">
        <v>1.9355</v>
      </c>
      <c r="P73" s="646">
        <v>0.4</v>
      </c>
      <c r="Q73" s="469">
        <f t="shared" ref="Q73:Q78" si="218">W73*-1</f>
        <v>0</v>
      </c>
      <c r="R73" s="460">
        <v>0</v>
      </c>
      <c r="S73" s="673">
        <v>0</v>
      </c>
      <c r="T73" s="460">
        <v>0</v>
      </c>
      <c r="U73" s="460">
        <v>0</v>
      </c>
      <c r="V73" s="460">
        <f t="shared" ref="V73:V78" si="219">SUM(Q73:U73)</f>
        <v>0</v>
      </c>
      <c r="W73" s="460">
        <v>0</v>
      </c>
      <c r="X73" s="460">
        <v>0</v>
      </c>
      <c r="Y73" s="460">
        <v>0</v>
      </c>
      <c r="Z73" s="460">
        <f t="shared" ref="Z73:Z78" si="220">SUM(W73:Y73)</f>
        <v>0</v>
      </c>
      <c r="AA73" s="460">
        <f t="shared" ref="AA73:AA78" si="221">V73+Z73</f>
        <v>0</v>
      </c>
      <c r="AB73" s="69">
        <f t="shared" ref="AB73:AB78" si="222">ROUND((V73+W73+X73)*33.8%,0)</f>
        <v>0</v>
      </c>
      <c r="AC73" s="69">
        <f t="shared" ref="AC73:AC78" si="223">ROUND(V73*1%,0)</f>
        <v>0</v>
      </c>
      <c r="AD73" s="460">
        <v>0</v>
      </c>
      <c r="AE73" s="460">
        <v>0</v>
      </c>
      <c r="AF73" s="460">
        <f t="shared" ref="AF73:AF78" si="224">SUM(AD73:AE73)</f>
        <v>0</v>
      </c>
      <c r="AG73" s="460">
        <f t="shared" ref="AG73:AG78" si="225">AA73+AB73+AC73+AF73</f>
        <v>0</v>
      </c>
      <c r="AH73" s="461">
        <v>0</v>
      </c>
      <c r="AI73" s="461">
        <v>0</v>
      </c>
      <c r="AJ73" s="461">
        <v>0</v>
      </c>
      <c r="AK73" s="461">
        <v>0</v>
      </c>
      <c r="AL73" s="674">
        <v>0</v>
      </c>
      <c r="AM73" s="461">
        <v>0</v>
      </c>
      <c r="AN73" s="461">
        <v>0</v>
      </c>
      <c r="AO73" s="461">
        <v>0</v>
      </c>
      <c r="AP73" s="461">
        <f t="shared" ref="AP73:AP78" si="226">AH73+AJ73+AK73+AM73+AN73</f>
        <v>0</v>
      </c>
      <c r="AQ73" s="461">
        <f t="shared" ref="AQ73:AQ78" si="227">AI73+AL73+AO73</f>
        <v>0</v>
      </c>
      <c r="AR73" s="463">
        <f t="shared" ref="AR73:AR78" si="228">SUM(AP73:AQ73)</f>
        <v>0</v>
      </c>
      <c r="AS73" s="469">
        <f t="shared" ref="AS73:AS78" si="229">I73+AG73</f>
        <v>1566155</v>
      </c>
      <c r="AT73" s="460">
        <f t="shared" ref="AT73:AT78" si="230">J73+V73</f>
        <v>1155309</v>
      </c>
      <c r="AU73" s="460">
        <f t="shared" ref="AU73:AU78" si="231">Z73</f>
        <v>0</v>
      </c>
      <c r="AV73" s="460">
        <f t="shared" ref="AV73:AW78" si="232">K73+AB73</f>
        <v>390494</v>
      </c>
      <c r="AW73" s="460">
        <f t="shared" si="232"/>
        <v>11552</v>
      </c>
      <c r="AX73" s="460">
        <f t="shared" ref="AX73:AX78" si="233">M73+AF73</f>
        <v>8800</v>
      </c>
      <c r="AY73" s="461">
        <f t="shared" ref="AY73:AY78" si="234">N73+AR73</f>
        <v>2.3355000000000001</v>
      </c>
      <c r="AZ73" s="461">
        <f t="shared" ref="AZ73:BA78" si="235">O73+AP73</f>
        <v>1.9355</v>
      </c>
      <c r="BA73" s="463">
        <f t="shared" si="235"/>
        <v>0.4</v>
      </c>
    </row>
    <row r="74" spans="1:53" ht="12.95" customHeight="1" x14ac:dyDescent="0.25">
      <c r="A74" s="300">
        <v>12</v>
      </c>
      <c r="B74" s="340">
        <v>5431</v>
      </c>
      <c r="C74" s="341">
        <v>600099016</v>
      </c>
      <c r="D74" s="300">
        <v>70698112</v>
      </c>
      <c r="E74" s="368" t="s">
        <v>447</v>
      </c>
      <c r="F74" s="340">
        <v>3117</v>
      </c>
      <c r="G74" s="364" t="s">
        <v>325</v>
      </c>
      <c r="H74" s="303" t="s">
        <v>277</v>
      </c>
      <c r="I74" s="462">
        <f t="shared" si="215"/>
        <v>3278907</v>
      </c>
      <c r="J74" s="457">
        <v>2407256</v>
      </c>
      <c r="K74" s="457">
        <f t="shared" si="216"/>
        <v>813653</v>
      </c>
      <c r="L74" s="457">
        <f t="shared" ref="L74:L78" si="236">ROUND(J74*1%,0)</f>
        <v>24073</v>
      </c>
      <c r="M74" s="457">
        <v>33925</v>
      </c>
      <c r="N74" s="458">
        <f t="shared" si="217"/>
        <v>4.7138999999999998</v>
      </c>
      <c r="O74" s="459">
        <v>3.6818</v>
      </c>
      <c r="P74" s="646">
        <v>1.0321</v>
      </c>
      <c r="Q74" s="469">
        <f t="shared" si="218"/>
        <v>0</v>
      </c>
      <c r="R74" s="460">
        <v>0</v>
      </c>
      <c r="S74" s="673">
        <v>0</v>
      </c>
      <c r="T74" s="460">
        <v>0</v>
      </c>
      <c r="U74" s="460">
        <v>0</v>
      </c>
      <c r="V74" s="460">
        <f t="shared" si="219"/>
        <v>0</v>
      </c>
      <c r="W74" s="460">
        <v>0</v>
      </c>
      <c r="X74" s="460">
        <v>0</v>
      </c>
      <c r="Y74" s="460">
        <v>0</v>
      </c>
      <c r="Z74" s="460">
        <f t="shared" si="220"/>
        <v>0</v>
      </c>
      <c r="AA74" s="460">
        <f t="shared" si="221"/>
        <v>0</v>
      </c>
      <c r="AB74" s="69">
        <f t="shared" si="222"/>
        <v>0</v>
      </c>
      <c r="AC74" s="69">
        <f t="shared" si="223"/>
        <v>0</v>
      </c>
      <c r="AD74" s="460">
        <v>0</v>
      </c>
      <c r="AE74" s="460">
        <v>0</v>
      </c>
      <c r="AF74" s="460">
        <f t="shared" si="224"/>
        <v>0</v>
      </c>
      <c r="AG74" s="460">
        <f t="shared" si="225"/>
        <v>0</v>
      </c>
      <c r="AH74" s="461">
        <v>0</v>
      </c>
      <c r="AI74" s="461">
        <v>0</v>
      </c>
      <c r="AJ74" s="461">
        <v>0</v>
      </c>
      <c r="AK74" s="461">
        <v>0</v>
      </c>
      <c r="AL74" s="674">
        <v>0</v>
      </c>
      <c r="AM74" s="461">
        <v>0</v>
      </c>
      <c r="AN74" s="461">
        <v>0</v>
      </c>
      <c r="AO74" s="461">
        <v>0</v>
      </c>
      <c r="AP74" s="461">
        <f t="shared" si="226"/>
        <v>0</v>
      </c>
      <c r="AQ74" s="461">
        <f t="shared" si="227"/>
        <v>0</v>
      </c>
      <c r="AR74" s="463">
        <f t="shared" si="228"/>
        <v>0</v>
      </c>
      <c r="AS74" s="469">
        <f t="shared" si="229"/>
        <v>3278907</v>
      </c>
      <c r="AT74" s="460">
        <f t="shared" si="230"/>
        <v>2407256</v>
      </c>
      <c r="AU74" s="460">
        <f t="shared" si="231"/>
        <v>0</v>
      </c>
      <c r="AV74" s="460">
        <f t="shared" si="232"/>
        <v>813653</v>
      </c>
      <c r="AW74" s="460">
        <f t="shared" si="232"/>
        <v>24073</v>
      </c>
      <c r="AX74" s="460">
        <f t="shared" si="233"/>
        <v>33925</v>
      </c>
      <c r="AY74" s="461">
        <f t="shared" si="234"/>
        <v>4.7138999999999998</v>
      </c>
      <c r="AZ74" s="461">
        <f t="shared" si="235"/>
        <v>3.6818</v>
      </c>
      <c r="BA74" s="463">
        <f t="shared" si="235"/>
        <v>1.0321</v>
      </c>
    </row>
    <row r="75" spans="1:53" ht="12.95" customHeight="1" x14ac:dyDescent="0.25">
      <c r="A75" s="300">
        <v>12</v>
      </c>
      <c r="B75" s="340">
        <v>5431</v>
      </c>
      <c r="C75" s="341">
        <v>600099016</v>
      </c>
      <c r="D75" s="300">
        <v>70698112</v>
      </c>
      <c r="E75" s="368" t="s">
        <v>447</v>
      </c>
      <c r="F75" s="340">
        <v>3117</v>
      </c>
      <c r="G75" s="303" t="s">
        <v>308</v>
      </c>
      <c r="H75" s="303" t="s">
        <v>278</v>
      </c>
      <c r="I75" s="462">
        <f t="shared" si="215"/>
        <v>0</v>
      </c>
      <c r="J75" s="457">
        <v>0</v>
      </c>
      <c r="K75" s="457">
        <f t="shared" si="216"/>
        <v>0</v>
      </c>
      <c r="L75" s="457">
        <f t="shared" si="236"/>
        <v>0</v>
      </c>
      <c r="M75" s="457">
        <v>0</v>
      </c>
      <c r="N75" s="458">
        <f t="shared" si="217"/>
        <v>0</v>
      </c>
      <c r="O75" s="459">
        <v>0</v>
      </c>
      <c r="P75" s="646">
        <v>0</v>
      </c>
      <c r="Q75" s="469">
        <f t="shared" si="218"/>
        <v>0</v>
      </c>
      <c r="R75" s="460">
        <v>386857</v>
      </c>
      <c r="S75" s="673">
        <v>0</v>
      </c>
      <c r="T75" s="460">
        <v>0</v>
      </c>
      <c r="U75" s="460">
        <v>0</v>
      </c>
      <c r="V75" s="460">
        <f t="shared" si="219"/>
        <v>386857</v>
      </c>
      <c r="W75" s="460">
        <v>0</v>
      </c>
      <c r="X75" s="460">
        <v>0</v>
      </c>
      <c r="Y75" s="460">
        <v>0</v>
      </c>
      <c r="Z75" s="460">
        <f t="shared" si="220"/>
        <v>0</v>
      </c>
      <c r="AA75" s="460">
        <f t="shared" si="221"/>
        <v>386857</v>
      </c>
      <c r="AB75" s="69">
        <f t="shared" si="222"/>
        <v>130758</v>
      </c>
      <c r="AC75" s="69">
        <f t="shared" si="223"/>
        <v>3869</v>
      </c>
      <c r="AD75" s="460">
        <v>0</v>
      </c>
      <c r="AE75" s="460">
        <v>0</v>
      </c>
      <c r="AF75" s="460">
        <f t="shared" si="224"/>
        <v>0</v>
      </c>
      <c r="AG75" s="460">
        <f t="shared" si="225"/>
        <v>521484</v>
      </c>
      <c r="AH75" s="461">
        <v>0</v>
      </c>
      <c r="AI75" s="461">
        <v>0</v>
      </c>
      <c r="AJ75" s="461">
        <v>1.25</v>
      </c>
      <c r="AK75" s="461">
        <v>0</v>
      </c>
      <c r="AL75" s="674">
        <v>0</v>
      </c>
      <c r="AM75" s="461">
        <v>0</v>
      </c>
      <c r="AN75" s="461">
        <v>0</v>
      </c>
      <c r="AO75" s="461">
        <v>0</v>
      </c>
      <c r="AP75" s="461">
        <f t="shared" si="226"/>
        <v>1.25</v>
      </c>
      <c r="AQ75" s="461">
        <f t="shared" si="227"/>
        <v>0</v>
      </c>
      <c r="AR75" s="463">
        <f t="shared" si="228"/>
        <v>1.25</v>
      </c>
      <c r="AS75" s="469">
        <f t="shared" si="229"/>
        <v>521484</v>
      </c>
      <c r="AT75" s="460">
        <f t="shared" si="230"/>
        <v>386857</v>
      </c>
      <c r="AU75" s="460">
        <f t="shared" si="231"/>
        <v>0</v>
      </c>
      <c r="AV75" s="460">
        <f t="shared" si="232"/>
        <v>130758</v>
      </c>
      <c r="AW75" s="460">
        <f t="shared" si="232"/>
        <v>3869</v>
      </c>
      <c r="AX75" s="460">
        <f t="shared" si="233"/>
        <v>0</v>
      </c>
      <c r="AY75" s="461">
        <f t="shared" si="234"/>
        <v>1.25</v>
      </c>
      <c r="AZ75" s="461">
        <f t="shared" si="235"/>
        <v>1.25</v>
      </c>
      <c r="BA75" s="463">
        <f t="shared" si="235"/>
        <v>0</v>
      </c>
    </row>
    <row r="76" spans="1:53" ht="12.95" customHeight="1" x14ac:dyDescent="0.25">
      <c r="A76" s="300">
        <v>12</v>
      </c>
      <c r="B76" s="340">
        <v>5431</v>
      </c>
      <c r="C76" s="341">
        <v>600099016</v>
      </c>
      <c r="D76" s="300">
        <v>70698112</v>
      </c>
      <c r="E76" s="368" t="s">
        <v>447</v>
      </c>
      <c r="F76" s="340">
        <v>3141</v>
      </c>
      <c r="G76" s="364" t="s">
        <v>311</v>
      </c>
      <c r="H76" s="303" t="s">
        <v>278</v>
      </c>
      <c r="I76" s="462">
        <f t="shared" si="215"/>
        <v>656588</v>
      </c>
      <c r="J76" s="457">
        <v>485232</v>
      </c>
      <c r="K76" s="457">
        <f t="shared" si="216"/>
        <v>164008</v>
      </c>
      <c r="L76" s="457">
        <f t="shared" si="236"/>
        <v>4852</v>
      </c>
      <c r="M76" s="457">
        <v>2496</v>
      </c>
      <c r="N76" s="458">
        <f t="shared" si="217"/>
        <v>1.56</v>
      </c>
      <c r="O76" s="459">
        <v>0</v>
      </c>
      <c r="P76" s="646">
        <v>1.56</v>
      </c>
      <c r="Q76" s="469">
        <f t="shared" si="218"/>
        <v>0</v>
      </c>
      <c r="R76" s="460">
        <v>0</v>
      </c>
      <c r="S76" s="673">
        <v>0</v>
      </c>
      <c r="T76" s="460">
        <v>0</v>
      </c>
      <c r="U76" s="460">
        <v>0</v>
      </c>
      <c r="V76" s="460">
        <f t="shared" si="219"/>
        <v>0</v>
      </c>
      <c r="W76" s="460">
        <v>0</v>
      </c>
      <c r="X76" s="460">
        <v>0</v>
      </c>
      <c r="Y76" s="460">
        <v>0</v>
      </c>
      <c r="Z76" s="460">
        <f t="shared" si="220"/>
        <v>0</v>
      </c>
      <c r="AA76" s="460">
        <f t="shared" si="221"/>
        <v>0</v>
      </c>
      <c r="AB76" s="69">
        <f t="shared" si="222"/>
        <v>0</v>
      </c>
      <c r="AC76" s="69">
        <f t="shared" si="223"/>
        <v>0</v>
      </c>
      <c r="AD76" s="460">
        <v>0</v>
      </c>
      <c r="AE76" s="460">
        <v>0</v>
      </c>
      <c r="AF76" s="460">
        <f t="shared" si="224"/>
        <v>0</v>
      </c>
      <c r="AG76" s="460">
        <f t="shared" si="225"/>
        <v>0</v>
      </c>
      <c r="AH76" s="461">
        <v>0</v>
      </c>
      <c r="AI76" s="461">
        <v>0</v>
      </c>
      <c r="AJ76" s="461">
        <v>0</v>
      </c>
      <c r="AK76" s="461">
        <v>0</v>
      </c>
      <c r="AL76" s="674">
        <v>0</v>
      </c>
      <c r="AM76" s="461">
        <v>0</v>
      </c>
      <c r="AN76" s="461">
        <v>0</v>
      </c>
      <c r="AO76" s="461">
        <v>0</v>
      </c>
      <c r="AP76" s="461">
        <f t="shared" si="226"/>
        <v>0</v>
      </c>
      <c r="AQ76" s="461">
        <f t="shared" si="227"/>
        <v>0</v>
      </c>
      <c r="AR76" s="463">
        <f t="shared" si="228"/>
        <v>0</v>
      </c>
      <c r="AS76" s="469">
        <f t="shared" si="229"/>
        <v>656588</v>
      </c>
      <c r="AT76" s="460">
        <f t="shared" si="230"/>
        <v>485232</v>
      </c>
      <c r="AU76" s="460">
        <f t="shared" si="231"/>
        <v>0</v>
      </c>
      <c r="AV76" s="460">
        <f t="shared" si="232"/>
        <v>164008</v>
      </c>
      <c r="AW76" s="460">
        <f t="shared" si="232"/>
        <v>4852</v>
      </c>
      <c r="AX76" s="460">
        <f t="shared" si="233"/>
        <v>2496</v>
      </c>
      <c r="AY76" s="461">
        <f t="shared" si="234"/>
        <v>1.56</v>
      </c>
      <c r="AZ76" s="461">
        <f t="shared" si="235"/>
        <v>0</v>
      </c>
      <c r="BA76" s="463">
        <f t="shared" si="235"/>
        <v>1.56</v>
      </c>
    </row>
    <row r="77" spans="1:53" ht="12.95" customHeight="1" x14ac:dyDescent="0.25">
      <c r="A77" s="300">
        <v>12</v>
      </c>
      <c r="B77" s="340">
        <v>5431</v>
      </c>
      <c r="C77" s="341">
        <v>600099016</v>
      </c>
      <c r="D77" s="300">
        <v>70698112</v>
      </c>
      <c r="E77" s="368" t="s">
        <v>447</v>
      </c>
      <c r="F77" s="340">
        <v>3143</v>
      </c>
      <c r="G77" s="303" t="s">
        <v>616</v>
      </c>
      <c r="H77" s="303" t="s">
        <v>277</v>
      </c>
      <c r="I77" s="462">
        <f t="shared" si="215"/>
        <v>428635</v>
      </c>
      <c r="J77" s="457">
        <v>317978</v>
      </c>
      <c r="K77" s="457">
        <f t="shared" si="216"/>
        <v>107477</v>
      </c>
      <c r="L77" s="457">
        <f t="shared" si="236"/>
        <v>3180</v>
      </c>
      <c r="M77" s="457">
        <v>0</v>
      </c>
      <c r="N77" s="458">
        <f t="shared" si="217"/>
        <v>0.67849999999999999</v>
      </c>
      <c r="O77" s="459">
        <v>0.67849999999999999</v>
      </c>
      <c r="P77" s="646">
        <v>0</v>
      </c>
      <c r="Q77" s="469">
        <f t="shared" si="218"/>
        <v>0</v>
      </c>
      <c r="R77" s="460">
        <v>0</v>
      </c>
      <c r="S77" s="673">
        <v>0</v>
      </c>
      <c r="T77" s="460">
        <v>0</v>
      </c>
      <c r="U77" s="460">
        <v>0</v>
      </c>
      <c r="V77" s="460">
        <f t="shared" si="219"/>
        <v>0</v>
      </c>
      <c r="W77" s="460">
        <v>0</v>
      </c>
      <c r="X77" s="460">
        <v>0</v>
      </c>
      <c r="Y77" s="460">
        <v>60000</v>
      </c>
      <c r="Z77" s="460">
        <f t="shared" si="220"/>
        <v>60000</v>
      </c>
      <c r="AA77" s="460">
        <f t="shared" si="221"/>
        <v>60000</v>
      </c>
      <c r="AB77" s="69">
        <f t="shared" si="222"/>
        <v>0</v>
      </c>
      <c r="AC77" s="69">
        <f t="shared" si="223"/>
        <v>0</v>
      </c>
      <c r="AD77" s="460">
        <v>0</v>
      </c>
      <c r="AE77" s="460">
        <v>0</v>
      </c>
      <c r="AF77" s="460">
        <f t="shared" si="224"/>
        <v>0</v>
      </c>
      <c r="AG77" s="460">
        <f t="shared" si="225"/>
        <v>60000</v>
      </c>
      <c r="AH77" s="461">
        <v>0</v>
      </c>
      <c r="AI77" s="461">
        <v>0</v>
      </c>
      <c r="AJ77" s="461">
        <v>0</v>
      </c>
      <c r="AK77" s="461">
        <v>0</v>
      </c>
      <c r="AL77" s="674">
        <v>0</v>
      </c>
      <c r="AM77" s="461">
        <v>0</v>
      </c>
      <c r="AN77" s="461">
        <v>0</v>
      </c>
      <c r="AO77" s="461">
        <v>0</v>
      </c>
      <c r="AP77" s="461">
        <f t="shared" si="226"/>
        <v>0</v>
      </c>
      <c r="AQ77" s="461">
        <f t="shared" si="227"/>
        <v>0</v>
      </c>
      <c r="AR77" s="463">
        <f t="shared" si="228"/>
        <v>0</v>
      </c>
      <c r="AS77" s="469">
        <f t="shared" si="229"/>
        <v>488635</v>
      </c>
      <c r="AT77" s="460">
        <f t="shared" si="230"/>
        <v>317978</v>
      </c>
      <c r="AU77" s="460">
        <f t="shared" si="231"/>
        <v>60000</v>
      </c>
      <c r="AV77" s="460">
        <f t="shared" si="232"/>
        <v>107477</v>
      </c>
      <c r="AW77" s="460">
        <f t="shared" si="232"/>
        <v>3180</v>
      </c>
      <c r="AX77" s="460">
        <f t="shared" si="233"/>
        <v>0</v>
      </c>
      <c r="AY77" s="461">
        <f t="shared" si="234"/>
        <v>0.67849999999999999</v>
      </c>
      <c r="AZ77" s="461">
        <f t="shared" si="235"/>
        <v>0.67849999999999999</v>
      </c>
      <c r="BA77" s="463">
        <f t="shared" si="235"/>
        <v>0</v>
      </c>
    </row>
    <row r="78" spans="1:53" ht="12.95" customHeight="1" x14ac:dyDescent="0.25">
      <c r="A78" s="300">
        <v>12</v>
      </c>
      <c r="B78" s="340">
        <v>5431</v>
      </c>
      <c r="C78" s="341">
        <v>600099016</v>
      </c>
      <c r="D78" s="300">
        <v>70698112</v>
      </c>
      <c r="E78" s="368" t="s">
        <v>447</v>
      </c>
      <c r="F78" s="340">
        <v>3143</v>
      </c>
      <c r="G78" s="303" t="s">
        <v>617</v>
      </c>
      <c r="H78" s="303" t="s">
        <v>278</v>
      </c>
      <c r="I78" s="462">
        <f t="shared" si="215"/>
        <v>14661</v>
      </c>
      <c r="J78" s="457">
        <v>10475</v>
      </c>
      <c r="K78" s="457">
        <f t="shared" si="216"/>
        <v>3541</v>
      </c>
      <c r="L78" s="457">
        <f t="shared" si="236"/>
        <v>105</v>
      </c>
      <c r="M78" s="457">
        <v>540</v>
      </c>
      <c r="N78" s="458">
        <f t="shared" si="217"/>
        <v>0.04</v>
      </c>
      <c r="O78" s="459">
        <v>0</v>
      </c>
      <c r="P78" s="646">
        <v>0.04</v>
      </c>
      <c r="Q78" s="469">
        <f t="shared" si="218"/>
        <v>0</v>
      </c>
      <c r="R78" s="460">
        <v>0</v>
      </c>
      <c r="S78" s="673">
        <v>0</v>
      </c>
      <c r="T78" s="460">
        <v>0</v>
      </c>
      <c r="U78" s="460">
        <v>0</v>
      </c>
      <c r="V78" s="460">
        <f t="shared" si="219"/>
        <v>0</v>
      </c>
      <c r="W78" s="460">
        <v>0</v>
      </c>
      <c r="X78" s="460">
        <v>0</v>
      </c>
      <c r="Y78" s="460">
        <v>0</v>
      </c>
      <c r="Z78" s="460">
        <f t="shared" si="220"/>
        <v>0</v>
      </c>
      <c r="AA78" s="460">
        <f t="shared" si="221"/>
        <v>0</v>
      </c>
      <c r="AB78" s="69">
        <f t="shared" si="222"/>
        <v>0</v>
      </c>
      <c r="AC78" s="69">
        <f t="shared" si="223"/>
        <v>0</v>
      </c>
      <c r="AD78" s="460">
        <v>0</v>
      </c>
      <c r="AE78" s="460">
        <v>0</v>
      </c>
      <c r="AF78" s="460">
        <f t="shared" si="224"/>
        <v>0</v>
      </c>
      <c r="AG78" s="460">
        <f t="shared" si="225"/>
        <v>0</v>
      </c>
      <c r="AH78" s="461">
        <v>0</v>
      </c>
      <c r="AI78" s="461">
        <v>0</v>
      </c>
      <c r="AJ78" s="461">
        <v>0</v>
      </c>
      <c r="AK78" s="461">
        <v>0</v>
      </c>
      <c r="AL78" s="674">
        <v>0</v>
      </c>
      <c r="AM78" s="461">
        <v>0</v>
      </c>
      <c r="AN78" s="461">
        <v>0</v>
      </c>
      <c r="AO78" s="461">
        <v>0</v>
      </c>
      <c r="AP78" s="461">
        <f t="shared" si="226"/>
        <v>0</v>
      </c>
      <c r="AQ78" s="461">
        <f t="shared" si="227"/>
        <v>0</v>
      </c>
      <c r="AR78" s="463">
        <f t="shared" si="228"/>
        <v>0</v>
      </c>
      <c r="AS78" s="469">
        <f t="shared" si="229"/>
        <v>14661</v>
      </c>
      <c r="AT78" s="460">
        <f t="shared" si="230"/>
        <v>10475</v>
      </c>
      <c r="AU78" s="460">
        <f t="shared" si="231"/>
        <v>0</v>
      </c>
      <c r="AV78" s="460">
        <f t="shared" si="232"/>
        <v>3541</v>
      </c>
      <c r="AW78" s="460">
        <f t="shared" si="232"/>
        <v>105</v>
      </c>
      <c r="AX78" s="460">
        <f t="shared" si="233"/>
        <v>540</v>
      </c>
      <c r="AY78" s="461">
        <f t="shared" si="234"/>
        <v>0.04</v>
      </c>
      <c r="AZ78" s="461">
        <f t="shared" si="235"/>
        <v>0</v>
      </c>
      <c r="BA78" s="463">
        <f t="shared" si="235"/>
        <v>0.04</v>
      </c>
    </row>
    <row r="79" spans="1:53" ht="12.95" customHeight="1" x14ac:dyDescent="0.25">
      <c r="A79" s="310">
        <v>12</v>
      </c>
      <c r="B79" s="344">
        <v>5431</v>
      </c>
      <c r="C79" s="345">
        <v>600099016</v>
      </c>
      <c r="D79" s="344">
        <v>70698112</v>
      </c>
      <c r="E79" s="369" t="s">
        <v>448</v>
      </c>
      <c r="F79" s="373"/>
      <c r="G79" s="374"/>
      <c r="H79" s="375"/>
      <c r="I79" s="560">
        <f t="shared" ref="I79:P79" si="237">SUM(I73:I78)</f>
        <v>5944946</v>
      </c>
      <c r="J79" s="558">
        <f t="shared" si="237"/>
        <v>4376250</v>
      </c>
      <c r="K79" s="558">
        <f t="shared" si="237"/>
        <v>1479173</v>
      </c>
      <c r="L79" s="558">
        <f t="shared" si="237"/>
        <v>43762</v>
      </c>
      <c r="M79" s="558">
        <f t="shared" si="237"/>
        <v>45761</v>
      </c>
      <c r="N79" s="559">
        <f t="shared" si="237"/>
        <v>9.3278999999999996</v>
      </c>
      <c r="O79" s="559">
        <f t="shared" si="237"/>
        <v>6.2957999999999998</v>
      </c>
      <c r="P79" s="372">
        <f t="shared" si="237"/>
        <v>3.0321000000000002</v>
      </c>
      <c r="Q79" s="561">
        <f t="shared" ref="Q79:BA79" si="238">SUM(Q73:Q78)</f>
        <v>0</v>
      </c>
      <c r="R79" s="558">
        <f t="shared" si="238"/>
        <v>386857</v>
      </c>
      <c r="S79" s="558">
        <f t="shared" si="238"/>
        <v>0</v>
      </c>
      <c r="T79" s="558">
        <f t="shared" si="238"/>
        <v>0</v>
      </c>
      <c r="U79" s="558">
        <f t="shared" si="238"/>
        <v>0</v>
      </c>
      <c r="V79" s="558">
        <f t="shared" si="238"/>
        <v>386857</v>
      </c>
      <c r="W79" s="558">
        <f t="shared" si="238"/>
        <v>0</v>
      </c>
      <c r="X79" s="558">
        <f t="shared" si="238"/>
        <v>0</v>
      </c>
      <c r="Y79" s="558">
        <f t="shared" si="238"/>
        <v>60000</v>
      </c>
      <c r="Z79" s="558">
        <f t="shared" si="238"/>
        <v>60000</v>
      </c>
      <c r="AA79" s="558">
        <f t="shared" si="238"/>
        <v>446857</v>
      </c>
      <c r="AB79" s="558">
        <f t="shared" si="238"/>
        <v>130758</v>
      </c>
      <c r="AC79" s="558">
        <f t="shared" si="238"/>
        <v>3869</v>
      </c>
      <c r="AD79" s="558">
        <f t="shared" si="238"/>
        <v>0</v>
      </c>
      <c r="AE79" s="558">
        <f t="shared" si="238"/>
        <v>0</v>
      </c>
      <c r="AF79" s="558">
        <f t="shared" si="238"/>
        <v>0</v>
      </c>
      <c r="AG79" s="558">
        <f t="shared" si="238"/>
        <v>581484</v>
      </c>
      <c r="AH79" s="559">
        <f t="shared" si="238"/>
        <v>0</v>
      </c>
      <c r="AI79" s="559">
        <f t="shared" si="238"/>
        <v>0</v>
      </c>
      <c r="AJ79" s="559">
        <f t="shared" si="238"/>
        <v>1.25</v>
      </c>
      <c r="AK79" s="559">
        <f t="shared" si="238"/>
        <v>0</v>
      </c>
      <c r="AL79" s="559">
        <f t="shared" si="238"/>
        <v>0</v>
      </c>
      <c r="AM79" s="559">
        <f t="shared" si="238"/>
        <v>0</v>
      </c>
      <c r="AN79" s="559">
        <f t="shared" si="238"/>
        <v>0</v>
      </c>
      <c r="AO79" s="559">
        <f t="shared" si="238"/>
        <v>0</v>
      </c>
      <c r="AP79" s="559">
        <f t="shared" si="238"/>
        <v>1.25</v>
      </c>
      <c r="AQ79" s="559">
        <f t="shared" si="238"/>
        <v>0</v>
      </c>
      <c r="AR79" s="372">
        <f t="shared" si="238"/>
        <v>1.25</v>
      </c>
      <c r="AS79" s="561">
        <f t="shared" si="238"/>
        <v>6526430</v>
      </c>
      <c r="AT79" s="558">
        <f t="shared" si="238"/>
        <v>4763107</v>
      </c>
      <c r="AU79" s="558">
        <f t="shared" si="238"/>
        <v>60000</v>
      </c>
      <c r="AV79" s="558">
        <f t="shared" si="238"/>
        <v>1609931</v>
      </c>
      <c r="AW79" s="558">
        <f t="shared" si="238"/>
        <v>47631</v>
      </c>
      <c r="AX79" s="558">
        <f t="shared" si="238"/>
        <v>45761</v>
      </c>
      <c r="AY79" s="559">
        <f t="shared" si="238"/>
        <v>10.5779</v>
      </c>
      <c r="AZ79" s="559">
        <f t="shared" si="238"/>
        <v>7.5457999999999998</v>
      </c>
      <c r="BA79" s="372">
        <f t="shared" si="238"/>
        <v>3.0321000000000002</v>
      </c>
    </row>
    <row r="80" spans="1:53" ht="12.95" customHeight="1" x14ac:dyDescent="0.25">
      <c r="A80" s="300">
        <v>13</v>
      </c>
      <c r="B80" s="340">
        <v>5487</v>
      </c>
      <c r="C80" s="341">
        <v>600098796</v>
      </c>
      <c r="D80" s="300">
        <v>71006753</v>
      </c>
      <c r="E80" s="368" t="s">
        <v>449</v>
      </c>
      <c r="F80" s="340">
        <v>3111</v>
      </c>
      <c r="G80" s="364" t="s">
        <v>321</v>
      </c>
      <c r="H80" s="303" t="s">
        <v>277</v>
      </c>
      <c r="I80" s="462">
        <f t="shared" ref="I80:I82" si="239">SUM(J80:M80)</f>
        <v>1336306</v>
      </c>
      <c r="J80" s="457">
        <v>987764</v>
      </c>
      <c r="K80" s="457">
        <f t="shared" ref="K80:K82" si="240">ROUND(J80*33.8%,0)</f>
        <v>333864</v>
      </c>
      <c r="L80" s="457">
        <f t="shared" ref="L80:L82" si="241">ROUND(J80*1%,0)</f>
        <v>9878</v>
      </c>
      <c r="M80" s="457">
        <v>4800</v>
      </c>
      <c r="N80" s="458">
        <f t="shared" ref="N80:N82" si="242">O80+P80</f>
        <v>2.3387000000000002</v>
      </c>
      <c r="O80" s="459">
        <v>1.8064</v>
      </c>
      <c r="P80" s="646">
        <v>0.5323</v>
      </c>
      <c r="Q80" s="469">
        <f t="shared" ref="Q80:Q82" si="243">W80*-1</f>
        <v>-32500</v>
      </c>
      <c r="R80" s="460">
        <v>0</v>
      </c>
      <c r="S80" s="673">
        <v>0</v>
      </c>
      <c r="T80" s="460">
        <v>0</v>
      </c>
      <c r="U80" s="460">
        <v>0</v>
      </c>
      <c r="V80" s="460">
        <f>SUM(Q80:U80)</f>
        <v>-32500</v>
      </c>
      <c r="W80" s="460">
        <v>32500</v>
      </c>
      <c r="X80" s="460">
        <v>0</v>
      </c>
      <c r="Y80" s="460">
        <v>0</v>
      </c>
      <c r="Z80" s="460">
        <f t="shared" ref="Z80:Z82" si="244">SUM(W80:Y80)</f>
        <v>32500</v>
      </c>
      <c r="AA80" s="460">
        <f t="shared" ref="AA80:AA82" si="245">V80+Z80</f>
        <v>0</v>
      </c>
      <c r="AB80" s="69">
        <f t="shared" ref="AB80:AB82" si="246">ROUND((V80+W80+X80)*33.8%,0)</f>
        <v>0</v>
      </c>
      <c r="AC80" s="69">
        <f t="shared" ref="AC80:AC82" si="247">ROUND(V80*1%,0)</f>
        <v>-325</v>
      </c>
      <c r="AD80" s="460">
        <v>0</v>
      </c>
      <c r="AE80" s="460">
        <v>0</v>
      </c>
      <c r="AF80" s="460">
        <f t="shared" ref="AF80:AF82" si="248">SUM(AD80:AE80)</f>
        <v>0</v>
      </c>
      <c r="AG80" s="460">
        <f t="shared" ref="AG80:AG82" si="249">AA80+AB80+AC80+AF80</f>
        <v>-325</v>
      </c>
      <c r="AH80" s="461">
        <v>0</v>
      </c>
      <c r="AI80" s="461">
        <v>-0.12</v>
      </c>
      <c r="AJ80" s="461">
        <v>0</v>
      </c>
      <c r="AK80" s="461">
        <v>0</v>
      </c>
      <c r="AL80" s="674">
        <v>0</v>
      </c>
      <c r="AM80" s="461">
        <v>0</v>
      </c>
      <c r="AN80" s="461">
        <v>0</v>
      </c>
      <c r="AO80" s="461">
        <v>0</v>
      </c>
      <c r="AP80" s="461">
        <f>AH80+AJ80+AK80+AM80+AN80</f>
        <v>0</v>
      </c>
      <c r="AQ80" s="461">
        <f>AI80+AL80+AO80</f>
        <v>-0.12</v>
      </c>
      <c r="AR80" s="463">
        <f t="shared" ref="AR80:AR82" si="250">SUM(AP80:AQ80)</f>
        <v>-0.12</v>
      </c>
      <c r="AS80" s="469">
        <f>I80+AG80</f>
        <v>1335981</v>
      </c>
      <c r="AT80" s="460">
        <f>J80+V80</f>
        <v>955264</v>
      </c>
      <c r="AU80" s="460">
        <f t="shared" ref="AU80:AU82" si="251">Z80</f>
        <v>32500</v>
      </c>
      <c r="AV80" s="460">
        <f t="shared" ref="AV80:AW82" si="252">K80+AB80</f>
        <v>333864</v>
      </c>
      <c r="AW80" s="460">
        <f t="shared" si="252"/>
        <v>9553</v>
      </c>
      <c r="AX80" s="460">
        <f>M80+AF80</f>
        <v>4800</v>
      </c>
      <c r="AY80" s="461">
        <f>N80+AR80</f>
        <v>2.2187000000000001</v>
      </c>
      <c r="AZ80" s="461">
        <f t="shared" ref="AZ80:BA82" si="253">O80+AP80</f>
        <v>1.8064</v>
      </c>
      <c r="BA80" s="463">
        <f t="shared" si="253"/>
        <v>0.4123</v>
      </c>
    </row>
    <row r="81" spans="1:53" ht="12.95" customHeight="1" x14ac:dyDescent="0.25">
      <c r="A81" s="300">
        <v>13</v>
      </c>
      <c r="B81" s="340">
        <v>5487</v>
      </c>
      <c r="C81" s="341">
        <v>600098796</v>
      </c>
      <c r="D81" s="300">
        <v>71006753</v>
      </c>
      <c r="E81" s="368" t="s">
        <v>449</v>
      </c>
      <c r="F81" s="340">
        <v>3111</v>
      </c>
      <c r="G81" s="303" t="s">
        <v>308</v>
      </c>
      <c r="H81" s="303" t="s">
        <v>278</v>
      </c>
      <c r="I81" s="462">
        <f t="shared" si="239"/>
        <v>0</v>
      </c>
      <c r="J81" s="457">
        <v>0</v>
      </c>
      <c r="K81" s="457">
        <f t="shared" si="240"/>
        <v>0</v>
      </c>
      <c r="L81" s="457">
        <f t="shared" si="241"/>
        <v>0</v>
      </c>
      <c r="M81" s="457">
        <v>0</v>
      </c>
      <c r="N81" s="458">
        <f t="shared" si="242"/>
        <v>0</v>
      </c>
      <c r="O81" s="459">
        <v>0</v>
      </c>
      <c r="P81" s="646">
        <v>0</v>
      </c>
      <c r="Q81" s="469">
        <f t="shared" si="243"/>
        <v>0</v>
      </c>
      <c r="R81" s="460">
        <v>173223</v>
      </c>
      <c r="S81" s="673">
        <v>0</v>
      </c>
      <c r="T81" s="460">
        <v>0</v>
      </c>
      <c r="U81" s="460">
        <v>0</v>
      </c>
      <c r="V81" s="460">
        <f>SUM(Q81:U81)</f>
        <v>173223</v>
      </c>
      <c r="W81" s="460">
        <v>0</v>
      </c>
      <c r="X81" s="460">
        <v>0</v>
      </c>
      <c r="Y81" s="460">
        <v>0</v>
      </c>
      <c r="Z81" s="460">
        <f t="shared" si="244"/>
        <v>0</v>
      </c>
      <c r="AA81" s="460">
        <f t="shared" si="245"/>
        <v>173223</v>
      </c>
      <c r="AB81" s="69">
        <f t="shared" si="246"/>
        <v>58549</v>
      </c>
      <c r="AC81" s="69">
        <f t="shared" si="247"/>
        <v>1732</v>
      </c>
      <c r="AD81" s="460">
        <v>0</v>
      </c>
      <c r="AE81" s="460">
        <v>0</v>
      </c>
      <c r="AF81" s="460">
        <f t="shared" si="248"/>
        <v>0</v>
      </c>
      <c r="AG81" s="460">
        <f t="shared" si="249"/>
        <v>233504</v>
      </c>
      <c r="AH81" s="461">
        <v>0</v>
      </c>
      <c r="AI81" s="461">
        <v>0</v>
      </c>
      <c r="AJ81" s="461">
        <v>0.5</v>
      </c>
      <c r="AK81" s="461">
        <v>0</v>
      </c>
      <c r="AL81" s="674">
        <v>0</v>
      </c>
      <c r="AM81" s="461">
        <v>0</v>
      </c>
      <c r="AN81" s="461">
        <v>0</v>
      </c>
      <c r="AO81" s="461">
        <v>0</v>
      </c>
      <c r="AP81" s="461">
        <f>AH81+AJ81+AK81+AM81+AN81</f>
        <v>0.5</v>
      </c>
      <c r="AQ81" s="461">
        <f>AI81+AL81+AO81</f>
        <v>0</v>
      </c>
      <c r="AR81" s="463">
        <f t="shared" si="250"/>
        <v>0.5</v>
      </c>
      <c r="AS81" s="469">
        <f>I81+AG81</f>
        <v>233504</v>
      </c>
      <c r="AT81" s="460">
        <f>J81+V81</f>
        <v>173223</v>
      </c>
      <c r="AU81" s="460">
        <f t="shared" si="251"/>
        <v>0</v>
      </c>
      <c r="AV81" s="460">
        <f t="shared" si="252"/>
        <v>58549</v>
      </c>
      <c r="AW81" s="460">
        <f t="shared" si="252"/>
        <v>1732</v>
      </c>
      <c r="AX81" s="460">
        <f>M81+AF81</f>
        <v>0</v>
      </c>
      <c r="AY81" s="461">
        <f>N81+AR81</f>
        <v>0.5</v>
      </c>
      <c r="AZ81" s="461">
        <f t="shared" si="253"/>
        <v>0.5</v>
      </c>
      <c r="BA81" s="463">
        <f t="shared" si="253"/>
        <v>0</v>
      </c>
    </row>
    <row r="82" spans="1:53" ht="12.95" customHeight="1" x14ac:dyDescent="0.25">
      <c r="A82" s="300">
        <v>13</v>
      </c>
      <c r="B82" s="340">
        <v>5487</v>
      </c>
      <c r="C82" s="341">
        <v>600098796</v>
      </c>
      <c r="D82" s="300">
        <v>71006753</v>
      </c>
      <c r="E82" s="368" t="s">
        <v>449</v>
      </c>
      <c r="F82" s="340">
        <v>3141</v>
      </c>
      <c r="G82" s="364" t="s">
        <v>311</v>
      </c>
      <c r="H82" s="303" t="s">
        <v>278</v>
      </c>
      <c r="I82" s="462">
        <f t="shared" si="239"/>
        <v>212905</v>
      </c>
      <c r="J82" s="457">
        <v>157478</v>
      </c>
      <c r="K82" s="457">
        <f t="shared" si="240"/>
        <v>53228</v>
      </c>
      <c r="L82" s="457">
        <f t="shared" si="241"/>
        <v>1575</v>
      </c>
      <c r="M82" s="457">
        <v>624</v>
      </c>
      <c r="N82" s="458">
        <f t="shared" si="242"/>
        <v>0.51</v>
      </c>
      <c r="O82" s="459">
        <v>0</v>
      </c>
      <c r="P82" s="646">
        <v>0.51</v>
      </c>
      <c r="Q82" s="469">
        <f t="shared" si="243"/>
        <v>0</v>
      </c>
      <c r="R82" s="460">
        <v>0</v>
      </c>
      <c r="S82" s="673">
        <v>0</v>
      </c>
      <c r="T82" s="460">
        <v>0</v>
      </c>
      <c r="U82" s="460">
        <v>0</v>
      </c>
      <c r="V82" s="460">
        <f>SUM(Q82:U82)</f>
        <v>0</v>
      </c>
      <c r="W82" s="460">
        <v>0</v>
      </c>
      <c r="X82" s="460">
        <v>0</v>
      </c>
      <c r="Y82" s="460">
        <v>0</v>
      </c>
      <c r="Z82" s="460">
        <f t="shared" si="244"/>
        <v>0</v>
      </c>
      <c r="AA82" s="460">
        <f t="shared" si="245"/>
        <v>0</v>
      </c>
      <c r="AB82" s="69">
        <f t="shared" si="246"/>
        <v>0</v>
      </c>
      <c r="AC82" s="69">
        <f t="shared" si="247"/>
        <v>0</v>
      </c>
      <c r="AD82" s="460">
        <v>0</v>
      </c>
      <c r="AE82" s="460">
        <v>0</v>
      </c>
      <c r="AF82" s="460">
        <f t="shared" si="248"/>
        <v>0</v>
      </c>
      <c r="AG82" s="460">
        <f t="shared" si="249"/>
        <v>0</v>
      </c>
      <c r="AH82" s="461">
        <v>0</v>
      </c>
      <c r="AI82" s="461">
        <v>0</v>
      </c>
      <c r="AJ82" s="461">
        <v>0</v>
      </c>
      <c r="AK82" s="461">
        <v>0</v>
      </c>
      <c r="AL82" s="674">
        <v>0</v>
      </c>
      <c r="AM82" s="461">
        <v>0</v>
      </c>
      <c r="AN82" s="461">
        <v>0</v>
      </c>
      <c r="AO82" s="461">
        <v>0</v>
      </c>
      <c r="AP82" s="461">
        <f>AH82+AJ82+AK82+AM82+AN82</f>
        <v>0</v>
      </c>
      <c r="AQ82" s="461">
        <f>AI82+AL82+AO82</f>
        <v>0</v>
      </c>
      <c r="AR82" s="463">
        <f t="shared" si="250"/>
        <v>0</v>
      </c>
      <c r="AS82" s="469">
        <f>I82+AG82</f>
        <v>212905</v>
      </c>
      <c r="AT82" s="460">
        <f>J82+V82</f>
        <v>157478</v>
      </c>
      <c r="AU82" s="460">
        <f t="shared" si="251"/>
        <v>0</v>
      </c>
      <c r="AV82" s="460">
        <f t="shared" si="252"/>
        <v>53228</v>
      </c>
      <c r="AW82" s="460">
        <f t="shared" si="252"/>
        <v>1575</v>
      </c>
      <c r="AX82" s="460">
        <f>M82+AF82</f>
        <v>624</v>
      </c>
      <c r="AY82" s="461">
        <f>N82+AR82</f>
        <v>0.51</v>
      </c>
      <c r="AZ82" s="461">
        <f t="shared" si="253"/>
        <v>0</v>
      </c>
      <c r="BA82" s="463">
        <f t="shared" si="253"/>
        <v>0.51</v>
      </c>
    </row>
    <row r="83" spans="1:53" ht="12.95" customHeight="1" x14ac:dyDescent="0.25">
      <c r="A83" s="310">
        <v>13</v>
      </c>
      <c r="B83" s="344">
        <v>5487</v>
      </c>
      <c r="C83" s="345">
        <v>600098796</v>
      </c>
      <c r="D83" s="344">
        <v>71006753</v>
      </c>
      <c r="E83" s="369" t="s">
        <v>450</v>
      </c>
      <c r="F83" s="344"/>
      <c r="G83" s="370"/>
      <c r="H83" s="371"/>
      <c r="I83" s="536">
        <f t="shared" ref="I83:P83" si="254">SUM(I80:I82)</f>
        <v>1549211</v>
      </c>
      <c r="J83" s="532">
        <f t="shared" si="254"/>
        <v>1145242</v>
      </c>
      <c r="K83" s="532">
        <f t="shared" si="254"/>
        <v>387092</v>
      </c>
      <c r="L83" s="532">
        <f t="shared" si="254"/>
        <v>11453</v>
      </c>
      <c r="M83" s="532">
        <f t="shared" si="254"/>
        <v>5424</v>
      </c>
      <c r="N83" s="533">
        <f t="shared" si="254"/>
        <v>2.8487</v>
      </c>
      <c r="O83" s="533">
        <f t="shared" si="254"/>
        <v>1.8064</v>
      </c>
      <c r="P83" s="298">
        <f t="shared" si="254"/>
        <v>1.0423</v>
      </c>
      <c r="Q83" s="538">
        <f t="shared" ref="Q83:BA83" si="255">SUM(Q80:Q82)</f>
        <v>-32500</v>
      </c>
      <c r="R83" s="532">
        <f t="shared" si="255"/>
        <v>173223</v>
      </c>
      <c r="S83" s="532">
        <f t="shared" si="255"/>
        <v>0</v>
      </c>
      <c r="T83" s="532">
        <f t="shared" si="255"/>
        <v>0</v>
      </c>
      <c r="U83" s="532">
        <f t="shared" si="255"/>
        <v>0</v>
      </c>
      <c r="V83" s="532">
        <f t="shared" si="255"/>
        <v>140723</v>
      </c>
      <c r="W83" s="532">
        <f t="shared" si="255"/>
        <v>32500</v>
      </c>
      <c r="X83" s="532">
        <f t="shared" si="255"/>
        <v>0</v>
      </c>
      <c r="Y83" s="532">
        <f t="shared" si="255"/>
        <v>0</v>
      </c>
      <c r="Z83" s="532">
        <f t="shared" si="255"/>
        <v>32500</v>
      </c>
      <c r="AA83" s="532">
        <f t="shared" si="255"/>
        <v>173223</v>
      </c>
      <c r="AB83" s="532">
        <f t="shared" si="255"/>
        <v>58549</v>
      </c>
      <c r="AC83" s="532">
        <f t="shared" si="255"/>
        <v>1407</v>
      </c>
      <c r="AD83" s="532">
        <f t="shared" si="255"/>
        <v>0</v>
      </c>
      <c r="AE83" s="532">
        <f t="shared" si="255"/>
        <v>0</v>
      </c>
      <c r="AF83" s="532">
        <f t="shared" si="255"/>
        <v>0</v>
      </c>
      <c r="AG83" s="532">
        <f t="shared" si="255"/>
        <v>233179</v>
      </c>
      <c r="AH83" s="533">
        <f t="shared" si="255"/>
        <v>0</v>
      </c>
      <c r="AI83" s="533">
        <f t="shared" si="255"/>
        <v>-0.12</v>
      </c>
      <c r="AJ83" s="533">
        <f t="shared" si="255"/>
        <v>0.5</v>
      </c>
      <c r="AK83" s="533">
        <f t="shared" si="255"/>
        <v>0</v>
      </c>
      <c r="AL83" s="533">
        <f t="shared" si="255"/>
        <v>0</v>
      </c>
      <c r="AM83" s="533">
        <f t="shared" si="255"/>
        <v>0</v>
      </c>
      <c r="AN83" s="533">
        <f t="shared" si="255"/>
        <v>0</v>
      </c>
      <c r="AO83" s="533">
        <f t="shared" si="255"/>
        <v>0</v>
      </c>
      <c r="AP83" s="533">
        <f t="shared" si="255"/>
        <v>0.5</v>
      </c>
      <c r="AQ83" s="533">
        <f t="shared" si="255"/>
        <v>-0.12</v>
      </c>
      <c r="AR83" s="298">
        <f t="shared" si="255"/>
        <v>0.38</v>
      </c>
      <c r="AS83" s="538">
        <f t="shared" si="255"/>
        <v>1782390</v>
      </c>
      <c r="AT83" s="532">
        <f t="shared" si="255"/>
        <v>1285965</v>
      </c>
      <c r="AU83" s="532">
        <f t="shared" si="255"/>
        <v>32500</v>
      </c>
      <c r="AV83" s="532">
        <f t="shared" si="255"/>
        <v>445641</v>
      </c>
      <c r="AW83" s="532">
        <f t="shared" si="255"/>
        <v>12860</v>
      </c>
      <c r="AX83" s="532">
        <f t="shared" si="255"/>
        <v>5424</v>
      </c>
      <c r="AY83" s="533">
        <f t="shared" si="255"/>
        <v>3.2286999999999999</v>
      </c>
      <c r="AZ83" s="533">
        <f t="shared" si="255"/>
        <v>2.3064</v>
      </c>
      <c r="BA83" s="298">
        <f t="shared" si="255"/>
        <v>0.92230000000000001</v>
      </c>
    </row>
    <row r="84" spans="1:53" ht="12.95" customHeight="1" x14ac:dyDescent="0.25">
      <c r="A84" s="300">
        <v>14</v>
      </c>
      <c r="B84" s="340">
        <v>5436</v>
      </c>
      <c r="C84" s="341">
        <v>600098800</v>
      </c>
      <c r="D84" s="300">
        <v>72742992</v>
      </c>
      <c r="E84" s="368" t="s">
        <v>451</v>
      </c>
      <c r="F84" s="340">
        <v>3111</v>
      </c>
      <c r="G84" s="364" t="s">
        <v>321</v>
      </c>
      <c r="H84" s="303" t="s">
        <v>277</v>
      </c>
      <c r="I84" s="462">
        <f t="shared" ref="I84:I86" si="256">SUM(J84:M84)</f>
        <v>3662901</v>
      </c>
      <c r="J84" s="457">
        <v>2703933</v>
      </c>
      <c r="K84" s="457">
        <f t="shared" ref="K84:K86" si="257">ROUND(J84*33.8%,0)</f>
        <v>913929</v>
      </c>
      <c r="L84" s="457">
        <f t="shared" ref="L84:L86" si="258">ROUND(J84*1%,0)</f>
        <v>27039</v>
      </c>
      <c r="M84" s="457">
        <v>18000</v>
      </c>
      <c r="N84" s="458">
        <f t="shared" ref="N84:N86" si="259">O84+P84</f>
        <v>5.3935000000000004</v>
      </c>
      <c r="O84" s="459">
        <v>4.1935000000000002</v>
      </c>
      <c r="P84" s="646">
        <v>1.2000000000000002</v>
      </c>
      <c r="Q84" s="469">
        <f t="shared" ref="Q84:Q86" si="260">W84*-1</f>
        <v>0</v>
      </c>
      <c r="R84" s="460">
        <v>0</v>
      </c>
      <c r="S84" s="673">
        <v>0</v>
      </c>
      <c r="T84" s="460">
        <v>0</v>
      </c>
      <c r="U84" s="460">
        <v>0</v>
      </c>
      <c r="V84" s="460">
        <f>SUM(Q84:U84)</f>
        <v>0</v>
      </c>
      <c r="W84" s="460">
        <v>0</v>
      </c>
      <c r="X84" s="460">
        <v>0</v>
      </c>
      <c r="Y84" s="460">
        <v>0</v>
      </c>
      <c r="Z84" s="460">
        <f t="shared" ref="Z84:Z86" si="261">SUM(W84:Y84)</f>
        <v>0</v>
      </c>
      <c r="AA84" s="460">
        <f t="shared" ref="AA84:AA86" si="262">V84+Z84</f>
        <v>0</v>
      </c>
      <c r="AB84" s="69">
        <f t="shared" ref="AB84:AB86" si="263">ROUND((V84+W84+X84)*33.8%,0)</f>
        <v>0</v>
      </c>
      <c r="AC84" s="69">
        <f t="shared" ref="AC84:AC86" si="264">ROUND(V84*1%,0)</f>
        <v>0</v>
      </c>
      <c r="AD84" s="460">
        <v>0</v>
      </c>
      <c r="AE84" s="460">
        <v>0</v>
      </c>
      <c r="AF84" s="460">
        <f t="shared" ref="AF84:AF86" si="265">SUM(AD84:AE84)</f>
        <v>0</v>
      </c>
      <c r="AG84" s="460">
        <f t="shared" ref="AG84:AG86" si="266">AA84+AB84+AC84+AF84</f>
        <v>0</v>
      </c>
      <c r="AH84" s="461">
        <v>0</v>
      </c>
      <c r="AI84" s="461">
        <v>0</v>
      </c>
      <c r="AJ84" s="461">
        <v>0</v>
      </c>
      <c r="AK84" s="461">
        <v>0</v>
      </c>
      <c r="AL84" s="674">
        <v>0</v>
      </c>
      <c r="AM84" s="461">
        <v>0</v>
      </c>
      <c r="AN84" s="461">
        <v>0</v>
      </c>
      <c r="AO84" s="461">
        <v>0</v>
      </c>
      <c r="AP84" s="461">
        <f>AH84+AJ84+AK84+AM84+AN84</f>
        <v>0</v>
      </c>
      <c r="AQ84" s="461">
        <f>AI84+AL84+AO84</f>
        <v>0</v>
      </c>
      <c r="AR84" s="463">
        <f t="shared" ref="AR84:AR86" si="267">SUM(AP84:AQ84)</f>
        <v>0</v>
      </c>
      <c r="AS84" s="469">
        <f>I84+AG84</f>
        <v>3662901</v>
      </c>
      <c r="AT84" s="460">
        <f>J84+V84</f>
        <v>2703933</v>
      </c>
      <c r="AU84" s="460">
        <f t="shared" ref="AU84:AU86" si="268">Z84</f>
        <v>0</v>
      </c>
      <c r="AV84" s="460">
        <f t="shared" ref="AV84:AW86" si="269">K84+AB84</f>
        <v>913929</v>
      </c>
      <c r="AW84" s="460">
        <f t="shared" si="269"/>
        <v>27039</v>
      </c>
      <c r="AX84" s="460">
        <f>M84+AF84</f>
        <v>18000</v>
      </c>
      <c r="AY84" s="461">
        <f>N84+AR84</f>
        <v>5.3935000000000004</v>
      </c>
      <c r="AZ84" s="461">
        <f t="shared" ref="AZ84:BA86" si="270">O84+AP84</f>
        <v>4.1935000000000002</v>
      </c>
      <c r="BA84" s="463">
        <f t="shared" si="270"/>
        <v>1.2000000000000002</v>
      </c>
    </row>
    <row r="85" spans="1:53" ht="12.95" customHeight="1" x14ac:dyDescent="0.25">
      <c r="A85" s="300">
        <v>14</v>
      </c>
      <c r="B85" s="340">
        <v>5436</v>
      </c>
      <c r="C85" s="341">
        <v>600098800</v>
      </c>
      <c r="D85" s="300">
        <v>72742992</v>
      </c>
      <c r="E85" s="368" t="s">
        <v>451</v>
      </c>
      <c r="F85" s="340">
        <v>3111</v>
      </c>
      <c r="G85" s="364" t="s">
        <v>308</v>
      </c>
      <c r="H85" s="303" t="s">
        <v>278</v>
      </c>
      <c r="I85" s="462">
        <f t="shared" si="256"/>
        <v>0</v>
      </c>
      <c r="J85" s="457">
        <v>0</v>
      </c>
      <c r="K85" s="457">
        <f t="shared" si="257"/>
        <v>0</v>
      </c>
      <c r="L85" s="457">
        <f t="shared" si="258"/>
        <v>0</v>
      </c>
      <c r="M85" s="457">
        <v>0</v>
      </c>
      <c r="N85" s="458">
        <f t="shared" si="259"/>
        <v>0</v>
      </c>
      <c r="O85" s="459">
        <v>0</v>
      </c>
      <c r="P85" s="646">
        <v>0</v>
      </c>
      <c r="Q85" s="469">
        <f t="shared" si="260"/>
        <v>0</v>
      </c>
      <c r="R85" s="460">
        <v>0</v>
      </c>
      <c r="S85" s="673">
        <v>0</v>
      </c>
      <c r="T85" s="460">
        <v>0</v>
      </c>
      <c r="U85" s="460">
        <v>0</v>
      </c>
      <c r="V85" s="460">
        <f>SUM(Q85:U85)</f>
        <v>0</v>
      </c>
      <c r="W85" s="460">
        <v>0</v>
      </c>
      <c r="X85" s="460">
        <v>0</v>
      </c>
      <c r="Y85" s="460">
        <v>0</v>
      </c>
      <c r="Z85" s="460">
        <f t="shared" si="261"/>
        <v>0</v>
      </c>
      <c r="AA85" s="460">
        <f t="shared" si="262"/>
        <v>0</v>
      </c>
      <c r="AB85" s="69">
        <f t="shared" si="263"/>
        <v>0</v>
      </c>
      <c r="AC85" s="69">
        <f t="shared" si="264"/>
        <v>0</v>
      </c>
      <c r="AD85" s="460">
        <v>0</v>
      </c>
      <c r="AE85" s="460">
        <v>0</v>
      </c>
      <c r="AF85" s="460">
        <f t="shared" si="265"/>
        <v>0</v>
      </c>
      <c r="AG85" s="460">
        <f t="shared" si="266"/>
        <v>0</v>
      </c>
      <c r="AH85" s="461">
        <v>0</v>
      </c>
      <c r="AI85" s="461">
        <v>0</v>
      </c>
      <c r="AJ85" s="461">
        <v>0</v>
      </c>
      <c r="AK85" s="461">
        <v>0</v>
      </c>
      <c r="AL85" s="674">
        <v>0</v>
      </c>
      <c r="AM85" s="461">
        <v>0</v>
      </c>
      <c r="AN85" s="461">
        <v>0</v>
      </c>
      <c r="AO85" s="461">
        <v>0</v>
      </c>
      <c r="AP85" s="461">
        <f>AH85+AJ85+AK85+AM85+AN85</f>
        <v>0</v>
      </c>
      <c r="AQ85" s="461">
        <f>AI85+AL85+AO85</f>
        <v>0</v>
      </c>
      <c r="AR85" s="463">
        <f t="shared" si="267"/>
        <v>0</v>
      </c>
      <c r="AS85" s="469">
        <f>I85+AG85</f>
        <v>0</v>
      </c>
      <c r="AT85" s="460">
        <f>J85+V85</f>
        <v>0</v>
      </c>
      <c r="AU85" s="460">
        <f t="shared" si="268"/>
        <v>0</v>
      </c>
      <c r="AV85" s="460">
        <f t="shared" si="269"/>
        <v>0</v>
      </c>
      <c r="AW85" s="460">
        <f t="shared" si="269"/>
        <v>0</v>
      </c>
      <c r="AX85" s="460">
        <f>M85+AF85</f>
        <v>0</v>
      </c>
      <c r="AY85" s="461">
        <f>N85+AR85</f>
        <v>0</v>
      </c>
      <c r="AZ85" s="461">
        <f t="shared" si="270"/>
        <v>0</v>
      </c>
      <c r="BA85" s="463">
        <f t="shared" si="270"/>
        <v>0</v>
      </c>
    </row>
    <row r="86" spans="1:53" ht="12.95" customHeight="1" x14ac:dyDescent="0.25">
      <c r="A86" s="300">
        <v>14</v>
      </c>
      <c r="B86" s="300">
        <v>5436</v>
      </c>
      <c r="C86" s="349">
        <v>600098800</v>
      </c>
      <c r="D86" s="300">
        <v>72742992</v>
      </c>
      <c r="E86" s="302" t="s">
        <v>451</v>
      </c>
      <c r="F86" s="300">
        <v>3141</v>
      </c>
      <c r="G86" s="364" t="s">
        <v>311</v>
      </c>
      <c r="H86" s="303" t="s">
        <v>278</v>
      </c>
      <c r="I86" s="462">
        <f t="shared" si="256"/>
        <v>613255</v>
      </c>
      <c r="J86" s="457">
        <v>453162</v>
      </c>
      <c r="K86" s="457">
        <f t="shared" si="257"/>
        <v>153169</v>
      </c>
      <c r="L86" s="457">
        <f t="shared" si="258"/>
        <v>4532</v>
      </c>
      <c r="M86" s="457">
        <v>2392</v>
      </c>
      <c r="N86" s="458">
        <f t="shared" si="259"/>
        <v>1.46</v>
      </c>
      <c r="O86" s="459">
        <v>0</v>
      </c>
      <c r="P86" s="646">
        <v>1.46</v>
      </c>
      <c r="Q86" s="469">
        <f t="shared" si="260"/>
        <v>0</v>
      </c>
      <c r="R86" s="460">
        <v>0</v>
      </c>
      <c r="S86" s="673">
        <v>0</v>
      </c>
      <c r="T86" s="460">
        <v>0</v>
      </c>
      <c r="U86" s="460">
        <v>0</v>
      </c>
      <c r="V86" s="460">
        <f>SUM(Q86:U86)</f>
        <v>0</v>
      </c>
      <c r="W86" s="460">
        <v>0</v>
      </c>
      <c r="X86" s="460">
        <v>0</v>
      </c>
      <c r="Y86" s="460">
        <v>0</v>
      </c>
      <c r="Z86" s="460">
        <f t="shared" si="261"/>
        <v>0</v>
      </c>
      <c r="AA86" s="460">
        <f t="shared" si="262"/>
        <v>0</v>
      </c>
      <c r="AB86" s="69">
        <f t="shared" si="263"/>
        <v>0</v>
      </c>
      <c r="AC86" s="69">
        <f t="shared" si="264"/>
        <v>0</v>
      </c>
      <c r="AD86" s="460">
        <v>0</v>
      </c>
      <c r="AE86" s="460">
        <v>0</v>
      </c>
      <c r="AF86" s="460">
        <f t="shared" si="265"/>
        <v>0</v>
      </c>
      <c r="AG86" s="460">
        <f t="shared" si="266"/>
        <v>0</v>
      </c>
      <c r="AH86" s="461">
        <v>0</v>
      </c>
      <c r="AI86" s="461">
        <v>0</v>
      </c>
      <c r="AJ86" s="461">
        <v>0</v>
      </c>
      <c r="AK86" s="461">
        <v>0</v>
      </c>
      <c r="AL86" s="674">
        <v>0</v>
      </c>
      <c r="AM86" s="461">
        <v>0</v>
      </c>
      <c r="AN86" s="461">
        <v>0</v>
      </c>
      <c r="AO86" s="461">
        <v>0</v>
      </c>
      <c r="AP86" s="461">
        <f>AH86+AJ86+AK86+AM86+AN86</f>
        <v>0</v>
      </c>
      <c r="AQ86" s="461">
        <f>AI86+AL86+AO86</f>
        <v>0</v>
      </c>
      <c r="AR86" s="463">
        <f t="shared" si="267"/>
        <v>0</v>
      </c>
      <c r="AS86" s="469">
        <f>I86+AG86</f>
        <v>613255</v>
      </c>
      <c r="AT86" s="460">
        <f>J86+V86</f>
        <v>453162</v>
      </c>
      <c r="AU86" s="460">
        <f t="shared" si="268"/>
        <v>0</v>
      </c>
      <c r="AV86" s="460">
        <f t="shared" si="269"/>
        <v>153169</v>
      </c>
      <c r="AW86" s="460">
        <f t="shared" si="269"/>
        <v>4532</v>
      </c>
      <c r="AX86" s="460">
        <f>M86+AF86</f>
        <v>2392</v>
      </c>
      <c r="AY86" s="461">
        <f>N86+AR86</f>
        <v>1.46</v>
      </c>
      <c r="AZ86" s="461">
        <f t="shared" si="270"/>
        <v>0</v>
      </c>
      <c r="BA86" s="463">
        <f t="shared" si="270"/>
        <v>1.46</v>
      </c>
    </row>
    <row r="87" spans="1:53" ht="12.95" customHeight="1" x14ac:dyDescent="0.25">
      <c r="A87" s="310">
        <v>14</v>
      </c>
      <c r="B87" s="294">
        <v>5436</v>
      </c>
      <c r="C87" s="365">
        <v>600098800</v>
      </c>
      <c r="D87" s="294">
        <v>72742992</v>
      </c>
      <c r="E87" s="307" t="s">
        <v>452</v>
      </c>
      <c r="F87" s="294"/>
      <c r="G87" s="366"/>
      <c r="H87" s="367"/>
      <c r="I87" s="536">
        <f t="shared" ref="I87:P87" si="271">SUM(I84:I86)</f>
        <v>4276156</v>
      </c>
      <c r="J87" s="532">
        <f t="shared" si="271"/>
        <v>3157095</v>
      </c>
      <c r="K87" s="532">
        <f t="shared" si="271"/>
        <v>1067098</v>
      </c>
      <c r="L87" s="532">
        <f t="shared" si="271"/>
        <v>31571</v>
      </c>
      <c r="M87" s="532">
        <f t="shared" si="271"/>
        <v>20392</v>
      </c>
      <c r="N87" s="533">
        <f t="shared" si="271"/>
        <v>6.8535000000000004</v>
      </c>
      <c r="O87" s="533">
        <f t="shared" si="271"/>
        <v>4.1935000000000002</v>
      </c>
      <c r="P87" s="298">
        <f t="shared" si="271"/>
        <v>2.66</v>
      </c>
      <c r="Q87" s="538">
        <f t="shared" ref="Q87:BA87" si="272">SUM(Q84:Q86)</f>
        <v>0</v>
      </c>
      <c r="R87" s="532">
        <f t="shared" si="272"/>
        <v>0</v>
      </c>
      <c r="S87" s="532">
        <f t="shared" si="272"/>
        <v>0</v>
      </c>
      <c r="T87" s="532">
        <f t="shared" si="272"/>
        <v>0</v>
      </c>
      <c r="U87" s="532">
        <f t="shared" si="272"/>
        <v>0</v>
      </c>
      <c r="V87" s="532">
        <f t="shared" si="272"/>
        <v>0</v>
      </c>
      <c r="W87" s="532">
        <f t="shared" si="272"/>
        <v>0</v>
      </c>
      <c r="X87" s="532">
        <f t="shared" si="272"/>
        <v>0</v>
      </c>
      <c r="Y87" s="532">
        <f t="shared" si="272"/>
        <v>0</v>
      </c>
      <c r="Z87" s="532">
        <f t="shared" si="272"/>
        <v>0</v>
      </c>
      <c r="AA87" s="532">
        <f t="shared" si="272"/>
        <v>0</v>
      </c>
      <c r="AB87" s="532">
        <f t="shared" si="272"/>
        <v>0</v>
      </c>
      <c r="AC87" s="532">
        <f t="shared" si="272"/>
        <v>0</v>
      </c>
      <c r="AD87" s="532">
        <f t="shared" si="272"/>
        <v>0</v>
      </c>
      <c r="AE87" s="532">
        <f t="shared" si="272"/>
        <v>0</v>
      </c>
      <c r="AF87" s="532">
        <f t="shared" si="272"/>
        <v>0</v>
      </c>
      <c r="AG87" s="532">
        <f t="shared" si="272"/>
        <v>0</v>
      </c>
      <c r="AH87" s="533">
        <f t="shared" si="272"/>
        <v>0</v>
      </c>
      <c r="AI87" s="533">
        <f t="shared" si="272"/>
        <v>0</v>
      </c>
      <c r="AJ87" s="533">
        <f t="shared" si="272"/>
        <v>0</v>
      </c>
      <c r="AK87" s="533">
        <f t="shared" si="272"/>
        <v>0</v>
      </c>
      <c r="AL87" s="533">
        <f t="shared" si="272"/>
        <v>0</v>
      </c>
      <c r="AM87" s="533">
        <f t="shared" si="272"/>
        <v>0</v>
      </c>
      <c r="AN87" s="533">
        <f t="shared" si="272"/>
        <v>0</v>
      </c>
      <c r="AO87" s="533">
        <f t="shared" si="272"/>
        <v>0</v>
      </c>
      <c r="AP87" s="533">
        <f t="shared" si="272"/>
        <v>0</v>
      </c>
      <c r="AQ87" s="533">
        <f t="shared" si="272"/>
        <v>0</v>
      </c>
      <c r="AR87" s="298">
        <f t="shared" si="272"/>
        <v>0</v>
      </c>
      <c r="AS87" s="538">
        <f t="shared" si="272"/>
        <v>4276156</v>
      </c>
      <c r="AT87" s="532">
        <f t="shared" si="272"/>
        <v>3157095</v>
      </c>
      <c r="AU87" s="532">
        <f t="shared" si="272"/>
        <v>0</v>
      </c>
      <c r="AV87" s="532">
        <f t="shared" si="272"/>
        <v>1067098</v>
      </c>
      <c r="AW87" s="532">
        <f t="shared" si="272"/>
        <v>31571</v>
      </c>
      <c r="AX87" s="532">
        <f t="shared" si="272"/>
        <v>20392</v>
      </c>
      <c r="AY87" s="533">
        <f t="shared" si="272"/>
        <v>6.8535000000000004</v>
      </c>
      <c r="AZ87" s="533">
        <f t="shared" si="272"/>
        <v>4.1935000000000002</v>
      </c>
      <c r="BA87" s="298">
        <f t="shared" si="272"/>
        <v>2.66</v>
      </c>
    </row>
    <row r="88" spans="1:53" ht="12.95" customHeight="1" x14ac:dyDescent="0.25">
      <c r="A88" s="300">
        <v>15</v>
      </c>
      <c r="B88" s="340">
        <v>5435</v>
      </c>
      <c r="C88" s="341">
        <v>600099199</v>
      </c>
      <c r="D88" s="300">
        <v>72743077</v>
      </c>
      <c r="E88" s="368" t="s">
        <v>453</v>
      </c>
      <c r="F88" s="340">
        <v>3113</v>
      </c>
      <c r="G88" s="364" t="s">
        <v>325</v>
      </c>
      <c r="H88" s="303" t="s">
        <v>277</v>
      </c>
      <c r="I88" s="462">
        <f t="shared" ref="I88:I92" si="273">SUM(J88:M88)</f>
        <v>9845009</v>
      </c>
      <c r="J88" s="457">
        <v>7192852</v>
      </c>
      <c r="K88" s="457">
        <f t="shared" ref="K88:K92" si="274">ROUND(J88*33.8%,0)</f>
        <v>2431184</v>
      </c>
      <c r="L88" s="457">
        <f>ROUND(J88*1%,0)-1</f>
        <v>71928</v>
      </c>
      <c r="M88" s="457">
        <v>149045</v>
      </c>
      <c r="N88" s="458">
        <f t="shared" ref="N88:N92" si="275">O88+P88</f>
        <v>12.9939</v>
      </c>
      <c r="O88" s="459">
        <v>10.2272</v>
      </c>
      <c r="P88" s="646">
        <v>2.7667000000000002</v>
      </c>
      <c r="Q88" s="469">
        <f t="shared" ref="Q88:Q92" si="276">W88*-1</f>
        <v>-97500</v>
      </c>
      <c r="R88" s="460">
        <v>0</v>
      </c>
      <c r="S88" s="673">
        <v>0</v>
      </c>
      <c r="T88" s="460">
        <v>0</v>
      </c>
      <c r="U88" s="460">
        <v>0</v>
      </c>
      <c r="V88" s="460">
        <f>SUM(Q88:U88)</f>
        <v>-97500</v>
      </c>
      <c r="W88" s="460">
        <v>97500</v>
      </c>
      <c r="X88" s="460">
        <v>0</v>
      </c>
      <c r="Y88" s="460">
        <v>0</v>
      </c>
      <c r="Z88" s="460">
        <f t="shared" ref="Z88:Z92" si="277">SUM(W88:Y88)</f>
        <v>97500</v>
      </c>
      <c r="AA88" s="460">
        <f t="shared" ref="AA88:AA92" si="278">V88+Z88</f>
        <v>0</v>
      </c>
      <c r="AB88" s="69">
        <f t="shared" ref="AB88:AB92" si="279">ROUND((V88+W88+X88)*33.8%,0)</f>
        <v>0</v>
      </c>
      <c r="AC88" s="69">
        <f t="shared" ref="AC88:AC92" si="280">ROUND(V88*1%,0)</f>
        <v>-975</v>
      </c>
      <c r="AD88" s="460">
        <v>0</v>
      </c>
      <c r="AE88" s="460">
        <v>0</v>
      </c>
      <c r="AF88" s="460">
        <f t="shared" ref="AF88:AF92" si="281">SUM(AD88:AE88)</f>
        <v>0</v>
      </c>
      <c r="AG88" s="460">
        <f t="shared" ref="AG88:AG92" si="282">AA88+AB88+AC88+AF88</f>
        <v>-975</v>
      </c>
      <c r="AH88" s="461">
        <v>-0.02</v>
      </c>
      <c r="AI88" s="461">
        <v>-0.27</v>
      </c>
      <c r="AJ88" s="461">
        <v>0</v>
      </c>
      <c r="AK88" s="461">
        <v>0</v>
      </c>
      <c r="AL88" s="674">
        <v>0</v>
      </c>
      <c r="AM88" s="461">
        <v>0</v>
      </c>
      <c r="AN88" s="461">
        <v>0</v>
      </c>
      <c r="AO88" s="461">
        <v>0</v>
      </c>
      <c r="AP88" s="461">
        <f>AH88+AJ88+AK88+AM88+AN88</f>
        <v>-0.02</v>
      </c>
      <c r="AQ88" s="461">
        <f>AI88+AL88+AO88</f>
        <v>-0.27</v>
      </c>
      <c r="AR88" s="463">
        <f t="shared" ref="AR88:AR92" si="283">SUM(AP88:AQ88)</f>
        <v>-0.29000000000000004</v>
      </c>
      <c r="AS88" s="469">
        <f>I88+AG88</f>
        <v>9844034</v>
      </c>
      <c r="AT88" s="460">
        <f>J88+V88</f>
        <v>7095352</v>
      </c>
      <c r="AU88" s="460">
        <f t="shared" ref="AU88:AU92" si="284">Z88</f>
        <v>97500</v>
      </c>
      <c r="AV88" s="460">
        <f t="shared" ref="AV88:AW92" si="285">K88+AB88</f>
        <v>2431184</v>
      </c>
      <c r="AW88" s="460">
        <f t="shared" si="285"/>
        <v>70953</v>
      </c>
      <c r="AX88" s="460">
        <f>M88+AF88</f>
        <v>149045</v>
      </c>
      <c r="AY88" s="461">
        <f>N88+AR88</f>
        <v>12.703900000000001</v>
      </c>
      <c r="AZ88" s="461">
        <f t="shared" ref="AZ88:BA92" si="286">O88+AP88</f>
        <v>10.2072</v>
      </c>
      <c r="BA88" s="463">
        <f t="shared" si="286"/>
        <v>2.4967000000000001</v>
      </c>
    </row>
    <row r="89" spans="1:53" ht="12.95" customHeight="1" x14ac:dyDescent="0.25">
      <c r="A89" s="300">
        <v>15</v>
      </c>
      <c r="B89" s="340">
        <v>5435</v>
      </c>
      <c r="C89" s="341">
        <v>600099199</v>
      </c>
      <c r="D89" s="300">
        <v>72743077</v>
      </c>
      <c r="E89" s="368" t="s">
        <v>453</v>
      </c>
      <c r="F89" s="340">
        <v>3113</v>
      </c>
      <c r="G89" s="303" t="s">
        <v>308</v>
      </c>
      <c r="H89" s="303" t="s">
        <v>278</v>
      </c>
      <c r="I89" s="462">
        <f t="shared" si="273"/>
        <v>0</v>
      </c>
      <c r="J89" s="457">
        <v>0</v>
      </c>
      <c r="K89" s="457">
        <f t="shared" si="274"/>
        <v>0</v>
      </c>
      <c r="L89" s="457">
        <f t="shared" ref="L89:L92" si="287">ROUND(J89*1%,0)</f>
        <v>0</v>
      </c>
      <c r="M89" s="457">
        <v>0</v>
      </c>
      <c r="N89" s="458">
        <f t="shared" si="275"/>
        <v>0</v>
      </c>
      <c r="O89" s="459">
        <v>0</v>
      </c>
      <c r="P89" s="646">
        <v>0</v>
      </c>
      <c r="Q89" s="469">
        <f t="shared" si="276"/>
        <v>0</v>
      </c>
      <c r="R89" s="460">
        <v>173223</v>
      </c>
      <c r="S89" s="673">
        <v>0</v>
      </c>
      <c r="T89" s="460">
        <v>0</v>
      </c>
      <c r="U89" s="460">
        <v>0</v>
      </c>
      <c r="V89" s="460">
        <f>SUM(Q89:U89)</f>
        <v>173223</v>
      </c>
      <c r="W89" s="460">
        <v>0</v>
      </c>
      <c r="X89" s="460">
        <v>0</v>
      </c>
      <c r="Y89" s="460">
        <v>0</v>
      </c>
      <c r="Z89" s="460">
        <f t="shared" si="277"/>
        <v>0</v>
      </c>
      <c r="AA89" s="460">
        <f t="shared" si="278"/>
        <v>173223</v>
      </c>
      <c r="AB89" s="69">
        <f t="shared" si="279"/>
        <v>58549</v>
      </c>
      <c r="AC89" s="69">
        <f t="shared" si="280"/>
        <v>1732</v>
      </c>
      <c r="AD89" s="460">
        <v>0</v>
      </c>
      <c r="AE89" s="460">
        <v>0</v>
      </c>
      <c r="AF89" s="460">
        <f t="shared" si="281"/>
        <v>0</v>
      </c>
      <c r="AG89" s="460">
        <f t="shared" si="282"/>
        <v>233504</v>
      </c>
      <c r="AH89" s="461">
        <v>0</v>
      </c>
      <c r="AI89" s="461">
        <v>0</v>
      </c>
      <c r="AJ89" s="461">
        <v>0.5</v>
      </c>
      <c r="AK89" s="461">
        <v>0</v>
      </c>
      <c r="AL89" s="674">
        <v>0</v>
      </c>
      <c r="AM89" s="461">
        <v>0</v>
      </c>
      <c r="AN89" s="461">
        <v>0</v>
      </c>
      <c r="AO89" s="461">
        <v>0</v>
      </c>
      <c r="AP89" s="461">
        <f>AH89+AJ89+AK89+AM89+AN89</f>
        <v>0.5</v>
      </c>
      <c r="AQ89" s="461">
        <f>AI89+AL89+AO89</f>
        <v>0</v>
      </c>
      <c r="AR89" s="463">
        <f t="shared" si="283"/>
        <v>0.5</v>
      </c>
      <c r="AS89" s="469">
        <f>I89+AG89</f>
        <v>233504</v>
      </c>
      <c r="AT89" s="460">
        <f>J89+V89</f>
        <v>173223</v>
      </c>
      <c r="AU89" s="460">
        <f t="shared" si="284"/>
        <v>0</v>
      </c>
      <c r="AV89" s="460">
        <f t="shared" si="285"/>
        <v>58549</v>
      </c>
      <c r="AW89" s="460">
        <f t="shared" si="285"/>
        <v>1732</v>
      </c>
      <c r="AX89" s="460">
        <f>M89+AF89</f>
        <v>0</v>
      </c>
      <c r="AY89" s="461">
        <f>N89+AR89</f>
        <v>0.5</v>
      </c>
      <c r="AZ89" s="461">
        <f t="shared" si="286"/>
        <v>0.5</v>
      </c>
      <c r="BA89" s="463">
        <f t="shared" si="286"/>
        <v>0</v>
      </c>
    </row>
    <row r="90" spans="1:53" ht="12.95" customHeight="1" x14ac:dyDescent="0.25">
      <c r="A90" s="300">
        <v>15</v>
      </c>
      <c r="B90" s="340">
        <v>5435</v>
      </c>
      <c r="C90" s="341">
        <v>600099199</v>
      </c>
      <c r="D90" s="300">
        <v>72743077</v>
      </c>
      <c r="E90" s="368" t="s">
        <v>453</v>
      </c>
      <c r="F90" s="340">
        <v>3141</v>
      </c>
      <c r="G90" s="364" t="s">
        <v>311</v>
      </c>
      <c r="H90" s="303" t="s">
        <v>278</v>
      </c>
      <c r="I90" s="462">
        <f t="shared" si="273"/>
        <v>909433</v>
      </c>
      <c r="J90" s="457">
        <v>670333</v>
      </c>
      <c r="K90" s="457">
        <f t="shared" si="274"/>
        <v>226573</v>
      </c>
      <c r="L90" s="457">
        <f t="shared" si="287"/>
        <v>6703</v>
      </c>
      <c r="M90" s="457">
        <v>5824</v>
      </c>
      <c r="N90" s="458">
        <f t="shared" si="275"/>
        <v>2.15</v>
      </c>
      <c r="O90" s="459">
        <v>0</v>
      </c>
      <c r="P90" s="646">
        <v>2.15</v>
      </c>
      <c r="Q90" s="469">
        <f t="shared" si="276"/>
        <v>0</v>
      </c>
      <c r="R90" s="460">
        <v>0</v>
      </c>
      <c r="S90" s="673">
        <v>0</v>
      </c>
      <c r="T90" s="460">
        <v>0</v>
      </c>
      <c r="U90" s="460">
        <v>0</v>
      </c>
      <c r="V90" s="460">
        <f>SUM(Q90:U90)</f>
        <v>0</v>
      </c>
      <c r="W90" s="460">
        <v>0</v>
      </c>
      <c r="X90" s="460">
        <v>0</v>
      </c>
      <c r="Y90" s="460">
        <v>0</v>
      </c>
      <c r="Z90" s="460">
        <f t="shared" si="277"/>
        <v>0</v>
      </c>
      <c r="AA90" s="460">
        <f t="shared" si="278"/>
        <v>0</v>
      </c>
      <c r="AB90" s="69">
        <f t="shared" si="279"/>
        <v>0</v>
      </c>
      <c r="AC90" s="69">
        <f t="shared" si="280"/>
        <v>0</v>
      </c>
      <c r="AD90" s="460">
        <v>0</v>
      </c>
      <c r="AE90" s="460">
        <v>0</v>
      </c>
      <c r="AF90" s="460">
        <f t="shared" si="281"/>
        <v>0</v>
      </c>
      <c r="AG90" s="460">
        <f t="shared" si="282"/>
        <v>0</v>
      </c>
      <c r="AH90" s="461">
        <v>0</v>
      </c>
      <c r="AI90" s="461">
        <v>0</v>
      </c>
      <c r="AJ90" s="461">
        <v>0</v>
      </c>
      <c r="AK90" s="461">
        <v>0</v>
      </c>
      <c r="AL90" s="674">
        <v>0</v>
      </c>
      <c r="AM90" s="461">
        <v>0</v>
      </c>
      <c r="AN90" s="461">
        <v>0</v>
      </c>
      <c r="AO90" s="461">
        <v>0</v>
      </c>
      <c r="AP90" s="461">
        <f>AH90+AJ90+AK90+AM90+AN90</f>
        <v>0</v>
      </c>
      <c r="AQ90" s="461">
        <f>AI90+AL90+AO90</f>
        <v>0</v>
      </c>
      <c r="AR90" s="463">
        <f t="shared" si="283"/>
        <v>0</v>
      </c>
      <c r="AS90" s="469">
        <f>I90+AG90</f>
        <v>909433</v>
      </c>
      <c r="AT90" s="460">
        <f>J90+V90</f>
        <v>670333</v>
      </c>
      <c r="AU90" s="460">
        <f t="shared" si="284"/>
        <v>0</v>
      </c>
      <c r="AV90" s="460">
        <f t="shared" si="285"/>
        <v>226573</v>
      </c>
      <c r="AW90" s="460">
        <f t="shared" si="285"/>
        <v>6703</v>
      </c>
      <c r="AX90" s="460">
        <f>M90+AF90</f>
        <v>5824</v>
      </c>
      <c r="AY90" s="461">
        <f>N90+AR90</f>
        <v>2.15</v>
      </c>
      <c r="AZ90" s="461">
        <f t="shared" si="286"/>
        <v>0</v>
      </c>
      <c r="BA90" s="463">
        <f t="shared" si="286"/>
        <v>2.15</v>
      </c>
    </row>
    <row r="91" spans="1:53" ht="12.95" customHeight="1" x14ac:dyDescent="0.25">
      <c r="A91" s="300">
        <v>15</v>
      </c>
      <c r="B91" s="340">
        <v>5435</v>
      </c>
      <c r="C91" s="341">
        <v>600099199</v>
      </c>
      <c r="D91" s="300">
        <v>72743077</v>
      </c>
      <c r="E91" s="368" t="s">
        <v>453</v>
      </c>
      <c r="F91" s="340">
        <v>3143</v>
      </c>
      <c r="G91" s="303" t="s">
        <v>616</v>
      </c>
      <c r="H91" s="303" t="s">
        <v>277</v>
      </c>
      <c r="I91" s="462">
        <f t="shared" si="273"/>
        <v>629059</v>
      </c>
      <c r="J91" s="457">
        <v>466661</v>
      </c>
      <c r="K91" s="457">
        <f t="shared" si="274"/>
        <v>157731</v>
      </c>
      <c r="L91" s="457">
        <f t="shared" si="287"/>
        <v>4667</v>
      </c>
      <c r="M91" s="457">
        <v>0</v>
      </c>
      <c r="N91" s="458">
        <f t="shared" si="275"/>
        <v>0.96430000000000005</v>
      </c>
      <c r="O91" s="459">
        <v>0.96430000000000005</v>
      </c>
      <c r="P91" s="646">
        <v>0</v>
      </c>
      <c r="Q91" s="469">
        <f t="shared" si="276"/>
        <v>0</v>
      </c>
      <c r="R91" s="460">
        <v>0</v>
      </c>
      <c r="S91" s="673">
        <v>0</v>
      </c>
      <c r="T91" s="460">
        <v>0</v>
      </c>
      <c r="U91" s="460">
        <v>0</v>
      </c>
      <c r="V91" s="460">
        <f>SUM(Q91:U91)</f>
        <v>0</v>
      </c>
      <c r="W91" s="460">
        <v>0</v>
      </c>
      <c r="X91" s="460">
        <v>0</v>
      </c>
      <c r="Y91" s="460">
        <v>0</v>
      </c>
      <c r="Z91" s="460">
        <f t="shared" si="277"/>
        <v>0</v>
      </c>
      <c r="AA91" s="460">
        <f t="shared" si="278"/>
        <v>0</v>
      </c>
      <c r="AB91" s="69">
        <f t="shared" si="279"/>
        <v>0</v>
      </c>
      <c r="AC91" s="69">
        <f t="shared" si="280"/>
        <v>0</v>
      </c>
      <c r="AD91" s="460">
        <v>0</v>
      </c>
      <c r="AE91" s="460">
        <v>0</v>
      </c>
      <c r="AF91" s="460">
        <f t="shared" si="281"/>
        <v>0</v>
      </c>
      <c r="AG91" s="460">
        <f t="shared" si="282"/>
        <v>0</v>
      </c>
      <c r="AH91" s="461">
        <v>0</v>
      </c>
      <c r="AI91" s="461">
        <v>0</v>
      </c>
      <c r="AJ91" s="461">
        <v>0</v>
      </c>
      <c r="AK91" s="461">
        <v>0</v>
      </c>
      <c r="AL91" s="674">
        <v>0</v>
      </c>
      <c r="AM91" s="461">
        <v>0</v>
      </c>
      <c r="AN91" s="461">
        <v>0</v>
      </c>
      <c r="AO91" s="461">
        <v>0</v>
      </c>
      <c r="AP91" s="461">
        <f>AH91+AJ91+AK91+AM91+AN91</f>
        <v>0</v>
      </c>
      <c r="AQ91" s="461">
        <f>AI91+AL91+AO91</f>
        <v>0</v>
      </c>
      <c r="AR91" s="463">
        <f t="shared" si="283"/>
        <v>0</v>
      </c>
      <c r="AS91" s="469">
        <f>I91+AG91</f>
        <v>629059</v>
      </c>
      <c r="AT91" s="460">
        <f>J91+V91</f>
        <v>466661</v>
      </c>
      <c r="AU91" s="460">
        <f t="shared" si="284"/>
        <v>0</v>
      </c>
      <c r="AV91" s="460">
        <f t="shared" si="285"/>
        <v>157731</v>
      </c>
      <c r="AW91" s="460">
        <f t="shared" si="285"/>
        <v>4667</v>
      </c>
      <c r="AX91" s="460">
        <f>M91+AF91</f>
        <v>0</v>
      </c>
      <c r="AY91" s="461">
        <f>N91+AR91</f>
        <v>0.96430000000000005</v>
      </c>
      <c r="AZ91" s="461">
        <f t="shared" si="286"/>
        <v>0.96430000000000005</v>
      </c>
      <c r="BA91" s="463">
        <f t="shared" si="286"/>
        <v>0</v>
      </c>
    </row>
    <row r="92" spans="1:53" ht="12.95" customHeight="1" x14ac:dyDescent="0.25">
      <c r="A92" s="300">
        <v>15</v>
      </c>
      <c r="B92" s="340">
        <v>5435</v>
      </c>
      <c r="C92" s="341">
        <v>600099199</v>
      </c>
      <c r="D92" s="300">
        <v>72743077</v>
      </c>
      <c r="E92" s="368" t="s">
        <v>453</v>
      </c>
      <c r="F92" s="340">
        <v>3143</v>
      </c>
      <c r="G92" s="303" t="s">
        <v>617</v>
      </c>
      <c r="H92" s="303" t="s">
        <v>278</v>
      </c>
      <c r="I92" s="462">
        <f t="shared" si="273"/>
        <v>21990</v>
      </c>
      <c r="J92" s="457">
        <f>15712</f>
        <v>15712</v>
      </c>
      <c r="K92" s="457">
        <f t="shared" si="274"/>
        <v>5311</v>
      </c>
      <c r="L92" s="457">
        <f t="shared" si="287"/>
        <v>157</v>
      </c>
      <c r="M92" s="457">
        <v>810</v>
      </c>
      <c r="N92" s="458">
        <f t="shared" si="275"/>
        <v>0.06</v>
      </c>
      <c r="O92" s="459">
        <v>0</v>
      </c>
      <c r="P92" s="646">
        <v>0.06</v>
      </c>
      <c r="Q92" s="469">
        <f t="shared" si="276"/>
        <v>0</v>
      </c>
      <c r="R92" s="460">
        <v>0</v>
      </c>
      <c r="S92" s="673">
        <v>0</v>
      </c>
      <c r="T92" s="460">
        <v>0</v>
      </c>
      <c r="U92" s="460">
        <v>0</v>
      </c>
      <c r="V92" s="460">
        <f>SUM(Q92:U92)</f>
        <v>0</v>
      </c>
      <c r="W92" s="460">
        <v>0</v>
      </c>
      <c r="X92" s="460">
        <v>0</v>
      </c>
      <c r="Y92" s="460">
        <v>0</v>
      </c>
      <c r="Z92" s="460">
        <f t="shared" si="277"/>
        <v>0</v>
      </c>
      <c r="AA92" s="460">
        <f t="shared" si="278"/>
        <v>0</v>
      </c>
      <c r="AB92" s="69">
        <f t="shared" si="279"/>
        <v>0</v>
      </c>
      <c r="AC92" s="69">
        <f t="shared" si="280"/>
        <v>0</v>
      </c>
      <c r="AD92" s="460">
        <v>0</v>
      </c>
      <c r="AE92" s="460">
        <v>0</v>
      </c>
      <c r="AF92" s="460">
        <f t="shared" si="281"/>
        <v>0</v>
      </c>
      <c r="AG92" s="460">
        <f t="shared" si="282"/>
        <v>0</v>
      </c>
      <c r="AH92" s="461">
        <v>0</v>
      </c>
      <c r="AI92" s="461">
        <v>0</v>
      </c>
      <c r="AJ92" s="461">
        <v>0</v>
      </c>
      <c r="AK92" s="461">
        <v>0</v>
      </c>
      <c r="AL92" s="674">
        <v>0</v>
      </c>
      <c r="AM92" s="461">
        <v>0</v>
      </c>
      <c r="AN92" s="461">
        <v>0</v>
      </c>
      <c r="AO92" s="461">
        <v>0</v>
      </c>
      <c r="AP92" s="461">
        <f>AH92+AJ92+AK92+AM92+AN92</f>
        <v>0</v>
      </c>
      <c r="AQ92" s="461">
        <f>AI92+AL92+AO92</f>
        <v>0</v>
      </c>
      <c r="AR92" s="463">
        <f t="shared" si="283"/>
        <v>0</v>
      </c>
      <c r="AS92" s="469">
        <f>I92+AG92</f>
        <v>21990</v>
      </c>
      <c r="AT92" s="460">
        <f>J92+V92</f>
        <v>15712</v>
      </c>
      <c r="AU92" s="460">
        <f t="shared" si="284"/>
        <v>0</v>
      </c>
      <c r="AV92" s="460">
        <f t="shared" si="285"/>
        <v>5311</v>
      </c>
      <c r="AW92" s="460">
        <f t="shared" si="285"/>
        <v>157</v>
      </c>
      <c r="AX92" s="460">
        <f>M92+AF92</f>
        <v>810</v>
      </c>
      <c r="AY92" s="461">
        <f>N92+AR92</f>
        <v>0.06</v>
      </c>
      <c r="AZ92" s="461">
        <f t="shared" si="286"/>
        <v>0</v>
      </c>
      <c r="BA92" s="463">
        <f t="shared" si="286"/>
        <v>0.06</v>
      </c>
    </row>
    <row r="93" spans="1:53" ht="12.95" customHeight="1" x14ac:dyDescent="0.25">
      <c r="A93" s="310">
        <v>15</v>
      </c>
      <c r="B93" s="344">
        <v>5435</v>
      </c>
      <c r="C93" s="345">
        <v>600099199</v>
      </c>
      <c r="D93" s="344">
        <v>72743077</v>
      </c>
      <c r="E93" s="369" t="s">
        <v>454</v>
      </c>
      <c r="F93" s="344"/>
      <c r="G93" s="370"/>
      <c r="H93" s="371"/>
      <c r="I93" s="536">
        <f t="shared" ref="I93:P93" si="288">SUM(I88:I92)</f>
        <v>11405491</v>
      </c>
      <c r="J93" s="532">
        <f t="shared" si="288"/>
        <v>8345558</v>
      </c>
      <c r="K93" s="532">
        <f t="shared" si="288"/>
        <v>2820799</v>
      </c>
      <c r="L93" s="532">
        <f t="shared" si="288"/>
        <v>83455</v>
      </c>
      <c r="M93" s="532">
        <f t="shared" si="288"/>
        <v>155679</v>
      </c>
      <c r="N93" s="533">
        <f t="shared" si="288"/>
        <v>16.168199999999999</v>
      </c>
      <c r="O93" s="533">
        <f t="shared" si="288"/>
        <v>11.1915</v>
      </c>
      <c r="P93" s="298">
        <f t="shared" si="288"/>
        <v>4.9767000000000001</v>
      </c>
      <c r="Q93" s="538">
        <f t="shared" ref="Q93:BA93" si="289">SUM(Q88:Q92)</f>
        <v>-97500</v>
      </c>
      <c r="R93" s="532">
        <f t="shared" si="289"/>
        <v>173223</v>
      </c>
      <c r="S93" s="532">
        <f t="shared" si="289"/>
        <v>0</v>
      </c>
      <c r="T93" s="532">
        <f t="shared" si="289"/>
        <v>0</v>
      </c>
      <c r="U93" s="532">
        <f t="shared" si="289"/>
        <v>0</v>
      </c>
      <c r="V93" s="532">
        <f t="shared" si="289"/>
        <v>75723</v>
      </c>
      <c r="W93" s="532">
        <f t="shared" si="289"/>
        <v>97500</v>
      </c>
      <c r="X93" s="532">
        <f t="shared" si="289"/>
        <v>0</v>
      </c>
      <c r="Y93" s="532">
        <f t="shared" si="289"/>
        <v>0</v>
      </c>
      <c r="Z93" s="532">
        <f t="shared" si="289"/>
        <v>97500</v>
      </c>
      <c r="AA93" s="532">
        <f t="shared" si="289"/>
        <v>173223</v>
      </c>
      <c r="AB93" s="532">
        <f t="shared" si="289"/>
        <v>58549</v>
      </c>
      <c r="AC93" s="532">
        <f t="shared" si="289"/>
        <v>757</v>
      </c>
      <c r="AD93" s="532">
        <f t="shared" si="289"/>
        <v>0</v>
      </c>
      <c r="AE93" s="532">
        <f t="shared" si="289"/>
        <v>0</v>
      </c>
      <c r="AF93" s="532">
        <f t="shared" si="289"/>
        <v>0</v>
      </c>
      <c r="AG93" s="532">
        <f t="shared" si="289"/>
        <v>232529</v>
      </c>
      <c r="AH93" s="533">
        <f t="shared" si="289"/>
        <v>-0.02</v>
      </c>
      <c r="AI93" s="533">
        <f t="shared" si="289"/>
        <v>-0.27</v>
      </c>
      <c r="AJ93" s="533">
        <f t="shared" si="289"/>
        <v>0.5</v>
      </c>
      <c r="AK93" s="533">
        <f t="shared" si="289"/>
        <v>0</v>
      </c>
      <c r="AL93" s="533">
        <f t="shared" si="289"/>
        <v>0</v>
      </c>
      <c r="AM93" s="533">
        <f t="shared" si="289"/>
        <v>0</v>
      </c>
      <c r="AN93" s="533">
        <f t="shared" si="289"/>
        <v>0</v>
      </c>
      <c r="AO93" s="533">
        <f t="shared" si="289"/>
        <v>0</v>
      </c>
      <c r="AP93" s="533">
        <f t="shared" si="289"/>
        <v>0.48</v>
      </c>
      <c r="AQ93" s="533">
        <f t="shared" si="289"/>
        <v>-0.27</v>
      </c>
      <c r="AR93" s="298">
        <f t="shared" si="289"/>
        <v>0.20999999999999996</v>
      </c>
      <c r="AS93" s="538">
        <f t="shared" si="289"/>
        <v>11638020</v>
      </c>
      <c r="AT93" s="532">
        <f t="shared" si="289"/>
        <v>8421281</v>
      </c>
      <c r="AU93" s="532">
        <f t="shared" si="289"/>
        <v>97500</v>
      </c>
      <c r="AV93" s="532">
        <f t="shared" si="289"/>
        <v>2879348</v>
      </c>
      <c r="AW93" s="532">
        <f t="shared" si="289"/>
        <v>84212</v>
      </c>
      <c r="AX93" s="532">
        <f t="shared" si="289"/>
        <v>155679</v>
      </c>
      <c r="AY93" s="533">
        <f t="shared" si="289"/>
        <v>16.3782</v>
      </c>
      <c r="AZ93" s="533">
        <f t="shared" si="289"/>
        <v>11.6715</v>
      </c>
      <c r="BA93" s="298">
        <f t="shared" si="289"/>
        <v>4.7066999999999997</v>
      </c>
    </row>
    <row r="94" spans="1:53" ht="12.95" customHeight="1" x14ac:dyDescent="0.25">
      <c r="A94" s="300">
        <v>16</v>
      </c>
      <c r="B94" s="340">
        <v>5477</v>
      </c>
      <c r="C94" s="341">
        <v>600098541</v>
      </c>
      <c r="D94" s="300">
        <v>70698040</v>
      </c>
      <c r="E94" s="368" t="s">
        <v>455</v>
      </c>
      <c r="F94" s="340">
        <v>3111</v>
      </c>
      <c r="G94" s="364" t="s">
        <v>321</v>
      </c>
      <c r="H94" s="303" t="s">
        <v>277</v>
      </c>
      <c r="I94" s="462">
        <f t="shared" ref="I94:I96" si="290">SUM(J94:M94)</f>
        <v>5200052</v>
      </c>
      <c r="J94" s="457">
        <v>3838911</v>
      </c>
      <c r="K94" s="457">
        <f t="shared" ref="K94:K96" si="291">ROUND(J94*33.8%,0)</f>
        <v>1297552</v>
      </c>
      <c r="L94" s="457">
        <f t="shared" ref="L94:L96" si="292">ROUND(J94*1%,0)</f>
        <v>38389</v>
      </c>
      <c r="M94" s="457">
        <v>25200</v>
      </c>
      <c r="N94" s="458">
        <f t="shared" ref="N94:N96" si="293">O94+P94</f>
        <v>8.0096999999999987</v>
      </c>
      <c r="O94" s="459">
        <v>6.2096999999999998</v>
      </c>
      <c r="P94" s="646">
        <v>1.7999999999999998</v>
      </c>
      <c r="Q94" s="469">
        <f t="shared" ref="Q94:Q96" si="294">W94*-1</f>
        <v>-3250</v>
      </c>
      <c r="R94" s="460">
        <v>0</v>
      </c>
      <c r="S94" s="673">
        <v>0</v>
      </c>
      <c r="T94" s="460">
        <v>0</v>
      </c>
      <c r="U94" s="460">
        <v>0</v>
      </c>
      <c r="V94" s="460">
        <f>SUM(Q94:U94)</f>
        <v>-3250</v>
      </c>
      <c r="W94" s="460">
        <v>3250</v>
      </c>
      <c r="X94" s="460">
        <v>0</v>
      </c>
      <c r="Y94" s="460">
        <v>0</v>
      </c>
      <c r="Z94" s="460">
        <f t="shared" ref="Z94:Z96" si="295">SUM(W94:Y94)</f>
        <v>3250</v>
      </c>
      <c r="AA94" s="460">
        <f t="shared" ref="AA94:AA96" si="296">V94+Z94</f>
        <v>0</v>
      </c>
      <c r="AB94" s="69">
        <f t="shared" ref="AB94:AB96" si="297">ROUND((V94+W94+X94)*33.8%,0)</f>
        <v>0</v>
      </c>
      <c r="AC94" s="69">
        <f t="shared" ref="AC94:AC96" si="298">ROUND(V94*1%,0)</f>
        <v>-33</v>
      </c>
      <c r="AD94" s="460">
        <v>0</v>
      </c>
      <c r="AE94" s="460">
        <v>0</v>
      </c>
      <c r="AF94" s="460">
        <f t="shared" ref="AF94:AF96" si="299">SUM(AD94:AE94)</f>
        <v>0</v>
      </c>
      <c r="AG94" s="460">
        <f t="shared" ref="AG94:AG96" si="300">AA94+AB94+AC94+AF94</f>
        <v>-33</v>
      </c>
      <c r="AH94" s="461">
        <v>0</v>
      </c>
      <c r="AI94" s="461">
        <v>-0.01</v>
      </c>
      <c r="AJ94" s="461">
        <v>0</v>
      </c>
      <c r="AK94" s="461">
        <v>0</v>
      </c>
      <c r="AL94" s="674">
        <v>0</v>
      </c>
      <c r="AM94" s="461">
        <v>0</v>
      </c>
      <c r="AN94" s="461">
        <v>0</v>
      </c>
      <c r="AO94" s="461">
        <v>0</v>
      </c>
      <c r="AP94" s="461">
        <f>AH94+AJ94+AK94+AM94+AN94</f>
        <v>0</v>
      </c>
      <c r="AQ94" s="461">
        <f>AI94+AL94+AO94</f>
        <v>-0.01</v>
      </c>
      <c r="AR94" s="463">
        <f t="shared" ref="AR94:AR96" si="301">SUM(AP94:AQ94)</f>
        <v>-0.01</v>
      </c>
      <c r="AS94" s="469">
        <f>I94+AG94</f>
        <v>5200019</v>
      </c>
      <c r="AT94" s="460">
        <f>J94+V94</f>
        <v>3835661</v>
      </c>
      <c r="AU94" s="460">
        <f t="shared" ref="AU94:AU96" si="302">Z94</f>
        <v>3250</v>
      </c>
      <c r="AV94" s="460">
        <f t="shared" ref="AV94:AW96" si="303">K94+AB94</f>
        <v>1297552</v>
      </c>
      <c r="AW94" s="460">
        <f t="shared" si="303"/>
        <v>38356</v>
      </c>
      <c r="AX94" s="460">
        <f>M94+AF94</f>
        <v>25200</v>
      </c>
      <c r="AY94" s="461">
        <f>N94+AR94</f>
        <v>7.9996999999999989</v>
      </c>
      <c r="AZ94" s="461">
        <f t="shared" ref="AZ94:BA96" si="304">O94+AP94</f>
        <v>6.2096999999999998</v>
      </c>
      <c r="BA94" s="463">
        <f t="shared" si="304"/>
        <v>1.7899999999999998</v>
      </c>
    </row>
    <row r="95" spans="1:53" ht="12.95" customHeight="1" x14ac:dyDescent="0.25">
      <c r="A95" s="300">
        <v>16</v>
      </c>
      <c r="B95" s="340">
        <v>5477</v>
      </c>
      <c r="C95" s="341">
        <v>600098541</v>
      </c>
      <c r="D95" s="300">
        <v>70698040</v>
      </c>
      <c r="E95" s="368" t="s">
        <v>455</v>
      </c>
      <c r="F95" s="340">
        <v>3111</v>
      </c>
      <c r="G95" s="364" t="s">
        <v>308</v>
      </c>
      <c r="H95" s="303" t="s">
        <v>278</v>
      </c>
      <c r="I95" s="462">
        <f t="shared" si="290"/>
        <v>0</v>
      </c>
      <c r="J95" s="457">
        <v>0</v>
      </c>
      <c r="K95" s="457">
        <f t="shared" si="291"/>
        <v>0</v>
      </c>
      <c r="L95" s="457">
        <f t="shared" si="292"/>
        <v>0</v>
      </c>
      <c r="M95" s="457">
        <v>0</v>
      </c>
      <c r="N95" s="458">
        <f t="shared" si="293"/>
        <v>0</v>
      </c>
      <c r="O95" s="459">
        <v>0</v>
      </c>
      <c r="P95" s="646">
        <v>0</v>
      </c>
      <c r="Q95" s="469">
        <f t="shared" si="294"/>
        <v>0</v>
      </c>
      <c r="R95" s="460">
        <v>259835</v>
      </c>
      <c r="S95" s="673">
        <v>0</v>
      </c>
      <c r="T95" s="460">
        <v>0</v>
      </c>
      <c r="U95" s="460">
        <v>0</v>
      </c>
      <c r="V95" s="460">
        <f>SUM(Q95:U95)</f>
        <v>259835</v>
      </c>
      <c r="W95" s="460">
        <v>0</v>
      </c>
      <c r="X95" s="460">
        <v>0</v>
      </c>
      <c r="Y95" s="460">
        <v>0</v>
      </c>
      <c r="Z95" s="460">
        <f t="shared" si="295"/>
        <v>0</v>
      </c>
      <c r="AA95" s="460">
        <f t="shared" si="296"/>
        <v>259835</v>
      </c>
      <c r="AB95" s="69">
        <f t="shared" si="297"/>
        <v>87824</v>
      </c>
      <c r="AC95" s="69">
        <f t="shared" si="298"/>
        <v>2598</v>
      </c>
      <c r="AD95" s="460">
        <v>0</v>
      </c>
      <c r="AE95" s="460">
        <v>0</v>
      </c>
      <c r="AF95" s="460">
        <f t="shared" si="299"/>
        <v>0</v>
      </c>
      <c r="AG95" s="460">
        <f t="shared" si="300"/>
        <v>350257</v>
      </c>
      <c r="AH95" s="461">
        <v>0</v>
      </c>
      <c r="AI95" s="461">
        <v>0</v>
      </c>
      <c r="AJ95" s="461">
        <v>0.75</v>
      </c>
      <c r="AK95" s="461">
        <v>0</v>
      </c>
      <c r="AL95" s="674">
        <v>0</v>
      </c>
      <c r="AM95" s="461">
        <v>0</v>
      </c>
      <c r="AN95" s="461">
        <v>0</v>
      </c>
      <c r="AO95" s="461">
        <v>0</v>
      </c>
      <c r="AP95" s="461">
        <f>AH95+AJ95+AK95+AM95+AN95</f>
        <v>0.75</v>
      </c>
      <c r="AQ95" s="461">
        <f>AI95+AL95+AO95</f>
        <v>0</v>
      </c>
      <c r="AR95" s="463">
        <f t="shared" si="301"/>
        <v>0.75</v>
      </c>
      <c r="AS95" s="469">
        <f>I95+AG95</f>
        <v>350257</v>
      </c>
      <c r="AT95" s="460">
        <f>J95+V95</f>
        <v>259835</v>
      </c>
      <c r="AU95" s="460">
        <f t="shared" si="302"/>
        <v>0</v>
      </c>
      <c r="AV95" s="460">
        <f t="shared" si="303"/>
        <v>87824</v>
      </c>
      <c r="AW95" s="460">
        <f t="shared" si="303"/>
        <v>2598</v>
      </c>
      <c r="AX95" s="460">
        <f>M95+AF95</f>
        <v>0</v>
      </c>
      <c r="AY95" s="461">
        <f>N95+AR95</f>
        <v>0.75</v>
      </c>
      <c r="AZ95" s="461">
        <f t="shared" si="304"/>
        <v>0.75</v>
      </c>
      <c r="BA95" s="463">
        <f t="shared" si="304"/>
        <v>0</v>
      </c>
    </row>
    <row r="96" spans="1:53" ht="12.95" customHeight="1" x14ac:dyDescent="0.25">
      <c r="A96" s="300">
        <v>16</v>
      </c>
      <c r="B96" s="340">
        <v>5477</v>
      </c>
      <c r="C96" s="341">
        <v>600098541</v>
      </c>
      <c r="D96" s="300">
        <v>70698040</v>
      </c>
      <c r="E96" s="368" t="s">
        <v>455</v>
      </c>
      <c r="F96" s="340">
        <v>3141</v>
      </c>
      <c r="G96" s="364" t="s">
        <v>311</v>
      </c>
      <c r="H96" s="303" t="s">
        <v>278</v>
      </c>
      <c r="I96" s="462">
        <f t="shared" si="290"/>
        <v>759427</v>
      </c>
      <c r="J96" s="457">
        <v>560943</v>
      </c>
      <c r="K96" s="457">
        <f t="shared" si="291"/>
        <v>189599</v>
      </c>
      <c r="L96" s="457">
        <f t="shared" si="292"/>
        <v>5609</v>
      </c>
      <c r="M96" s="457">
        <v>3276</v>
      </c>
      <c r="N96" s="458">
        <f t="shared" si="293"/>
        <v>1.8</v>
      </c>
      <c r="O96" s="459">
        <v>0</v>
      </c>
      <c r="P96" s="646">
        <v>1.8</v>
      </c>
      <c r="Q96" s="469">
        <f t="shared" si="294"/>
        <v>0</v>
      </c>
      <c r="R96" s="460">
        <v>0</v>
      </c>
      <c r="S96" s="673">
        <v>0</v>
      </c>
      <c r="T96" s="460">
        <v>0</v>
      </c>
      <c r="U96" s="460">
        <v>0</v>
      </c>
      <c r="V96" s="460">
        <f>SUM(Q96:U96)</f>
        <v>0</v>
      </c>
      <c r="W96" s="460">
        <v>0</v>
      </c>
      <c r="X96" s="460">
        <v>0</v>
      </c>
      <c r="Y96" s="460">
        <v>0</v>
      </c>
      <c r="Z96" s="460">
        <f t="shared" si="295"/>
        <v>0</v>
      </c>
      <c r="AA96" s="460">
        <f t="shared" si="296"/>
        <v>0</v>
      </c>
      <c r="AB96" s="69">
        <f t="shared" si="297"/>
        <v>0</v>
      </c>
      <c r="AC96" s="69">
        <f t="shared" si="298"/>
        <v>0</v>
      </c>
      <c r="AD96" s="460">
        <v>0</v>
      </c>
      <c r="AE96" s="460">
        <v>0</v>
      </c>
      <c r="AF96" s="460">
        <f t="shared" si="299"/>
        <v>0</v>
      </c>
      <c r="AG96" s="460">
        <f t="shared" si="300"/>
        <v>0</v>
      </c>
      <c r="AH96" s="461">
        <v>0</v>
      </c>
      <c r="AI96" s="461">
        <v>0</v>
      </c>
      <c r="AJ96" s="461">
        <v>0</v>
      </c>
      <c r="AK96" s="461">
        <v>0</v>
      </c>
      <c r="AL96" s="674">
        <v>0</v>
      </c>
      <c r="AM96" s="461">
        <v>0</v>
      </c>
      <c r="AN96" s="461">
        <v>0</v>
      </c>
      <c r="AO96" s="461">
        <v>0</v>
      </c>
      <c r="AP96" s="461">
        <f>AH96+AJ96+AK96+AM96+AN96</f>
        <v>0</v>
      </c>
      <c r="AQ96" s="461">
        <f>AI96+AL96+AO96</f>
        <v>0</v>
      </c>
      <c r="AR96" s="463">
        <f t="shared" si="301"/>
        <v>0</v>
      </c>
      <c r="AS96" s="469">
        <f>I96+AG96</f>
        <v>759427</v>
      </c>
      <c r="AT96" s="460">
        <f>J96+V96</f>
        <v>560943</v>
      </c>
      <c r="AU96" s="460">
        <f t="shared" si="302"/>
        <v>0</v>
      </c>
      <c r="AV96" s="460">
        <f t="shared" si="303"/>
        <v>189599</v>
      </c>
      <c r="AW96" s="460">
        <f t="shared" si="303"/>
        <v>5609</v>
      </c>
      <c r="AX96" s="460">
        <f>M96+AF96</f>
        <v>3276</v>
      </c>
      <c r="AY96" s="461">
        <f>N96+AR96</f>
        <v>1.8</v>
      </c>
      <c r="AZ96" s="461">
        <f t="shared" si="304"/>
        <v>0</v>
      </c>
      <c r="BA96" s="463">
        <f t="shared" si="304"/>
        <v>1.8</v>
      </c>
    </row>
    <row r="97" spans="1:53" ht="12.95" customHeight="1" x14ac:dyDescent="0.25">
      <c r="A97" s="310">
        <v>16</v>
      </c>
      <c r="B97" s="344">
        <v>5477</v>
      </c>
      <c r="C97" s="345">
        <v>600098541</v>
      </c>
      <c r="D97" s="344">
        <v>70698040</v>
      </c>
      <c r="E97" s="369" t="s">
        <v>456</v>
      </c>
      <c r="F97" s="344"/>
      <c r="G97" s="370"/>
      <c r="H97" s="371"/>
      <c r="I97" s="560">
        <f t="shared" ref="I97:P97" si="305">SUM(I94:I96)</f>
        <v>5959479</v>
      </c>
      <c r="J97" s="558">
        <f t="shared" si="305"/>
        <v>4399854</v>
      </c>
      <c r="K97" s="558">
        <f t="shared" si="305"/>
        <v>1487151</v>
      </c>
      <c r="L97" s="558">
        <f t="shared" si="305"/>
        <v>43998</v>
      </c>
      <c r="M97" s="558">
        <f t="shared" si="305"/>
        <v>28476</v>
      </c>
      <c r="N97" s="559">
        <f t="shared" si="305"/>
        <v>9.8096999999999994</v>
      </c>
      <c r="O97" s="559">
        <f t="shared" si="305"/>
        <v>6.2096999999999998</v>
      </c>
      <c r="P97" s="372">
        <f t="shared" si="305"/>
        <v>3.5999999999999996</v>
      </c>
      <c r="Q97" s="561">
        <f t="shared" ref="Q97:BA97" si="306">SUM(Q94:Q96)</f>
        <v>-3250</v>
      </c>
      <c r="R97" s="558">
        <f t="shared" si="306"/>
        <v>259835</v>
      </c>
      <c r="S97" s="558">
        <f t="shared" si="306"/>
        <v>0</v>
      </c>
      <c r="T97" s="558">
        <f t="shared" si="306"/>
        <v>0</v>
      </c>
      <c r="U97" s="558">
        <f t="shared" si="306"/>
        <v>0</v>
      </c>
      <c r="V97" s="558">
        <f t="shared" si="306"/>
        <v>256585</v>
      </c>
      <c r="W97" s="558">
        <f t="shared" si="306"/>
        <v>3250</v>
      </c>
      <c r="X97" s="558">
        <f t="shared" si="306"/>
        <v>0</v>
      </c>
      <c r="Y97" s="558">
        <f t="shared" si="306"/>
        <v>0</v>
      </c>
      <c r="Z97" s="558">
        <f t="shared" si="306"/>
        <v>3250</v>
      </c>
      <c r="AA97" s="558">
        <f t="shared" si="306"/>
        <v>259835</v>
      </c>
      <c r="AB97" s="558">
        <f t="shared" si="306"/>
        <v>87824</v>
      </c>
      <c r="AC97" s="558">
        <f t="shared" si="306"/>
        <v>2565</v>
      </c>
      <c r="AD97" s="558">
        <f t="shared" si="306"/>
        <v>0</v>
      </c>
      <c r="AE97" s="558">
        <f t="shared" si="306"/>
        <v>0</v>
      </c>
      <c r="AF97" s="558">
        <f t="shared" si="306"/>
        <v>0</v>
      </c>
      <c r="AG97" s="558">
        <f t="shared" si="306"/>
        <v>350224</v>
      </c>
      <c r="AH97" s="559">
        <f t="shared" si="306"/>
        <v>0</v>
      </c>
      <c r="AI97" s="559">
        <f t="shared" si="306"/>
        <v>-0.01</v>
      </c>
      <c r="AJ97" s="559">
        <f t="shared" si="306"/>
        <v>0.75</v>
      </c>
      <c r="AK97" s="559">
        <f t="shared" si="306"/>
        <v>0</v>
      </c>
      <c r="AL97" s="559">
        <f t="shared" si="306"/>
        <v>0</v>
      </c>
      <c r="AM97" s="559">
        <f t="shared" si="306"/>
        <v>0</v>
      </c>
      <c r="AN97" s="559">
        <f t="shared" si="306"/>
        <v>0</v>
      </c>
      <c r="AO97" s="559">
        <f t="shared" si="306"/>
        <v>0</v>
      </c>
      <c r="AP97" s="559">
        <f t="shared" si="306"/>
        <v>0.75</v>
      </c>
      <c r="AQ97" s="559">
        <f t="shared" si="306"/>
        <v>-0.01</v>
      </c>
      <c r="AR97" s="372">
        <f t="shared" si="306"/>
        <v>0.74</v>
      </c>
      <c r="AS97" s="561">
        <f t="shared" si="306"/>
        <v>6309703</v>
      </c>
      <c r="AT97" s="558">
        <f t="shared" si="306"/>
        <v>4656439</v>
      </c>
      <c r="AU97" s="558">
        <f t="shared" si="306"/>
        <v>3250</v>
      </c>
      <c r="AV97" s="558">
        <f t="shared" si="306"/>
        <v>1574975</v>
      </c>
      <c r="AW97" s="558">
        <f t="shared" si="306"/>
        <v>46563</v>
      </c>
      <c r="AX97" s="558">
        <f t="shared" si="306"/>
        <v>28476</v>
      </c>
      <c r="AY97" s="559">
        <f t="shared" si="306"/>
        <v>10.5497</v>
      </c>
      <c r="AZ97" s="559">
        <f t="shared" si="306"/>
        <v>6.9596999999999998</v>
      </c>
      <c r="BA97" s="372">
        <f t="shared" si="306"/>
        <v>3.59</v>
      </c>
    </row>
    <row r="98" spans="1:53" ht="12.95" customHeight="1" x14ac:dyDescent="0.25">
      <c r="A98" s="300">
        <v>17</v>
      </c>
      <c r="B98" s="340">
        <v>5478</v>
      </c>
      <c r="C98" s="341">
        <v>600098818</v>
      </c>
      <c r="D98" s="300">
        <v>70698031</v>
      </c>
      <c r="E98" s="368" t="s">
        <v>457</v>
      </c>
      <c r="F98" s="340">
        <v>3111</v>
      </c>
      <c r="G98" s="364" t="s">
        <v>321</v>
      </c>
      <c r="H98" s="303" t="s">
        <v>277</v>
      </c>
      <c r="I98" s="462">
        <f t="shared" ref="I98:I100" si="307">SUM(J98:M98)</f>
        <v>3458679</v>
      </c>
      <c r="J98" s="457">
        <v>2553916</v>
      </c>
      <c r="K98" s="457">
        <f t="shared" ref="K98:K100" si="308">ROUND(J98*33.8%,0)</f>
        <v>863224</v>
      </c>
      <c r="L98" s="457">
        <f t="shared" ref="L98:L100" si="309">ROUND(J98*1%,0)</f>
        <v>25539</v>
      </c>
      <c r="M98" s="457">
        <v>16000</v>
      </c>
      <c r="N98" s="458">
        <f t="shared" ref="N98:N100" si="310">O98+P98</f>
        <v>5.1521999999999997</v>
      </c>
      <c r="O98" s="459">
        <v>4.0321999999999996</v>
      </c>
      <c r="P98" s="646">
        <v>1.1200000000000001</v>
      </c>
      <c r="Q98" s="469">
        <f t="shared" ref="Q98:Q100" si="311">W98*-1</f>
        <v>0</v>
      </c>
      <c r="R98" s="460">
        <v>0</v>
      </c>
      <c r="S98" s="673">
        <v>0</v>
      </c>
      <c r="T98" s="460">
        <v>0</v>
      </c>
      <c r="U98" s="460">
        <v>0</v>
      </c>
      <c r="V98" s="460">
        <f>SUM(Q98:U98)</f>
        <v>0</v>
      </c>
      <c r="W98" s="460">
        <v>0</v>
      </c>
      <c r="X98" s="460">
        <v>0</v>
      </c>
      <c r="Y98" s="460">
        <v>0</v>
      </c>
      <c r="Z98" s="460">
        <f t="shared" ref="Z98:Z100" si="312">SUM(W98:Y98)</f>
        <v>0</v>
      </c>
      <c r="AA98" s="460">
        <f t="shared" ref="AA98:AA100" si="313">V98+Z98</f>
        <v>0</v>
      </c>
      <c r="AB98" s="69">
        <f t="shared" ref="AB98:AB100" si="314">ROUND((V98+W98+X98)*33.8%,0)</f>
        <v>0</v>
      </c>
      <c r="AC98" s="69">
        <f t="shared" ref="AC98:AC100" si="315">ROUND(V98*1%,0)</f>
        <v>0</v>
      </c>
      <c r="AD98" s="460">
        <v>0</v>
      </c>
      <c r="AE98" s="460">
        <v>0</v>
      </c>
      <c r="AF98" s="460">
        <f t="shared" ref="AF98:AF100" si="316">SUM(AD98:AE98)</f>
        <v>0</v>
      </c>
      <c r="AG98" s="460">
        <f t="shared" ref="AG98:AG100" si="317">AA98+AB98+AC98+AF98</f>
        <v>0</v>
      </c>
      <c r="AH98" s="461">
        <v>0</v>
      </c>
      <c r="AI98" s="461">
        <v>0</v>
      </c>
      <c r="AJ98" s="461">
        <v>0</v>
      </c>
      <c r="AK98" s="461">
        <v>0</v>
      </c>
      <c r="AL98" s="674">
        <v>0</v>
      </c>
      <c r="AM98" s="461">
        <v>0</v>
      </c>
      <c r="AN98" s="461">
        <v>0</v>
      </c>
      <c r="AO98" s="461">
        <v>0</v>
      </c>
      <c r="AP98" s="461">
        <f>AH98+AJ98+AK98+AM98+AN98</f>
        <v>0</v>
      </c>
      <c r="AQ98" s="461">
        <f>AI98+AL98+AO98</f>
        <v>0</v>
      </c>
      <c r="AR98" s="463">
        <f t="shared" ref="AR98:AR100" si="318">SUM(AP98:AQ98)</f>
        <v>0</v>
      </c>
      <c r="AS98" s="469">
        <f>I98+AG98</f>
        <v>3458679</v>
      </c>
      <c r="AT98" s="460">
        <f>J98+V98</f>
        <v>2553916</v>
      </c>
      <c r="AU98" s="460">
        <f t="shared" ref="AU98:AU100" si="319">Z98</f>
        <v>0</v>
      </c>
      <c r="AV98" s="460">
        <f t="shared" ref="AV98:AW100" si="320">K98+AB98</f>
        <v>863224</v>
      </c>
      <c r="AW98" s="460">
        <f t="shared" si="320"/>
        <v>25539</v>
      </c>
      <c r="AX98" s="460">
        <f>M98+AF98</f>
        <v>16000</v>
      </c>
      <c r="AY98" s="461">
        <f>N98+AR98</f>
        <v>5.1521999999999997</v>
      </c>
      <c r="AZ98" s="461">
        <f t="shared" ref="AZ98:BA100" si="321">O98+AP98</f>
        <v>4.0321999999999996</v>
      </c>
      <c r="BA98" s="463">
        <f t="shared" si="321"/>
        <v>1.1200000000000001</v>
      </c>
    </row>
    <row r="99" spans="1:53" ht="12.95" customHeight="1" x14ac:dyDescent="0.25">
      <c r="A99" s="300">
        <v>17</v>
      </c>
      <c r="B99" s="340">
        <v>5478</v>
      </c>
      <c r="C99" s="341">
        <v>600098818</v>
      </c>
      <c r="D99" s="300">
        <v>70698031</v>
      </c>
      <c r="E99" s="368" t="s">
        <v>457</v>
      </c>
      <c r="F99" s="340">
        <v>3111</v>
      </c>
      <c r="G99" s="364" t="s">
        <v>308</v>
      </c>
      <c r="H99" s="303" t="s">
        <v>278</v>
      </c>
      <c r="I99" s="462">
        <f t="shared" si="307"/>
        <v>0</v>
      </c>
      <c r="J99" s="457">
        <v>0</v>
      </c>
      <c r="K99" s="457">
        <f t="shared" si="308"/>
        <v>0</v>
      </c>
      <c r="L99" s="457">
        <f t="shared" si="309"/>
        <v>0</v>
      </c>
      <c r="M99" s="457">
        <v>0</v>
      </c>
      <c r="N99" s="458">
        <f t="shared" si="310"/>
        <v>0</v>
      </c>
      <c r="O99" s="459">
        <v>0</v>
      </c>
      <c r="P99" s="646">
        <v>0</v>
      </c>
      <c r="Q99" s="469">
        <f t="shared" si="311"/>
        <v>0</v>
      </c>
      <c r="R99" s="460">
        <v>346446</v>
      </c>
      <c r="S99" s="673">
        <v>0</v>
      </c>
      <c r="T99" s="460">
        <v>0</v>
      </c>
      <c r="U99" s="460">
        <v>0</v>
      </c>
      <c r="V99" s="460">
        <f>SUM(Q99:U99)</f>
        <v>346446</v>
      </c>
      <c r="W99" s="460">
        <v>0</v>
      </c>
      <c r="X99" s="460">
        <v>0</v>
      </c>
      <c r="Y99" s="460">
        <v>0</v>
      </c>
      <c r="Z99" s="460">
        <f t="shared" si="312"/>
        <v>0</v>
      </c>
      <c r="AA99" s="460">
        <f t="shared" si="313"/>
        <v>346446</v>
      </c>
      <c r="AB99" s="69">
        <f t="shared" si="314"/>
        <v>117099</v>
      </c>
      <c r="AC99" s="69">
        <f t="shared" si="315"/>
        <v>3464</v>
      </c>
      <c r="AD99" s="460">
        <v>0</v>
      </c>
      <c r="AE99" s="460">
        <v>0</v>
      </c>
      <c r="AF99" s="460">
        <f t="shared" si="316"/>
        <v>0</v>
      </c>
      <c r="AG99" s="460">
        <f t="shared" si="317"/>
        <v>467009</v>
      </c>
      <c r="AH99" s="461">
        <v>0</v>
      </c>
      <c r="AI99" s="461">
        <v>0</v>
      </c>
      <c r="AJ99" s="461">
        <v>1</v>
      </c>
      <c r="AK99" s="461">
        <v>0</v>
      </c>
      <c r="AL99" s="674">
        <v>0</v>
      </c>
      <c r="AM99" s="461">
        <v>0</v>
      </c>
      <c r="AN99" s="461">
        <v>0</v>
      </c>
      <c r="AO99" s="461">
        <v>0</v>
      </c>
      <c r="AP99" s="461">
        <f>AH99+AJ99+AK99+AM99+AN99</f>
        <v>1</v>
      </c>
      <c r="AQ99" s="461">
        <f>AI99+AL99+AO99</f>
        <v>0</v>
      </c>
      <c r="AR99" s="463">
        <f t="shared" si="318"/>
        <v>1</v>
      </c>
      <c r="AS99" s="469">
        <f>I99+AG99</f>
        <v>467009</v>
      </c>
      <c r="AT99" s="460">
        <f>J99+V99</f>
        <v>346446</v>
      </c>
      <c r="AU99" s="460">
        <f t="shared" si="319"/>
        <v>0</v>
      </c>
      <c r="AV99" s="460">
        <f t="shared" si="320"/>
        <v>117099</v>
      </c>
      <c r="AW99" s="460">
        <f t="shared" si="320"/>
        <v>3464</v>
      </c>
      <c r="AX99" s="460">
        <f>M99+AF99</f>
        <v>0</v>
      </c>
      <c r="AY99" s="461">
        <f>N99+AR99</f>
        <v>1</v>
      </c>
      <c r="AZ99" s="461">
        <f t="shared" si="321"/>
        <v>1</v>
      </c>
      <c r="BA99" s="463">
        <f t="shared" si="321"/>
        <v>0</v>
      </c>
    </row>
    <row r="100" spans="1:53" ht="12.95" customHeight="1" x14ac:dyDescent="0.25">
      <c r="A100" s="300">
        <v>17</v>
      </c>
      <c r="B100" s="300">
        <v>5478</v>
      </c>
      <c r="C100" s="349">
        <v>600098818</v>
      </c>
      <c r="D100" s="300">
        <v>70698031</v>
      </c>
      <c r="E100" s="302" t="s">
        <v>457</v>
      </c>
      <c r="F100" s="300">
        <v>3141</v>
      </c>
      <c r="G100" s="364" t="s">
        <v>311</v>
      </c>
      <c r="H100" s="303" t="s">
        <v>278</v>
      </c>
      <c r="I100" s="462">
        <f t="shared" si="307"/>
        <v>556374</v>
      </c>
      <c r="J100" s="457">
        <v>411197</v>
      </c>
      <c r="K100" s="457">
        <f t="shared" si="308"/>
        <v>138985</v>
      </c>
      <c r="L100" s="457">
        <f t="shared" si="309"/>
        <v>4112</v>
      </c>
      <c r="M100" s="457">
        <v>2080</v>
      </c>
      <c r="N100" s="458">
        <f t="shared" si="310"/>
        <v>1.32</v>
      </c>
      <c r="O100" s="459">
        <v>0</v>
      </c>
      <c r="P100" s="646">
        <v>1.32</v>
      </c>
      <c r="Q100" s="469">
        <f t="shared" si="311"/>
        <v>0</v>
      </c>
      <c r="R100" s="460">
        <v>0</v>
      </c>
      <c r="S100" s="673">
        <v>0</v>
      </c>
      <c r="T100" s="460">
        <v>0</v>
      </c>
      <c r="U100" s="460">
        <v>0</v>
      </c>
      <c r="V100" s="460">
        <f>SUM(Q100:U100)</f>
        <v>0</v>
      </c>
      <c r="W100" s="460">
        <v>0</v>
      </c>
      <c r="X100" s="460">
        <v>0</v>
      </c>
      <c r="Y100" s="460">
        <v>0</v>
      </c>
      <c r="Z100" s="460">
        <f t="shared" si="312"/>
        <v>0</v>
      </c>
      <c r="AA100" s="460">
        <f t="shared" si="313"/>
        <v>0</v>
      </c>
      <c r="AB100" s="69">
        <f t="shared" si="314"/>
        <v>0</v>
      </c>
      <c r="AC100" s="69">
        <f t="shared" si="315"/>
        <v>0</v>
      </c>
      <c r="AD100" s="460">
        <v>0</v>
      </c>
      <c r="AE100" s="460">
        <v>0</v>
      </c>
      <c r="AF100" s="460">
        <f t="shared" si="316"/>
        <v>0</v>
      </c>
      <c r="AG100" s="460">
        <f t="shared" si="317"/>
        <v>0</v>
      </c>
      <c r="AH100" s="461">
        <v>0</v>
      </c>
      <c r="AI100" s="461">
        <v>0</v>
      </c>
      <c r="AJ100" s="461">
        <v>0</v>
      </c>
      <c r="AK100" s="461">
        <v>0</v>
      </c>
      <c r="AL100" s="674">
        <v>0</v>
      </c>
      <c r="AM100" s="461">
        <v>0</v>
      </c>
      <c r="AN100" s="461">
        <v>0</v>
      </c>
      <c r="AO100" s="461">
        <v>0</v>
      </c>
      <c r="AP100" s="461">
        <f>AH100+AJ100+AK100+AM100+AN100</f>
        <v>0</v>
      </c>
      <c r="AQ100" s="461">
        <f>AI100+AL100+AO100</f>
        <v>0</v>
      </c>
      <c r="AR100" s="463">
        <f t="shared" si="318"/>
        <v>0</v>
      </c>
      <c r="AS100" s="469">
        <f>I100+AG100</f>
        <v>556374</v>
      </c>
      <c r="AT100" s="460">
        <f>J100+V100</f>
        <v>411197</v>
      </c>
      <c r="AU100" s="460">
        <f t="shared" si="319"/>
        <v>0</v>
      </c>
      <c r="AV100" s="460">
        <f t="shared" si="320"/>
        <v>138985</v>
      </c>
      <c r="AW100" s="460">
        <f t="shared" si="320"/>
        <v>4112</v>
      </c>
      <c r="AX100" s="460">
        <f>M100+AF100</f>
        <v>2080</v>
      </c>
      <c r="AY100" s="461">
        <f>N100+AR100</f>
        <v>1.32</v>
      </c>
      <c r="AZ100" s="461">
        <f t="shared" si="321"/>
        <v>0</v>
      </c>
      <c r="BA100" s="463">
        <f t="shared" si="321"/>
        <v>1.32</v>
      </c>
    </row>
    <row r="101" spans="1:53" ht="12.95" customHeight="1" x14ac:dyDescent="0.25">
      <c r="A101" s="310">
        <v>17</v>
      </c>
      <c r="B101" s="294">
        <v>5478</v>
      </c>
      <c r="C101" s="365">
        <v>600098818</v>
      </c>
      <c r="D101" s="294">
        <v>70698031</v>
      </c>
      <c r="E101" s="307" t="s">
        <v>458</v>
      </c>
      <c r="F101" s="294"/>
      <c r="G101" s="366"/>
      <c r="H101" s="367"/>
      <c r="I101" s="560">
        <f>SUM(I98:I100)</f>
        <v>4015053</v>
      </c>
      <c r="J101" s="558">
        <f t="shared" ref="J101:M101" si="322">SUM(J98:J100)</f>
        <v>2965113</v>
      </c>
      <c r="K101" s="558">
        <f t="shared" si="322"/>
        <v>1002209</v>
      </c>
      <c r="L101" s="558">
        <f t="shared" si="322"/>
        <v>29651</v>
      </c>
      <c r="M101" s="558">
        <f t="shared" si="322"/>
        <v>18080</v>
      </c>
      <c r="N101" s="559">
        <f>SUM(N98:N100)</f>
        <v>6.4722</v>
      </c>
      <c r="O101" s="559">
        <f t="shared" ref="O101:BA101" si="323">SUM(O98:O100)</f>
        <v>4.0321999999999996</v>
      </c>
      <c r="P101" s="372">
        <f t="shared" si="323"/>
        <v>2.4400000000000004</v>
      </c>
      <c r="Q101" s="561">
        <f t="shared" si="323"/>
        <v>0</v>
      </c>
      <c r="R101" s="558">
        <f t="shared" si="323"/>
        <v>346446</v>
      </c>
      <c r="S101" s="558">
        <f t="shared" si="323"/>
        <v>0</v>
      </c>
      <c r="T101" s="558">
        <f t="shared" si="323"/>
        <v>0</v>
      </c>
      <c r="U101" s="558">
        <f t="shared" si="323"/>
        <v>0</v>
      </c>
      <c r="V101" s="558">
        <f t="shared" si="323"/>
        <v>346446</v>
      </c>
      <c r="W101" s="558">
        <f t="shared" si="323"/>
        <v>0</v>
      </c>
      <c r="X101" s="558">
        <f t="shared" si="323"/>
        <v>0</v>
      </c>
      <c r="Y101" s="558">
        <f t="shared" si="323"/>
        <v>0</v>
      </c>
      <c r="Z101" s="558">
        <f t="shared" si="323"/>
        <v>0</v>
      </c>
      <c r="AA101" s="558">
        <f t="shared" si="323"/>
        <v>346446</v>
      </c>
      <c r="AB101" s="558">
        <f t="shared" si="323"/>
        <v>117099</v>
      </c>
      <c r="AC101" s="558">
        <f t="shared" si="323"/>
        <v>3464</v>
      </c>
      <c r="AD101" s="558">
        <f t="shared" si="323"/>
        <v>0</v>
      </c>
      <c r="AE101" s="558">
        <f t="shared" si="323"/>
        <v>0</v>
      </c>
      <c r="AF101" s="558">
        <f t="shared" si="323"/>
        <v>0</v>
      </c>
      <c r="AG101" s="558">
        <f t="shared" si="323"/>
        <v>467009</v>
      </c>
      <c r="AH101" s="559">
        <f t="shared" si="323"/>
        <v>0</v>
      </c>
      <c r="AI101" s="559">
        <f t="shared" si="323"/>
        <v>0</v>
      </c>
      <c r="AJ101" s="559">
        <f t="shared" si="323"/>
        <v>1</v>
      </c>
      <c r="AK101" s="559">
        <f t="shared" si="323"/>
        <v>0</v>
      </c>
      <c r="AL101" s="559">
        <f t="shared" si="323"/>
        <v>0</v>
      </c>
      <c r="AM101" s="559">
        <f t="shared" si="323"/>
        <v>0</v>
      </c>
      <c r="AN101" s="559">
        <f t="shared" si="323"/>
        <v>0</v>
      </c>
      <c r="AO101" s="559">
        <f t="shared" si="323"/>
        <v>0</v>
      </c>
      <c r="AP101" s="559">
        <f t="shared" si="323"/>
        <v>1</v>
      </c>
      <c r="AQ101" s="559">
        <f t="shared" si="323"/>
        <v>0</v>
      </c>
      <c r="AR101" s="372">
        <f t="shared" si="323"/>
        <v>1</v>
      </c>
      <c r="AS101" s="561">
        <f t="shared" si="323"/>
        <v>4482062</v>
      </c>
      <c r="AT101" s="558">
        <f t="shared" si="323"/>
        <v>3311559</v>
      </c>
      <c r="AU101" s="558">
        <f t="shared" si="323"/>
        <v>0</v>
      </c>
      <c r="AV101" s="558">
        <f t="shared" si="323"/>
        <v>1119308</v>
      </c>
      <c r="AW101" s="558">
        <f t="shared" si="323"/>
        <v>33115</v>
      </c>
      <c r="AX101" s="558">
        <f t="shared" si="323"/>
        <v>18080</v>
      </c>
      <c r="AY101" s="559">
        <f t="shared" si="323"/>
        <v>7.4722</v>
      </c>
      <c r="AZ101" s="559">
        <f t="shared" si="323"/>
        <v>5.0321999999999996</v>
      </c>
      <c r="BA101" s="372">
        <f t="shared" si="323"/>
        <v>2.4400000000000004</v>
      </c>
    </row>
    <row r="102" spans="1:53" ht="12.95" customHeight="1" x14ac:dyDescent="0.25">
      <c r="A102" s="300">
        <v>18</v>
      </c>
      <c r="B102" s="340">
        <v>5479</v>
      </c>
      <c r="C102" s="341">
        <v>600099105</v>
      </c>
      <c r="D102" s="300">
        <v>70910600</v>
      </c>
      <c r="E102" s="752" t="s">
        <v>843</v>
      </c>
      <c r="F102" s="340">
        <v>3113</v>
      </c>
      <c r="G102" s="364" t="s">
        <v>325</v>
      </c>
      <c r="H102" s="303" t="s">
        <v>277</v>
      </c>
      <c r="I102" s="462">
        <f t="shared" ref="I102:I107" si="324">SUM(J102:M102)</f>
        <v>15257326</v>
      </c>
      <c r="J102" s="457">
        <v>11123350</v>
      </c>
      <c r="K102" s="457">
        <f>ROUND(J102*33.8%,0)+1</f>
        <v>3759693</v>
      </c>
      <c r="L102" s="457">
        <f>ROUND(J102*1%,0)-1</f>
        <v>111233</v>
      </c>
      <c r="M102" s="457">
        <v>263050</v>
      </c>
      <c r="N102" s="458">
        <f t="shared" ref="N102:N108" si="325">O102+P102</f>
        <v>18.999000000000002</v>
      </c>
      <c r="O102" s="459">
        <v>14.909000000000001</v>
      </c>
      <c r="P102" s="646">
        <v>4.09</v>
      </c>
      <c r="Q102" s="469">
        <f t="shared" ref="Q102:Q108" si="326">W102*-1</f>
        <v>-19500</v>
      </c>
      <c r="R102" s="460">
        <v>0</v>
      </c>
      <c r="S102" s="673">
        <v>0</v>
      </c>
      <c r="T102" s="460">
        <v>0</v>
      </c>
      <c r="U102" s="460">
        <v>0</v>
      </c>
      <c r="V102" s="460">
        <f t="shared" ref="V102:V108" si="327">SUM(Q102:U102)</f>
        <v>-19500</v>
      </c>
      <c r="W102" s="460">
        <v>19500</v>
      </c>
      <c r="X102" s="460">
        <v>0</v>
      </c>
      <c r="Y102" s="460">
        <v>0</v>
      </c>
      <c r="Z102" s="460">
        <f t="shared" ref="Z102:Z108" si="328">SUM(W102:Y102)</f>
        <v>19500</v>
      </c>
      <c r="AA102" s="460">
        <f t="shared" ref="AA102:AA108" si="329">V102+Z102</f>
        <v>0</v>
      </c>
      <c r="AB102" s="69">
        <f t="shared" ref="AB102:AB108" si="330">ROUND((V102+W102+X102)*33.8%,0)</f>
        <v>0</v>
      </c>
      <c r="AC102" s="69">
        <f t="shared" ref="AC102:AC108" si="331">ROUND(V102*1%,0)</f>
        <v>-195</v>
      </c>
      <c r="AD102" s="460">
        <v>0</v>
      </c>
      <c r="AE102" s="460">
        <v>0</v>
      </c>
      <c r="AF102" s="460">
        <f t="shared" ref="AF102:AF108" si="332">SUM(AD102:AE102)</f>
        <v>0</v>
      </c>
      <c r="AG102" s="460">
        <f t="shared" ref="AG102:AG108" si="333">AA102+AB102+AC102+AF102</f>
        <v>-195</v>
      </c>
      <c r="AH102" s="461">
        <v>-0.01</v>
      </c>
      <c r="AI102" s="461">
        <v>-0.03</v>
      </c>
      <c r="AJ102" s="461">
        <v>0</v>
      </c>
      <c r="AK102" s="461">
        <v>0</v>
      </c>
      <c r="AL102" s="674">
        <v>0</v>
      </c>
      <c r="AM102" s="461">
        <v>0</v>
      </c>
      <c r="AN102" s="461">
        <v>0</v>
      </c>
      <c r="AO102" s="461">
        <v>0</v>
      </c>
      <c r="AP102" s="461">
        <f t="shared" ref="AP102:AP108" si="334">AH102+AJ102+AK102+AM102+AN102</f>
        <v>-0.01</v>
      </c>
      <c r="AQ102" s="461">
        <f t="shared" ref="AQ102:AQ108" si="335">AI102+AL102+AO102</f>
        <v>-0.03</v>
      </c>
      <c r="AR102" s="463">
        <f t="shared" ref="AR102:AR108" si="336">SUM(AP102:AQ102)</f>
        <v>-0.04</v>
      </c>
      <c r="AS102" s="469">
        <f t="shared" ref="AS102:AS108" si="337">I102+AG102</f>
        <v>15257131</v>
      </c>
      <c r="AT102" s="460">
        <f t="shared" ref="AT102:AT108" si="338">J102+V102</f>
        <v>11103850</v>
      </c>
      <c r="AU102" s="460">
        <f t="shared" ref="AU102:AU108" si="339">Z102</f>
        <v>19500</v>
      </c>
      <c r="AV102" s="460">
        <f t="shared" ref="AV102:AW108" si="340">K102+AB102</f>
        <v>3759693</v>
      </c>
      <c r="AW102" s="460">
        <f t="shared" si="340"/>
        <v>111038</v>
      </c>
      <c r="AX102" s="460">
        <f t="shared" ref="AX102:AX108" si="341">M102+AF102</f>
        <v>263050</v>
      </c>
      <c r="AY102" s="461">
        <f t="shared" ref="AY102:AY108" si="342">N102+AR102</f>
        <v>18.959000000000003</v>
      </c>
      <c r="AZ102" s="461">
        <f t="shared" ref="AZ102:BA108" si="343">O102+AP102</f>
        <v>14.899000000000001</v>
      </c>
      <c r="BA102" s="463">
        <f t="shared" si="343"/>
        <v>4.0599999999999996</v>
      </c>
    </row>
    <row r="103" spans="1:53" ht="12.95" customHeight="1" x14ac:dyDescent="0.25">
      <c r="A103" s="300">
        <v>18</v>
      </c>
      <c r="B103" s="340">
        <v>5479</v>
      </c>
      <c r="C103" s="341">
        <v>600099105</v>
      </c>
      <c r="D103" s="300">
        <v>70910600</v>
      </c>
      <c r="E103" s="752" t="s">
        <v>843</v>
      </c>
      <c r="F103" s="340">
        <v>3113</v>
      </c>
      <c r="G103" s="305" t="s">
        <v>309</v>
      </c>
      <c r="H103" s="303" t="s">
        <v>277</v>
      </c>
      <c r="I103" s="462">
        <f t="shared" si="324"/>
        <v>435238</v>
      </c>
      <c r="J103" s="457">
        <v>322877</v>
      </c>
      <c r="K103" s="457">
        <f t="shared" ref="K103:K108" si="344">ROUND(J103*33.8%,0)</f>
        <v>109132</v>
      </c>
      <c r="L103" s="457">
        <f t="shared" ref="L103:L108" si="345">ROUND(J103*1%,0)</f>
        <v>3229</v>
      </c>
      <c r="M103" s="457">
        <v>0</v>
      </c>
      <c r="N103" s="458">
        <f t="shared" si="325"/>
        <v>0.80559999999999998</v>
      </c>
      <c r="O103" s="459">
        <v>0.80559999999999998</v>
      </c>
      <c r="P103" s="646">
        <v>0</v>
      </c>
      <c r="Q103" s="469">
        <f t="shared" si="326"/>
        <v>0</v>
      </c>
      <c r="R103" s="460">
        <v>0</v>
      </c>
      <c r="S103" s="673">
        <v>0</v>
      </c>
      <c r="T103" s="460">
        <v>0</v>
      </c>
      <c r="U103" s="460">
        <v>0</v>
      </c>
      <c r="V103" s="460">
        <f t="shared" si="327"/>
        <v>0</v>
      </c>
      <c r="W103" s="460">
        <v>0</v>
      </c>
      <c r="X103" s="460">
        <v>0</v>
      </c>
      <c r="Y103" s="460">
        <v>0</v>
      </c>
      <c r="Z103" s="460">
        <f t="shared" si="328"/>
        <v>0</v>
      </c>
      <c r="AA103" s="460">
        <f t="shared" si="329"/>
        <v>0</v>
      </c>
      <c r="AB103" s="69">
        <f t="shared" si="330"/>
        <v>0</v>
      </c>
      <c r="AC103" s="69">
        <f t="shared" si="331"/>
        <v>0</v>
      </c>
      <c r="AD103" s="460">
        <v>0</v>
      </c>
      <c r="AE103" s="460">
        <v>0</v>
      </c>
      <c r="AF103" s="460">
        <f t="shared" si="332"/>
        <v>0</v>
      </c>
      <c r="AG103" s="460">
        <f t="shared" si="333"/>
        <v>0</v>
      </c>
      <c r="AH103" s="461">
        <v>0</v>
      </c>
      <c r="AI103" s="461">
        <v>0</v>
      </c>
      <c r="AJ103" s="461">
        <v>0</v>
      </c>
      <c r="AK103" s="461">
        <v>0</v>
      </c>
      <c r="AL103" s="674">
        <v>0</v>
      </c>
      <c r="AM103" s="461">
        <v>0</v>
      </c>
      <c r="AN103" s="461">
        <v>0</v>
      </c>
      <c r="AO103" s="461">
        <v>0</v>
      </c>
      <c r="AP103" s="461">
        <f t="shared" si="334"/>
        <v>0</v>
      </c>
      <c r="AQ103" s="461">
        <f t="shared" si="335"/>
        <v>0</v>
      </c>
      <c r="AR103" s="463">
        <f t="shared" si="336"/>
        <v>0</v>
      </c>
      <c r="AS103" s="469">
        <f t="shared" si="337"/>
        <v>435238</v>
      </c>
      <c r="AT103" s="460">
        <f t="shared" si="338"/>
        <v>322877</v>
      </c>
      <c r="AU103" s="460">
        <f t="shared" si="339"/>
        <v>0</v>
      </c>
      <c r="AV103" s="460">
        <f t="shared" si="340"/>
        <v>109132</v>
      </c>
      <c r="AW103" s="460">
        <f t="shared" si="340"/>
        <v>3229</v>
      </c>
      <c r="AX103" s="460">
        <f t="shared" si="341"/>
        <v>0</v>
      </c>
      <c r="AY103" s="461">
        <f t="shared" si="342"/>
        <v>0.80559999999999998</v>
      </c>
      <c r="AZ103" s="461">
        <f t="shared" si="343"/>
        <v>0.80559999999999998</v>
      </c>
      <c r="BA103" s="463">
        <f t="shared" si="343"/>
        <v>0</v>
      </c>
    </row>
    <row r="104" spans="1:53" ht="12.95" customHeight="1" x14ac:dyDescent="0.25">
      <c r="A104" s="300">
        <v>18</v>
      </c>
      <c r="B104" s="340">
        <v>5479</v>
      </c>
      <c r="C104" s="341">
        <v>600099105</v>
      </c>
      <c r="D104" s="300">
        <v>70910600</v>
      </c>
      <c r="E104" s="752" t="s">
        <v>843</v>
      </c>
      <c r="F104" s="340">
        <v>3113</v>
      </c>
      <c r="G104" s="303" t="s">
        <v>308</v>
      </c>
      <c r="H104" s="303" t="s">
        <v>278</v>
      </c>
      <c r="I104" s="462">
        <f t="shared" si="324"/>
        <v>0</v>
      </c>
      <c r="J104" s="457">
        <v>0</v>
      </c>
      <c r="K104" s="457">
        <f t="shared" si="344"/>
        <v>0</v>
      </c>
      <c r="L104" s="457">
        <f t="shared" si="345"/>
        <v>0</v>
      </c>
      <c r="M104" s="457">
        <v>0</v>
      </c>
      <c r="N104" s="458">
        <f t="shared" si="325"/>
        <v>0</v>
      </c>
      <c r="O104" s="459">
        <v>0</v>
      </c>
      <c r="P104" s="646">
        <v>0</v>
      </c>
      <c r="Q104" s="469">
        <f t="shared" si="326"/>
        <v>0</v>
      </c>
      <c r="R104" s="460">
        <f>1086803-86612</f>
        <v>1000191</v>
      </c>
      <c r="S104" s="673">
        <v>0</v>
      </c>
      <c r="T104" s="460">
        <v>0</v>
      </c>
      <c r="U104" s="460">
        <v>0</v>
      </c>
      <c r="V104" s="460">
        <f t="shared" si="327"/>
        <v>1000191</v>
      </c>
      <c r="W104" s="460">
        <v>0</v>
      </c>
      <c r="X104" s="460">
        <v>0</v>
      </c>
      <c r="Y104" s="460">
        <v>0</v>
      </c>
      <c r="Z104" s="460">
        <f t="shared" si="328"/>
        <v>0</v>
      </c>
      <c r="AA104" s="460">
        <f t="shared" si="329"/>
        <v>1000191</v>
      </c>
      <c r="AB104" s="69">
        <f t="shared" si="330"/>
        <v>338065</v>
      </c>
      <c r="AC104" s="69">
        <f t="shared" si="331"/>
        <v>10002</v>
      </c>
      <c r="AD104" s="460">
        <v>0</v>
      </c>
      <c r="AE104" s="460">
        <v>0</v>
      </c>
      <c r="AF104" s="460">
        <f t="shared" si="332"/>
        <v>0</v>
      </c>
      <c r="AG104" s="460">
        <f t="shared" si="333"/>
        <v>1348258</v>
      </c>
      <c r="AH104" s="461">
        <v>0</v>
      </c>
      <c r="AI104" s="461">
        <v>0</v>
      </c>
      <c r="AJ104" s="461">
        <f>2.6-0.25</f>
        <v>2.35</v>
      </c>
      <c r="AK104" s="461">
        <v>0</v>
      </c>
      <c r="AL104" s="674">
        <v>0</v>
      </c>
      <c r="AM104" s="461">
        <v>0</v>
      </c>
      <c r="AN104" s="461">
        <v>0</v>
      </c>
      <c r="AO104" s="461">
        <v>0</v>
      </c>
      <c r="AP104" s="461">
        <f t="shared" si="334"/>
        <v>2.35</v>
      </c>
      <c r="AQ104" s="461">
        <f t="shared" si="335"/>
        <v>0</v>
      </c>
      <c r="AR104" s="463">
        <f t="shared" si="336"/>
        <v>2.35</v>
      </c>
      <c r="AS104" s="469">
        <f t="shared" si="337"/>
        <v>1348258</v>
      </c>
      <c r="AT104" s="460">
        <f t="shared" si="338"/>
        <v>1000191</v>
      </c>
      <c r="AU104" s="460">
        <f t="shared" si="339"/>
        <v>0</v>
      </c>
      <c r="AV104" s="460">
        <f t="shared" si="340"/>
        <v>338065</v>
      </c>
      <c r="AW104" s="460">
        <f t="shared" si="340"/>
        <v>10002</v>
      </c>
      <c r="AX104" s="460">
        <f t="shared" si="341"/>
        <v>0</v>
      </c>
      <c r="AY104" s="461">
        <f t="shared" si="342"/>
        <v>2.35</v>
      </c>
      <c r="AZ104" s="461">
        <f t="shared" si="343"/>
        <v>2.35</v>
      </c>
      <c r="BA104" s="463">
        <f t="shared" si="343"/>
        <v>0</v>
      </c>
    </row>
    <row r="105" spans="1:53" ht="12.95" customHeight="1" x14ac:dyDescent="0.25">
      <c r="A105" s="300">
        <v>18</v>
      </c>
      <c r="B105" s="340">
        <v>5479</v>
      </c>
      <c r="C105" s="341">
        <v>600099105</v>
      </c>
      <c r="D105" s="300">
        <v>70910600</v>
      </c>
      <c r="E105" s="752" t="s">
        <v>843</v>
      </c>
      <c r="F105" s="340">
        <v>3141</v>
      </c>
      <c r="G105" s="364" t="s">
        <v>311</v>
      </c>
      <c r="H105" s="303" t="s">
        <v>278</v>
      </c>
      <c r="I105" s="462">
        <f t="shared" si="324"/>
        <v>1379031</v>
      </c>
      <c r="J105" s="457">
        <v>1015652</v>
      </c>
      <c r="K105" s="457">
        <f t="shared" si="344"/>
        <v>343290</v>
      </c>
      <c r="L105" s="457">
        <f t="shared" si="345"/>
        <v>10157</v>
      </c>
      <c r="M105" s="457">
        <v>9932</v>
      </c>
      <c r="N105" s="458">
        <f t="shared" si="325"/>
        <v>3.26</v>
      </c>
      <c r="O105" s="459">
        <v>0</v>
      </c>
      <c r="P105" s="646">
        <v>3.26</v>
      </c>
      <c r="Q105" s="469">
        <f t="shared" si="326"/>
        <v>0</v>
      </c>
      <c r="R105" s="460">
        <v>0</v>
      </c>
      <c r="S105" s="673">
        <v>0</v>
      </c>
      <c r="T105" s="460">
        <v>0</v>
      </c>
      <c r="U105" s="460">
        <v>0</v>
      </c>
      <c r="V105" s="460">
        <f t="shared" si="327"/>
        <v>0</v>
      </c>
      <c r="W105" s="460">
        <v>0</v>
      </c>
      <c r="X105" s="460">
        <v>0</v>
      </c>
      <c r="Y105" s="460">
        <v>0</v>
      </c>
      <c r="Z105" s="460">
        <f t="shared" si="328"/>
        <v>0</v>
      </c>
      <c r="AA105" s="460">
        <f t="shared" si="329"/>
        <v>0</v>
      </c>
      <c r="AB105" s="69">
        <f t="shared" si="330"/>
        <v>0</v>
      </c>
      <c r="AC105" s="69">
        <f t="shared" si="331"/>
        <v>0</v>
      </c>
      <c r="AD105" s="460">
        <v>0</v>
      </c>
      <c r="AE105" s="460">
        <v>0</v>
      </c>
      <c r="AF105" s="460">
        <f t="shared" si="332"/>
        <v>0</v>
      </c>
      <c r="AG105" s="460">
        <f t="shared" si="333"/>
        <v>0</v>
      </c>
      <c r="AH105" s="461">
        <v>0</v>
      </c>
      <c r="AI105" s="461">
        <v>0</v>
      </c>
      <c r="AJ105" s="461">
        <v>0</v>
      </c>
      <c r="AK105" s="461">
        <v>0</v>
      </c>
      <c r="AL105" s="674">
        <v>0</v>
      </c>
      <c r="AM105" s="461">
        <v>0</v>
      </c>
      <c r="AN105" s="461">
        <v>0</v>
      </c>
      <c r="AO105" s="461">
        <v>0</v>
      </c>
      <c r="AP105" s="461">
        <f t="shared" si="334"/>
        <v>0</v>
      </c>
      <c r="AQ105" s="461">
        <f t="shared" si="335"/>
        <v>0</v>
      </c>
      <c r="AR105" s="463">
        <f t="shared" si="336"/>
        <v>0</v>
      </c>
      <c r="AS105" s="469">
        <f t="shared" si="337"/>
        <v>1379031</v>
      </c>
      <c r="AT105" s="460">
        <f t="shared" si="338"/>
        <v>1015652</v>
      </c>
      <c r="AU105" s="460">
        <f t="shared" si="339"/>
        <v>0</v>
      </c>
      <c r="AV105" s="460">
        <f t="shared" si="340"/>
        <v>343290</v>
      </c>
      <c r="AW105" s="460">
        <f t="shared" si="340"/>
        <v>10157</v>
      </c>
      <c r="AX105" s="460">
        <f t="shared" si="341"/>
        <v>9932</v>
      </c>
      <c r="AY105" s="461">
        <f t="shared" si="342"/>
        <v>3.26</v>
      </c>
      <c r="AZ105" s="461">
        <f t="shared" si="343"/>
        <v>0</v>
      </c>
      <c r="BA105" s="463">
        <f t="shared" si="343"/>
        <v>3.26</v>
      </c>
    </row>
    <row r="106" spans="1:53" ht="12.95" customHeight="1" x14ac:dyDescent="0.25">
      <c r="A106" s="300">
        <v>18</v>
      </c>
      <c r="B106" s="340">
        <v>5479</v>
      </c>
      <c r="C106" s="341">
        <v>600099105</v>
      </c>
      <c r="D106" s="300">
        <v>70910600</v>
      </c>
      <c r="E106" s="752" t="s">
        <v>843</v>
      </c>
      <c r="F106" s="340">
        <v>3143</v>
      </c>
      <c r="G106" s="303" t="s">
        <v>616</v>
      </c>
      <c r="H106" s="303" t="s">
        <v>277</v>
      </c>
      <c r="I106" s="462">
        <f t="shared" si="324"/>
        <v>1463593</v>
      </c>
      <c r="J106" s="457">
        <v>1085751</v>
      </c>
      <c r="K106" s="457">
        <f t="shared" si="344"/>
        <v>366984</v>
      </c>
      <c r="L106" s="457">
        <f t="shared" si="345"/>
        <v>10858</v>
      </c>
      <c r="M106" s="457">
        <v>0</v>
      </c>
      <c r="N106" s="458">
        <f t="shared" si="325"/>
        <v>2.1667000000000001</v>
      </c>
      <c r="O106" s="459">
        <v>2.1667000000000001</v>
      </c>
      <c r="P106" s="646">
        <v>0</v>
      </c>
      <c r="Q106" s="469">
        <f t="shared" si="326"/>
        <v>0</v>
      </c>
      <c r="R106" s="460">
        <v>0</v>
      </c>
      <c r="S106" s="673">
        <v>0</v>
      </c>
      <c r="T106" s="460">
        <v>0</v>
      </c>
      <c r="U106" s="460">
        <v>0</v>
      </c>
      <c r="V106" s="460">
        <f t="shared" si="327"/>
        <v>0</v>
      </c>
      <c r="W106" s="460">
        <v>0</v>
      </c>
      <c r="X106" s="460">
        <v>0</v>
      </c>
      <c r="Y106" s="460">
        <v>0</v>
      </c>
      <c r="Z106" s="460">
        <f t="shared" si="328"/>
        <v>0</v>
      </c>
      <c r="AA106" s="460">
        <f t="shared" si="329"/>
        <v>0</v>
      </c>
      <c r="AB106" s="69">
        <f t="shared" si="330"/>
        <v>0</v>
      </c>
      <c r="AC106" s="69">
        <f t="shared" si="331"/>
        <v>0</v>
      </c>
      <c r="AD106" s="460">
        <v>0</v>
      </c>
      <c r="AE106" s="460">
        <v>0</v>
      </c>
      <c r="AF106" s="460">
        <f t="shared" si="332"/>
        <v>0</v>
      </c>
      <c r="AG106" s="460">
        <f t="shared" si="333"/>
        <v>0</v>
      </c>
      <c r="AH106" s="461">
        <v>0</v>
      </c>
      <c r="AI106" s="461">
        <v>0</v>
      </c>
      <c r="AJ106" s="461">
        <v>0</v>
      </c>
      <c r="AK106" s="461">
        <v>0</v>
      </c>
      <c r="AL106" s="674">
        <v>0</v>
      </c>
      <c r="AM106" s="461">
        <v>0</v>
      </c>
      <c r="AN106" s="461">
        <v>0</v>
      </c>
      <c r="AO106" s="461">
        <v>0</v>
      </c>
      <c r="AP106" s="461">
        <f t="shared" si="334"/>
        <v>0</v>
      </c>
      <c r="AQ106" s="461">
        <f t="shared" si="335"/>
        <v>0</v>
      </c>
      <c r="AR106" s="463">
        <f t="shared" si="336"/>
        <v>0</v>
      </c>
      <c r="AS106" s="469">
        <f t="shared" si="337"/>
        <v>1463593</v>
      </c>
      <c r="AT106" s="460">
        <f t="shared" si="338"/>
        <v>1085751</v>
      </c>
      <c r="AU106" s="460">
        <f t="shared" si="339"/>
        <v>0</v>
      </c>
      <c r="AV106" s="460">
        <f t="shared" si="340"/>
        <v>366984</v>
      </c>
      <c r="AW106" s="460">
        <f t="shared" si="340"/>
        <v>10858</v>
      </c>
      <c r="AX106" s="460">
        <f t="shared" si="341"/>
        <v>0</v>
      </c>
      <c r="AY106" s="461">
        <f t="shared" si="342"/>
        <v>2.1667000000000001</v>
      </c>
      <c r="AZ106" s="461">
        <f t="shared" si="343"/>
        <v>2.1667000000000001</v>
      </c>
      <c r="BA106" s="463">
        <f t="shared" si="343"/>
        <v>0</v>
      </c>
    </row>
    <row r="107" spans="1:53" ht="12.95" customHeight="1" x14ac:dyDescent="0.25">
      <c r="A107" s="300">
        <v>18</v>
      </c>
      <c r="B107" s="340">
        <v>5479</v>
      </c>
      <c r="C107" s="341">
        <v>600099105</v>
      </c>
      <c r="D107" s="300">
        <v>70910600</v>
      </c>
      <c r="E107" s="752" t="s">
        <v>843</v>
      </c>
      <c r="F107" s="340">
        <v>3143</v>
      </c>
      <c r="G107" s="303" t="s">
        <v>617</v>
      </c>
      <c r="H107" s="303" t="s">
        <v>278</v>
      </c>
      <c r="I107" s="462">
        <f t="shared" si="324"/>
        <v>53509</v>
      </c>
      <c r="J107" s="457">
        <v>38233</v>
      </c>
      <c r="K107" s="457">
        <f t="shared" si="344"/>
        <v>12923</v>
      </c>
      <c r="L107" s="457">
        <f t="shared" si="345"/>
        <v>382</v>
      </c>
      <c r="M107" s="457">
        <v>1971</v>
      </c>
      <c r="N107" s="458">
        <f t="shared" si="325"/>
        <v>0.15</v>
      </c>
      <c r="O107" s="459">
        <v>0</v>
      </c>
      <c r="P107" s="646">
        <v>0.15</v>
      </c>
      <c r="Q107" s="469">
        <f t="shared" si="326"/>
        <v>0</v>
      </c>
      <c r="R107" s="460">
        <v>0</v>
      </c>
      <c r="S107" s="673">
        <v>0</v>
      </c>
      <c r="T107" s="460">
        <v>0</v>
      </c>
      <c r="U107" s="460">
        <v>0</v>
      </c>
      <c r="V107" s="460">
        <f t="shared" si="327"/>
        <v>0</v>
      </c>
      <c r="W107" s="460">
        <v>0</v>
      </c>
      <c r="X107" s="460">
        <v>0</v>
      </c>
      <c r="Y107" s="460">
        <v>0</v>
      </c>
      <c r="Z107" s="460">
        <f t="shared" si="328"/>
        <v>0</v>
      </c>
      <c r="AA107" s="460">
        <f t="shared" si="329"/>
        <v>0</v>
      </c>
      <c r="AB107" s="69">
        <f t="shared" si="330"/>
        <v>0</v>
      </c>
      <c r="AC107" s="69">
        <f t="shared" si="331"/>
        <v>0</v>
      </c>
      <c r="AD107" s="460">
        <v>0</v>
      </c>
      <c r="AE107" s="460">
        <v>0</v>
      </c>
      <c r="AF107" s="460">
        <f t="shared" si="332"/>
        <v>0</v>
      </c>
      <c r="AG107" s="460">
        <f t="shared" si="333"/>
        <v>0</v>
      </c>
      <c r="AH107" s="461">
        <v>0</v>
      </c>
      <c r="AI107" s="461">
        <v>0</v>
      </c>
      <c r="AJ107" s="461">
        <v>0</v>
      </c>
      <c r="AK107" s="461">
        <v>0</v>
      </c>
      <c r="AL107" s="674">
        <v>0</v>
      </c>
      <c r="AM107" s="461">
        <v>0</v>
      </c>
      <c r="AN107" s="461">
        <v>0</v>
      </c>
      <c r="AO107" s="461">
        <v>0</v>
      </c>
      <c r="AP107" s="461">
        <f t="shared" si="334"/>
        <v>0</v>
      </c>
      <c r="AQ107" s="461">
        <f t="shared" si="335"/>
        <v>0</v>
      </c>
      <c r="AR107" s="463">
        <f t="shared" si="336"/>
        <v>0</v>
      </c>
      <c r="AS107" s="469">
        <f t="shared" si="337"/>
        <v>53509</v>
      </c>
      <c r="AT107" s="460">
        <f t="shared" si="338"/>
        <v>38233</v>
      </c>
      <c r="AU107" s="460">
        <f t="shared" si="339"/>
        <v>0</v>
      </c>
      <c r="AV107" s="460">
        <f t="shared" si="340"/>
        <v>12923</v>
      </c>
      <c r="AW107" s="460">
        <f t="shared" si="340"/>
        <v>382</v>
      </c>
      <c r="AX107" s="460">
        <f t="shared" si="341"/>
        <v>1971</v>
      </c>
      <c r="AY107" s="461">
        <f t="shared" si="342"/>
        <v>0.15</v>
      </c>
      <c r="AZ107" s="461">
        <f t="shared" si="343"/>
        <v>0</v>
      </c>
      <c r="BA107" s="463">
        <f t="shared" si="343"/>
        <v>0.15</v>
      </c>
    </row>
    <row r="108" spans="1:53" ht="12.95" customHeight="1" x14ac:dyDescent="0.25">
      <c r="A108" s="300">
        <v>18</v>
      </c>
      <c r="B108" s="340">
        <v>5479</v>
      </c>
      <c r="C108" s="341">
        <v>600099105</v>
      </c>
      <c r="D108" s="300">
        <v>70910600</v>
      </c>
      <c r="E108" s="752" t="s">
        <v>843</v>
      </c>
      <c r="F108" s="340">
        <v>3233</v>
      </c>
      <c r="G108" s="364" t="s">
        <v>314</v>
      </c>
      <c r="H108" s="303" t="s">
        <v>278</v>
      </c>
      <c r="I108" s="462">
        <f t="shared" ref="I108" si="346">SUM(J108:M108)</f>
        <v>2180157</v>
      </c>
      <c r="J108" s="457">
        <v>1615837</v>
      </c>
      <c r="K108" s="457">
        <f t="shared" si="344"/>
        <v>546153</v>
      </c>
      <c r="L108" s="457">
        <f t="shared" si="345"/>
        <v>16158</v>
      </c>
      <c r="M108" s="457">
        <v>2009</v>
      </c>
      <c r="N108" s="458">
        <f t="shared" si="325"/>
        <v>3.5199999999999996</v>
      </c>
      <c r="O108" s="459">
        <v>2.5099999999999998</v>
      </c>
      <c r="P108" s="646">
        <v>1.01</v>
      </c>
      <c r="Q108" s="469">
        <f t="shared" si="326"/>
        <v>0</v>
      </c>
      <c r="R108" s="460">
        <v>0</v>
      </c>
      <c r="S108" s="673">
        <v>0</v>
      </c>
      <c r="T108" s="460">
        <v>0</v>
      </c>
      <c r="U108" s="460">
        <v>0</v>
      </c>
      <c r="V108" s="460">
        <f t="shared" si="327"/>
        <v>0</v>
      </c>
      <c r="W108" s="460">
        <v>0</v>
      </c>
      <c r="X108" s="460">
        <v>0</v>
      </c>
      <c r="Y108" s="460">
        <v>0</v>
      </c>
      <c r="Z108" s="460">
        <f t="shared" si="328"/>
        <v>0</v>
      </c>
      <c r="AA108" s="460">
        <f t="shared" si="329"/>
        <v>0</v>
      </c>
      <c r="AB108" s="69">
        <f t="shared" si="330"/>
        <v>0</v>
      </c>
      <c r="AC108" s="69">
        <f t="shared" si="331"/>
        <v>0</v>
      </c>
      <c r="AD108" s="460">
        <v>0</v>
      </c>
      <c r="AE108" s="460">
        <v>0</v>
      </c>
      <c r="AF108" s="460">
        <f t="shared" si="332"/>
        <v>0</v>
      </c>
      <c r="AG108" s="460">
        <f t="shared" si="333"/>
        <v>0</v>
      </c>
      <c r="AH108" s="461">
        <v>0</v>
      </c>
      <c r="AI108" s="461">
        <v>0</v>
      </c>
      <c r="AJ108" s="461">
        <v>0</v>
      </c>
      <c r="AK108" s="461">
        <v>0</v>
      </c>
      <c r="AL108" s="674">
        <v>0</v>
      </c>
      <c r="AM108" s="461">
        <v>0</v>
      </c>
      <c r="AN108" s="461">
        <v>0</v>
      </c>
      <c r="AO108" s="461">
        <v>0</v>
      </c>
      <c r="AP108" s="461">
        <f t="shared" si="334"/>
        <v>0</v>
      </c>
      <c r="AQ108" s="461">
        <f t="shared" si="335"/>
        <v>0</v>
      </c>
      <c r="AR108" s="463">
        <f t="shared" si="336"/>
        <v>0</v>
      </c>
      <c r="AS108" s="469">
        <f t="shared" si="337"/>
        <v>2180157</v>
      </c>
      <c r="AT108" s="460">
        <f t="shared" si="338"/>
        <v>1615837</v>
      </c>
      <c r="AU108" s="460">
        <f t="shared" si="339"/>
        <v>0</v>
      </c>
      <c r="AV108" s="460">
        <f t="shared" si="340"/>
        <v>546153</v>
      </c>
      <c r="AW108" s="460">
        <f t="shared" si="340"/>
        <v>16158</v>
      </c>
      <c r="AX108" s="460">
        <f t="shared" si="341"/>
        <v>2009</v>
      </c>
      <c r="AY108" s="461">
        <f t="shared" si="342"/>
        <v>3.5199999999999996</v>
      </c>
      <c r="AZ108" s="461">
        <f t="shared" si="343"/>
        <v>2.5099999999999998</v>
      </c>
      <c r="BA108" s="463">
        <f t="shared" si="343"/>
        <v>1.01</v>
      </c>
    </row>
    <row r="109" spans="1:53" ht="12.95" customHeight="1" x14ac:dyDescent="0.25">
      <c r="A109" s="310">
        <v>18</v>
      </c>
      <c r="B109" s="344">
        <v>5479</v>
      </c>
      <c r="C109" s="345">
        <v>600099105</v>
      </c>
      <c r="D109" s="344">
        <v>70910600</v>
      </c>
      <c r="E109" s="753" t="s">
        <v>844</v>
      </c>
      <c r="F109" s="344"/>
      <c r="G109" s="370"/>
      <c r="H109" s="371"/>
      <c r="I109" s="536">
        <f>SUM(I102:I108)</f>
        <v>20768854</v>
      </c>
      <c r="J109" s="532">
        <f t="shared" ref="J109:BA109" si="347">SUM(J102:J108)</f>
        <v>15201700</v>
      </c>
      <c r="K109" s="532">
        <f t="shared" si="347"/>
        <v>5138175</v>
      </c>
      <c r="L109" s="532">
        <f t="shared" si="347"/>
        <v>152017</v>
      </c>
      <c r="M109" s="532">
        <f t="shared" si="347"/>
        <v>276962</v>
      </c>
      <c r="N109" s="533">
        <f t="shared" si="347"/>
        <v>28.901299999999996</v>
      </c>
      <c r="O109" s="533">
        <f t="shared" si="347"/>
        <v>20.391300000000001</v>
      </c>
      <c r="P109" s="298">
        <f t="shared" si="347"/>
        <v>8.51</v>
      </c>
      <c r="Q109" s="538">
        <f t="shared" si="347"/>
        <v>-19500</v>
      </c>
      <c r="R109" s="536">
        <f t="shared" si="347"/>
        <v>1000191</v>
      </c>
      <c r="S109" s="536">
        <f t="shared" si="347"/>
        <v>0</v>
      </c>
      <c r="T109" s="536">
        <f t="shared" si="347"/>
        <v>0</v>
      </c>
      <c r="U109" s="536">
        <f t="shared" si="347"/>
        <v>0</v>
      </c>
      <c r="V109" s="536">
        <f t="shared" si="347"/>
        <v>980691</v>
      </c>
      <c r="W109" s="536">
        <f t="shared" si="347"/>
        <v>19500</v>
      </c>
      <c r="X109" s="536">
        <f t="shared" si="347"/>
        <v>0</v>
      </c>
      <c r="Y109" s="536">
        <f t="shared" si="347"/>
        <v>0</v>
      </c>
      <c r="Z109" s="536">
        <f t="shared" si="347"/>
        <v>19500</v>
      </c>
      <c r="AA109" s="536">
        <f t="shared" si="347"/>
        <v>1000191</v>
      </c>
      <c r="AB109" s="536">
        <f t="shared" si="347"/>
        <v>338065</v>
      </c>
      <c r="AC109" s="536">
        <f t="shared" si="347"/>
        <v>9807</v>
      </c>
      <c r="AD109" s="536">
        <f t="shared" si="347"/>
        <v>0</v>
      </c>
      <c r="AE109" s="536">
        <f t="shared" si="347"/>
        <v>0</v>
      </c>
      <c r="AF109" s="536">
        <f t="shared" si="347"/>
        <v>0</v>
      </c>
      <c r="AG109" s="536">
        <f t="shared" si="347"/>
        <v>1348063</v>
      </c>
      <c r="AH109" s="536">
        <f t="shared" si="347"/>
        <v>-0.01</v>
      </c>
      <c r="AI109" s="536">
        <f t="shared" si="347"/>
        <v>-0.03</v>
      </c>
      <c r="AJ109" s="536">
        <f t="shared" si="347"/>
        <v>2.35</v>
      </c>
      <c r="AK109" s="536">
        <f t="shared" si="347"/>
        <v>0</v>
      </c>
      <c r="AL109" s="536">
        <f t="shared" si="347"/>
        <v>0</v>
      </c>
      <c r="AM109" s="536">
        <f t="shared" si="347"/>
        <v>0</v>
      </c>
      <c r="AN109" s="536">
        <f t="shared" si="347"/>
        <v>0</v>
      </c>
      <c r="AO109" s="536">
        <f t="shared" si="347"/>
        <v>0</v>
      </c>
      <c r="AP109" s="536">
        <f t="shared" si="347"/>
        <v>2.3400000000000003</v>
      </c>
      <c r="AQ109" s="536">
        <f t="shared" si="347"/>
        <v>-0.03</v>
      </c>
      <c r="AR109" s="536">
        <f t="shared" si="347"/>
        <v>2.31</v>
      </c>
      <c r="AS109" s="536">
        <f t="shared" si="347"/>
        <v>22116917</v>
      </c>
      <c r="AT109" s="536">
        <f t="shared" si="347"/>
        <v>16182391</v>
      </c>
      <c r="AU109" s="536">
        <f t="shared" si="347"/>
        <v>19500</v>
      </c>
      <c r="AV109" s="536">
        <f t="shared" si="347"/>
        <v>5476240</v>
      </c>
      <c r="AW109" s="536">
        <f t="shared" si="347"/>
        <v>161824</v>
      </c>
      <c r="AX109" s="536">
        <f t="shared" si="347"/>
        <v>276962</v>
      </c>
      <c r="AY109" s="536">
        <f t="shared" si="347"/>
        <v>31.211299999999998</v>
      </c>
      <c r="AZ109" s="536">
        <f t="shared" si="347"/>
        <v>22.731299999999997</v>
      </c>
      <c r="BA109" s="536">
        <f t="shared" si="347"/>
        <v>8.48</v>
      </c>
    </row>
    <row r="110" spans="1:53" ht="12.95" customHeight="1" x14ac:dyDescent="0.25">
      <c r="A110" s="300">
        <v>19</v>
      </c>
      <c r="B110" s="340">
        <v>5442</v>
      </c>
      <c r="C110" s="341">
        <v>650030541</v>
      </c>
      <c r="D110" s="300">
        <v>75017512</v>
      </c>
      <c r="E110" s="368" t="s">
        <v>459</v>
      </c>
      <c r="F110" s="340">
        <v>3111</v>
      </c>
      <c r="G110" s="364" t="s">
        <v>321</v>
      </c>
      <c r="H110" s="303" t="s">
        <v>277</v>
      </c>
      <c r="I110" s="462">
        <f t="shared" ref="I110:I115" si="348">SUM(J110:M110)</f>
        <v>2790018</v>
      </c>
      <c r="J110" s="457">
        <v>2057876</v>
      </c>
      <c r="K110" s="457">
        <f>ROUND(J110*33.8%,0)+1</f>
        <v>695563</v>
      </c>
      <c r="L110" s="457">
        <f t="shared" ref="L110:L115" si="349">ROUND(J110*1%,0)</f>
        <v>20579</v>
      </c>
      <c r="M110" s="457">
        <v>16000</v>
      </c>
      <c r="N110" s="458">
        <f t="shared" ref="N110:N115" si="350">O110+P110</f>
        <v>4.22</v>
      </c>
      <c r="O110" s="459">
        <v>3.5</v>
      </c>
      <c r="P110" s="646">
        <v>0.72</v>
      </c>
      <c r="Q110" s="469">
        <f t="shared" ref="Q110:Q115" si="351">W110*-1</f>
        <v>0</v>
      </c>
      <c r="R110" s="460">
        <v>0</v>
      </c>
      <c r="S110" s="673">
        <v>0</v>
      </c>
      <c r="T110" s="460">
        <v>0</v>
      </c>
      <c r="U110" s="460">
        <v>0</v>
      </c>
      <c r="V110" s="460">
        <f t="shared" ref="V110:V115" si="352">SUM(Q110:U110)</f>
        <v>0</v>
      </c>
      <c r="W110" s="460">
        <v>0</v>
      </c>
      <c r="X110" s="460">
        <v>0</v>
      </c>
      <c r="Y110" s="460">
        <v>0</v>
      </c>
      <c r="Z110" s="460">
        <f t="shared" ref="Z110:Z115" si="353">SUM(W110:Y110)</f>
        <v>0</v>
      </c>
      <c r="AA110" s="460">
        <f t="shared" ref="AA110:AA115" si="354">V110+Z110</f>
        <v>0</v>
      </c>
      <c r="AB110" s="69">
        <f t="shared" ref="AB110:AB115" si="355">ROUND((V110+W110+X110)*33.8%,0)</f>
        <v>0</v>
      </c>
      <c r="AC110" s="69">
        <f t="shared" ref="AC110:AC115" si="356">ROUND(V110*1%,0)</f>
        <v>0</v>
      </c>
      <c r="AD110" s="460">
        <v>0</v>
      </c>
      <c r="AE110" s="460">
        <v>0</v>
      </c>
      <c r="AF110" s="460">
        <f t="shared" ref="AF110:AF115" si="357">SUM(AD110:AE110)</f>
        <v>0</v>
      </c>
      <c r="AG110" s="460">
        <f t="shared" ref="AG110:AG115" si="358">AA110+AB110+AC110+AF110</f>
        <v>0</v>
      </c>
      <c r="AH110" s="461">
        <v>0</v>
      </c>
      <c r="AI110" s="461">
        <v>0</v>
      </c>
      <c r="AJ110" s="461">
        <v>0</v>
      </c>
      <c r="AK110" s="461">
        <v>0</v>
      </c>
      <c r="AL110" s="674">
        <v>0</v>
      </c>
      <c r="AM110" s="461">
        <v>0</v>
      </c>
      <c r="AN110" s="461">
        <v>0</v>
      </c>
      <c r="AO110" s="461">
        <v>0</v>
      </c>
      <c r="AP110" s="461">
        <f t="shared" ref="AP110:AP115" si="359">AH110+AJ110+AK110+AM110+AN110</f>
        <v>0</v>
      </c>
      <c r="AQ110" s="461">
        <f t="shared" ref="AQ110:AQ115" si="360">AI110+AL110+AO110</f>
        <v>0</v>
      </c>
      <c r="AR110" s="463">
        <f t="shared" ref="AR110:AR115" si="361">SUM(AP110:AQ110)</f>
        <v>0</v>
      </c>
      <c r="AS110" s="469">
        <f t="shared" ref="AS110:AS115" si="362">I110+AG110</f>
        <v>2790018</v>
      </c>
      <c r="AT110" s="460">
        <f t="shared" ref="AT110:AT115" si="363">J110+V110</f>
        <v>2057876</v>
      </c>
      <c r="AU110" s="460">
        <f t="shared" ref="AU110:AU115" si="364">Z110</f>
        <v>0</v>
      </c>
      <c r="AV110" s="460">
        <f t="shared" ref="AV110:AW115" si="365">K110+AB110</f>
        <v>695563</v>
      </c>
      <c r="AW110" s="460">
        <f t="shared" si="365"/>
        <v>20579</v>
      </c>
      <c r="AX110" s="460">
        <f t="shared" ref="AX110:AX115" si="366">M110+AF110</f>
        <v>16000</v>
      </c>
      <c r="AY110" s="461">
        <f t="shared" ref="AY110:AY115" si="367">N110+AR110</f>
        <v>4.22</v>
      </c>
      <c r="AZ110" s="461">
        <f t="shared" ref="AZ110:BA115" si="368">O110+AP110</f>
        <v>3.5</v>
      </c>
      <c r="BA110" s="463">
        <f t="shared" si="368"/>
        <v>0.72</v>
      </c>
    </row>
    <row r="111" spans="1:53" ht="12.95" customHeight="1" x14ac:dyDescent="0.25">
      <c r="A111" s="300">
        <v>19</v>
      </c>
      <c r="B111" s="340">
        <v>5442</v>
      </c>
      <c r="C111" s="341">
        <v>650030541</v>
      </c>
      <c r="D111" s="300">
        <v>75017512</v>
      </c>
      <c r="E111" s="368" t="s">
        <v>459</v>
      </c>
      <c r="F111" s="340">
        <v>3113</v>
      </c>
      <c r="G111" s="364" t="s">
        <v>325</v>
      </c>
      <c r="H111" s="303" t="s">
        <v>277</v>
      </c>
      <c r="I111" s="462">
        <f t="shared" si="348"/>
        <v>11002414</v>
      </c>
      <c r="J111" s="457">
        <v>8041702</v>
      </c>
      <c r="K111" s="457">
        <f t="shared" ref="K111:K115" si="369">ROUND(J111*33.8%,0)</f>
        <v>2718095</v>
      </c>
      <c r="L111" s="457">
        <f t="shared" si="349"/>
        <v>80417</v>
      </c>
      <c r="M111" s="457">
        <v>162200</v>
      </c>
      <c r="N111" s="458">
        <f t="shared" si="350"/>
        <v>14.739800000000001</v>
      </c>
      <c r="O111" s="459">
        <v>11.5998</v>
      </c>
      <c r="P111" s="646">
        <v>3.14</v>
      </c>
      <c r="Q111" s="469">
        <f t="shared" si="351"/>
        <v>-16380</v>
      </c>
      <c r="R111" s="460">
        <v>0</v>
      </c>
      <c r="S111" s="673">
        <v>0</v>
      </c>
      <c r="T111" s="460">
        <v>0</v>
      </c>
      <c r="U111" s="460">
        <v>0</v>
      </c>
      <c r="V111" s="460">
        <f t="shared" si="352"/>
        <v>-16380</v>
      </c>
      <c r="W111" s="460">
        <v>16380</v>
      </c>
      <c r="X111" s="460">
        <v>0</v>
      </c>
      <c r="Y111" s="460">
        <v>0</v>
      </c>
      <c r="Z111" s="460">
        <f t="shared" si="353"/>
        <v>16380</v>
      </c>
      <c r="AA111" s="460">
        <f t="shared" si="354"/>
        <v>0</v>
      </c>
      <c r="AB111" s="69">
        <f t="shared" si="355"/>
        <v>0</v>
      </c>
      <c r="AC111" s="69">
        <f t="shared" si="356"/>
        <v>-164</v>
      </c>
      <c r="AD111" s="460">
        <v>0</v>
      </c>
      <c r="AE111" s="460">
        <v>0</v>
      </c>
      <c r="AF111" s="460">
        <f t="shared" si="357"/>
        <v>0</v>
      </c>
      <c r="AG111" s="460">
        <f t="shared" si="358"/>
        <v>-164</v>
      </c>
      <c r="AH111" s="461">
        <v>0</v>
      </c>
      <c r="AI111" s="461">
        <v>-0.05</v>
      </c>
      <c r="AJ111" s="461">
        <v>0</v>
      </c>
      <c r="AK111" s="461">
        <v>0</v>
      </c>
      <c r="AL111" s="674">
        <v>0</v>
      </c>
      <c r="AM111" s="461">
        <v>0</v>
      </c>
      <c r="AN111" s="461">
        <v>0</v>
      </c>
      <c r="AO111" s="461">
        <v>0</v>
      </c>
      <c r="AP111" s="461">
        <f t="shared" si="359"/>
        <v>0</v>
      </c>
      <c r="AQ111" s="461">
        <f t="shared" si="360"/>
        <v>-0.05</v>
      </c>
      <c r="AR111" s="463">
        <f t="shared" si="361"/>
        <v>-0.05</v>
      </c>
      <c r="AS111" s="469">
        <f t="shared" si="362"/>
        <v>11002250</v>
      </c>
      <c r="AT111" s="460">
        <f t="shared" si="363"/>
        <v>8025322</v>
      </c>
      <c r="AU111" s="460">
        <f t="shared" si="364"/>
        <v>16380</v>
      </c>
      <c r="AV111" s="460">
        <f t="shared" si="365"/>
        <v>2718095</v>
      </c>
      <c r="AW111" s="460">
        <f t="shared" si="365"/>
        <v>80253</v>
      </c>
      <c r="AX111" s="460">
        <f t="shared" si="366"/>
        <v>162200</v>
      </c>
      <c r="AY111" s="461">
        <f t="shared" si="367"/>
        <v>14.6898</v>
      </c>
      <c r="AZ111" s="461">
        <f t="shared" si="368"/>
        <v>11.5998</v>
      </c>
      <c r="BA111" s="463">
        <f t="shared" si="368"/>
        <v>3.0900000000000003</v>
      </c>
    </row>
    <row r="112" spans="1:53" ht="12.95" customHeight="1" x14ac:dyDescent="0.25">
      <c r="A112" s="300">
        <v>19</v>
      </c>
      <c r="B112" s="340">
        <v>5442</v>
      </c>
      <c r="C112" s="341">
        <v>650030541</v>
      </c>
      <c r="D112" s="300">
        <v>75017512</v>
      </c>
      <c r="E112" s="368" t="s">
        <v>459</v>
      </c>
      <c r="F112" s="340">
        <v>3113</v>
      </c>
      <c r="G112" s="303" t="s">
        <v>308</v>
      </c>
      <c r="H112" s="303" t="s">
        <v>278</v>
      </c>
      <c r="I112" s="462">
        <f t="shared" si="348"/>
        <v>0</v>
      </c>
      <c r="J112" s="457">
        <v>0</v>
      </c>
      <c r="K112" s="457">
        <f t="shared" si="369"/>
        <v>0</v>
      </c>
      <c r="L112" s="457">
        <f t="shared" si="349"/>
        <v>0</v>
      </c>
      <c r="M112" s="457">
        <v>0</v>
      </c>
      <c r="N112" s="458">
        <f t="shared" si="350"/>
        <v>0</v>
      </c>
      <c r="O112" s="459">
        <v>0</v>
      </c>
      <c r="P112" s="646">
        <v>0</v>
      </c>
      <c r="Q112" s="469">
        <f t="shared" si="351"/>
        <v>0</v>
      </c>
      <c r="R112" s="460">
        <v>812272</v>
      </c>
      <c r="S112" s="673">
        <v>0</v>
      </c>
      <c r="T112" s="460">
        <v>0</v>
      </c>
      <c r="U112" s="460">
        <v>0</v>
      </c>
      <c r="V112" s="460">
        <f t="shared" si="352"/>
        <v>812272</v>
      </c>
      <c r="W112" s="460">
        <v>0</v>
      </c>
      <c r="X112" s="460">
        <v>0</v>
      </c>
      <c r="Y112" s="460">
        <v>0</v>
      </c>
      <c r="Z112" s="460">
        <f t="shared" si="353"/>
        <v>0</v>
      </c>
      <c r="AA112" s="460">
        <f t="shared" si="354"/>
        <v>812272</v>
      </c>
      <c r="AB112" s="69">
        <f t="shared" si="355"/>
        <v>274548</v>
      </c>
      <c r="AC112" s="69">
        <f t="shared" si="356"/>
        <v>8123</v>
      </c>
      <c r="AD112" s="460">
        <v>0</v>
      </c>
      <c r="AE112" s="460">
        <v>0</v>
      </c>
      <c r="AF112" s="460">
        <f t="shared" si="357"/>
        <v>0</v>
      </c>
      <c r="AG112" s="460">
        <f t="shared" si="358"/>
        <v>1094943</v>
      </c>
      <c r="AH112" s="461">
        <v>0</v>
      </c>
      <c r="AI112" s="461">
        <v>0</v>
      </c>
      <c r="AJ112" s="461">
        <v>2.33</v>
      </c>
      <c r="AK112" s="461">
        <v>0</v>
      </c>
      <c r="AL112" s="674">
        <v>0</v>
      </c>
      <c r="AM112" s="461">
        <v>0</v>
      </c>
      <c r="AN112" s="461">
        <v>0</v>
      </c>
      <c r="AO112" s="461">
        <v>0</v>
      </c>
      <c r="AP112" s="461">
        <f t="shared" si="359"/>
        <v>2.33</v>
      </c>
      <c r="AQ112" s="461">
        <f t="shared" si="360"/>
        <v>0</v>
      </c>
      <c r="AR112" s="463">
        <f t="shared" si="361"/>
        <v>2.33</v>
      </c>
      <c r="AS112" s="469">
        <f t="shared" si="362"/>
        <v>1094943</v>
      </c>
      <c r="AT112" s="460">
        <f t="shared" si="363"/>
        <v>812272</v>
      </c>
      <c r="AU112" s="460">
        <f t="shared" si="364"/>
        <v>0</v>
      </c>
      <c r="AV112" s="460">
        <f t="shared" si="365"/>
        <v>274548</v>
      </c>
      <c r="AW112" s="460">
        <f t="shared" si="365"/>
        <v>8123</v>
      </c>
      <c r="AX112" s="460">
        <f t="shared" si="366"/>
        <v>0</v>
      </c>
      <c r="AY112" s="461">
        <f t="shared" si="367"/>
        <v>2.33</v>
      </c>
      <c r="AZ112" s="461">
        <f t="shared" si="368"/>
        <v>2.33</v>
      </c>
      <c r="BA112" s="463">
        <f t="shared" si="368"/>
        <v>0</v>
      </c>
    </row>
    <row r="113" spans="1:53" ht="12.95" customHeight="1" x14ac:dyDescent="0.25">
      <c r="A113" s="300">
        <v>19</v>
      </c>
      <c r="B113" s="340">
        <v>5442</v>
      </c>
      <c r="C113" s="341">
        <v>650030541</v>
      </c>
      <c r="D113" s="300">
        <v>75017512</v>
      </c>
      <c r="E113" s="368" t="s">
        <v>459</v>
      </c>
      <c r="F113" s="340">
        <v>3141</v>
      </c>
      <c r="G113" s="364" t="s">
        <v>311</v>
      </c>
      <c r="H113" s="303" t="s">
        <v>278</v>
      </c>
      <c r="I113" s="462">
        <f t="shared" si="348"/>
        <v>223077</v>
      </c>
      <c r="J113" s="457">
        <v>164478</v>
      </c>
      <c r="K113" s="457">
        <f t="shared" si="369"/>
        <v>55594</v>
      </c>
      <c r="L113" s="457">
        <f t="shared" si="349"/>
        <v>1645</v>
      </c>
      <c r="M113" s="457">
        <v>1360</v>
      </c>
      <c r="N113" s="458">
        <f t="shared" si="350"/>
        <v>0.53</v>
      </c>
      <c r="O113" s="459">
        <v>0</v>
      </c>
      <c r="P113" s="646">
        <v>0.53</v>
      </c>
      <c r="Q113" s="469">
        <f t="shared" si="351"/>
        <v>0</v>
      </c>
      <c r="R113" s="460">
        <v>0</v>
      </c>
      <c r="S113" s="673">
        <v>0</v>
      </c>
      <c r="T113" s="460">
        <v>0</v>
      </c>
      <c r="U113" s="460">
        <v>0</v>
      </c>
      <c r="V113" s="460">
        <f t="shared" si="352"/>
        <v>0</v>
      </c>
      <c r="W113" s="460">
        <v>0</v>
      </c>
      <c r="X113" s="460">
        <v>0</v>
      </c>
      <c r="Y113" s="460">
        <v>0</v>
      </c>
      <c r="Z113" s="460">
        <f t="shared" si="353"/>
        <v>0</v>
      </c>
      <c r="AA113" s="460">
        <f t="shared" si="354"/>
        <v>0</v>
      </c>
      <c r="AB113" s="69">
        <f t="shared" si="355"/>
        <v>0</v>
      </c>
      <c r="AC113" s="69">
        <f t="shared" si="356"/>
        <v>0</v>
      </c>
      <c r="AD113" s="460">
        <v>0</v>
      </c>
      <c r="AE113" s="460">
        <v>0</v>
      </c>
      <c r="AF113" s="460">
        <f t="shared" si="357"/>
        <v>0</v>
      </c>
      <c r="AG113" s="460">
        <f t="shared" si="358"/>
        <v>0</v>
      </c>
      <c r="AH113" s="461">
        <v>0</v>
      </c>
      <c r="AI113" s="461">
        <v>0</v>
      </c>
      <c r="AJ113" s="461">
        <v>0</v>
      </c>
      <c r="AK113" s="461">
        <v>0</v>
      </c>
      <c r="AL113" s="674">
        <v>0</v>
      </c>
      <c r="AM113" s="461">
        <v>0</v>
      </c>
      <c r="AN113" s="461">
        <v>0</v>
      </c>
      <c r="AO113" s="461">
        <v>0</v>
      </c>
      <c r="AP113" s="461">
        <f t="shared" si="359"/>
        <v>0</v>
      </c>
      <c r="AQ113" s="461">
        <f t="shared" si="360"/>
        <v>0</v>
      </c>
      <c r="AR113" s="463">
        <f t="shared" si="361"/>
        <v>0</v>
      </c>
      <c r="AS113" s="469">
        <f t="shared" si="362"/>
        <v>223077</v>
      </c>
      <c r="AT113" s="460">
        <f t="shared" si="363"/>
        <v>164478</v>
      </c>
      <c r="AU113" s="460">
        <f t="shared" si="364"/>
        <v>0</v>
      </c>
      <c r="AV113" s="460">
        <f t="shared" si="365"/>
        <v>55594</v>
      </c>
      <c r="AW113" s="460">
        <f t="shared" si="365"/>
        <v>1645</v>
      </c>
      <c r="AX113" s="460">
        <f t="shared" si="366"/>
        <v>1360</v>
      </c>
      <c r="AY113" s="461">
        <f t="shared" si="367"/>
        <v>0.53</v>
      </c>
      <c r="AZ113" s="461">
        <f t="shared" si="368"/>
        <v>0</v>
      </c>
      <c r="BA113" s="463">
        <f t="shared" si="368"/>
        <v>0.53</v>
      </c>
    </row>
    <row r="114" spans="1:53" ht="12.95" customHeight="1" x14ac:dyDescent="0.25">
      <c r="A114" s="300">
        <v>19</v>
      </c>
      <c r="B114" s="340">
        <v>5442</v>
      </c>
      <c r="C114" s="341">
        <v>650030541</v>
      </c>
      <c r="D114" s="300">
        <v>75017512</v>
      </c>
      <c r="E114" s="368" t="s">
        <v>459</v>
      </c>
      <c r="F114" s="340">
        <v>3143</v>
      </c>
      <c r="G114" s="303" t="s">
        <v>616</v>
      </c>
      <c r="H114" s="303" t="s">
        <v>277</v>
      </c>
      <c r="I114" s="462">
        <f t="shared" si="348"/>
        <v>960842</v>
      </c>
      <c r="J114" s="457">
        <v>712791</v>
      </c>
      <c r="K114" s="457">
        <f t="shared" si="369"/>
        <v>240923</v>
      </c>
      <c r="L114" s="457">
        <f t="shared" si="349"/>
        <v>7128</v>
      </c>
      <c r="M114" s="457">
        <v>0</v>
      </c>
      <c r="N114" s="458">
        <f t="shared" si="350"/>
        <v>1.633</v>
      </c>
      <c r="O114" s="459">
        <v>1.633</v>
      </c>
      <c r="P114" s="646">
        <v>0</v>
      </c>
      <c r="Q114" s="469">
        <f t="shared" si="351"/>
        <v>0</v>
      </c>
      <c r="R114" s="460">
        <v>0</v>
      </c>
      <c r="S114" s="673">
        <v>0</v>
      </c>
      <c r="T114" s="460">
        <v>0</v>
      </c>
      <c r="U114" s="460">
        <v>0</v>
      </c>
      <c r="V114" s="460">
        <f t="shared" si="352"/>
        <v>0</v>
      </c>
      <c r="W114" s="460">
        <v>0</v>
      </c>
      <c r="X114" s="460">
        <v>0</v>
      </c>
      <c r="Y114" s="460">
        <v>0</v>
      </c>
      <c r="Z114" s="460">
        <f t="shared" si="353"/>
        <v>0</v>
      </c>
      <c r="AA114" s="460">
        <f t="shared" si="354"/>
        <v>0</v>
      </c>
      <c r="AB114" s="69">
        <f t="shared" si="355"/>
        <v>0</v>
      </c>
      <c r="AC114" s="69">
        <f t="shared" si="356"/>
        <v>0</v>
      </c>
      <c r="AD114" s="460">
        <v>0</v>
      </c>
      <c r="AE114" s="460">
        <v>0</v>
      </c>
      <c r="AF114" s="460">
        <f t="shared" si="357"/>
        <v>0</v>
      </c>
      <c r="AG114" s="460">
        <f t="shared" si="358"/>
        <v>0</v>
      </c>
      <c r="AH114" s="461">
        <v>0</v>
      </c>
      <c r="AI114" s="461">
        <v>0</v>
      </c>
      <c r="AJ114" s="461">
        <v>0</v>
      </c>
      <c r="AK114" s="461">
        <v>0</v>
      </c>
      <c r="AL114" s="674">
        <v>0</v>
      </c>
      <c r="AM114" s="461">
        <v>0</v>
      </c>
      <c r="AN114" s="461">
        <v>0</v>
      </c>
      <c r="AO114" s="461">
        <v>0</v>
      </c>
      <c r="AP114" s="461">
        <f t="shared" si="359"/>
        <v>0</v>
      </c>
      <c r="AQ114" s="461">
        <f t="shared" si="360"/>
        <v>0</v>
      </c>
      <c r="AR114" s="463">
        <f t="shared" si="361"/>
        <v>0</v>
      </c>
      <c r="AS114" s="469">
        <f t="shared" si="362"/>
        <v>960842</v>
      </c>
      <c r="AT114" s="460">
        <f t="shared" si="363"/>
        <v>712791</v>
      </c>
      <c r="AU114" s="460">
        <f t="shared" si="364"/>
        <v>0</v>
      </c>
      <c r="AV114" s="460">
        <f t="shared" si="365"/>
        <v>240923</v>
      </c>
      <c r="AW114" s="460">
        <f t="shared" si="365"/>
        <v>7128</v>
      </c>
      <c r="AX114" s="460">
        <f t="shared" si="366"/>
        <v>0</v>
      </c>
      <c r="AY114" s="461">
        <f t="shared" si="367"/>
        <v>1.633</v>
      </c>
      <c r="AZ114" s="461">
        <f t="shared" si="368"/>
        <v>1.633</v>
      </c>
      <c r="BA114" s="463">
        <f t="shared" si="368"/>
        <v>0</v>
      </c>
    </row>
    <row r="115" spans="1:53" ht="12.95" customHeight="1" x14ac:dyDescent="0.25">
      <c r="A115" s="300">
        <v>19</v>
      </c>
      <c r="B115" s="340">
        <v>5442</v>
      </c>
      <c r="C115" s="341">
        <v>650030541</v>
      </c>
      <c r="D115" s="300">
        <v>75017512</v>
      </c>
      <c r="E115" s="368" t="s">
        <v>459</v>
      </c>
      <c r="F115" s="340">
        <v>3143</v>
      </c>
      <c r="G115" s="303" t="s">
        <v>617</v>
      </c>
      <c r="H115" s="303" t="s">
        <v>278</v>
      </c>
      <c r="I115" s="462">
        <f t="shared" si="348"/>
        <v>29321</v>
      </c>
      <c r="J115" s="457">
        <v>20950</v>
      </c>
      <c r="K115" s="457">
        <f t="shared" si="369"/>
        <v>7081</v>
      </c>
      <c r="L115" s="457">
        <f t="shared" si="349"/>
        <v>210</v>
      </c>
      <c r="M115" s="457">
        <v>1080</v>
      </c>
      <c r="N115" s="458">
        <f t="shared" si="350"/>
        <v>0.08</v>
      </c>
      <c r="O115" s="459">
        <v>0</v>
      </c>
      <c r="P115" s="646">
        <v>0.08</v>
      </c>
      <c r="Q115" s="469">
        <f t="shared" si="351"/>
        <v>0</v>
      </c>
      <c r="R115" s="460">
        <v>0</v>
      </c>
      <c r="S115" s="673">
        <v>0</v>
      </c>
      <c r="T115" s="460">
        <v>0</v>
      </c>
      <c r="U115" s="460">
        <v>0</v>
      </c>
      <c r="V115" s="460">
        <f t="shared" si="352"/>
        <v>0</v>
      </c>
      <c r="W115" s="460">
        <v>0</v>
      </c>
      <c r="X115" s="460">
        <v>0</v>
      </c>
      <c r="Y115" s="460">
        <v>0</v>
      </c>
      <c r="Z115" s="460">
        <f t="shared" si="353"/>
        <v>0</v>
      </c>
      <c r="AA115" s="460">
        <f t="shared" si="354"/>
        <v>0</v>
      </c>
      <c r="AB115" s="69">
        <f t="shared" si="355"/>
        <v>0</v>
      </c>
      <c r="AC115" s="69">
        <f t="shared" si="356"/>
        <v>0</v>
      </c>
      <c r="AD115" s="460">
        <v>0</v>
      </c>
      <c r="AE115" s="460">
        <v>0</v>
      </c>
      <c r="AF115" s="460">
        <f t="shared" si="357"/>
        <v>0</v>
      </c>
      <c r="AG115" s="460">
        <f t="shared" si="358"/>
        <v>0</v>
      </c>
      <c r="AH115" s="461">
        <v>0</v>
      </c>
      <c r="AI115" s="461">
        <v>0</v>
      </c>
      <c r="AJ115" s="461">
        <v>0</v>
      </c>
      <c r="AK115" s="461">
        <v>0</v>
      </c>
      <c r="AL115" s="674">
        <v>0</v>
      </c>
      <c r="AM115" s="461">
        <v>0</v>
      </c>
      <c r="AN115" s="461">
        <v>0</v>
      </c>
      <c r="AO115" s="461">
        <v>0</v>
      </c>
      <c r="AP115" s="461">
        <f t="shared" si="359"/>
        <v>0</v>
      </c>
      <c r="AQ115" s="461">
        <f t="shared" si="360"/>
        <v>0</v>
      </c>
      <c r="AR115" s="463">
        <f t="shared" si="361"/>
        <v>0</v>
      </c>
      <c r="AS115" s="469">
        <f t="shared" si="362"/>
        <v>29321</v>
      </c>
      <c r="AT115" s="460">
        <f t="shared" si="363"/>
        <v>20950</v>
      </c>
      <c r="AU115" s="460">
        <f t="shared" si="364"/>
        <v>0</v>
      </c>
      <c r="AV115" s="460">
        <f t="shared" si="365"/>
        <v>7081</v>
      </c>
      <c r="AW115" s="460">
        <f t="shared" si="365"/>
        <v>210</v>
      </c>
      <c r="AX115" s="460">
        <f t="shared" si="366"/>
        <v>1080</v>
      </c>
      <c r="AY115" s="461">
        <f t="shared" si="367"/>
        <v>0.08</v>
      </c>
      <c r="AZ115" s="461">
        <f t="shared" si="368"/>
        <v>0</v>
      </c>
      <c r="BA115" s="463">
        <f t="shared" si="368"/>
        <v>0.08</v>
      </c>
    </row>
    <row r="116" spans="1:53" ht="12.95" customHeight="1" x14ac:dyDescent="0.25">
      <c r="A116" s="310">
        <v>19</v>
      </c>
      <c r="B116" s="344">
        <v>5442</v>
      </c>
      <c r="C116" s="345">
        <v>650030541</v>
      </c>
      <c r="D116" s="344">
        <v>75017512</v>
      </c>
      <c r="E116" s="369" t="s">
        <v>460</v>
      </c>
      <c r="F116" s="344"/>
      <c r="G116" s="370"/>
      <c r="H116" s="371"/>
      <c r="I116" s="560">
        <f t="shared" ref="I116:P116" si="370">SUM(I110:I115)</f>
        <v>15005672</v>
      </c>
      <c r="J116" s="558">
        <f t="shared" si="370"/>
        <v>10997797</v>
      </c>
      <c r="K116" s="558">
        <f t="shared" si="370"/>
        <v>3717256</v>
      </c>
      <c r="L116" s="558">
        <f t="shared" si="370"/>
        <v>109979</v>
      </c>
      <c r="M116" s="558">
        <f t="shared" si="370"/>
        <v>180640</v>
      </c>
      <c r="N116" s="559">
        <f t="shared" si="370"/>
        <v>21.2028</v>
      </c>
      <c r="O116" s="559">
        <f t="shared" si="370"/>
        <v>16.732800000000001</v>
      </c>
      <c r="P116" s="372">
        <f t="shared" si="370"/>
        <v>4.4700000000000006</v>
      </c>
      <c r="Q116" s="561">
        <f t="shared" ref="Q116:BA116" si="371">SUM(Q110:Q115)</f>
        <v>-16380</v>
      </c>
      <c r="R116" s="558">
        <f t="shared" si="371"/>
        <v>812272</v>
      </c>
      <c r="S116" s="558">
        <f t="shared" si="371"/>
        <v>0</v>
      </c>
      <c r="T116" s="558">
        <f t="shared" si="371"/>
        <v>0</v>
      </c>
      <c r="U116" s="558">
        <f t="shared" si="371"/>
        <v>0</v>
      </c>
      <c r="V116" s="558">
        <f t="shared" si="371"/>
        <v>795892</v>
      </c>
      <c r="W116" s="558">
        <f t="shared" si="371"/>
        <v>16380</v>
      </c>
      <c r="X116" s="558">
        <f t="shared" si="371"/>
        <v>0</v>
      </c>
      <c r="Y116" s="558">
        <f t="shared" si="371"/>
        <v>0</v>
      </c>
      <c r="Z116" s="558">
        <f t="shared" si="371"/>
        <v>16380</v>
      </c>
      <c r="AA116" s="558">
        <f t="shared" si="371"/>
        <v>812272</v>
      </c>
      <c r="AB116" s="558">
        <f t="shared" si="371"/>
        <v>274548</v>
      </c>
      <c r="AC116" s="558">
        <f t="shared" si="371"/>
        <v>7959</v>
      </c>
      <c r="AD116" s="558">
        <f t="shared" si="371"/>
        <v>0</v>
      </c>
      <c r="AE116" s="558">
        <f t="shared" si="371"/>
        <v>0</v>
      </c>
      <c r="AF116" s="558">
        <f t="shared" si="371"/>
        <v>0</v>
      </c>
      <c r="AG116" s="558">
        <f t="shared" si="371"/>
        <v>1094779</v>
      </c>
      <c r="AH116" s="559">
        <f t="shared" si="371"/>
        <v>0</v>
      </c>
      <c r="AI116" s="559">
        <f t="shared" si="371"/>
        <v>-0.05</v>
      </c>
      <c r="AJ116" s="559">
        <f t="shared" si="371"/>
        <v>2.33</v>
      </c>
      <c r="AK116" s="559">
        <f t="shared" si="371"/>
        <v>0</v>
      </c>
      <c r="AL116" s="559">
        <f t="shared" si="371"/>
        <v>0</v>
      </c>
      <c r="AM116" s="559">
        <f t="shared" si="371"/>
        <v>0</v>
      </c>
      <c r="AN116" s="559">
        <f t="shared" si="371"/>
        <v>0</v>
      </c>
      <c r="AO116" s="559">
        <f t="shared" si="371"/>
        <v>0</v>
      </c>
      <c r="AP116" s="559">
        <f t="shared" si="371"/>
        <v>2.33</v>
      </c>
      <c r="AQ116" s="559">
        <f t="shared" si="371"/>
        <v>-0.05</v>
      </c>
      <c r="AR116" s="372">
        <f t="shared" si="371"/>
        <v>2.2800000000000002</v>
      </c>
      <c r="AS116" s="561">
        <f t="shared" si="371"/>
        <v>16100451</v>
      </c>
      <c r="AT116" s="558">
        <f t="shared" si="371"/>
        <v>11793689</v>
      </c>
      <c r="AU116" s="558">
        <f t="shared" si="371"/>
        <v>16380</v>
      </c>
      <c r="AV116" s="558">
        <f t="shared" si="371"/>
        <v>3991804</v>
      </c>
      <c r="AW116" s="558">
        <f t="shared" si="371"/>
        <v>117938</v>
      </c>
      <c r="AX116" s="558">
        <f t="shared" si="371"/>
        <v>180640</v>
      </c>
      <c r="AY116" s="559">
        <f t="shared" si="371"/>
        <v>23.482800000000001</v>
      </c>
      <c r="AZ116" s="559">
        <f t="shared" si="371"/>
        <v>19.062799999999999</v>
      </c>
      <c r="BA116" s="372">
        <f t="shared" si="371"/>
        <v>4.4200000000000008</v>
      </c>
    </row>
    <row r="117" spans="1:53" ht="12.95" customHeight="1" x14ac:dyDescent="0.25">
      <c r="A117" s="300">
        <v>20</v>
      </c>
      <c r="B117" s="340">
        <v>5453</v>
      </c>
      <c r="C117" s="341">
        <v>600099211</v>
      </c>
      <c r="D117" s="300">
        <v>854760</v>
      </c>
      <c r="E117" s="368" t="s">
        <v>461</v>
      </c>
      <c r="F117" s="340">
        <v>3111</v>
      </c>
      <c r="G117" s="364" t="s">
        <v>321</v>
      </c>
      <c r="H117" s="303" t="s">
        <v>277</v>
      </c>
      <c r="I117" s="462">
        <f t="shared" ref="I117:I123" si="372">SUM(J117:M117)</f>
        <v>6421207</v>
      </c>
      <c r="J117" s="457">
        <v>4736503</v>
      </c>
      <c r="K117" s="457">
        <f t="shared" ref="K117:K123" si="373">ROUND(J117*33.8%,0)</f>
        <v>1600938</v>
      </c>
      <c r="L117" s="457">
        <f>ROUND(J117*1%,0)+1</f>
        <v>47366</v>
      </c>
      <c r="M117" s="457">
        <v>36400</v>
      </c>
      <c r="N117" s="458">
        <f t="shared" ref="N117:N123" si="374">O117+P117</f>
        <v>9.6</v>
      </c>
      <c r="O117" s="459">
        <v>8</v>
      </c>
      <c r="P117" s="646">
        <v>1.6</v>
      </c>
      <c r="Q117" s="469">
        <f t="shared" ref="Q117:Q123" si="375">W117*-1</f>
        <v>0</v>
      </c>
      <c r="R117" s="460">
        <v>0</v>
      </c>
      <c r="S117" s="673">
        <v>0</v>
      </c>
      <c r="T117" s="460">
        <v>0</v>
      </c>
      <c r="U117" s="460">
        <v>0</v>
      </c>
      <c r="V117" s="460">
        <f t="shared" ref="V117:V123" si="376">SUM(Q117:U117)</f>
        <v>0</v>
      </c>
      <c r="W117" s="460">
        <v>0</v>
      </c>
      <c r="X117" s="460">
        <v>0</v>
      </c>
      <c r="Y117" s="460">
        <v>0</v>
      </c>
      <c r="Z117" s="460">
        <f t="shared" ref="Z117:Z123" si="377">SUM(W117:Y117)</f>
        <v>0</v>
      </c>
      <c r="AA117" s="460">
        <f t="shared" ref="AA117:AA123" si="378">V117+Z117</f>
        <v>0</v>
      </c>
      <c r="AB117" s="69">
        <f t="shared" ref="AB117:AB123" si="379">ROUND((V117+W117+X117)*33.8%,0)</f>
        <v>0</v>
      </c>
      <c r="AC117" s="69">
        <f t="shared" ref="AC117:AC123" si="380">ROUND(V117*1%,0)</f>
        <v>0</v>
      </c>
      <c r="AD117" s="460">
        <v>0</v>
      </c>
      <c r="AE117" s="460">
        <v>0</v>
      </c>
      <c r="AF117" s="460">
        <f t="shared" ref="AF117:AF123" si="381">SUM(AD117:AE117)</f>
        <v>0</v>
      </c>
      <c r="AG117" s="460">
        <f t="shared" ref="AG117:AG123" si="382">AA117+AB117+AC117+AF117</f>
        <v>0</v>
      </c>
      <c r="AH117" s="461">
        <v>0</v>
      </c>
      <c r="AI117" s="461">
        <v>0</v>
      </c>
      <c r="AJ117" s="461">
        <v>0</v>
      </c>
      <c r="AK117" s="461">
        <v>0</v>
      </c>
      <c r="AL117" s="674">
        <v>0</v>
      </c>
      <c r="AM117" s="461">
        <v>0</v>
      </c>
      <c r="AN117" s="461">
        <v>0</v>
      </c>
      <c r="AO117" s="461">
        <v>0</v>
      </c>
      <c r="AP117" s="461">
        <f t="shared" ref="AP117:AP123" si="383">AH117+AJ117+AK117+AM117+AN117</f>
        <v>0</v>
      </c>
      <c r="AQ117" s="461">
        <f t="shared" ref="AQ117:AQ123" si="384">AI117+AL117+AO117</f>
        <v>0</v>
      </c>
      <c r="AR117" s="463">
        <f t="shared" ref="AR117:AR123" si="385">SUM(AP117:AQ117)</f>
        <v>0</v>
      </c>
      <c r="AS117" s="469">
        <f t="shared" ref="AS117:AS123" si="386">I117+AG117</f>
        <v>6421207</v>
      </c>
      <c r="AT117" s="460">
        <f t="shared" ref="AT117:AT123" si="387">J117+V117</f>
        <v>4736503</v>
      </c>
      <c r="AU117" s="460">
        <f t="shared" ref="AU117:AU123" si="388">Z117</f>
        <v>0</v>
      </c>
      <c r="AV117" s="460">
        <f t="shared" ref="AV117:AW123" si="389">K117+AB117</f>
        <v>1600938</v>
      </c>
      <c r="AW117" s="460">
        <f t="shared" si="389"/>
        <v>47366</v>
      </c>
      <c r="AX117" s="460">
        <f t="shared" ref="AX117:AX123" si="390">M117+AF117</f>
        <v>36400</v>
      </c>
      <c r="AY117" s="461">
        <f t="shared" ref="AY117:AY123" si="391">N117+AR117</f>
        <v>9.6</v>
      </c>
      <c r="AZ117" s="461">
        <f t="shared" ref="AZ117:BA123" si="392">O117+AP117</f>
        <v>8</v>
      </c>
      <c r="BA117" s="463">
        <f t="shared" si="392"/>
        <v>1.6</v>
      </c>
    </row>
    <row r="118" spans="1:53" ht="12.95" customHeight="1" x14ac:dyDescent="0.25">
      <c r="A118" s="300">
        <v>20</v>
      </c>
      <c r="B118" s="340">
        <v>5453</v>
      </c>
      <c r="C118" s="341">
        <v>600099211</v>
      </c>
      <c r="D118" s="300">
        <v>854760</v>
      </c>
      <c r="E118" s="368" t="s">
        <v>461</v>
      </c>
      <c r="F118" s="340">
        <v>3113</v>
      </c>
      <c r="G118" s="364" t="s">
        <v>325</v>
      </c>
      <c r="H118" s="303" t="s">
        <v>277</v>
      </c>
      <c r="I118" s="462">
        <f t="shared" si="372"/>
        <v>21184955</v>
      </c>
      <c r="J118" s="457">
        <v>15451039</v>
      </c>
      <c r="K118" s="457">
        <f t="shared" si="373"/>
        <v>5222451</v>
      </c>
      <c r="L118" s="457">
        <f t="shared" ref="L118:L123" si="393">ROUND(J118*1%,0)</f>
        <v>154510</v>
      </c>
      <c r="M118" s="457">
        <v>356955</v>
      </c>
      <c r="N118" s="458">
        <f t="shared" si="374"/>
        <v>27.564499999999999</v>
      </c>
      <c r="O118" s="459">
        <v>21.454499999999999</v>
      </c>
      <c r="P118" s="646">
        <v>6.1099999999999994</v>
      </c>
      <c r="Q118" s="469">
        <f t="shared" si="375"/>
        <v>-14950</v>
      </c>
      <c r="R118" s="460">
        <v>0</v>
      </c>
      <c r="S118" s="673">
        <v>0</v>
      </c>
      <c r="T118" s="460">
        <v>0</v>
      </c>
      <c r="U118" s="460">
        <v>0</v>
      </c>
      <c r="V118" s="460">
        <f t="shared" si="376"/>
        <v>-14950</v>
      </c>
      <c r="W118" s="460">
        <v>14950</v>
      </c>
      <c r="X118" s="460">
        <v>0</v>
      </c>
      <c r="Y118" s="460">
        <v>0</v>
      </c>
      <c r="Z118" s="460">
        <f t="shared" si="377"/>
        <v>14950</v>
      </c>
      <c r="AA118" s="460">
        <f t="shared" si="378"/>
        <v>0</v>
      </c>
      <c r="AB118" s="69">
        <f t="shared" si="379"/>
        <v>0</v>
      </c>
      <c r="AC118" s="69">
        <f t="shared" si="380"/>
        <v>-150</v>
      </c>
      <c r="AD118" s="460">
        <v>0</v>
      </c>
      <c r="AE118" s="460">
        <v>0</v>
      </c>
      <c r="AF118" s="460">
        <f t="shared" si="381"/>
        <v>0</v>
      </c>
      <c r="AG118" s="460">
        <f t="shared" si="382"/>
        <v>-150</v>
      </c>
      <c r="AH118" s="461">
        <v>-0.01</v>
      </c>
      <c r="AI118" s="461">
        <v>-0.02</v>
      </c>
      <c r="AJ118" s="461">
        <v>0</v>
      </c>
      <c r="AK118" s="461">
        <v>0</v>
      </c>
      <c r="AL118" s="674">
        <v>0</v>
      </c>
      <c r="AM118" s="461">
        <v>0</v>
      </c>
      <c r="AN118" s="461">
        <v>0</v>
      </c>
      <c r="AO118" s="461">
        <v>0</v>
      </c>
      <c r="AP118" s="461">
        <f t="shared" si="383"/>
        <v>-0.01</v>
      </c>
      <c r="AQ118" s="461">
        <f t="shared" si="384"/>
        <v>-0.02</v>
      </c>
      <c r="AR118" s="463">
        <f t="shared" si="385"/>
        <v>-0.03</v>
      </c>
      <c r="AS118" s="469">
        <f t="shared" si="386"/>
        <v>21184805</v>
      </c>
      <c r="AT118" s="460">
        <f t="shared" si="387"/>
        <v>15436089</v>
      </c>
      <c r="AU118" s="460">
        <f t="shared" si="388"/>
        <v>14950</v>
      </c>
      <c r="AV118" s="460">
        <f t="shared" si="389"/>
        <v>5222451</v>
      </c>
      <c r="AW118" s="460">
        <f t="shared" si="389"/>
        <v>154360</v>
      </c>
      <c r="AX118" s="460">
        <f t="shared" si="390"/>
        <v>356955</v>
      </c>
      <c r="AY118" s="461">
        <f t="shared" si="391"/>
        <v>27.534499999999998</v>
      </c>
      <c r="AZ118" s="461">
        <f t="shared" si="392"/>
        <v>21.444499999999998</v>
      </c>
      <c r="BA118" s="463">
        <f t="shared" si="392"/>
        <v>6.09</v>
      </c>
    </row>
    <row r="119" spans="1:53" ht="12.95" customHeight="1" x14ac:dyDescent="0.25">
      <c r="A119" s="300">
        <v>20</v>
      </c>
      <c r="B119" s="340">
        <v>5453</v>
      </c>
      <c r="C119" s="341">
        <v>600099211</v>
      </c>
      <c r="D119" s="300">
        <v>854760</v>
      </c>
      <c r="E119" s="368" t="s">
        <v>461</v>
      </c>
      <c r="F119" s="340">
        <v>3113</v>
      </c>
      <c r="G119" s="303" t="s">
        <v>308</v>
      </c>
      <c r="H119" s="303" t="s">
        <v>278</v>
      </c>
      <c r="I119" s="462">
        <f t="shared" si="372"/>
        <v>0</v>
      </c>
      <c r="J119" s="457">
        <v>0</v>
      </c>
      <c r="K119" s="457">
        <f t="shared" si="373"/>
        <v>0</v>
      </c>
      <c r="L119" s="457">
        <f t="shared" si="393"/>
        <v>0</v>
      </c>
      <c r="M119" s="457">
        <v>0</v>
      </c>
      <c r="N119" s="458">
        <f t="shared" si="374"/>
        <v>0</v>
      </c>
      <c r="O119" s="459">
        <v>0</v>
      </c>
      <c r="P119" s="646">
        <v>0</v>
      </c>
      <c r="Q119" s="469">
        <f t="shared" si="375"/>
        <v>0</v>
      </c>
      <c r="R119" s="460">
        <f>1095695+21208-19280</f>
        <v>1097623</v>
      </c>
      <c r="S119" s="673">
        <v>0</v>
      </c>
      <c r="T119" s="460">
        <v>0</v>
      </c>
      <c r="U119" s="460">
        <v>0</v>
      </c>
      <c r="V119" s="460">
        <f t="shared" si="376"/>
        <v>1097623</v>
      </c>
      <c r="W119" s="460">
        <v>0</v>
      </c>
      <c r="X119" s="460">
        <v>0</v>
      </c>
      <c r="Y119" s="460">
        <v>0</v>
      </c>
      <c r="Z119" s="460">
        <f t="shared" si="377"/>
        <v>0</v>
      </c>
      <c r="AA119" s="460">
        <f t="shared" si="378"/>
        <v>1097623</v>
      </c>
      <c r="AB119" s="69">
        <f t="shared" si="379"/>
        <v>370997</v>
      </c>
      <c r="AC119" s="69">
        <f t="shared" si="380"/>
        <v>10976</v>
      </c>
      <c r="AD119" s="460">
        <v>0</v>
      </c>
      <c r="AE119" s="460">
        <v>0</v>
      </c>
      <c r="AF119" s="460">
        <f t="shared" si="381"/>
        <v>0</v>
      </c>
      <c r="AG119" s="460">
        <f t="shared" si="382"/>
        <v>1479596</v>
      </c>
      <c r="AH119" s="461">
        <v>0</v>
      </c>
      <c r="AI119" s="461">
        <v>0</v>
      </c>
      <c r="AJ119" s="461">
        <f>2.84+0.05-0.04</f>
        <v>2.8499999999999996</v>
      </c>
      <c r="AK119" s="461">
        <v>0</v>
      </c>
      <c r="AL119" s="674">
        <v>0</v>
      </c>
      <c r="AM119" s="461">
        <v>0</v>
      </c>
      <c r="AN119" s="461">
        <v>0</v>
      </c>
      <c r="AO119" s="461">
        <v>0</v>
      </c>
      <c r="AP119" s="461">
        <f t="shared" si="383"/>
        <v>2.8499999999999996</v>
      </c>
      <c r="AQ119" s="461">
        <f t="shared" si="384"/>
        <v>0</v>
      </c>
      <c r="AR119" s="463">
        <f t="shared" si="385"/>
        <v>2.8499999999999996</v>
      </c>
      <c r="AS119" s="469">
        <f t="shared" si="386"/>
        <v>1479596</v>
      </c>
      <c r="AT119" s="460">
        <f t="shared" si="387"/>
        <v>1097623</v>
      </c>
      <c r="AU119" s="460">
        <f t="shared" si="388"/>
        <v>0</v>
      </c>
      <c r="AV119" s="460">
        <f t="shared" si="389"/>
        <v>370997</v>
      </c>
      <c r="AW119" s="460">
        <f t="shared" si="389"/>
        <v>10976</v>
      </c>
      <c r="AX119" s="460">
        <f t="shared" si="390"/>
        <v>0</v>
      </c>
      <c r="AY119" s="461">
        <f t="shared" si="391"/>
        <v>2.8499999999999996</v>
      </c>
      <c r="AZ119" s="461">
        <f t="shared" si="392"/>
        <v>2.8499999999999996</v>
      </c>
      <c r="BA119" s="463">
        <f t="shared" si="392"/>
        <v>0</v>
      </c>
    </row>
    <row r="120" spans="1:53" ht="12.95" customHeight="1" x14ac:dyDescent="0.25">
      <c r="A120" s="300">
        <v>20</v>
      </c>
      <c r="B120" s="340">
        <v>5453</v>
      </c>
      <c r="C120" s="341">
        <v>600099211</v>
      </c>
      <c r="D120" s="300">
        <v>854760</v>
      </c>
      <c r="E120" s="368" t="s">
        <v>461</v>
      </c>
      <c r="F120" s="340">
        <v>3141</v>
      </c>
      <c r="G120" s="364" t="s">
        <v>311</v>
      </c>
      <c r="H120" s="303" t="s">
        <v>278</v>
      </c>
      <c r="I120" s="462">
        <f t="shared" si="372"/>
        <v>2986763</v>
      </c>
      <c r="J120" s="457">
        <f>1394526+602159+204703</f>
        <v>2201388</v>
      </c>
      <c r="K120" s="457">
        <f t="shared" si="373"/>
        <v>744069</v>
      </c>
      <c r="L120" s="457">
        <f t="shared" si="393"/>
        <v>22014</v>
      </c>
      <c r="M120" s="457">
        <f>14820+3640+832</f>
        <v>19292</v>
      </c>
      <c r="N120" s="458">
        <f t="shared" si="374"/>
        <v>7.08</v>
      </c>
      <c r="O120" s="459">
        <v>0</v>
      </c>
      <c r="P120" s="646">
        <f>4.48+1.94+0.66</f>
        <v>7.08</v>
      </c>
      <c r="Q120" s="469">
        <f t="shared" si="375"/>
        <v>0</v>
      </c>
      <c r="R120" s="460">
        <v>0</v>
      </c>
      <c r="S120" s="673">
        <v>0</v>
      </c>
      <c r="T120" s="460">
        <v>0</v>
      </c>
      <c r="U120" s="460">
        <v>0</v>
      </c>
      <c r="V120" s="460">
        <f t="shared" si="376"/>
        <v>0</v>
      </c>
      <c r="W120" s="460">
        <v>0</v>
      </c>
      <c r="X120" s="460">
        <v>0</v>
      </c>
      <c r="Y120" s="460">
        <v>0</v>
      </c>
      <c r="Z120" s="460">
        <f t="shared" si="377"/>
        <v>0</v>
      </c>
      <c r="AA120" s="460">
        <f t="shared" si="378"/>
        <v>0</v>
      </c>
      <c r="AB120" s="69">
        <f t="shared" si="379"/>
        <v>0</v>
      </c>
      <c r="AC120" s="69">
        <f t="shared" si="380"/>
        <v>0</v>
      </c>
      <c r="AD120" s="460">
        <v>0</v>
      </c>
      <c r="AE120" s="460">
        <v>0</v>
      </c>
      <c r="AF120" s="460">
        <f t="shared" si="381"/>
        <v>0</v>
      </c>
      <c r="AG120" s="460">
        <f t="shared" si="382"/>
        <v>0</v>
      </c>
      <c r="AH120" s="461">
        <v>0</v>
      </c>
      <c r="AI120" s="461">
        <v>0</v>
      </c>
      <c r="AJ120" s="461">
        <v>0</v>
      </c>
      <c r="AK120" s="461">
        <v>0</v>
      </c>
      <c r="AL120" s="674">
        <v>0</v>
      </c>
      <c r="AM120" s="461">
        <v>0</v>
      </c>
      <c r="AN120" s="461">
        <v>0</v>
      </c>
      <c r="AO120" s="461">
        <v>0</v>
      </c>
      <c r="AP120" s="461">
        <f t="shared" si="383"/>
        <v>0</v>
      </c>
      <c r="AQ120" s="461">
        <f t="shared" si="384"/>
        <v>0</v>
      </c>
      <c r="AR120" s="463">
        <f t="shared" si="385"/>
        <v>0</v>
      </c>
      <c r="AS120" s="469">
        <f t="shared" si="386"/>
        <v>2986763</v>
      </c>
      <c r="AT120" s="460">
        <f t="shared" si="387"/>
        <v>2201388</v>
      </c>
      <c r="AU120" s="460">
        <f t="shared" si="388"/>
        <v>0</v>
      </c>
      <c r="AV120" s="460">
        <f t="shared" si="389"/>
        <v>744069</v>
      </c>
      <c r="AW120" s="460">
        <f t="shared" si="389"/>
        <v>22014</v>
      </c>
      <c r="AX120" s="460">
        <f t="shared" si="390"/>
        <v>19292</v>
      </c>
      <c r="AY120" s="461">
        <f t="shared" si="391"/>
        <v>7.08</v>
      </c>
      <c r="AZ120" s="461">
        <f t="shared" si="392"/>
        <v>0</v>
      </c>
      <c r="BA120" s="463">
        <f t="shared" si="392"/>
        <v>7.08</v>
      </c>
    </row>
    <row r="121" spans="1:53" ht="12.95" customHeight="1" x14ac:dyDescent="0.25">
      <c r="A121" s="300">
        <v>20</v>
      </c>
      <c r="B121" s="340">
        <v>5453</v>
      </c>
      <c r="C121" s="341">
        <v>600099211</v>
      </c>
      <c r="D121" s="300">
        <v>854760</v>
      </c>
      <c r="E121" s="368" t="s">
        <v>461</v>
      </c>
      <c r="F121" s="340">
        <v>3143</v>
      </c>
      <c r="G121" s="303" t="s">
        <v>616</v>
      </c>
      <c r="H121" s="303" t="s">
        <v>277</v>
      </c>
      <c r="I121" s="462">
        <f t="shared" si="372"/>
        <v>1729272</v>
      </c>
      <c r="J121" s="457">
        <v>1282843</v>
      </c>
      <c r="K121" s="457">
        <f t="shared" si="373"/>
        <v>433601</v>
      </c>
      <c r="L121" s="457">
        <f t="shared" si="393"/>
        <v>12828</v>
      </c>
      <c r="M121" s="457">
        <v>0</v>
      </c>
      <c r="N121" s="458">
        <f t="shared" si="374"/>
        <v>2.6333000000000002</v>
      </c>
      <c r="O121" s="459">
        <v>2.6333000000000002</v>
      </c>
      <c r="P121" s="646">
        <v>0</v>
      </c>
      <c r="Q121" s="469">
        <f t="shared" si="375"/>
        <v>0</v>
      </c>
      <c r="R121" s="460">
        <v>0</v>
      </c>
      <c r="S121" s="673">
        <v>0</v>
      </c>
      <c r="T121" s="460">
        <v>0</v>
      </c>
      <c r="U121" s="460">
        <v>0</v>
      </c>
      <c r="V121" s="460">
        <f t="shared" si="376"/>
        <v>0</v>
      </c>
      <c r="W121" s="460">
        <v>0</v>
      </c>
      <c r="X121" s="460">
        <v>0</v>
      </c>
      <c r="Y121" s="460">
        <v>0</v>
      </c>
      <c r="Z121" s="460">
        <f t="shared" si="377"/>
        <v>0</v>
      </c>
      <c r="AA121" s="460">
        <f t="shared" si="378"/>
        <v>0</v>
      </c>
      <c r="AB121" s="69">
        <f t="shared" si="379"/>
        <v>0</v>
      </c>
      <c r="AC121" s="69">
        <f t="shared" si="380"/>
        <v>0</v>
      </c>
      <c r="AD121" s="460">
        <v>0</v>
      </c>
      <c r="AE121" s="460">
        <v>0</v>
      </c>
      <c r="AF121" s="460">
        <f t="shared" si="381"/>
        <v>0</v>
      </c>
      <c r="AG121" s="460">
        <f t="shared" si="382"/>
        <v>0</v>
      </c>
      <c r="AH121" s="461">
        <v>0</v>
      </c>
      <c r="AI121" s="461">
        <v>0</v>
      </c>
      <c r="AJ121" s="461">
        <v>0</v>
      </c>
      <c r="AK121" s="461">
        <v>0</v>
      </c>
      <c r="AL121" s="674">
        <v>0</v>
      </c>
      <c r="AM121" s="461">
        <v>0</v>
      </c>
      <c r="AN121" s="461">
        <v>0</v>
      </c>
      <c r="AO121" s="461">
        <v>0</v>
      </c>
      <c r="AP121" s="461">
        <f t="shared" si="383"/>
        <v>0</v>
      </c>
      <c r="AQ121" s="461">
        <f t="shared" si="384"/>
        <v>0</v>
      </c>
      <c r="AR121" s="463">
        <f t="shared" si="385"/>
        <v>0</v>
      </c>
      <c r="AS121" s="469">
        <f t="shared" si="386"/>
        <v>1729272</v>
      </c>
      <c r="AT121" s="460">
        <f t="shared" si="387"/>
        <v>1282843</v>
      </c>
      <c r="AU121" s="460">
        <f t="shared" si="388"/>
        <v>0</v>
      </c>
      <c r="AV121" s="460">
        <f t="shared" si="389"/>
        <v>433601</v>
      </c>
      <c r="AW121" s="460">
        <f t="shared" si="389"/>
        <v>12828</v>
      </c>
      <c r="AX121" s="460">
        <f t="shared" si="390"/>
        <v>0</v>
      </c>
      <c r="AY121" s="461">
        <f t="shared" si="391"/>
        <v>2.6333000000000002</v>
      </c>
      <c r="AZ121" s="461">
        <f t="shared" si="392"/>
        <v>2.6333000000000002</v>
      </c>
      <c r="BA121" s="463">
        <f t="shared" si="392"/>
        <v>0</v>
      </c>
    </row>
    <row r="122" spans="1:53" ht="12.95" customHeight="1" x14ac:dyDescent="0.25">
      <c r="A122" s="300">
        <v>20</v>
      </c>
      <c r="B122" s="340">
        <v>5453</v>
      </c>
      <c r="C122" s="341">
        <v>600099211</v>
      </c>
      <c r="D122" s="300">
        <v>854760</v>
      </c>
      <c r="E122" s="368" t="s">
        <v>461</v>
      </c>
      <c r="F122" s="340">
        <v>3143</v>
      </c>
      <c r="G122" s="303" t="s">
        <v>617</v>
      </c>
      <c r="H122" s="303" t="s">
        <v>278</v>
      </c>
      <c r="I122" s="462">
        <f t="shared" si="372"/>
        <v>59373</v>
      </c>
      <c r="J122" s="457">
        <f>42423</f>
        <v>42423</v>
      </c>
      <c r="K122" s="457">
        <f t="shared" si="373"/>
        <v>14339</v>
      </c>
      <c r="L122" s="457">
        <f t="shared" si="393"/>
        <v>424</v>
      </c>
      <c r="M122" s="457">
        <v>2187</v>
      </c>
      <c r="N122" s="458">
        <f t="shared" si="374"/>
        <v>0.17</v>
      </c>
      <c r="O122" s="459">
        <v>0</v>
      </c>
      <c r="P122" s="646">
        <v>0.17</v>
      </c>
      <c r="Q122" s="469">
        <f t="shared" si="375"/>
        <v>0</v>
      </c>
      <c r="R122" s="460">
        <v>0</v>
      </c>
      <c r="S122" s="673">
        <v>0</v>
      </c>
      <c r="T122" s="460">
        <v>0</v>
      </c>
      <c r="U122" s="460">
        <v>0</v>
      </c>
      <c r="V122" s="460">
        <f t="shared" si="376"/>
        <v>0</v>
      </c>
      <c r="W122" s="460">
        <v>0</v>
      </c>
      <c r="X122" s="460">
        <v>0</v>
      </c>
      <c r="Y122" s="460">
        <v>0</v>
      </c>
      <c r="Z122" s="460">
        <f t="shared" si="377"/>
        <v>0</v>
      </c>
      <c r="AA122" s="460">
        <f t="shared" si="378"/>
        <v>0</v>
      </c>
      <c r="AB122" s="69">
        <f t="shared" si="379"/>
        <v>0</v>
      </c>
      <c r="AC122" s="69">
        <f t="shared" si="380"/>
        <v>0</v>
      </c>
      <c r="AD122" s="460">
        <v>0</v>
      </c>
      <c r="AE122" s="460">
        <v>0</v>
      </c>
      <c r="AF122" s="460">
        <f t="shared" si="381"/>
        <v>0</v>
      </c>
      <c r="AG122" s="460">
        <f t="shared" si="382"/>
        <v>0</v>
      </c>
      <c r="AH122" s="461">
        <v>0</v>
      </c>
      <c r="AI122" s="461">
        <v>0</v>
      </c>
      <c r="AJ122" s="461">
        <v>0</v>
      </c>
      <c r="AK122" s="461">
        <v>0</v>
      </c>
      <c r="AL122" s="674">
        <v>0</v>
      </c>
      <c r="AM122" s="461">
        <v>0</v>
      </c>
      <c r="AN122" s="461">
        <v>0</v>
      </c>
      <c r="AO122" s="461">
        <v>0</v>
      </c>
      <c r="AP122" s="461">
        <f t="shared" si="383"/>
        <v>0</v>
      </c>
      <c r="AQ122" s="461">
        <f t="shared" si="384"/>
        <v>0</v>
      </c>
      <c r="AR122" s="463">
        <f t="shared" si="385"/>
        <v>0</v>
      </c>
      <c r="AS122" s="469">
        <f t="shared" si="386"/>
        <v>59373</v>
      </c>
      <c r="AT122" s="460">
        <f t="shared" si="387"/>
        <v>42423</v>
      </c>
      <c r="AU122" s="460">
        <f t="shared" si="388"/>
        <v>0</v>
      </c>
      <c r="AV122" s="460">
        <f t="shared" si="389"/>
        <v>14339</v>
      </c>
      <c r="AW122" s="460">
        <f t="shared" si="389"/>
        <v>424</v>
      </c>
      <c r="AX122" s="460">
        <f t="shared" si="390"/>
        <v>2187</v>
      </c>
      <c r="AY122" s="461">
        <f t="shared" si="391"/>
        <v>0.17</v>
      </c>
      <c r="AZ122" s="461">
        <f t="shared" si="392"/>
        <v>0</v>
      </c>
      <c r="BA122" s="463">
        <f t="shared" si="392"/>
        <v>0.17</v>
      </c>
    </row>
    <row r="123" spans="1:53" ht="12.95" customHeight="1" x14ac:dyDescent="0.25">
      <c r="A123" s="300">
        <v>20</v>
      </c>
      <c r="B123" s="340">
        <v>5453</v>
      </c>
      <c r="C123" s="341">
        <v>600099211</v>
      </c>
      <c r="D123" s="300">
        <v>854760</v>
      </c>
      <c r="E123" s="368" t="s">
        <v>461</v>
      </c>
      <c r="F123" s="340">
        <v>3143</v>
      </c>
      <c r="G123" s="364" t="s">
        <v>462</v>
      </c>
      <c r="H123" s="303" t="s">
        <v>278</v>
      </c>
      <c r="I123" s="462">
        <f t="shared" si="372"/>
        <v>320350</v>
      </c>
      <c r="J123" s="457">
        <v>237315</v>
      </c>
      <c r="K123" s="457">
        <f t="shared" si="373"/>
        <v>80212</v>
      </c>
      <c r="L123" s="457">
        <f t="shared" si="393"/>
        <v>2373</v>
      </c>
      <c r="M123" s="457">
        <v>450</v>
      </c>
      <c r="N123" s="458">
        <f t="shared" si="374"/>
        <v>0.52</v>
      </c>
      <c r="O123" s="459">
        <v>0.47</v>
      </c>
      <c r="P123" s="646">
        <v>0.05</v>
      </c>
      <c r="Q123" s="469">
        <f t="shared" si="375"/>
        <v>0</v>
      </c>
      <c r="R123" s="460">
        <v>0</v>
      </c>
      <c r="S123" s="673">
        <v>0</v>
      </c>
      <c r="T123" s="460">
        <v>0</v>
      </c>
      <c r="U123" s="460">
        <v>0</v>
      </c>
      <c r="V123" s="460">
        <f t="shared" si="376"/>
        <v>0</v>
      </c>
      <c r="W123" s="460">
        <v>0</v>
      </c>
      <c r="X123" s="460">
        <v>0</v>
      </c>
      <c r="Y123" s="460">
        <v>0</v>
      </c>
      <c r="Z123" s="460">
        <f t="shared" si="377"/>
        <v>0</v>
      </c>
      <c r="AA123" s="460">
        <f t="shared" si="378"/>
        <v>0</v>
      </c>
      <c r="AB123" s="69">
        <f t="shared" si="379"/>
        <v>0</v>
      </c>
      <c r="AC123" s="69">
        <f t="shared" si="380"/>
        <v>0</v>
      </c>
      <c r="AD123" s="460">
        <v>0</v>
      </c>
      <c r="AE123" s="460">
        <v>0</v>
      </c>
      <c r="AF123" s="460">
        <f t="shared" si="381"/>
        <v>0</v>
      </c>
      <c r="AG123" s="460">
        <f t="shared" si="382"/>
        <v>0</v>
      </c>
      <c r="AH123" s="461">
        <v>0</v>
      </c>
      <c r="AI123" s="461">
        <v>0</v>
      </c>
      <c r="AJ123" s="461">
        <v>0</v>
      </c>
      <c r="AK123" s="461">
        <v>0</v>
      </c>
      <c r="AL123" s="674">
        <v>0</v>
      </c>
      <c r="AM123" s="461">
        <v>0</v>
      </c>
      <c r="AN123" s="461">
        <v>0</v>
      </c>
      <c r="AO123" s="461">
        <v>0</v>
      </c>
      <c r="AP123" s="461">
        <f t="shared" si="383"/>
        <v>0</v>
      </c>
      <c r="AQ123" s="461">
        <f t="shared" si="384"/>
        <v>0</v>
      </c>
      <c r="AR123" s="463">
        <f t="shared" si="385"/>
        <v>0</v>
      </c>
      <c r="AS123" s="469">
        <f t="shared" si="386"/>
        <v>320350</v>
      </c>
      <c r="AT123" s="460">
        <f t="shared" si="387"/>
        <v>237315</v>
      </c>
      <c r="AU123" s="460">
        <f t="shared" si="388"/>
        <v>0</v>
      </c>
      <c r="AV123" s="460">
        <f t="shared" si="389"/>
        <v>80212</v>
      </c>
      <c r="AW123" s="460">
        <f t="shared" si="389"/>
        <v>2373</v>
      </c>
      <c r="AX123" s="460">
        <f t="shared" si="390"/>
        <v>450</v>
      </c>
      <c r="AY123" s="461">
        <f t="shared" si="391"/>
        <v>0.52</v>
      </c>
      <c r="AZ123" s="461">
        <f t="shared" si="392"/>
        <v>0.47</v>
      </c>
      <c r="BA123" s="463">
        <f t="shared" si="392"/>
        <v>0.05</v>
      </c>
    </row>
    <row r="124" spans="1:53" ht="12.95" customHeight="1" x14ac:dyDescent="0.25">
      <c r="A124" s="310">
        <v>20</v>
      </c>
      <c r="B124" s="344">
        <v>5453</v>
      </c>
      <c r="C124" s="345">
        <v>600099211</v>
      </c>
      <c r="D124" s="344">
        <v>854760</v>
      </c>
      <c r="E124" s="369" t="s">
        <v>463</v>
      </c>
      <c r="F124" s="344"/>
      <c r="G124" s="370"/>
      <c r="H124" s="371"/>
      <c r="I124" s="536">
        <f t="shared" ref="I124:P124" si="394">SUM(I117:I123)</f>
        <v>32701920</v>
      </c>
      <c r="J124" s="532">
        <f t="shared" si="394"/>
        <v>23951511</v>
      </c>
      <c r="K124" s="532">
        <f t="shared" si="394"/>
        <v>8095610</v>
      </c>
      <c r="L124" s="532">
        <f t="shared" si="394"/>
        <v>239515</v>
      </c>
      <c r="M124" s="532">
        <f t="shared" si="394"/>
        <v>415284</v>
      </c>
      <c r="N124" s="533">
        <f t="shared" si="394"/>
        <v>47.567799999999998</v>
      </c>
      <c r="O124" s="533">
        <f t="shared" si="394"/>
        <v>32.5578</v>
      </c>
      <c r="P124" s="298">
        <f t="shared" si="394"/>
        <v>15.01</v>
      </c>
      <c r="Q124" s="538">
        <f t="shared" ref="Q124:BA124" si="395">SUM(Q117:Q123)</f>
        <v>-14950</v>
      </c>
      <c r="R124" s="532">
        <f t="shared" si="395"/>
        <v>1097623</v>
      </c>
      <c r="S124" s="532">
        <f t="shared" si="395"/>
        <v>0</v>
      </c>
      <c r="T124" s="532">
        <f t="shared" si="395"/>
        <v>0</v>
      </c>
      <c r="U124" s="532">
        <f t="shared" si="395"/>
        <v>0</v>
      </c>
      <c r="V124" s="532">
        <f t="shared" si="395"/>
        <v>1082673</v>
      </c>
      <c r="W124" s="532">
        <f t="shared" si="395"/>
        <v>14950</v>
      </c>
      <c r="X124" s="532">
        <f t="shared" si="395"/>
        <v>0</v>
      </c>
      <c r="Y124" s="532">
        <f t="shared" si="395"/>
        <v>0</v>
      </c>
      <c r="Z124" s="532">
        <f t="shared" si="395"/>
        <v>14950</v>
      </c>
      <c r="AA124" s="532">
        <f t="shared" si="395"/>
        <v>1097623</v>
      </c>
      <c r="AB124" s="532">
        <f t="shared" si="395"/>
        <v>370997</v>
      </c>
      <c r="AC124" s="532">
        <f t="shared" si="395"/>
        <v>10826</v>
      </c>
      <c r="AD124" s="532">
        <f t="shared" si="395"/>
        <v>0</v>
      </c>
      <c r="AE124" s="532">
        <f t="shared" si="395"/>
        <v>0</v>
      </c>
      <c r="AF124" s="532">
        <f t="shared" si="395"/>
        <v>0</v>
      </c>
      <c r="AG124" s="532">
        <f t="shared" si="395"/>
        <v>1479446</v>
      </c>
      <c r="AH124" s="533">
        <f t="shared" si="395"/>
        <v>-0.01</v>
      </c>
      <c r="AI124" s="533">
        <f t="shared" si="395"/>
        <v>-0.02</v>
      </c>
      <c r="AJ124" s="533">
        <f t="shared" si="395"/>
        <v>2.8499999999999996</v>
      </c>
      <c r="AK124" s="533">
        <f t="shared" si="395"/>
        <v>0</v>
      </c>
      <c r="AL124" s="533">
        <f t="shared" si="395"/>
        <v>0</v>
      </c>
      <c r="AM124" s="533">
        <f t="shared" si="395"/>
        <v>0</v>
      </c>
      <c r="AN124" s="533">
        <f t="shared" si="395"/>
        <v>0</v>
      </c>
      <c r="AO124" s="533">
        <f t="shared" si="395"/>
        <v>0</v>
      </c>
      <c r="AP124" s="533">
        <f t="shared" si="395"/>
        <v>2.84</v>
      </c>
      <c r="AQ124" s="533">
        <f t="shared" si="395"/>
        <v>-0.02</v>
      </c>
      <c r="AR124" s="298">
        <f t="shared" si="395"/>
        <v>2.82</v>
      </c>
      <c r="AS124" s="538">
        <f t="shared" si="395"/>
        <v>34181366</v>
      </c>
      <c r="AT124" s="532">
        <f t="shared" si="395"/>
        <v>25034184</v>
      </c>
      <c r="AU124" s="532">
        <f t="shared" si="395"/>
        <v>14950</v>
      </c>
      <c r="AV124" s="532">
        <f t="shared" si="395"/>
        <v>8466607</v>
      </c>
      <c r="AW124" s="532">
        <f t="shared" si="395"/>
        <v>250341</v>
      </c>
      <c r="AX124" s="532">
        <f t="shared" si="395"/>
        <v>415284</v>
      </c>
      <c r="AY124" s="533">
        <f t="shared" si="395"/>
        <v>50.387799999999999</v>
      </c>
      <c r="AZ124" s="533">
        <f t="shared" si="395"/>
        <v>35.397799999999997</v>
      </c>
      <c r="BA124" s="298">
        <f t="shared" si="395"/>
        <v>14.99</v>
      </c>
    </row>
    <row r="125" spans="1:53" ht="12.95" customHeight="1" x14ac:dyDescent="0.25">
      <c r="A125" s="300">
        <v>21</v>
      </c>
      <c r="B125" s="300">
        <v>5429</v>
      </c>
      <c r="C125" s="349">
        <v>600098656</v>
      </c>
      <c r="D125" s="300">
        <v>70698309</v>
      </c>
      <c r="E125" s="302" t="s">
        <v>464</v>
      </c>
      <c r="F125" s="300">
        <v>3111</v>
      </c>
      <c r="G125" s="364" t="s">
        <v>321</v>
      </c>
      <c r="H125" s="303" t="s">
        <v>277</v>
      </c>
      <c r="I125" s="462">
        <f t="shared" ref="I125:I127" si="396">SUM(J125:M125)</f>
        <v>3358089</v>
      </c>
      <c r="J125" s="457">
        <v>2479888</v>
      </c>
      <c r="K125" s="457">
        <f t="shared" ref="K125:K127" si="397">ROUND(J125*33.8%,0)</f>
        <v>838202</v>
      </c>
      <c r="L125" s="457">
        <f t="shared" ref="L125:L127" si="398">ROUND(J125*1%,0)</f>
        <v>24799</v>
      </c>
      <c r="M125" s="457">
        <v>15200</v>
      </c>
      <c r="N125" s="458">
        <f t="shared" ref="N125:N127" si="399">O125+P125</f>
        <v>5.33</v>
      </c>
      <c r="O125" s="459">
        <v>4.21</v>
      </c>
      <c r="P125" s="646">
        <v>1.1200000000000001</v>
      </c>
      <c r="Q125" s="469">
        <f t="shared" ref="Q125:Q127" si="400">W125*-1</f>
        <v>-78000</v>
      </c>
      <c r="R125" s="460">
        <v>0</v>
      </c>
      <c r="S125" s="673">
        <v>0</v>
      </c>
      <c r="T125" s="460">
        <v>0</v>
      </c>
      <c r="U125" s="460">
        <v>0</v>
      </c>
      <c r="V125" s="460">
        <f>SUM(Q125:U125)</f>
        <v>-78000</v>
      </c>
      <c r="W125" s="460">
        <v>78000</v>
      </c>
      <c r="X125" s="460">
        <v>0</v>
      </c>
      <c r="Y125" s="460">
        <v>0</v>
      </c>
      <c r="Z125" s="460">
        <f t="shared" ref="Z125:Z127" si="401">SUM(W125:Y125)</f>
        <v>78000</v>
      </c>
      <c r="AA125" s="460">
        <f t="shared" ref="AA125:AA127" si="402">V125+Z125</f>
        <v>0</v>
      </c>
      <c r="AB125" s="69">
        <f t="shared" ref="AB125:AB127" si="403">ROUND((V125+W125+X125)*33.8%,0)</f>
        <v>0</v>
      </c>
      <c r="AC125" s="69">
        <f t="shared" ref="AC125:AC127" si="404">ROUND(V125*1%,0)</f>
        <v>-780</v>
      </c>
      <c r="AD125" s="460">
        <v>0</v>
      </c>
      <c r="AE125" s="460">
        <v>0</v>
      </c>
      <c r="AF125" s="460">
        <f t="shared" ref="AF125:AF127" si="405">SUM(AD125:AE125)</f>
        <v>0</v>
      </c>
      <c r="AG125" s="460">
        <f t="shared" ref="AG125:AG127" si="406">AA125+AB125+AC125+AF125</f>
        <v>-780</v>
      </c>
      <c r="AH125" s="461">
        <v>0</v>
      </c>
      <c r="AI125" s="461">
        <v>-0.28000000000000003</v>
      </c>
      <c r="AJ125" s="461">
        <v>0</v>
      </c>
      <c r="AK125" s="461">
        <v>0</v>
      </c>
      <c r="AL125" s="674">
        <v>0</v>
      </c>
      <c r="AM125" s="461">
        <v>0</v>
      </c>
      <c r="AN125" s="461">
        <v>0</v>
      </c>
      <c r="AO125" s="461">
        <v>0</v>
      </c>
      <c r="AP125" s="461">
        <f>AH125+AJ125+AK125+AM125+AN125</f>
        <v>0</v>
      </c>
      <c r="AQ125" s="461">
        <f>AI125+AL125+AO125</f>
        <v>-0.28000000000000003</v>
      </c>
      <c r="AR125" s="463">
        <f t="shared" ref="AR125:AR127" si="407">SUM(AP125:AQ125)</f>
        <v>-0.28000000000000003</v>
      </c>
      <c r="AS125" s="469">
        <f>I125+AG125</f>
        <v>3357309</v>
      </c>
      <c r="AT125" s="460">
        <f>J125+V125</f>
        <v>2401888</v>
      </c>
      <c r="AU125" s="460">
        <f t="shared" ref="AU125:AU127" si="408">Z125</f>
        <v>78000</v>
      </c>
      <c r="AV125" s="460">
        <f t="shared" ref="AV125:AW127" si="409">K125+AB125</f>
        <v>838202</v>
      </c>
      <c r="AW125" s="460">
        <f t="shared" si="409"/>
        <v>24019</v>
      </c>
      <c r="AX125" s="460">
        <f>M125+AF125</f>
        <v>15200</v>
      </c>
      <c r="AY125" s="461">
        <f>N125+AR125</f>
        <v>5.05</v>
      </c>
      <c r="AZ125" s="461">
        <f t="shared" ref="AZ125:BA127" si="410">O125+AP125</f>
        <v>4.21</v>
      </c>
      <c r="BA125" s="463">
        <f t="shared" si="410"/>
        <v>0.84000000000000008</v>
      </c>
    </row>
    <row r="126" spans="1:53" ht="12.95" customHeight="1" x14ac:dyDescent="0.25">
      <c r="A126" s="300">
        <v>21</v>
      </c>
      <c r="B126" s="340">
        <v>5429</v>
      </c>
      <c r="C126" s="341">
        <v>600098656</v>
      </c>
      <c r="D126" s="300">
        <v>70698309</v>
      </c>
      <c r="E126" s="368" t="s">
        <v>464</v>
      </c>
      <c r="F126" s="300">
        <v>3111</v>
      </c>
      <c r="G126" s="303" t="s">
        <v>308</v>
      </c>
      <c r="H126" s="303" t="s">
        <v>278</v>
      </c>
      <c r="I126" s="462">
        <f t="shared" si="396"/>
        <v>0</v>
      </c>
      <c r="J126" s="457">
        <v>0</v>
      </c>
      <c r="K126" s="457">
        <f t="shared" si="397"/>
        <v>0</v>
      </c>
      <c r="L126" s="457">
        <f t="shared" si="398"/>
        <v>0</v>
      </c>
      <c r="M126" s="457">
        <v>0</v>
      </c>
      <c r="N126" s="458">
        <f t="shared" si="399"/>
        <v>0</v>
      </c>
      <c r="O126" s="459">
        <v>0</v>
      </c>
      <c r="P126" s="646">
        <v>0</v>
      </c>
      <c r="Q126" s="469">
        <f t="shared" si="400"/>
        <v>0</v>
      </c>
      <c r="R126" s="460">
        <v>0</v>
      </c>
      <c r="S126" s="673">
        <v>0</v>
      </c>
      <c r="T126" s="460">
        <v>0</v>
      </c>
      <c r="U126" s="460">
        <v>0</v>
      </c>
      <c r="V126" s="460">
        <f>SUM(Q126:U126)</f>
        <v>0</v>
      </c>
      <c r="W126" s="460">
        <v>0</v>
      </c>
      <c r="X126" s="460">
        <v>0</v>
      </c>
      <c r="Y126" s="460">
        <v>0</v>
      </c>
      <c r="Z126" s="460">
        <f t="shared" si="401"/>
        <v>0</v>
      </c>
      <c r="AA126" s="460">
        <f t="shared" si="402"/>
        <v>0</v>
      </c>
      <c r="AB126" s="69">
        <f t="shared" si="403"/>
        <v>0</v>
      </c>
      <c r="AC126" s="69">
        <f t="shared" si="404"/>
        <v>0</v>
      </c>
      <c r="AD126" s="460">
        <v>2000</v>
      </c>
      <c r="AE126" s="460">
        <v>0</v>
      </c>
      <c r="AF126" s="460">
        <f t="shared" si="405"/>
        <v>2000</v>
      </c>
      <c r="AG126" s="460">
        <f t="shared" si="406"/>
        <v>2000</v>
      </c>
      <c r="AH126" s="461">
        <v>0</v>
      </c>
      <c r="AI126" s="461">
        <v>0</v>
      </c>
      <c r="AJ126" s="461">
        <v>0</v>
      </c>
      <c r="AK126" s="461">
        <v>0</v>
      </c>
      <c r="AL126" s="674">
        <v>0</v>
      </c>
      <c r="AM126" s="461">
        <v>0</v>
      </c>
      <c r="AN126" s="461">
        <v>0</v>
      </c>
      <c r="AO126" s="461">
        <v>0</v>
      </c>
      <c r="AP126" s="461">
        <f>AH126+AJ126+AK126+AM126+AN126</f>
        <v>0</v>
      </c>
      <c r="AQ126" s="461">
        <f>AI126+AL126+AO126</f>
        <v>0</v>
      </c>
      <c r="AR126" s="463">
        <f t="shared" si="407"/>
        <v>0</v>
      </c>
      <c r="AS126" s="469">
        <f>I126+AG126</f>
        <v>2000</v>
      </c>
      <c r="AT126" s="460">
        <f>J126+V126</f>
        <v>0</v>
      </c>
      <c r="AU126" s="460">
        <f t="shared" si="408"/>
        <v>0</v>
      </c>
      <c r="AV126" s="460">
        <f t="shared" si="409"/>
        <v>0</v>
      </c>
      <c r="AW126" s="460">
        <f t="shared" si="409"/>
        <v>0</v>
      </c>
      <c r="AX126" s="460">
        <f>M126+AF126</f>
        <v>2000</v>
      </c>
      <c r="AY126" s="461">
        <f>N126+AR126</f>
        <v>0</v>
      </c>
      <c r="AZ126" s="461">
        <f t="shared" si="410"/>
        <v>0</v>
      </c>
      <c r="BA126" s="463">
        <f t="shared" si="410"/>
        <v>0</v>
      </c>
    </row>
    <row r="127" spans="1:53" ht="12.95" customHeight="1" x14ac:dyDescent="0.25">
      <c r="A127" s="300">
        <v>21</v>
      </c>
      <c r="B127" s="340">
        <v>5429</v>
      </c>
      <c r="C127" s="341">
        <v>600098656</v>
      </c>
      <c r="D127" s="300">
        <v>70698309</v>
      </c>
      <c r="E127" s="368" t="s">
        <v>464</v>
      </c>
      <c r="F127" s="340">
        <v>3141</v>
      </c>
      <c r="G127" s="364" t="s">
        <v>311</v>
      </c>
      <c r="H127" s="303" t="s">
        <v>278</v>
      </c>
      <c r="I127" s="462">
        <f t="shared" si="396"/>
        <v>687787</v>
      </c>
      <c r="J127" s="457">
        <v>508260</v>
      </c>
      <c r="K127" s="457">
        <f t="shared" si="397"/>
        <v>171792</v>
      </c>
      <c r="L127" s="457">
        <f t="shared" si="398"/>
        <v>5083</v>
      </c>
      <c r="M127" s="457">
        <v>2652</v>
      </c>
      <c r="N127" s="458">
        <f t="shared" si="399"/>
        <v>1.63</v>
      </c>
      <c r="O127" s="459">
        <v>0</v>
      </c>
      <c r="P127" s="646">
        <v>1.63</v>
      </c>
      <c r="Q127" s="469">
        <f t="shared" si="400"/>
        <v>0</v>
      </c>
      <c r="R127" s="460">
        <v>0</v>
      </c>
      <c r="S127" s="673">
        <v>0</v>
      </c>
      <c r="T127" s="460">
        <v>0</v>
      </c>
      <c r="U127" s="460">
        <v>0</v>
      </c>
      <c r="V127" s="460">
        <f>SUM(Q127:U127)</f>
        <v>0</v>
      </c>
      <c r="W127" s="460">
        <v>0</v>
      </c>
      <c r="X127" s="460">
        <v>0</v>
      </c>
      <c r="Y127" s="460">
        <v>0</v>
      </c>
      <c r="Z127" s="460">
        <f t="shared" si="401"/>
        <v>0</v>
      </c>
      <c r="AA127" s="460">
        <f t="shared" si="402"/>
        <v>0</v>
      </c>
      <c r="AB127" s="69">
        <f t="shared" si="403"/>
        <v>0</v>
      </c>
      <c r="AC127" s="69">
        <f t="shared" si="404"/>
        <v>0</v>
      </c>
      <c r="AD127" s="460">
        <v>0</v>
      </c>
      <c r="AE127" s="460">
        <v>0</v>
      </c>
      <c r="AF127" s="460">
        <f t="shared" si="405"/>
        <v>0</v>
      </c>
      <c r="AG127" s="460">
        <f t="shared" si="406"/>
        <v>0</v>
      </c>
      <c r="AH127" s="461">
        <v>0</v>
      </c>
      <c r="AI127" s="461">
        <v>0</v>
      </c>
      <c r="AJ127" s="461">
        <v>0</v>
      </c>
      <c r="AK127" s="461">
        <v>0</v>
      </c>
      <c r="AL127" s="674">
        <v>0</v>
      </c>
      <c r="AM127" s="461">
        <v>0</v>
      </c>
      <c r="AN127" s="461">
        <v>0</v>
      </c>
      <c r="AO127" s="461">
        <v>0</v>
      </c>
      <c r="AP127" s="461">
        <f>AH127+AJ127+AK127+AM127+AN127</f>
        <v>0</v>
      </c>
      <c r="AQ127" s="461">
        <f>AI127+AL127+AO127</f>
        <v>0</v>
      </c>
      <c r="AR127" s="463">
        <f t="shared" si="407"/>
        <v>0</v>
      </c>
      <c r="AS127" s="469">
        <f>I127+AG127</f>
        <v>687787</v>
      </c>
      <c r="AT127" s="460">
        <f>J127+V127</f>
        <v>508260</v>
      </c>
      <c r="AU127" s="460">
        <f t="shared" si="408"/>
        <v>0</v>
      </c>
      <c r="AV127" s="460">
        <f t="shared" si="409"/>
        <v>171792</v>
      </c>
      <c r="AW127" s="460">
        <f t="shared" si="409"/>
        <v>5083</v>
      </c>
      <c r="AX127" s="460">
        <f>M127+AF127</f>
        <v>2652</v>
      </c>
      <c r="AY127" s="461">
        <f>N127+AR127</f>
        <v>1.63</v>
      </c>
      <c r="AZ127" s="461">
        <f t="shared" si="410"/>
        <v>0</v>
      </c>
      <c r="BA127" s="463">
        <f t="shared" si="410"/>
        <v>1.63</v>
      </c>
    </row>
    <row r="128" spans="1:53" ht="12.95" customHeight="1" x14ac:dyDescent="0.25">
      <c r="A128" s="310">
        <v>21</v>
      </c>
      <c r="B128" s="344">
        <v>5429</v>
      </c>
      <c r="C128" s="345">
        <v>600098656</v>
      </c>
      <c r="D128" s="344">
        <v>70698309</v>
      </c>
      <c r="E128" s="369" t="s">
        <v>465</v>
      </c>
      <c r="F128" s="344"/>
      <c r="G128" s="370"/>
      <c r="H128" s="371"/>
      <c r="I128" s="536">
        <f t="shared" ref="I128:P128" si="411">SUM(I125:I127)</f>
        <v>4045876</v>
      </c>
      <c r="J128" s="532">
        <f t="shared" si="411"/>
        <v>2988148</v>
      </c>
      <c r="K128" s="532">
        <f t="shared" si="411"/>
        <v>1009994</v>
      </c>
      <c r="L128" s="532">
        <f t="shared" si="411"/>
        <v>29882</v>
      </c>
      <c r="M128" s="532">
        <f t="shared" si="411"/>
        <v>17852</v>
      </c>
      <c r="N128" s="533">
        <f t="shared" si="411"/>
        <v>6.96</v>
      </c>
      <c r="O128" s="533">
        <f t="shared" si="411"/>
        <v>4.21</v>
      </c>
      <c r="P128" s="298">
        <f t="shared" si="411"/>
        <v>2.75</v>
      </c>
      <c r="Q128" s="538">
        <f t="shared" ref="Q128:BA128" si="412">SUM(Q125:Q127)</f>
        <v>-78000</v>
      </c>
      <c r="R128" s="532">
        <f t="shared" si="412"/>
        <v>0</v>
      </c>
      <c r="S128" s="532">
        <f t="shared" si="412"/>
        <v>0</v>
      </c>
      <c r="T128" s="532">
        <f t="shared" si="412"/>
        <v>0</v>
      </c>
      <c r="U128" s="532">
        <f t="shared" si="412"/>
        <v>0</v>
      </c>
      <c r="V128" s="532">
        <f t="shared" si="412"/>
        <v>-78000</v>
      </c>
      <c r="W128" s="532">
        <f t="shared" si="412"/>
        <v>78000</v>
      </c>
      <c r="X128" s="532">
        <f t="shared" si="412"/>
        <v>0</v>
      </c>
      <c r="Y128" s="532">
        <f t="shared" si="412"/>
        <v>0</v>
      </c>
      <c r="Z128" s="532">
        <f t="shared" si="412"/>
        <v>78000</v>
      </c>
      <c r="AA128" s="532">
        <f t="shared" si="412"/>
        <v>0</v>
      </c>
      <c r="AB128" s="532">
        <f t="shared" si="412"/>
        <v>0</v>
      </c>
      <c r="AC128" s="532">
        <f t="shared" si="412"/>
        <v>-780</v>
      </c>
      <c r="AD128" s="532">
        <f t="shared" si="412"/>
        <v>2000</v>
      </c>
      <c r="AE128" s="532">
        <f t="shared" si="412"/>
        <v>0</v>
      </c>
      <c r="AF128" s="532">
        <f t="shared" si="412"/>
        <v>2000</v>
      </c>
      <c r="AG128" s="532">
        <f t="shared" si="412"/>
        <v>1220</v>
      </c>
      <c r="AH128" s="533">
        <f t="shared" si="412"/>
        <v>0</v>
      </c>
      <c r="AI128" s="533">
        <f t="shared" si="412"/>
        <v>-0.28000000000000003</v>
      </c>
      <c r="AJ128" s="533">
        <f t="shared" si="412"/>
        <v>0</v>
      </c>
      <c r="AK128" s="533">
        <f t="shared" si="412"/>
        <v>0</v>
      </c>
      <c r="AL128" s="533">
        <f t="shared" si="412"/>
        <v>0</v>
      </c>
      <c r="AM128" s="533">
        <f t="shared" si="412"/>
        <v>0</v>
      </c>
      <c r="AN128" s="533">
        <f t="shared" si="412"/>
        <v>0</v>
      </c>
      <c r="AO128" s="533">
        <f t="shared" si="412"/>
        <v>0</v>
      </c>
      <c r="AP128" s="533">
        <f t="shared" si="412"/>
        <v>0</v>
      </c>
      <c r="AQ128" s="533">
        <f t="shared" si="412"/>
        <v>-0.28000000000000003</v>
      </c>
      <c r="AR128" s="298">
        <f t="shared" si="412"/>
        <v>-0.28000000000000003</v>
      </c>
      <c r="AS128" s="538">
        <f t="shared" si="412"/>
        <v>4047096</v>
      </c>
      <c r="AT128" s="532">
        <f t="shared" si="412"/>
        <v>2910148</v>
      </c>
      <c r="AU128" s="532">
        <f t="shared" si="412"/>
        <v>78000</v>
      </c>
      <c r="AV128" s="532">
        <f t="shared" si="412"/>
        <v>1009994</v>
      </c>
      <c r="AW128" s="532">
        <f t="shared" si="412"/>
        <v>29102</v>
      </c>
      <c r="AX128" s="532">
        <f t="shared" si="412"/>
        <v>19852</v>
      </c>
      <c r="AY128" s="533">
        <f t="shared" si="412"/>
        <v>6.68</v>
      </c>
      <c r="AZ128" s="533">
        <f t="shared" si="412"/>
        <v>4.21</v>
      </c>
      <c r="BA128" s="298">
        <f t="shared" si="412"/>
        <v>2.4699999999999998</v>
      </c>
    </row>
    <row r="129" spans="1:53" ht="12.95" customHeight="1" x14ac:dyDescent="0.25">
      <c r="A129" s="300">
        <v>22</v>
      </c>
      <c r="B129" s="340">
        <v>5468</v>
      </c>
      <c r="C129" s="341">
        <v>600099083</v>
      </c>
      <c r="D129" s="300">
        <v>70698317</v>
      </c>
      <c r="E129" s="368" t="s">
        <v>466</v>
      </c>
      <c r="F129" s="340">
        <v>3117</v>
      </c>
      <c r="G129" s="364" t="s">
        <v>325</v>
      </c>
      <c r="H129" s="303" t="s">
        <v>277</v>
      </c>
      <c r="I129" s="462">
        <f t="shared" ref="I129:I132" si="413">SUM(J129:M129)</f>
        <v>2316052</v>
      </c>
      <c r="J129" s="457">
        <v>1700632</v>
      </c>
      <c r="K129" s="457">
        <f>ROUND(J129*33.8%,0)-1</f>
        <v>574813</v>
      </c>
      <c r="L129" s="457">
        <f>ROUND(J129*1%,0)+1</f>
        <v>17007</v>
      </c>
      <c r="M129" s="457">
        <v>23600</v>
      </c>
      <c r="N129" s="458">
        <f t="shared" ref="N129:N132" si="414">O129+P129</f>
        <v>3.1122000000000001</v>
      </c>
      <c r="O129" s="459">
        <v>2.5455000000000001</v>
      </c>
      <c r="P129" s="646">
        <v>0.56669999999999998</v>
      </c>
      <c r="Q129" s="469">
        <f t="shared" ref="Q129:Q132" si="415">W129*-1</f>
        <v>0</v>
      </c>
      <c r="R129" s="460">
        <v>0</v>
      </c>
      <c r="S129" s="673">
        <v>0</v>
      </c>
      <c r="T129" s="460">
        <v>0</v>
      </c>
      <c r="U129" s="460">
        <v>0</v>
      </c>
      <c r="V129" s="460">
        <f>SUM(Q129:U129)</f>
        <v>0</v>
      </c>
      <c r="W129" s="460">
        <v>0</v>
      </c>
      <c r="X129" s="460">
        <v>0</v>
      </c>
      <c r="Y129" s="460">
        <v>0</v>
      </c>
      <c r="Z129" s="460">
        <f t="shared" ref="Z129:Z132" si="416">SUM(W129:Y129)</f>
        <v>0</v>
      </c>
      <c r="AA129" s="460">
        <f t="shared" ref="AA129:AA132" si="417">V129+Z129</f>
        <v>0</v>
      </c>
      <c r="AB129" s="69">
        <f t="shared" ref="AB129:AB132" si="418">ROUND((V129+W129+X129)*33.8%,0)</f>
        <v>0</v>
      </c>
      <c r="AC129" s="69">
        <f t="shared" ref="AC129:AC132" si="419">ROUND(V129*1%,0)</f>
        <v>0</v>
      </c>
      <c r="AD129" s="460">
        <v>0</v>
      </c>
      <c r="AE129" s="460">
        <v>0</v>
      </c>
      <c r="AF129" s="460">
        <f t="shared" ref="AF129:AF132" si="420">SUM(AD129:AE129)</f>
        <v>0</v>
      </c>
      <c r="AG129" s="460">
        <f t="shared" ref="AG129:AG132" si="421">AA129+AB129+AC129+AF129</f>
        <v>0</v>
      </c>
      <c r="AH129" s="461">
        <v>0</v>
      </c>
      <c r="AI129" s="461">
        <v>0</v>
      </c>
      <c r="AJ129" s="461">
        <v>0</v>
      </c>
      <c r="AK129" s="461">
        <v>0</v>
      </c>
      <c r="AL129" s="674">
        <v>0</v>
      </c>
      <c r="AM129" s="461">
        <v>0</v>
      </c>
      <c r="AN129" s="461">
        <v>0</v>
      </c>
      <c r="AO129" s="461">
        <v>0</v>
      </c>
      <c r="AP129" s="461">
        <f>AH129+AJ129+AK129+AM129+AN129</f>
        <v>0</v>
      </c>
      <c r="AQ129" s="461">
        <f>AI129+AL129+AO129</f>
        <v>0</v>
      </c>
      <c r="AR129" s="463">
        <f t="shared" ref="AR129:AR132" si="422">SUM(AP129:AQ129)</f>
        <v>0</v>
      </c>
      <c r="AS129" s="469">
        <f>I129+AG129</f>
        <v>2316052</v>
      </c>
      <c r="AT129" s="460">
        <f>J129+V129</f>
        <v>1700632</v>
      </c>
      <c r="AU129" s="460">
        <f t="shared" ref="AU129:AU132" si="423">Z129</f>
        <v>0</v>
      </c>
      <c r="AV129" s="460">
        <f t="shared" ref="AV129:AW132" si="424">K129+AB129</f>
        <v>574813</v>
      </c>
      <c r="AW129" s="460">
        <f t="shared" si="424"/>
        <v>17007</v>
      </c>
      <c r="AX129" s="460">
        <f>M129+AF129</f>
        <v>23600</v>
      </c>
      <c r="AY129" s="461">
        <f>N129+AR129</f>
        <v>3.1122000000000001</v>
      </c>
      <c r="AZ129" s="461">
        <f t="shared" ref="AZ129:BA132" si="425">O129+AP129</f>
        <v>2.5455000000000001</v>
      </c>
      <c r="BA129" s="463">
        <f t="shared" si="425"/>
        <v>0.56669999999999998</v>
      </c>
    </row>
    <row r="130" spans="1:53" ht="12.95" customHeight="1" x14ac:dyDescent="0.25">
      <c r="A130" s="300">
        <v>22</v>
      </c>
      <c r="B130" s="340">
        <v>5468</v>
      </c>
      <c r="C130" s="341">
        <v>600099083</v>
      </c>
      <c r="D130" s="300">
        <v>70698317</v>
      </c>
      <c r="E130" s="368" t="s">
        <v>466</v>
      </c>
      <c r="F130" s="340">
        <v>3117</v>
      </c>
      <c r="G130" s="303" t="s">
        <v>308</v>
      </c>
      <c r="H130" s="303" t="s">
        <v>278</v>
      </c>
      <c r="I130" s="462">
        <f t="shared" si="413"/>
        <v>0</v>
      </c>
      <c r="J130" s="457">
        <v>0</v>
      </c>
      <c r="K130" s="457">
        <f t="shared" ref="K130:K132" si="426">ROUND(J130*33.8%,0)</f>
        <v>0</v>
      </c>
      <c r="L130" s="457">
        <f t="shared" ref="L130:L132" si="427">ROUND(J130*1%,0)</f>
        <v>0</v>
      </c>
      <c r="M130" s="457">
        <v>0</v>
      </c>
      <c r="N130" s="458">
        <f t="shared" si="414"/>
        <v>0</v>
      </c>
      <c r="O130" s="459">
        <v>0</v>
      </c>
      <c r="P130" s="646">
        <v>0</v>
      </c>
      <c r="Q130" s="469">
        <f t="shared" si="415"/>
        <v>0</v>
      </c>
      <c r="R130" s="460">
        <v>21208</v>
      </c>
      <c r="S130" s="673">
        <v>0</v>
      </c>
      <c r="T130" s="460">
        <v>0</v>
      </c>
      <c r="U130" s="460">
        <v>0</v>
      </c>
      <c r="V130" s="460">
        <f>SUM(Q130:U130)</f>
        <v>21208</v>
      </c>
      <c r="W130" s="460">
        <v>0</v>
      </c>
      <c r="X130" s="460">
        <v>0</v>
      </c>
      <c r="Y130" s="460">
        <v>0</v>
      </c>
      <c r="Z130" s="460">
        <f t="shared" si="416"/>
        <v>0</v>
      </c>
      <c r="AA130" s="460">
        <f t="shared" si="417"/>
        <v>21208</v>
      </c>
      <c r="AB130" s="69">
        <f t="shared" si="418"/>
        <v>7168</v>
      </c>
      <c r="AC130" s="69">
        <f t="shared" si="419"/>
        <v>212</v>
      </c>
      <c r="AD130" s="460">
        <v>0</v>
      </c>
      <c r="AE130" s="460">
        <v>0</v>
      </c>
      <c r="AF130" s="460">
        <f t="shared" si="420"/>
        <v>0</v>
      </c>
      <c r="AG130" s="460">
        <f t="shared" si="421"/>
        <v>28588</v>
      </c>
      <c r="AH130" s="461">
        <v>0</v>
      </c>
      <c r="AI130" s="461">
        <v>0</v>
      </c>
      <c r="AJ130" s="461">
        <v>0.05</v>
      </c>
      <c r="AK130" s="461">
        <v>0</v>
      </c>
      <c r="AL130" s="674">
        <v>0</v>
      </c>
      <c r="AM130" s="461">
        <v>0</v>
      </c>
      <c r="AN130" s="461">
        <v>0</v>
      </c>
      <c r="AO130" s="461">
        <v>0</v>
      </c>
      <c r="AP130" s="461">
        <f>AH130+AJ130+AK130+AM130+AN130</f>
        <v>0.05</v>
      </c>
      <c r="AQ130" s="461">
        <f>AI130+AL130+AO130</f>
        <v>0</v>
      </c>
      <c r="AR130" s="463">
        <f t="shared" si="422"/>
        <v>0.05</v>
      </c>
      <c r="AS130" s="469">
        <f>I130+AG130</f>
        <v>28588</v>
      </c>
      <c r="AT130" s="460">
        <f>J130+V130</f>
        <v>21208</v>
      </c>
      <c r="AU130" s="460">
        <f t="shared" si="423"/>
        <v>0</v>
      </c>
      <c r="AV130" s="460">
        <f t="shared" si="424"/>
        <v>7168</v>
      </c>
      <c r="AW130" s="460">
        <f t="shared" si="424"/>
        <v>212</v>
      </c>
      <c r="AX130" s="460">
        <f>M130+AF130</f>
        <v>0</v>
      </c>
      <c r="AY130" s="461">
        <f>N130+AR130</f>
        <v>0.05</v>
      </c>
      <c r="AZ130" s="461">
        <f t="shared" si="425"/>
        <v>0.05</v>
      </c>
      <c r="BA130" s="463">
        <f t="shared" si="425"/>
        <v>0</v>
      </c>
    </row>
    <row r="131" spans="1:53" ht="12.95" customHeight="1" x14ac:dyDescent="0.25">
      <c r="A131" s="300">
        <v>22</v>
      </c>
      <c r="B131" s="340">
        <v>5468</v>
      </c>
      <c r="C131" s="341">
        <v>600099083</v>
      </c>
      <c r="D131" s="300">
        <v>70698317</v>
      </c>
      <c r="E131" s="368" t="s">
        <v>466</v>
      </c>
      <c r="F131" s="340">
        <v>3143</v>
      </c>
      <c r="G131" s="303" t="s">
        <v>616</v>
      </c>
      <c r="H131" s="303" t="s">
        <v>277</v>
      </c>
      <c r="I131" s="462">
        <f t="shared" si="413"/>
        <v>590861</v>
      </c>
      <c r="J131" s="457">
        <v>438324</v>
      </c>
      <c r="K131" s="457">
        <f t="shared" si="426"/>
        <v>148154</v>
      </c>
      <c r="L131" s="457">
        <f t="shared" si="427"/>
        <v>4383</v>
      </c>
      <c r="M131" s="457">
        <v>0</v>
      </c>
      <c r="N131" s="458">
        <f t="shared" si="414"/>
        <v>0.92859999999999998</v>
      </c>
      <c r="O131" s="459">
        <v>0.92859999999999998</v>
      </c>
      <c r="P131" s="646">
        <v>0</v>
      </c>
      <c r="Q131" s="469">
        <f t="shared" si="415"/>
        <v>0</v>
      </c>
      <c r="R131" s="460">
        <v>0</v>
      </c>
      <c r="S131" s="673">
        <v>0</v>
      </c>
      <c r="T131" s="460">
        <v>0</v>
      </c>
      <c r="U131" s="460">
        <v>0</v>
      </c>
      <c r="V131" s="460">
        <f>SUM(Q131:U131)</f>
        <v>0</v>
      </c>
      <c r="W131" s="460">
        <v>0</v>
      </c>
      <c r="X131" s="460">
        <v>0</v>
      </c>
      <c r="Y131" s="460">
        <v>0</v>
      </c>
      <c r="Z131" s="460">
        <f t="shared" si="416"/>
        <v>0</v>
      </c>
      <c r="AA131" s="460">
        <f t="shared" si="417"/>
        <v>0</v>
      </c>
      <c r="AB131" s="69">
        <f t="shared" si="418"/>
        <v>0</v>
      </c>
      <c r="AC131" s="69">
        <f t="shared" si="419"/>
        <v>0</v>
      </c>
      <c r="AD131" s="460">
        <v>0</v>
      </c>
      <c r="AE131" s="460">
        <v>0</v>
      </c>
      <c r="AF131" s="460">
        <f t="shared" si="420"/>
        <v>0</v>
      </c>
      <c r="AG131" s="460">
        <f t="shared" si="421"/>
        <v>0</v>
      </c>
      <c r="AH131" s="461">
        <v>0</v>
      </c>
      <c r="AI131" s="461">
        <v>0</v>
      </c>
      <c r="AJ131" s="461">
        <v>0</v>
      </c>
      <c r="AK131" s="461">
        <v>0</v>
      </c>
      <c r="AL131" s="674">
        <v>0</v>
      </c>
      <c r="AM131" s="461">
        <v>0</v>
      </c>
      <c r="AN131" s="461">
        <v>0</v>
      </c>
      <c r="AO131" s="461">
        <v>0</v>
      </c>
      <c r="AP131" s="461">
        <f>AH131+AJ131+AK131+AM131+AN131</f>
        <v>0</v>
      </c>
      <c r="AQ131" s="461">
        <f>AI131+AL131+AO131</f>
        <v>0</v>
      </c>
      <c r="AR131" s="463">
        <f t="shared" si="422"/>
        <v>0</v>
      </c>
      <c r="AS131" s="469">
        <f>I131+AG131</f>
        <v>590861</v>
      </c>
      <c r="AT131" s="460">
        <f>J131+V131</f>
        <v>438324</v>
      </c>
      <c r="AU131" s="460">
        <f t="shared" si="423"/>
        <v>0</v>
      </c>
      <c r="AV131" s="460">
        <f t="shared" si="424"/>
        <v>148154</v>
      </c>
      <c r="AW131" s="460">
        <f t="shared" si="424"/>
        <v>4383</v>
      </c>
      <c r="AX131" s="460">
        <f>M131+AF131</f>
        <v>0</v>
      </c>
      <c r="AY131" s="461">
        <f>N131+AR131</f>
        <v>0.92859999999999998</v>
      </c>
      <c r="AZ131" s="461">
        <f t="shared" si="425"/>
        <v>0.92859999999999998</v>
      </c>
      <c r="BA131" s="463">
        <f t="shared" si="425"/>
        <v>0</v>
      </c>
    </row>
    <row r="132" spans="1:53" ht="12.95" customHeight="1" x14ac:dyDescent="0.25">
      <c r="A132" s="300">
        <v>22</v>
      </c>
      <c r="B132" s="340">
        <v>5468</v>
      </c>
      <c r="C132" s="341">
        <v>600099083</v>
      </c>
      <c r="D132" s="300">
        <v>70698317</v>
      </c>
      <c r="E132" s="368" t="s">
        <v>466</v>
      </c>
      <c r="F132" s="340">
        <v>3143</v>
      </c>
      <c r="G132" s="303" t="s">
        <v>617</v>
      </c>
      <c r="H132" s="303" t="s">
        <v>278</v>
      </c>
      <c r="I132" s="462">
        <f t="shared" si="413"/>
        <v>10995</v>
      </c>
      <c r="J132" s="457">
        <v>7856</v>
      </c>
      <c r="K132" s="457">
        <f t="shared" si="426"/>
        <v>2655</v>
      </c>
      <c r="L132" s="457">
        <f t="shared" si="427"/>
        <v>79</v>
      </c>
      <c r="M132" s="457">
        <v>405</v>
      </c>
      <c r="N132" s="458">
        <f t="shared" si="414"/>
        <v>0.03</v>
      </c>
      <c r="O132" s="459">
        <v>0</v>
      </c>
      <c r="P132" s="646">
        <v>0.03</v>
      </c>
      <c r="Q132" s="469">
        <f t="shared" si="415"/>
        <v>0</v>
      </c>
      <c r="R132" s="460">
        <v>0</v>
      </c>
      <c r="S132" s="673">
        <v>0</v>
      </c>
      <c r="T132" s="460">
        <v>0</v>
      </c>
      <c r="U132" s="460">
        <v>0</v>
      </c>
      <c r="V132" s="460">
        <f>SUM(Q132:U132)</f>
        <v>0</v>
      </c>
      <c r="W132" s="460">
        <v>0</v>
      </c>
      <c r="X132" s="460">
        <v>0</v>
      </c>
      <c r="Y132" s="460">
        <v>0</v>
      </c>
      <c r="Z132" s="460">
        <f t="shared" si="416"/>
        <v>0</v>
      </c>
      <c r="AA132" s="460">
        <f t="shared" si="417"/>
        <v>0</v>
      </c>
      <c r="AB132" s="69">
        <f t="shared" si="418"/>
        <v>0</v>
      </c>
      <c r="AC132" s="69">
        <f t="shared" si="419"/>
        <v>0</v>
      </c>
      <c r="AD132" s="460">
        <v>0</v>
      </c>
      <c r="AE132" s="460">
        <v>0</v>
      </c>
      <c r="AF132" s="460">
        <f t="shared" si="420"/>
        <v>0</v>
      </c>
      <c r="AG132" s="460">
        <f t="shared" si="421"/>
        <v>0</v>
      </c>
      <c r="AH132" s="461">
        <v>0</v>
      </c>
      <c r="AI132" s="461">
        <v>0</v>
      </c>
      <c r="AJ132" s="461">
        <v>0</v>
      </c>
      <c r="AK132" s="461">
        <v>0</v>
      </c>
      <c r="AL132" s="674">
        <v>0</v>
      </c>
      <c r="AM132" s="461">
        <v>0</v>
      </c>
      <c r="AN132" s="461">
        <v>0</v>
      </c>
      <c r="AO132" s="461">
        <v>0</v>
      </c>
      <c r="AP132" s="461">
        <f>AH132+AJ132+AK132+AM132+AN132</f>
        <v>0</v>
      </c>
      <c r="AQ132" s="461">
        <f>AI132+AL132+AO132</f>
        <v>0</v>
      </c>
      <c r="AR132" s="463">
        <f t="shared" si="422"/>
        <v>0</v>
      </c>
      <c r="AS132" s="469">
        <f>I132+AG132</f>
        <v>10995</v>
      </c>
      <c r="AT132" s="460">
        <f>J132+V132</f>
        <v>7856</v>
      </c>
      <c r="AU132" s="460">
        <f t="shared" si="423"/>
        <v>0</v>
      </c>
      <c r="AV132" s="460">
        <f t="shared" si="424"/>
        <v>2655</v>
      </c>
      <c r="AW132" s="460">
        <f t="shared" si="424"/>
        <v>79</v>
      </c>
      <c r="AX132" s="460">
        <f>M132+AF132</f>
        <v>405</v>
      </c>
      <c r="AY132" s="461">
        <f>N132+AR132</f>
        <v>0.03</v>
      </c>
      <c r="AZ132" s="461">
        <f t="shared" si="425"/>
        <v>0</v>
      </c>
      <c r="BA132" s="463">
        <f t="shared" si="425"/>
        <v>0.03</v>
      </c>
    </row>
    <row r="133" spans="1:53" ht="12.95" customHeight="1" x14ac:dyDescent="0.25">
      <c r="A133" s="310">
        <v>22</v>
      </c>
      <c r="B133" s="344">
        <v>5468</v>
      </c>
      <c r="C133" s="345">
        <v>600099083</v>
      </c>
      <c r="D133" s="344">
        <v>70698317</v>
      </c>
      <c r="E133" s="369" t="s">
        <v>467</v>
      </c>
      <c r="F133" s="344"/>
      <c r="G133" s="370"/>
      <c r="H133" s="371"/>
      <c r="I133" s="536">
        <f t="shared" ref="I133:P133" si="428">SUM(I129:I132)</f>
        <v>2917908</v>
      </c>
      <c r="J133" s="532">
        <f t="shared" si="428"/>
        <v>2146812</v>
      </c>
      <c r="K133" s="532">
        <f t="shared" si="428"/>
        <v>725622</v>
      </c>
      <c r="L133" s="532">
        <f t="shared" si="428"/>
        <v>21469</v>
      </c>
      <c r="M133" s="532">
        <f t="shared" si="428"/>
        <v>24005</v>
      </c>
      <c r="N133" s="533">
        <f t="shared" si="428"/>
        <v>4.0708000000000002</v>
      </c>
      <c r="O133" s="533">
        <f t="shared" si="428"/>
        <v>3.4741</v>
      </c>
      <c r="P133" s="298">
        <f t="shared" si="428"/>
        <v>0.59670000000000001</v>
      </c>
      <c r="Q133" s="538">
        <f t="shared" ref="Q133:BA133" si="429">SUM(Q129:Q132)</f>
        <v>0</v>
      </c>
      <c r="R133" s="532">
        <f t="shared" si="429"/>
        <v>21208</v>
      </c>
      <c r="S133" s="532">
        <f t="shared" si="429"/>
        <v>0</v>
      </c>
      <c r="T133" s="532">
        <f t="shared" si="429"/>
        <v>0</v>
      </c>
      <c r="U133" s="532">
        <f t="shared" si="429"/>
        <v>0</v>
      </c>
      <c r="V133" s="532">
        <f t="shared" si="429"/>
        <v>21208</v>
      </c>
      <c r="W133" s="532">
        <f t="shared" si="429"/>
        <v>0</v>
      </c>
      <c r="X133" s="532">
        <f t="shared" si="429"/>
        <v>0</v>
      </c>
      <c r="Y133" s="532">
        <f t="shared" si="429"/>
        <v>0</v>
      </c>
      <c r="Z133" s="532">
        <f t="shared" si="429"/>
        <v>0</v>
      </c>
      <c r="AA133" s="532">
        <f t="shared" si="429"/>
        <v>21208</v>
      </c>
      <c r="AB133" s="532">
        <f t="shared" si="429"/>
        <v>7168</v>
      </c>
      <c r="AC133" s="532">
        <f t="shared" si="429"/>
        <v>212</v>
      </c>
      <c r="AD133" s="532">
        <f t="shared" si="429"/>
        <v>0</v>
      </c>
      <c r="AE133" s="532">
        <f t="shared" si="429"/>
        <v>0</v>
      </c>
      <c r="AF133" s="532">
        <f t="shared" si="429"/>
        <v>0</v>
      </c>
      <c r="AG133" s="532">
        <f t="shared" si="429"/>
        <v>28588</v>
      </c>
      <c r="AH133" s="533">
        <f t="shared" si="429"/>
        <v>0</v>
      </c>
      <c r="AI133" s="533">
        <f t="shared" si="429"/>
        <v>0</v>
      </c>
      <c r="AJ133" s="533">
        <f t="shared" si="429"/>
        <v>0.05</v>
      </c>
      <c r="AK133" s="533">
        <f t="shared" si="429"/>
        <v>0</v>
      </c>
      <c r="AL133" s="533">
        <f t="shared" si="429"/>
        <v>0</v>
      </c>
      <c r="AM133" s="533">
        <f t="shared" si="429"/>
        <v>0</v>
      </c>
      <c r="AN133" s="533">
        <f t="shared" si="429"/>
        <v>0</v>
      </c>
      <c r="AO133" s="533">
        <f t="shared" si="429"/>
        <v>0</v>
      </c>
      <c r="AP133" s="533">
        <f t="shared" si="429"/>
        <v>0.05</v>
      </c>
      <c r="AQ133" s="533">
        <f t="shared" si="429"/>
        <v>0</v>
      </c>
      <c r="AR133" s="298">
        <f t="shared" si="429"/>
        <v>0.05</v>
      </c>
      <c r="AS133" s="538">
        <f t="shared" si="429"/>
        <v>2946496</v>
      </c>
      <c r="AT133" s="532">
        <f t="shared" si="429"/>
        <v>2168020</v>
      </c>
      <c r="AU133" s="532">
        <f t="shared" si="429"/>
        <v>0</v>
      </c>
      <c r="AV133" s="532">
        <f t="shared" si="429"/>
        <v>732790</v>
      </c>
      <c r="AW133" s="532">
        <f t="shared" si="429"/>
        <v>21681</v>
      </c>
      <c r="AX133" s="532">
        <f t="shared" si="429"/>
        <v>24005</v>
      </c>
      <c r="AY133" s="533">
        <f t="shared" si="429"/>
        <v>4.1208</v>
      </c>
      <c r="AZ133" s="533">
        <f t="shared" si="429"/>
        <v>3.5240999999999998</v>
      </c>
      <c r="BA133" s="298">
        <f t="shared" si="429"/>
        <v>0.59670000000000001</v>
      </c>
    </row>
    <row r="134" spans="1:53" ht="12.95" customHeight="1" x14ac:dyDescent="0.25">
      <c r="A134" s="300">
        <v>23</v>
      </c>
      <c r="B134" s="340">
        <v>5488</v>
      </c>
      <c r="C134" s="341">
        <v>600099326</v>
      </c>
      <c r="D134" s="300">
        <v>70695393</v>
      </c>
      <c r="E134" s="368" t="s">
        <v>468</v>
      </c>
      <c r="F134" s="340">
        <v>3111</v>
      </c>
      <c r="G134" s="364" t="s">
        <v>321</v>
      </c>
      <c r="H134" s="303" t="s">
        <v>277</v>
      </c>
      <c r="I134" s="462">
        <f t="shared" ref="I134:I139" si="430">SUM(J134:M134)</f>
        <v>587026</v>
      </c>
      <c r="J134" s="457">
        <v>433699</v>
      </c>
      <c r="K134" s="457">
        <f t="shared" ref="K134:K139" si="431">ROUND(J134*33.8%,0)</f>
        <v>146590</v>
      </c>
      <c r="L134" s="457">
        <f t="shared" ref="L134:L139" si="432">ROUND(J134*1%,0)</f>
        <v>4337</v>
      </c>
      <c r="M134" s="457">
        <v>2400</v>
      </c>
      <c r="N134" s="458">
        <f t="shared" ref="N134:N139" si="433">O134+P134</f>
        <v>1.0224</v>
      </c>
      <c r="O134" s="459">
        <v>0.85619999999999996</v>
      </c>
      <c r="P134" s="717">
        <v>0.16619999999999999</v>
      </c>
      <c r="Q134" s="469">
        <f t="shared" ref="Q134:Q139" si="434">W134*-1</f>
        <v>0</v>
      </c>
      <c r="R134" s="460">
        <v>0</v>
      </c>
      <c r="S134" s="673">
        <v>0</v>
      </c>
      <c r="T134" s="460">
        <v>0</v>
      </c>
      <c r="U134" s="460">
        <v>0</v>
      </c>
      <c r="V134" s="460">
        <f t="shared" ref="V134:V139" si="435">SUM(Q134:U134)</f>
        <v>0</v>
      </c>
      <c r="W134" s="460">
        <v>0</v>
      </c>
      <c r="X134" s="460">
        <v>0</v>
      </c>
      <c r="Y134" s="460">
        <v>0</v>
      </c>
      <c r="Z134" s="460">
        <f t="shared" ref="Z134:Z139" si="436">SUM(W134:Y134)</f>
        <v>0</v>
      </c>
      <c r="AA134" s="460">
        <f t="shared" ref="AA134:AA139" si="437">V134+Z134</f>
        <v>0</v>
      </c>
      <c r="AB134" s="69">
        <f t="shared" ref="AB134:AB139" si="438">ROUND((V134+W134+X134)*33.8%,0)</f>
        <v>0</v>
      </c>
      <c r="AC134" s="69">
        <f t="shared" ref="AC134:AC139" si="439">ROUND(V134*1%,0)</f>
        <v>0</v>
      </c>
      <c r="AD134" s="460">
        <v>0</v>
      </c>
      <c r="AE134" s="460">
        <v>0</v>
      </c>
      <c r="AF134" s="460">
        <f t="shared" ref="AF134:AF139" si="440">SUM(AD134:AE134)</f>
        <v>0</v>
      </c>
      <c r="AG134" s="460">
        <f t="shared" ref="AG134:AG139" si="441">AA134+AB134+AC134+AF134</f>
        <v>0</v>
      </c>
      <c r="AH134" s="461">
        <v>0</v>
      </c>
      <c r="AI134" s="461">
        <v>0</v>
      </c>
      <c r="AJ134" s="461">
        <v>0</v>
      </c>
      <c r="AK134" s="461">
        <v>0</v>
      </c>
      <c r="AL134" s="674">
        <v>0</v>
      </c>
      <c r="AM134" s="461">
        <v>0</v>
      </c>
      <c r="AN134" s="461">
        <v>0</v>
      </c>
      <c r="AO134" s="461">
        <v>0</v>
      </c>
      <c r="AP134" s="461">
        <f t="shared" ref="AP134:AP139" si="442">AH134+AJ134+AK134+AM134+AN134</f>
        <v>0</v>
      </c>
      <c r="AQ134" s="461">
        <f t="shared" ref="AQ134:AQ139" si="443">AI134+AL134+AO134</f>
        <v>0</v>
      </c>
      <c r="AR134" s="463">
        <f t="shared" ref="AR134:AR139" si="444">SUM(AP134:AQ134)</f>
        <v>0</v>
      </c>
      <c r="AS134" s="469">
        <f t="shared" ref="AS134:AS139" si="445">I134+AG134</f>
        <v>587026</v>
      </c>
      <c r="AT134" s="460">
        <f t="shared" ref="AT134:AT139" si="446">J134+V134</f>
        <v>433699</v>
      </c>
      <c r="AU134" s="460">
        <f t="shared" ref="AU134:AU139" si="447">Z134</f>
        <v>0</v>
      </c>
      <c r="AV134" s="460">
        <f t="shared" ref="AV134:AW139" si="448">K134+AB134</f>
        <v>146590</v>
      </c>
      <c r="AW134" s="460">
        <f t="shared" si="448"/>
        <v>4337</v>
      </c>
      <c r="AX134" s="460">
        <f t="shared" ref="AX134:AX139" si="449">M134+AF134</f>
        <v>2400</v>
      </c>
      <c r="AY134" s="461">
        <f t="shared" ref="AY134:AY139" si="450">N134+AR134</f>
        <v>1.0224</v>
      </c>
      <c r="AZ134" s="461">
        <f t="shared" ref="AZ134:BA139" si="451">O134+AP134</f>
        <v>0.85619999999999996</v>
      </c>
      <c r="BA134" s="463">
        <f t="shared" si="451"/>
        <v>0.16619999999999999</v>
      </c>
    </row>
    <row r="135" spans="1:53" ht="12.95" customHeight="1" x14ac:dyDescent="0.25">
      <c r="A135" s="300">
        <v>23</v>
      </c>
      <c r="B135" s="340">
        <v>5488</v>
      </c>
      <c r="C135" s="341">
        <v>600099326</v>
      </c>
      <c r="D135" s="300">
        <v>70695393</v>
      </c>
      <c r="E135" s="368" t="s">
        <v>468</v>
      </c>
      <c r="F135" s="340">
        <v>3117</v>
      </c>
      <c r="G135" s="364" t="s">
        <v>325</v>
      </c>
      <c r="H135" s="303" t="s">
        <v>277</v>
      </c>
      <c r="I135" s="462">
        <f t="shared" si="430"/>
        <v>2342857</v>
      </c>
      <c r="J135" s="457">
        <v>1720517</v>
      </c>
      <c r="K135" s="457">
        <f t="shared" si="431"/>
        <v>581535</v>
      </c>
      <c r="L135" s="457">
        <f t="shared" si="432"/>
        <v>17205</v>
      </c>
      <c r="M135" s="457">
        <v>23600</v>
      </c>
      <c r="N135" s="458">
        <f t="shared" si="433"/>
        <v>3.6212</v>
      </c>
      <c r="O135" s="459">
        <v>2.4544999999999999</v>
      </c>
      <c r="P135" s="646">
        <v>1.1667000000000001</v>
      </c>
      <c r="Q135" s="469">
        <f t="shared" si="434"/>
        <v>0</v>
      </c>
      <c r="R135" s="460">
        <v>0</v>
      </c>
      <c r="S135" s="673">
        <v>0</v>
      </c>
      <c r="T135" s="460">
        <v>0</v>
      </c>
      <c r="U135" s="460">
        <v>0</v>
      </c>
      <c r="V135" s="460">
        <f t="shared" si="435"/>
        <v>0</v>
      </c>
      <c r="W135" s="460">
        <v>0</v>
      </c>
      <c r="X135" s="460">
        <v>0</v>
      </c>
      <c r="Y135" s="460">
        <v>0</v>
      </c>
      <c r="Z135" s="460">
        <f t="shared" si="436"/>
        <v>0</v>
      </c>
      <c r="AA135" s="460">
        <f t="shared" si="437"/>
        <v>0</v>
      </c>
      <c r="AB135" s="69">
        <f t="shared" si="438"/>
        <v>0</v>
      </c>
      <c r="AC135" s="69">
        <f t="shared" si="439"/>
        <v>0</v>
      </c>
      <c r="AD135" s="460">
        <v>0</v>
      </c>
      <c r="AE135" s="460">
        <v>0</v>
      </c>
      <c r="AF135" s="460">
        <f t="shared" si="440"/>
        <v>0</v>
      </c>
      <c r="AG135" s="460">
        <f t="shared" si="441"/>
        <v>0</v>
      </c>
      <c r="AH135" s="461">
        <v>0</v>
      </c>
      <c r="AI135" s="461">
        <v>0</v>
      </c>
      <c r="AJ135" s="461">
        <v>0</v>
      </c>
      <c r="AK135" s="461">
        <v>0</v>
      </c>
      <c r="AL135" s="674">
        <v>0</v>
      </c>
      <c r="AM135" s="461">
        <v>0</v>
      </c>
      <c r="AN135" s="461">
        <v>0</v>
      </c>
      <c r="AO135" s="461">
        <v>0</v>
      </c>
      <c r="AP135" s="461">
        <f t="shared" si="442"/>
        <v>0</v>
      </c>
      <c r="AQ135" s="461">
        <f t="shared" si="443"/>
        <v>0</v>
      </c>
      <c r="AR135" s="463">
        <f t="shared" si="444"/>
        <v>0</v>
      </c>
      <c r="AS135" s="469">
        <f t="shared" si="445"/>
        <v>2342857</v>
      </c>
      <c r="AT135" s="460">
        <f t="shared" si="446"/>
        <v>1720517</v>
      </c>
      <c r="AU135" s="460">
        <f t="shared" si="447"/>
        <v>0</v>
      </c>
      <c r="AV135" s="460">
        <f t="shared" si="448"/>
        <v>581535</v>
      </c>
      <c r="AW135" s="460">
        <f t="shared" si="448"/>
        <v>17205</v>
      </c>
      <c r="AX135" s="460">
        <f t="shared" si="449"/>
        <v>23600</v>
      </c>
      <c r="AY135" s="461">
        <f t="shared" si="450"/>
        <v>3.6212</v>
      </c>
      <c r="AZ135" s="461">
        <f t="shared" si="451"/>
        <v>2.4544999999999999</v>
      </c>
      <c r="BA135" s="463">
        <f t="shared" si="451"/>
        <v>1.1667000000000001</v>
      </c>
    </row>
    <row r="136" spans="1:53" ht="12.95" customHeight="1" x14ac:dyDescent="0.25">
      <c r="A136" s="300">
        <v>23</v>
      </c>
      <c r="B136" s="340">
        <v>5488</v>
      </c>
      <c r="C136" s="341">
        <v>600099326</v>
      </c>
      <c r="D136" s="300">
        <v>70695393</v>
      </c>
      <c r="E136" s="368" t="s">
        <v>468</v>
      </c>
      <c r="F136" s="340">
        <v>3117</v>
      </c>
      <c r="G136" s="303" t="s">
        <v>308</v>
      </c>
      <c r="H136" s="303" t="s">
        <v>278</v>
      </c>
      <c r="I136" s="462">
        <f t="shared" si="430"/>
        <v>0</v>
      </c>
      <c r="J136" s="457">
        <v>0</v>
      </c>
      <c r="K136" s="457">
        <f t="shared" si="431"/>
        <v>0</v>
      </c>
      <c r="L136" s="457">
        <f t="shared" si="432"/>
        <v>0</v>
      </c>
      <c r="M136" s="457">
        <v>0</v>
      </c>
      <c r="N136" s="458">
        <f t="shared" si="433"/>
        <v>0</v>
      </c>
      <c r="O136" s="459">
        <v>0</v>
      </c>
      <c r="P136" s="646">
        <v>0</v>
      </c>
      <c r="Q136" s="469">
        <f t="shared" si="434"/>
        <v>0</v>
      </c>
      <c r="R136" s="460">
        <v>173223</v>
      </c>
      <c r="S136" s="673">
        <v>0</v>
      </c>
      <c r="T136" s="460">
        <v>0</v>
      </c>
      <c r="U136" s="460">
        <v>0</v>
      </c>
      <c r="V136" s="460">
        <f t="shared" si="435"/>
        <v>173223</v>
      </c>
      <c r="W136" s="460">
        <v>0</v>
      </c>
      <c r="X136" s="460">
        <v>0</v>
      </c>
      <c r="Y136" s="460">
        <v>0</v>
      </c>
      <c r="Z136" s="460">
        <f t="shared" si="436"/>
        <v>0</v>
      </c>
      <c r="AA136" s="460">
        <f t="shared" si="437"/>
        <v>173223</v>
      </c>
      <c r="AB136" s="69">
        <f t="shared" si="438"/>
        <v>58549</v>
      </c>
      <c r="AC136" s="69">
        <f t="shared" si="439"/>
        <v>1732</v>
      </c>
      <c r="AD136" s="460">
        <v>0</v>
      </c>
      <c r="AE136" s="460">
        <v>0</v>
      </c>
      <c r="AF136" s="460">
        <f t="shared" si="440"/>
        <v>0</v>
      </c>
      <c r="AG136" s="460">
        <f t="shared" si="441"/>
        <v>233504</v>
      </c>
      <c r="AH136" s="461">
        <v>0</v>
      </c>
      <c r="AI136" s="461">
        <v>0</v>
      </c>
      <c r="AJ136" s="461">
        <v>0.5</v>
      </c>
      <c r="AK136" s="461">
        <v>0</v>
      </c>
      <c r="AL136" s="674">
        <v>0</v>
      </c>
      <c r="AM136" s="461">
        <v>0</v>
      </c>
      <c r="AN136" s="461">
        <v>0</v>
      </c>
      <c r="AO136" s="461">
        <v>0</v>
      </c>
      <c r="AP136" s="461">
        <f t="shared" si="442"/>
        <v>0.5</v>
      </c>
      <c r="AQ136" s="461">
        <f t="shared" si="443"/>
        <v>0</v>
      </c>
      <c r="AR136" s="463">
        <f t="shared" si="444"/>
        <v>0.5</v>
      </c>
      <c r="AS136" s="469">
        <f t="shared" si="445"/>
        <v>233504</v>
      </c>
      <c r="AT136" s="460">
        <f t="shared" si="446"/>
        <v>173223</v>
      </c>
      <c r="AU136" s="460">
        <f t="shared" si="447"/>
        <v>0</v>
      </c>
      <c r="AV136" s="460">
        <f t="shared" si="448"/>
        <v>58549</v>
      </c>
      <c r="AW136" s="460">
        <f t="shared" si="448"/>
        <v>1732</v>
      </c>
      <c r="AX136" s="460">
        <f t="shared" si="449"/>
        <v>0</v>
      </c>
      <c r="AY136" s="461">
        <f t="shared" si="450"/>
        <v>0.5</v>
      </c>
      <c r="AZ136" s="461">
        <f t="shared" si="451"/>
        <v>0.5</v>
      </c>
      <c r="BA136" s="463">
        <f t="shared" si="451"/>
        <v>0</v>
      </c>
    </row>
    <row r="137" spans="1:53" ht="12.95" customHeight="1" x14ac:dyDescent="0.25">
      <c r="A137" s="300">
        <v>23</v>
      </c>
      <c r="B137" s="340">
        <v>5488</v>
      </c>
      <c r="C137" s="341">
        <v>600099326</v>
      </c>
      <c r="D137" s="300">
        <v>70695393</v>
      </c>
      <c r="E137" s="368" t="s">
        <v>468</v>
      </c>
      <c r="F137" s="340">
        <v>3141</v>
      </c>
      <c r="G137" s="364" t="s">
        <v>311</v>
      </c>
      <c r="H137" s="303" t="s">
        <v>278</v>
      </c>
      <c r="I137" s="462">
        <f t="shared" si="430"/>
        <v>300807</v>
      </c>
      <c r="J137" s="457">
        <v>222263</v>
      </c>
      <c r="K137" s="457">
        <f t="shared" si="431"/>
        <v>75125</v>
      </c>
      <c r="L137" s="457">
        <f t="shared" si="432"/>
        <v>2223</v>
      </c>
      <c r="M137" s="457">
        <v>1196</v>
      </c>
      <c r="N137" s="458">
        <f t="shared" si="433"/>
        <v>0.71</v>
      </c>
      <c r="O137" s="459">
        <v>0</v>
      </c>
      <c r="P137" s="646">
        <v>0.71</v>
      </c>
      <c r="Q137" s="469">
        <f t="shared" si="434"/>
        <v>0</v>
      </c>
      <c r="R137" s="460">
        <v>0</v>
      </c>
      <c r="S137" s="673">
        <v>0</v>
      </c>
      <c r="T137" s="460">
        <v>0</v>
      </c>
      <c r="U137" s="460">
        <v>0</v>
      </c>
      <c r="V137" s="460">
        <f t="shared" si="435"/>
        <v>0</v>
      </c>
      <c r="W137" s="460">
        <v>0</v>
      </c>
      <c r="X137" s="460">
        <v>0</v>
      </c>
      <c r="Y137" s="460">
        <v>0</v>
      </c>
      <c r="Z137" s="460">
        <f t="shared" si="436"/>
        <v>0</v>
      </c>
      <c r="AA137" s="460">
        <f t="shared" si="437"/>
        <v>0</v>
      </c>
      <c r="AB137" s="69">
        <f t="shared" si="438"/>
        <v>0</v>
      </c>
      <c r="AC137" s="69">
        <f t="shared" si="439"/>
        <v>0</v>
      </c>
      <c r="AD137" s="460">
        <v>0</v>
      </c>
      <c r="AE137" s="460">
        <v>0</v>
      </c>
      <c r="AF137" s="460">
        <f t="shared" si="440"/>
        <v>0</v>
      </c>
      <c r="AG137" s="460">
        <f t="shared" si="441"/>
        <v>0</v>
      </c>
      <c r="AH137" s="461">
        <v>0</v>
      </c>
      <c r="AI137" s="461">
        <v>0</v>
      </c>
      <c r="AJ137" s="461">
        <v>0</v>
      </c>
      <c r="AK137" s="461">
        <v>0</v>
      </c>
      <c r="AL137" s="674">
        <v>0</v>
      </c>
      <c r="AM137" s="461">
        <v>0</v>
      </c>
      <c r="AN137" s="461">
        <v>0</v>
      </c>
      <c r="AO137" s="461">
        <v>0</v>
      </c>
      <c r="AP137" s="461">
        <f t="shared" si="442"/>
        <v>0</v>
      </c>
      <c r="AQ137" s="461">
        <f t="shared" si="443"/>
        <v>0</v>
      </c>
      <c r="AR137" s="463">
        <f t="shared" si="444"/>
        <v>0</v>
      </c>
      <c r="AS137" s="469">
        <f t="shared" si="445"/>
        <v>300807</v>
      </c>
      <c r="AT137" s="460">
        <f t="shared" si="446"/>
        <v>222263</v>
      </c>
      <c r="AU137" s="460">
        <f t="shared" si="447"/>
        <v>0</v>
      </c>
      <c r="AV137" s="460">
        <f t="shared" si="448"/>
        <v>75125</v>
      </c>
      <c r="AW137" s="460">
        <f t="shared" si="448"/>
        <v>2223</v>
      </c>
      <c r="AX137" s="460">
        <f t="shared" si="449"/>
        <v>1196</v>
      </c>
      <c r="AY137" s="461">
        <f t="shared" si="450"/>
        <v>0.71</v>
      </c>
      <c r="AZ137" s="461">
        <f t="shared" si="451"/>
        <v>0</v>
      </c>
      <c r="BA137" s="463">
        <f t="shared" si="451"/>
        <v>0.71</v>
      </c>
    </row>
    <row r="138" spans="1:53" ht="12.95" customHeight="1" x14ac:dyDescent="0.25">
      <c r="A138" s="300">
        <v>23</v>
      </c>
      <c r="B138" s="340">
        <v>5488</v>
      </c>
      <c r="C138" s="341">
        <v>600099326</v>
      </c>
      <c r="D138" s="300">
        <v>70695393</v>
      </c>
      <c r="E138" s="368" t="s">
        <v>468</v>
      </c>
      <c r="F138" s="340">
        <v>3143</v>
      </c>
      <c r="G138" s="303" t="s">
        <v>616</v>
      </c>
      <c r="H138" s="303" t="s">
        <v>277</v>
      </c>
      <c r="I138" s="462">
        <f t="shared" si="430"/>
        <v>581271</v>
      </c>
      <c r="J138" s="457">
        <v>431210</v>
      </c>
      <c r="K138" s="457">
        <f t="shared" si="431"/>
        <v>145749</v>
      </c>
      <c r="L138" s="457">
        <f t="shared" si="432"/>
        <v>4312</v>
      </c>
      <c r="M138" s="457">
        <v>0</v>
      </c>
      <c r="N138" s="458">
        <f t="shared" si="433"/>
        <v>0.96450000000000002</v>
      </c>
      <c r="O138" s="459">
        <v>0.96450000000000002</v>
      </c>
      <c r="P138" s="646">
        <v>0</v>
      </c>
      <c r="Q138" s="469">
        <f t="shared" si="434"/>
        <v>0</v>
      </c>
      <c r="R138" s="460">
        <v>0</v>
      </c>
      <c r="S138" s="673">
        <v>0</v>
      </c>
      <c r="T138" s="460">
        <v>0</v>
      </c>
      <c r="U138" s="460">
        <v>0</v>
      </c>
      <c r="V138" s="460">
        <f t="shared" si="435"/>
        <v>0</v>
      </c>
      <c r="W138" s="460">
        <v>0</v>
      </c>
      <c r="X138" s="460">
        <v>0</v>
      </c>
      <c r="Y138" s="460">
        <v>0</v>
      </c>
      <c r="Z138" s="460">
        <f t="shared" si="436"/>
        <v>0</v>
      </c>
      <c r="AA138" s="460">
        <f t="shared" si="437"/>
        <v>0</v>
      </c>
      <c r="AB138" s="69">
        <f t="shared" si="438"/>
        <v>0</v>
      </c>
      <c r="AC138" s="69">
        <f t="shared" si="439"/>
        <v>0</v>
      </c>
      <c r="AD138" s="460">
        <v>0</v>
      </c>
      <c r="AE138" s="460">
        <v>0</v>
      </c>
      <c r="AF138" s="460">
        <f t="shared" si="440"/>
        <v>0</v>
      </c>
      <c r="AG138" s="460">
        <f t="shared" si="441"/>
        <v>0</v>
      </c>
      <c r="AH138" s="461">
        <v>0</v>
      </c>
      <c r="AI138" s="461">
        <v>0</v>
      </c>
      <c r="AJ138" s="461">
        <v>0</v>
      </c>
      <c r="AK138" s="461">
        <v>0</v>
      </c>
      <c r="AL138" s="674">
        <v>0</v>
      </c>
      <c r="AM138" s="461">
        <v>0</v>
      </c>
      <c r="AN138" s="461">
        <v>0</v>
      </c>
      <c r="AO138" s="461">
        <v>0</v>
      </c>
      <c r="AP138" s="461">
        <f t="shared" si="442"/>
        <v>0</v>
      </c>
      <c r="AQ138" s="461">
        <f t="shared" si="443"/>
        <v>0</v>
      </c>
      <c r="AR138" s="463">
        <f t="shared" si="444"/>
        <v>0</v>
      </c>
      <c r="AS138" s="469">
        <f t="shared" si="445"/>
        <v>581271</v>
      </c>
      <c r="AT138" s="460">
        <f t="shared" si="446"/>
        <v>431210</v>
      </c>
      <c r="AU138" s="460">
        <f t="shared" si="447"/>
        <v>0</v>
      </c>
      <c r="AV138" s="460">
        <f t="shared" si="448"/>
        <v>145749</v>
      </c>
      <c r="AW138" s="460">
        <f t="shared" si="448"/>
        <v>4312</v>
      </c>
      <c r="AX138" s="460">
        <f t="shared" si="449"/>
        <v>0</v>
      </c>
      <c r="AY138" s="461">
        <f t="shared" si="450"/>
        <v>0.96450000000000002</v>
      </c>
      <c r="AZ138" s="461">
        <f t="shared" si="451"/>
        <v>0.96450000000000002</v>
      </c>
      <c r="BA138" s="463">
        <f t="shared" si="451"/>
        <v>0</v>
      </c>
    </row>
    <row r="139" spans="1:53" ht="12.95" customHeight="1" x14ac:dyDescent="0.25">
      <c r="A139" s="300">
        <v>23</v>
      </c>
      <c r="B139" s="340">
        <v>5488</v>
      </c>
      <c r="C139" s="341">
        <v>600099326</v>
      </c>
      <c r="D139" s="300">
        <v>70695393</v>
      </c>
      <c r="E139" s="376" t="s">
        <v>468</v>
      </c>
      <c r="F139" s="377">
        <v>3143</v>
      </c>
      <c r="G139" s="303" t="s">
        <v>617</v>
      </c>
      <c r="H139" s="303" t="s">
        <v>278</v>
      </c>
      <c r="I139" s="462">
        <f t="shared" si="430"/>
        <v>12462</v>
      </c>
      <c r="J139" s="457">
        <v>8904</v>
      </c>
      <c r="K139" s="457">
        <f t="shared" si="431"/>
        <v>3010</v>
      </c>
      <c r="L139" s="457">
        <f t="shared" si="432"/>
        <v>89</v>
      </c>
      <c r="M139" s="457">
        <v>459</v>
      </c>
      <c r="N139" s="458">
        <f t="shared" si="433"/>
        <v>0.04</v>
      </c>
      <c r="O139" s="459">
        <v>0</v>
      </c>
      <c r="P139" s="646">
        <v>0.04</v>
      </c>
      <c r="Q139" s="469">
        <f t="shared" si="434"/>
        <v>0</v>
      </c>
      <c r="R139" s="460">
        <v>0</v>
      </c>
      <c r="S139" s="673">
        <v>0</v>
      </c>
      <c r="T139" s="460">
        <v>0</v>
      </c>
      <c r="U139" s="460">
        <v>0</v>
      </c>
      <c r="V139" s="460">
        <f t="shared" si="435"/>
        <v>0</v>
      </c>
      <c r="W139" s="460">
        <v>0</v>
      </c>
      <c r="X139" s="460">
        <v>0</v>
      </c>
      <c r="Y139" s="460">
        <v>0</v>
      </c>
      <c r="Z139" s="460">
        <f t="shared" si="436"/>
        <v>0</v>
      </c>
      <c r="AA139" s="460">
        <f t="shared" si="437"/>
        <v>0</v>
      </c>
      <c r="AB139" s="69">
        <f t="shared" si="438"/>
        <v>0</v>
      </c>
      <c r="AC139" s="69">
        <f t="shared" si="439"/>
        <v>0</v>
      </c>
      <c r="AD139" s="460">
        <v>0</v>
      </c>
      <c r="AE139" s="460">
        <v>0</v>
      </c>
      <c r="AF139" s="460">
        <f t="shared" si="440"/>
        <v>0</v>
      </c>
      <c r="AG139" s="460">
        <f t="shared" si="441"/>
        <v>0</v>
      </c>
      <c r="AH139" s="461">
        <v>0</v>
      </c>
      <c r="AI139" s="461">
        <v>0</v>
      </c>
      <c r="AJ139" s="461">
        <v>0</v>
      </c>
      <c r="AK139" s="461">
        <v>0</v>
      </c>
      <c r="AL139" s="674">
        <v>0</v>
      </c>
      <c r="AM139" s="461">
        <v>0</v>
      </c>
      <c r="AN139" s="461">
        <v>0</v>
      </c>
      <c r="AO139" s="461">
        <v>0</v>
      </c>
      <c r="AP139" s="461">
        <f t="shared" si="442"/>
        <v>0</v>
      </c>
      <c r="AQ139" s="461">
        <f t="shared" si="443"/>
        <v>0</v>
      </c>
      <c r="AR139" s="463">
        <f t="shared" si="444"/>
        <v>0</v>
      </c>
      <c r="AS139" s="469">
        <f t="shared" si="445"/>
        <v>12462</v>
      </c>
      <c r="AT139" s="460">
        <f t="shared" si="446"/>
        <v>8904</v>
      </c>
      <c r="AU139" s="460">
        <f t="shared" si="447"/>
        <v>0</v>
      </c>
      <c r="AV139" s="460">
        <f t="shared" si="448"/>
        <v>3010</v>
      </c>
      <c r="AW139" s="460">
        <f t="shared" si="448"/>
        <v>89</v>
      </c>
      <c r="AX139" s="460">
        <f t="shared" si="449"/>
        <v>459</v>
      </c>
      <c r="AY139" s="461">
        <f t="shared" si="450"/>
        <v>0.04</v>
      </c>
      <c r="AZ139" s="461">
        <f t="shared" si="451"/>
        <v>0</v>
      </c>
      <c r="BA139" s="463">
        <f t="shared" si="451"/>
        <v>0.04</v>
      </c>
    </row>
    <row r="140" spans="1:53" ht="12.95" customHeight="1" thickBot="1" x14ac:dyDescent="0.3">
      <c r="A140" s="314">
        <v>23</v>
      </c>
      <c r="B140" s="355">
        <v>5488</v>
      </c>
      <c r="C140" s="356">
        <v>600099326</v>
      </c>
      <c r="D140" s="355">
        <v>70695393</v>
      </c>
      <c r="E140" s="378" t="s">
        <v>469</v>
      </c>
      <c r="F140" s="355"/>
      <c r="G140" s="379"/>
      <c r="H140" s="380"/>
      <c r="I140" s="669">
        <f t="shared" ref="I140:BA140" si="452">SUM(I134:I139)</f>
        <v>3824423</v>
      </c>
      <c r="J140" s="670">
        <f t="shared" si="452"/>
        <v>2816593</v>
      </c>
      <c r="K140" s="670">
        <f t="shared" si="452"/>
        <v>952009</v>
      </c>
      <c r="L140" s="670">
        <f t="shared" si="452"/>
        <v>28166</v>
      </c>
      <c r="M140" s="670">
        <f t="shared" si="452"/>
        <v>27655</v>
      </c>
      <c r="N140" s="671">
        <f t="shared" si="452"/>
        <v>6.3581000000000003</v>
      </c>
      <c r="O140" s="671">
        <f t="shared" si="452"/>
        <v>4.2751999999999999</v>
      </c>
      <c r="P140" s="672">
        <f t="shared" si="452"/>
        <v>2.0829</v>
      </c>
      <c r="Q140" s="763">
        <f t="shared" si="452"/>
        <v>0</v>
      </c>
      <c r="R140" s="670">
        <f t="shared" si="452"/>
        <v>173223</v>
      </c>
      <c r="S140" s="670">
        <f t="shared" si="452"/>
        <v>0</v>
      </c>
      <c r="T140" s="670">
        <f t="shared" si="452"/>
        <v>0</v>
      </c>
      <c r="U140" s="670">
        <f t="shared" si="452"/>
        <v>0</v>
      </c>
      <c r="V140" s="670">
        <f t="shared" si="452"/>
        <v>173223</v>
      </c>
      <c r="W140" s="670">
        <f t="shared" si="452"/>
        <v>0</v>
      </c>
      <c r="X140" s="670">
        <f t="shared" si="452"/>
        <v>0</v>
      </c>
      <c r="Y140" s="670">
        <f t="shared" si="452"/>
        <v>0</v>
      </c>
      <c r="Z140" s="670">
        <f t="shared" si="452"/>
        <v>0</v>
      </c>
      <c r="AA140" s="670">
        <f t="shared" si="452"/>
        <v>173223</v>
      </c>
      <c r="AB140" s="670">
        <f t="shared" si="452"/>
        <v>58549</v>
      </c>
      <c r="AC140" s="670">
        <f t="shared" si="452"/>
        <v>1732</v>
      </c>
      <c r="AD140" s="670">
        <f t="shared" si="452"/>
        <v>0</v>
      </c>
      <c r="AE140" s="670">
        <f t="shared" si="452"/>
        <v>0</v>
      </c>
      <c r="AF140" s="670">
        <f t="shared" si="452"/>
        <v>0</v>
      </c>
      <c r="AG140" s="670">
        <f t="shared" si="452"/>
        <v>233504</v>
      </c>
      <c r="AH140" s="671">
        <f t="shared" si="452"/>
        <v>0</v>
      </c>
      <c r="AI140" s="671">
        <f t="shared" si="452"/>
        <v>0</v>
      </c>
      <c r="AJ140" s="671">
        <f t="shared" si="452"/>
        <v>0.5</v>
      </c>
      <c r="AK140" s="671">
        <f t="shared" si="452"/>
        <v>0</v>
      </c>
      <c r="AL140" s="671">
        <f t="shared" si="452"/>
        <v>0</v>
      </c>
      <c r="AM140" s="671">
        <f t="shared" si="452"/>
        <v>0</v>
      </c>
      <c r="AN140" s="671">
        <f t="shared" si="452"/>
        <v>0</v>
      </c>
      <c r="AO140" s="671">
        <f t="shared" si="452"/>
        <v>0</v>
      </c>
      <c r="AP140" s="671">
        <f t="shared" si="452"/>
        <v>0.5</v>
      </c>
      <c r="AQ140" s="671">
        <f t="shared" si="452"/>
        <v>0</v>
      </c>
      <c r="AR140" s="672">
        <f t="shared" si="452"/>
        <v>0.5</v>
      </c>
      <c r="AS140" s="565">
        <f t="shared" si="452"/>
        <v>4057927</v>
      </c>
      <c r="AT140" s="562">
        <f t="shared" si="452"/>
        <v>2989816</v>
      </c>
      <c r="AU140" s="562">
        <f t="shared" si="452"/>
        <v>0</v>
      </c>
      <c r="AV140" s="562">
        <f t="shared" si="452"/>
        <v>1010558</v>
      </c>
      <c r="AW140" s="562">
        <f t="shared" si="452"/>
        <v>29898</v>
      </c>
      <c r="AX140" s="562">
        <f t="shared" si="452"/>
        <v>27655</v>
      </c>
      <c r="AY140" s="563">
        <f t="shared" si="452"/>
        <v>6.8581000000000003</v>
      </c>
      <c r="AZ140" s="563">
        <f t="shared" si="452"/>
        <v>4.7751999999999999</v>
      </c>
      <c r="BA140" s="564">
        <f t="shared" si="452"/>
        <v>2.0829</v>
      </c>
    </row>
    <row r="141" spans="1:53" ht="12.95" customHeight="1" thickBot="1" x14ac:dyDescent="0.3">
      <c r="A141" s="381"/>
      <c r="B141" s="382"/>
      <c r="C141" s="383"/>
      <c r="D141" s="382"/>
      <c r="E141" s="324" t="s">
        <v>781</v>
      </c>
      <c r="F141" s="382"/>
      <c r="G141" s="384"/>
      <c r="H141" s="384"/>
      <c r="I141" s="665">
        <f>I16+I21+I27+I29+I36+I43+I50+I58+I61+I65+I72+I79+I83+I87+I93+I97+I101+I109+I116+I124+I128+I133+I140</f>
        <v>277953092</v>
      </c>
      <c r="J141" s="666">
        <f t="shared" ref="J141:P141" si="453">J16+J21+J27+J29+J36+J43+J50+J58+J61+J65+J72+J79+J83+J87+J93+J97+J101+J109+J116+J124+J128+J133+J140</f>
        <v>203943661</v>
      </c>
      <c r="K141" s="666">
        <f t="shared" si="453"/>
        <v>68932960</v>
      </c>
      <c r="L141" s="666">
        <f t="shared" si="453"/>
        <v>2039440</v>
      </c>
      <c r="M141" s="666">
        <f t="shared" si="453"/>
        <v>3037031</v>
      </c>
      <c r="N141" s="667">
        <f t="shared" si="453"/>
        <v>401.13189999999997</v>
      </c>
      <c r="O141" s="667">
        <f t="shared" si="453"/>
        <v>287.73239999999993</v>
      </c>
      <c r="P141" s="668">
        <f t="shared" si="453"/>
        <v>113.39949999999999</v>
      </c>
      <c r="Q141" s="570">
        <f>Q16+Q21+Q27+Q29+Q36+Q43+Q50+Q58+Q61+Q65+Q72+Q79+Q83+Q87+Q93+Q97+Q101+Q109+Q116+Q124+Q128+Q133+Q140</f>
        <v>-685360</v>
      </c>
      <c r="R141" s="566">
        <f t="shared" ref="R141:AR141" si="454">R16+R21+R27+R29+R36+R43+R50+R58+R61+R65+R72+R79+R83+R87+R93+R97+R101+R109+R116+R124+R128+R133+R140</f>
        <v>10783539</v>
      </c>
      <c r="S141" s="566">
        <f t="shared" si="454"/>
        <v>0</v>
      </c>
      <c r="T141" s="566">
        <f t="shared" si="454"/>
        <v>24760</v>
      </c>
      <c r="U141" s="566">
        <f t="shared" si="454"/>
        <v>0</v>
      </c>
      <c r="V141" s="566">
        <f t="shared" si="454"/>
        <v>10122939</v>
      </c>
      <c r="W141" s="566">
        <f t="shared" si="454"/>
        <v>685360</v>
      </c>
      <c r="X141" s="566">
        <f t="shared" si="454"/>
        <v>0</v>
      </c>
      <c r="Y141" s="566">
        <f t="shared" si="454"/>
        <v>207000</v>
      </c>
      <c r="Z141" s="566">
        <f t="shared" si="454"/>
        <v>892360</v>
      </c>
      <c r="AA141" s="566">
        <f t="shared" si="454"/>
        <v>11015299</v>
      </c>
      <c r="AB141" s="566">
        <f t="shared" si="454"/>
        <v>3653205</v>
      </c>
      <c r="AC141" s="566">
        <f t="shared" si="454"/>
        <v>101226</v>
      </c>
      <c r="AD141" s="566">
        <f t="shared" si="454"/>
        <v>5100</v>
      </c>
      <c r="AE141" s="566">
        <f t="shared" si="454"/>
        <v>0</v>
      </c>
      <c r="AF141" s="566">
        <f t="shared" si="454"/>
        <v>5100</v>
      </c>
      <c r="AG141" s="566">
        <f t="shared" si="454"/>
        <v>14774830</v>
      </c>
      <c r="AH141" s="754">
        <f t="shared" si="454"/>
        <v>-0.16</v>
      </c>
      <c r="AI141" s="754">
        <f t="shared" si="454"/>
        <v>-1.1200000000000001</v>
      </c>
      <c r="AJ141" s="754">
        <f t="shared" si="454"/>
        <v>30.250000000000004</v>
      </c>
      <c r="AK141" s="754">
        <f t="shared" si="454"/>
        <v>0</v>
      </c>
      <c r="AL141" s="754">
        <f t="shared" si="454"/>
        <v>0</v>
      </c>
      <c r="AM141" s="754">
        <f t="shared" si="454"/>
        <v>0.02</v>
      </c>
      <c r="AN141" s="754">
        <f t="shared" si="454"/>
        <v>0</v>
      </c>
      <c r="AO141" s="754">
        <f t="shared" si="454"/>
        <v>0</v>
      </c>
      <c r="AP141" s="754">
        <f t="shared" si="454"/>
        <v>30.11</v>
      </c>
      <c r="AQ141" s="754">
        <f t="shared" si="454"/>
        <v>-1.1200000000000001</v>
      </c>
      <c r="AR141" s="754">
        <f t="shared" si="454"/>
        <v>28.99</v>
      </c>
      <c r="AS141" s="566">
        <f>AS16+AS21+AS27+AS29+AS36+AS43+AS50+AS58+AS61+AS65+AS72+AS79+AS83+AS87+AS93+AS97+AS101+AS109+AS116+AS124+AS128+AS133+AS140</f>
        <v>292727922</v>
      </c>
      <c r="AT141" s="566">
        <f t="shared" ref="AT141:BA141" si="455">AT16+AT21+AT27+AT29+AT36+AT43+AT50+AT58+AT61+AT65+AT72+AT79+AT83+AT87+AT93+AT97+AT101+AT109+AT116+AT124+AT128+AT133+AT140</f>
        <v>214066600</v>
      </c>
      <c r="AU141" s="566">
        <f t="shared" si="455"/>
        <v>892360</v>
      </c>
      <c r="AV141" s="566">
        <f t="shared" si="455"/>
        <v>72586165</v>
      </c>
      <c r="AW141" s="566">
        <f t="shared" si="455"/>
        <v>2140666</v>
      </c>
      <c r="AX141" s="566">
        <f t="shared" si="455"/>
        <v>3042131</v>
      </c>
      <c r="AY141" s="754">
        <f t="shared" si="455"/>
        <v>430.12189999999993</v>
      </c>
      <c r="AZ141" s="754">
        <f t="shared" si="455"/>
        <v>317.84239999999994</v>
      </c>
      <c r="BA141" s="754">
        <f t="shared" si="455"/>
        <v>112.27950000000001</v>
      </c>
    </row>
    <row r="142" spans="1:53" ht="12.95" customHeight="1" x14ac:dyDescent="0.25">
      <c r="B142" s="328"/>
      <c r="C142" s="385"/>
      <c r="D142" s="328"/>
      <c r="E142" s="329"/>
      <c r="F142" s="328"/>
      <c r="I142" s="474">
        <f>SUM(J141:M141)</f>
        <v>277953092</v>
      </c>
      <c r="J142" s="474"/>
      <c r="K142" s="474"/>
      <c r="L142" s="474"/>
      <c r="M142" s="474"/>
      <c r="N142" s="475">
        <f>SUM(O141:P141)</f>
        <v>401.13189999999992</v>
      </c>
      <c r="O142" s="475"/>
      <c r="P142" s="475"/>
      <c r="Q142" s="474">
        <f>W141</f>
        <v>685360</v>
      </c>
      <c r="R142" s="475"/>
      <c r="S142" s="475"/>
      <c r="T142" s="475"/>
      <c r="U142" s="475"/>
      <c r="V142" s="481">
        <f>SUM(Q141:U141)</f>
        <v>10122939</v>
      </c>
      <c r="W142" s="481">
        <f>Q141</f>
        <v>-685360</v>
      </c>
      <c r="X142" s="482"/>
      <c r="Y142" s="482"/>
      <c r="Z142" s="481">
        <f>SUM(W141:Y141)</f>
        <v>892360</v>
      </c>
      <c r="AA142" s="481">
        <f>V141+Z141</f>
        <v>11015299</v>
      </c>
      <c r="AB142" s="483"/>
      <c r="AC142" s="483"/>
      <c r="AD142" s="482"/>
      <c r="AE142" s="482"/>
      <c r="AF142" s="481">
        <f>SUM(AD141:AE141)</f>
        <v>5100</v>
      </c>
      <c r="AG142" s="481">
        <f>AA141+AB141+AC141+AF141</f>
        <v>14774830</v>
      </c>
      <c r="AH142" s="484"/>
      <c r="AI142" s="484"/>
      <c r="AJ142" s="484"/>
      <c r="AK142" s="484"/>
      <c r="AL142" s="484"/>
      <c r="AM142" s="484"/>
      <c r="AN142" s="484"/>
      <c r="AO142" s="484"/>
      <c r="AP142" s="636">
        <f>AH141+AJ141+AK141+AM141+AN141</f>
        <v>30.110000000000003</v>
      </c>
      <c r="AQ142" s="636">
        <f>AI141+AL141+AO141</f>
        <v>-1.1200000000000001</v>
      </c>
      <c r="AR142" s="636">
        <f>SUM(AP141:AQ141)</f>
        <v>28.99</v>
      </c>
      <c r="AS142" s="474">
        <f>SUM(AT141:AX141)</f>
        <v>292727922</v>
      </c>
      <c r="AT142" s="54"/>
      <c r="AU142" s="54"/>
      <c r="AV142" s="54"/>
      <c r="AW142" s="54"/>
      <c r="AX142" s="54"/>
      <c r="AY142" s="475">
        <f>SUM(AZ141:BA141)</f>
        <v>430.12189999999998</v>
      </c>
      <c r="AZ142" s="89"/>
      <c r="BA142" s="89"/>
    </row>
    <row r="143" spans="1:53" ht="12.95" customHeight="1" thickBot="1" x14ac:dyDescent="0.3">
      <c r="B143" s="328"/>
      <c r="C143" s="385"/>
      <c r="D143" s="328"/>
      <c r="F143" s="328"/>
      <c r="I143" s="87">
        <f>SUM(J141:M141)</f>
        <v>277953092</v>
      </c>
      <c r="J143" s="52"/>
      <c r="K143" s="480"/>
      <c r="L143" s="480"/>
      <c r="M143" s="52"/>
      <c r="N143" s="88">
        <f>SUM(O141:P141)</f>
        <v>401.13189999999992</v>
      </c>
      <c r="O143" s="179"/>
      <c r="P143" s="179"/>
      <c r="Q143" s="475"/>
      <c r="R143" s="475"/>
      <c r="S143" s="475"/>
      <c r="T143" s="475"/>
      <c r="U143" s="475"/>
      <c r="V143" s="481">
        <f>SUM(Q144:U144)</f>
        <v>10122939</v>
      </c>
      <c r="W143" s="482"/>
      <c r="X143" s="482"/>
      <c r="Y143" s="482"/>
      <c r="Z143" s="481">
        <f>SUM(W144:Y144)</f>
        <v>892360</v>
      </c>
      <c r="AA143" s="481">
        <f>V144+Z144</f>
        <v>11015299</v>
      </c>
      <c r="AB143" s="483"/>
      <c r="AC143" s="483"/>
      <c r="AD143" s="482"/>
      <c r="AE143" s="482"/>
      <c r="AF143" s="481">
        <f>SUM(AD144:AE144)</f>
        <v>5100</v>
      </c>
      <c r="AG143" s="481">
        <f>AA144+AB144+AC144+AF144</f>
        <v>14774830</v>
      </c>
      <c r="AH143" s="484"/>
      <c r="AI143" s="484"/>
      <c r="AJ143" s="484"/>
      <c r="AK143" s="484"/>
      <c r="AL143" s="484"/>
      <c r="AM143" s="484"/>
      <c r="AN143" s="484"/>
      <c r="AO143" s="484"/>
      <c r="AP143" s="606">
        <f>AH144+AJ144+AK144+AM144+AN144</f>
        <v>30.110000000000003</v>
      </c>
      <c r="AQ143" s="606">
        <f>AI144+AL144+AO144</f>
        <v>-1.1200000000000001</v>
      </c>
      <c r="AR143" s="606">
        <f>SUM(AP144:AQ144)</f>
        <v>28.99</v>
      </c>
      <c r="AS143" s="474">
        <f>SUM(AT144:AX144)</f>
        <v>292727922</v>
      </c>
      <c r="AT143" s="54"/>
      <c r="AU143" s="54"/>
      <c r="AV143" s="54"/>
      <c r="AW143" s="54"/>
      <c r="AX143" s="54"/>
      <c r="AY143" s="475">
        <f>SUM(AZ144:BA144)</f>
        <v>430.12189999999998</v>
      </c>
      <c r="AZ143" s="89"/>
      <c r="BA143" s="89"/>
    </row>
    <row r="144" spans="1:53" s="91" customFormat="1" ht="12.95" customHeight="1" thickBot="1" x14ac:dyDescent="0.3">
      <c r="D144" s="330"/>
      <c r="E144" s="331"/>
      <c r="F144" s="330"/>
      <c r="G144" s="332"/>
      <c r="H144" s="493" t="s">
        <v>0</v>
      </c>
      <c r="I144" s="142">
        <f t="shared" ref="I144:BA144" si="456">SUM(I145:I154)</f>
        <v>277953092</v>
      </c>
      <c r="J144" s="34">
        <f t="shared" si="456"/>
        <v>203943661</v>
      </c>
      <c r="K144" s="34">
        <f t="shared" si="456"/>
        <v>68932960</v>
      </c>
      <c r="L144" s="34">
        <f t="shared" si="456"/>
        <v>2039440</v>
      </c>
      <c r="M144" s="34">
        <f t="shared" si="456"/>
        <v>3037031</v>
      </c>
      <c r="N144" s="35">
        <f t="shared" si="456"/>
        <v>401.13190000000009</v>
      </c>
      <c r="O144" s="35">
        <f t="shared" si="456"/>
        <v>287.73239999999998</v>
      </c>
      <c r="P144" s="151">
        <f t="shared" si="456"/>
        <v>113.3995</v>
      </c>
      <c r="Q144" s="142">
        <f t="shared" si="456"/>
        <v>-685360</v>
      </c>
      <c r="R144" s="34">
        <f t="shared" si="456"/>
        <v>10783539</v>
      </c>
      <c r="S144" s="34">
        <f t="shared" si="456"/>
        <v>0</v>
      </c>
      <c r="T144" s="34">
        <f t="shared" si="456"/>
        <v>24760</v>
      </c>
      <c r="U144" s="34">
        <f t="shared" si="456"/>
        <v>0</v>
      </c>
      <c r="V144" s="34">
        <f t="shared" si="456"/>
        <v>10122939</v>
      </c>
      <c r="W144" s="34">
        <f t="shared" si="456"/>
        <v>685360</v>
      </c>
      <c r="X144" s="34">
        <f t="shared" si="456"/>
        <v>0</v>
      </c>
      <c r="Y144" s="34">
        <f t="shared" si="456"/>
        <v>207000</v>
      </c>
      <c r="Z144" s="34">
        <f t="shared" si="456"/>
        <v>892360</v>
      </c>
      <c r="AA144" s="34">
        <f t="shared" si="456"/>
        <v>11015299</v>
      </c>
      <c r="AB144" s="34">
        <f t="shared" si="456"/>
        <v>3653205</v>
      </c>
      <c r="AC144" s="34">
        <f t="shared" si="456"/>
        <v>101226</v>
      </c>
      <c r="AD144" s="34">
        <f t="shared" si="456"/>
        <v>5100</v>
      </c>
      <c r="AE144" s="34">
        <f t="shared" si="456"/>
        <v>0</v>
      </c>
      <c r="AF144" s="34">
        <f t="shared" si="456"/>
        <v>5100</v>
      </c>
      <c r="AG144" s="34">
        <f t="shared" si="456"/>
        <v>14774830</v>
      </c>
      <c r="AH144" s="35">
        <f t="shared" si="456"/>
        <v>-0.16000000000000003</v>
      </c>
      <c r="AI144" s="35">
        <f t="shared" si="456"/>
        <v>-1.1200000000000001</v>
      </c>
      <c r="AJ144" s="35">
        <f t="shared" si="456"/>
        <v>30.250000000000004</v>
      </c>
      <c r="AK144" s="35">
        <f t="shared" si="456"/>
        <v>0</v>
      </c>
      <c r="AL144" s="35">
        <f t="shared" si="456"/>
        <v>0</v>
      </c>
      <c r="AM144" s="35">
        <f t="shared" si="456"/>
        <v>0.02</v>
      </c>
      <c r="AN144" s="35">
        <f t="shared" si="456"/>
        <v>0</v>
      </c>
      <c r="AO144" s="35">
        <f t="shared" si="456"/>
        <v>0</v>
      </c>
      <c r="AP144" s="35">
        <f t="shared" si="456"/>
        <v>30.11</v>
      </c>
      <c r="AQ144" s="35">
        <f t="shared" si="456"/>
        <v>-1.1200000000000001</v>
      </c>
      <c r="AR144" s="151">
        <f t="shared" si="456"/>
        <v>28.989999999999995</v>
      </c>
      <c r="AS144" s="142">
        <f t="shared" si="456"/>
        <v>292727922</v>
      </c>
      <c r="AT144" s="34">
        <f t="shared" si="456"/>
        <v>214066600</v>
      </c>
      <c r="AU144" s="34">
        <f t="shared" si="456"/>
        <v>892360</v>
      </c>
      <c r="AV144" s="34">
        <f t="shared" si="456"/>
        <v>72586165</v>
      </c>
      <c r="AW144" s="34">
        <f t="shared" si="456"/>
        <v>2140666</v>
      </c>
      <c r="AX144" s="34">
        <f t="shared" si="456"/>
        <v>3042131</v>
      </c>
      <c r="AY144" s="35">
        <f t="shared" si="456"/>
        <v>430.12189999999998</v>
      </c>
      <c r="AZ144" s="35">
        <f t="shared" si="456"/>
        <v>317.84239999999994</v>
      </c>
      <c r="BA144" s="36">
        <f t="shared" si="456"/>
        <v>112.27950000000001</v>
      </c>
    </row>
    <row r="145" spans="4:53" s="91" customFormat="1" ht="12.95" customHeight="1" x14ac:dyDescent="0.25">
      <c r="D145" s="330"/>
      <c r="E145" s="331"/>
      <c r="F145" s="330"/>
      <c r="G145" s="332"/>
      <c r="H145" s="494">
        <v>3111</v>
      </c>
      <c r="I145" s="580">
        <f t="shared" ref="I145:BA145" si="457">SUMIF($F$12:$F$461,"=3111",I$12:I$461)</f>
        <v>63118724</v>
      </c>
      <c r="J145" s="581">
        <f t="shared" si="457"/>
        <v>46578713</v>
      </c>
      <c r="K145" s="581">
        <f t="shared" si="457"/>
        <v>15743604</v>
      </c>
      <c r="L145" s="581">
        <f t="shared" si="457"/>
        <v>465787</v>
      </c>
      <c r="M145" s="581">
        <f t="shared" si="457"/>
        <v>330620</v>
      </c>
      <c r="N145" s="584">
        <f t="shared" si="457"/>
        <v>96.959299999999999</v>
      </c>
      <c r="O145" s="584">
        <f t="shared" si="457"/>
        <v>77.430799999999991</v>
      </c>
      <c r="P145" s="585">
        <f t="shared" si="457"/>
        <v>19.528500000000005</v>
      </c>
      <c r="Q145" s="580">
        <f t="shared" si="457"/>
        <v>-244920</v>
      </c>
      <c r="R145" s="581">
        <f t="shared" si="457"/>
        <v>1432057</v>
      </c>
      <c r="S145" s="581">
        <f t="shared" si="457"/>
        <v>0</v>
      </c>
      <c r="T145" s="581">
        <f t="shared" si="457"/>
        <v>0</v>
      </c>
      <c r="U145" s="581">
        <f t="shared" si="457"/>
        <v>0</v>
      </c>
      <c r="V145" s="581">
        <f t="shared" si="457"/>
        <v>1187137</v>
      </c>
      <c r="W145" s="581">
        <f t="shared" si="457"/>
        <v>244920</v>
      </c>
      <c r="X145" s="581">
        <f t="shared" si="457"/>
        <v>0</v>
      </c>
      <c r="Y145" s="581">
        <f t="shared" si="457"/>
        <v>0</v>
      </c>
      <c r="Z145" s="581">
        <f t="shared" si="457"/>
        <v>244920</v>
      </c>
      <c r="AA145" s="581">
        <f t="shared" si="457"/>
        <v>1432057</v>
      </c>
      <c r="AB145" s="581">
        <f t="shared" si="457"/>
        <v>484035</v>
      </c>
      <c r="AC145" s="581">
        <f t="shared" si="457"/>
        <v>11870</v>
      </c>
      <c r="AD145" s="581">
        <f t="shared" si="457"/>
        <v>2000</v>
      </c>
      <c r="AE145" s="581">
        <f t="shared" si="457"/>
        <v>0</v>
      </c>
      <c r="AF145" s="581">
        <f t="shared" si="457"/>
        <v>2000</v>
      </c>
      <c r="AG145" s="581">
        <f t="shared" si="457"/>
        <v>1929962</v>
      </c>
      <c r="AH145" s="584">
        <f t="shared" si="457"/>
        <v>-0.01</v>
      </c>
      <c r="AI145" s="584">
        <f t="shared" si="457"/>
        <v>-0.58000000000000007</v>
      </c>
      <c r="AJ145" s="584">
        <f t="shared" si="457"/>
        <v>4.0999999999999996</v>
      </c>
      <c r="AK145" s="584">
        <f t="shared" si="457"/>
        <v>0</v>
      </c>
      <c r="AL145" s="584">
        <f t="shared" si="457"/>
        <v>0</v>
      </c>
      <c r="AM145" s="584">
        <f t="shared" si="457"/>
        <v>0</v>
      </c>
      <c r="AN145" s="584">
        <f t="shared" si="457"/>
        <v>0</v>
      </c>
      <c r="AO145" s="584">
        <f t="shared" si="457"/>
        <v>0</v>
      </c>
      <c r="AP145" s="584">
        <f t="shared" si="457"/>
        <v>4.09</v>
      </c>
      <c r="AQ145" s="584">
        <f t="shared" si="457"/>
        <v>-0.58000000000000007</v>
      </c>
      <c r="AR145" s="585">
        <f t="shared" si="457"/>
        <v>3.51</v>
      </c>
      <c r="AS145" s="580">
        <f t="shared" si="457"/>
        <v>65048686</v>
      </c>
      <c r="AT145" s="581">
        <f t="shared" si="457"/>
        <v>47765850</v>
      </c>
      <c r="AU145" s="581">
        <f t="shared" si="457"/>
        <v>244920</v>
      </c>
      <c r="AV145" s="581">
        <f t="shared" si="457"/>
        <v>16227639</v>
      </c>
      <c r="AW145" s="581">
        <f t="shared" si="457"/>
        <v>477657</v>
      </c>
      <c r="AX145" s="581">
        <f t="shared" si="457"/>
        <v>332620</v>
      </c>
      <c r="AY145" s="584">
        <f t="shared" si="457"/>
        <v>100.46929999999999</v>
      </c>
      <c r="AZ145" s="584">
        <f t="shared" si="457"/>
        <v>81.520799999999994</v>
      </c>
      <c r="BA145" s="587">
        <f t="shared" si="457"/>
        <v>18.948500000000003</v>
      </c>
    </row>
    <row r="146" spans="4:53" s="91" customFormat="1" ht="12.95" customHeight="1" x14ac:dyDescent="0.25">
      <c r="D146" s="330"/>
      <c r="E146" s="331"/>
      <c r="F146" s="330"/>
      <c r="G146" s="332"/>
      <c r="H146" s="2">
        <v>3113</v>
      </c>
      <c r="I146" s="170">
        <f t="shared" ref="I146:BA146" si="458">SUMIF($F$12:$F$461,"=3113",I$12:I$461)</f>
        <v>140279257</v>
      </c>
      <c r="J146" s="16">
        <f t="shared" si="458"/>
        <v>102324171</v>
      </c>
      <c r="K146" s="16">
        <f t="shared" si="458"/>
        <v>34585570</v>
      </c>
      <c r="L146" s="16">
        <f t="shared" si="458"/>
        <v>1023241</v>
      </c>
      <c r="M146" s="16">
        <f t="shared" si="458"/>
        <v>2346275</v>
      </c>
      <c r="N146" s="13">
        <f t="shared" si="458"/>
        <v>180.2259</v>
      </c>
      <c r="O146" s="13">
        <f t="shared" si="458"/>
        <v>141.91920000000002</v>
      </c>
      <c r="P146" s="172">
        <f t="shared" si="458"/>
        <v>38.306699999999999</v>
      </c>
      <c r="Q146" s="170">
        <f t="shared" si="458"/>
        <v>-405080</v>
      </c>
      <c r="R146" s="16">
        <f t="shared" si="458"/>
        <v>8335180</v>
      </c>
      <c r="S146" s="16">
        <f t="shared" si="458"/>
        <v>0</v>
      </c>
      <c r="T146" s="16">
        <f t="shared" si="458"/>
        <v>24760</v>
      </c>
      <c r="U146" s="16">
        <f t="shared" si="458"/>
        <v>0</v>
      </c>
      <c r="V146" s="16">
        <f t="shared" si="458"/>
        <v>7954860</v>
      </c>
      <c r="W146" s="16">
        <f t="shared" si="458"/>
        <v>405080</v>
      </c>
      <c r="X146" s="16">
        <f t="shared" si="458"/>
        <v>0</v>
      </c>
      <c r="Y146" s="16">
        <f t="shared" si="458"/>
        <v>147000</v>
      </c>
      <c r="Z146" s="16">
        <f t="shared" si="458"/>
        <v>552080</v>
      </c>
      <c r="AA146" s="16">
        <f t="shared" si="458"/>
        <v>8506940</v>
      </c>
      <c r="AB146" s="16">
        <f t="shared" si="458"/>
        <v>2825660</v>
      </c>
      <c r="AC146" s="16">
        <f t="shared" si="458"/>
        <v>79548</v>
      </c>
      <c r="AD146" s="16">
        <f t="shared" si="458"/>
        <v>3100</v>
      </c>
      <c r="AE146" s="16">
        <f t="shared" si="458"/>
        <v>0</v>
      </c>
      <c r="AF146" s="16">
        <f t="shared" si="458"/>
        <v>3100</v>
      </c>
      <c r="AG146" s="16">
        <f t="shared" si="458"/>
        <v>11415248</v>
      </c>
      <c r="AH146" s="13">
        <f t="shared" si="458"/>
        <v>-0.15000000000000002</v>
      </c>
      <c r="AI146" s="13">
        <f t="shared" si="458"/>
        <v>-0.56000000000000005</v>
      </c>
      <c r="AJ146" s="13">
        <f t="shared" si="458"/>
        <v>22.910000000000004</v>
      </c>
      <c r="AK146" s="13">
        <f t="shared" si="458"/>
        <v>0</v>
      </c>
      <c r="AL146" s="13">
        <f t="shared" si="458"/>
        <v>0</v>
      </c>
      <c r="AM146" s="13">
        <f t="shared" si="458"/>
        <v>0.02</v>
      </c>
      <c r="AN146" s="13">
        <f t="shared" si="458"/>
        <v>0</v>
      </c>
      <c r="AO146" s="13">
        <f t="shared" si="458"/>
        <v>0</v>
      </c>
      <c r="AP146" s="13">
        <f t="shared" si="458"/>
        <v>22.78</v>
      </c>
      <c r="AQ146" s="13">
        <f t="shared" si="458"/>
        <v>-0.56000000000000005</v>
      </c>
      <c r="AR146" s="172">
        <f t="shared" si="458"/>
        <v>22.22</v>
      </c>
      <c r="AS146" s="170">
        <f t="shared" si="458"/>
        <v>151694505</v>
      </c>
      <c r="AT146" s="16">
        <f t="shared" si="458"/>
        <v>110279031</v>
      </c>
      <c r="AU146" s="16">
        <f t="shared" si="458"/>
        <v>552080</v>
      </c>
      <c r="AV146" s="16">
        <f t="shared" si="458"/>
        <v>37411230</v>
      </c>
      <c r="AW146" s="16">
        <f t="shared" si="458"/>
        <v>1102789</v>
      </c>
      <c r="AX146" s="16">
        <f t="shared" si="458"/>
        <v>2349375</v>
      </c>
      <c r="AY146" s="13">
        <f t="shared" si="458"/>
        <v>202.44589999999999</v>
      </c>
      <c r="AZ146" s="13">
        <f t="shared" si="458"/>
        <v>164.69919999999999</v>
      </c>
      <c r="BA146" s="17">
        <f t="shared" si="458"/>
        <v>37.746699999999997</v>
      </c>
    </row>
    <row r="147" spans="4:53" s="91" customFormat="1" ht="12.95" customHeight="1" x14ac:dyDescent="0.25">
      <c r="D147" s="330"/>
      <c r="E147" s="331"/>
      <c r="F147" s="330"/>
      <c r="G147" s="332"/>
      <c r="H147" s="2">
        <v>3114</v>
      </c>
      <c r="I147" s="170">
        <f t="shared" ref="I147:BA147" si="459">SUMIF($F$12:$F$461,"=3114",I$12:I$461)</f>
        <v>0</v>
      </c>
      <c r="J147" s="16">
        <f t="shared" si="459"/>
        <v>0</v>
      </c>
      <c r="K147" s="16">
        <f t="shared" si="459"/>
        <v>0</v>
      </c>
      <c r="L147" s="16">
        <f t="shared" si="459"/>
        <v>0</v>
      </c>
      <c r="M147" s="16">
        <f t="shared" si="459"/>
        <v>0</v>
      </c>
      <c r="N147" s="13">
        <f t="shared" si="459"/>
        <v>0</v>
      </c>
      <c r="O147" s="13">
        <f t="shared" si="459"/>
        <v>0</v>
      </c>
      <c r="P147" s="172">
        <f t="shared" si="459"/>
        <v>0</v>
      </c>
      <c r="Q147" s="170">
        <f t="shared" si="459"/>
        <v>0</v>
      </c>
      <c r="R147" s="16">
        <f t="shared" si="459"/>
        <v>0</v>
      </c>
      <c r="S147" s="16">
        <f t="shared" si="459"/>
        <v>0</v>
      </c>
      <c r="T147" s="16">
        <f t="shared" si="459"/>
        <v>0</v>
      </c>
      <c r="U147" s="16">
        <f t="shared" si="459"/>
        <v>0</v>
      </c>
      <c r="V147" s="16">
        <f t="shared" si="459"/>
        <v>0</v>
      </c>
      <c r="W147" s="16">
        <f t="shared" si="459"/>
        <v>0</v>
      </c>
      <c r="X147" s="16">
        <f t="shared" si="459"/>
        <v>0</v>
      </c>
      <c r="Y147" s="16">
        <f t="shared" si="459"/>
        <v>0</v>
      </c>
      <c r="Z147" s="16">
        <f t="shared" si="459"/>
        <v>0</v>
      </c>
      <c r="AA147" s="16">
        <f t="shared" si="459"/>
        <v>0</v>
      </c>
      <c r="AB147" s="16">
        <f t="shared" si="459"/>
        <v>0</v>
      </c>
      <c r="AC147" s="16">
        <f t="shared" si="459"/>
        <v>0</v>
      </c>
      <c r="AD147" s="16">
        <f t="shared" si="459"/>
        <v>0</v>
      </c>
      <c r="AE147" s="16">
        <f t="shared" si="459"/>
        <v>0</v>
      </c>
      <c r="AF147" s="16">
        <f t="shared" si="459"/>
        <v>0</v>
      </c>
      <c r="AG147" s="16">
        <f t="shared" si="459"/>
        <v>0</v>
      </c>
      <c r="AH147" s="13">
        <f t="shared" si="459"/>
        <v>0</v>
      </c>
      <c r="AI147" s="13">
        <f t="shared" si="459"/>
        <v>0</v>
      </c>
      <c r="AJ147" s="13">
        <f t="shared" si="459"/>
        <v>0</v>
      </c>
      <c r="AK147" s="13">
        <f t="shared" si="459"/>
        <v>0</v>
      </c>
      <c r="AL147" s="13">
        <f t="shared" si="459"/>
        <v>0</v>
      </c>
      <c r="AM147" s="13">
        <f t="shared" si="459"/>
        <v>0</v>
      </c>
      <c r="AN147" s="13">
        <f t="shared" si="459"/>
        <v>0</v>
      </c>
      <c r="AO147" s="13">
        <f t="shared" si="459"/>
        <v>0</v>
      </c>
      <c r="AP147" s="13">
        <f t="shared" si="459"/>
        <v>0</v>
      </c>
      <c r="AQ147" s="13">
        <f t="shared" si="459"/>
        <v>0</v>
      </c>
      <c r="AR147" s="172">
        <f t="shared" si="459"/>
        <v>0</v>
      </c>
      <c r="AS147" s="170">
        <f t="shared" si="459"/>
        <v>0</v>
      </c>
      <c r="AT147" s="16">
        <f t="shared" si="459"/>
        <v>0</v>
      </c>
      <c r="AU147" s="16">
        <f t="shared" si="459"/>
        <v>0</v>
      </c>
      <c r="AV147" s="16">
        <f t="shared" si="459"/>
        <v>0</v>
      </c>
      <c r="AW147" s="16">
        <f t="shared" si="459"/>
        <v>0</v>
      </c>
      <c r="AX147" s="16">
        <f t="shared" si="459"/>
        <v>0</v>
      </c>
      <c r="AY147" s="13">
        <f t="shared" si="459"/>
        <v>0</v>
      </c>
      <c r="AZ147" s="13">
        <f t="shared" si="459"/>
        <v>0</v>
      </c>
      <c r="BA147" s="17">
        <f t="shared" si="459"/>
        <v>0</v>
      </c>
    </row>
    <row r="148" spans="4:53" s="91" customFormat="1" ht="12.95" customHeight="1" x14ac:dyDescent="0.25">
      <c r="D148" s="330"/>
      <c r="E148" s="331"/>
      <c r="F148" s="330"/>
      <c r="G148" s="332"/>
      <c r="H148" s="2">
        <v>3117</v>
      </c>
      <c r="I148" s="170">
        <f t="shared" ref="I148:BA148" si="460">SUMIF($F$12:$F$461,"=3117",I$12:I$461)</f>
        <v>16813555</v>
      </c>
      <c r="J148" s="16">
        <f t="shared" si="460"/>
        <v>12327432</v>
      </c>
      <c r="K148" s="16">
        <f t="shared" si="460"/>
        <v>4166672</v>
      </c>
      <c r="L148" s="16">
        <f t="shared" si="460"/>
        <v>123276</v>
      </c>
      <c r="M148" s="16">
        <f t="shared" si="460"/>
        <v>196175</v>
      </c>
      <c r="N148" s="13">
        <f t="shared" si="460"/>
        <v>23.994900000000001</v>
      </c>
      <c r="O148" s="13">
        <f t="shared" si="460"/>
        <v>17.433</v>
      </c>
      <c r="P148" s="172">
        <f t="shared" si="460"/>
        <v>6.5618999999999996</v>
      </c>
      <c r="Q148" s="170">
        <f t="shared" si="460"/>
        <v>-15860</v>
      </c>
      <c r="R148" s="16">
        <f t="shared" si="460"/>
        <v>1016302</v>
      </c>
      <c r="S148" s="16">
        <f t="shared" si="460"/>
        <v>0</v>
      </c>
      <c r="T148" s="16">
        <f t="shared" si="460"/>
        <v>0</v>
      </c>
      <c r="U148" s="16">
        <f t="shared" si="460"/>
        <v>0</v>
      </c>
      <c r="V148" s="16">
        <f t="shared" si="460"/>
        <v>1000442</v>
      </c>
      <c r="W148" s="16">
        <f t="shared" si="460"/>
        <v>15860</v>
      </c>
      <c r="X148" s="16">
        <f t="shared" si="460"/>
        <v>0</v>
      </c>
      <c r="Y148" s="16">
        <f t="shared" si="460"/>
        <v>0</v>
      </c>
      <c r="Z148" s="16">
        <f t="shared" si="460"/>
        <v>15860</v>
      </c>
      <c r="AA148" s="16">
        <f t="shared" si="460"/>
        <v>1016302</v>
      </c>
      <c r="AB148" s="16">
        <f t="shared" si="460"/>
        <v>343510</v>
      </c>
      <c r="AC148" s="16">
        <f t="shared" si="460"/>
        <v>10004</v>
      </c>
      <c r="AD148" s="16">
        <f t="shared" si="460"/>
        <v>0</v>
      </c>
      <c r="AE148" s="16">
        <f t="shared" si="460"/>
        <v>0</v>
      </c>
      <c r="AF148" s="16">
        <f t="shared" si="460"/>
        <v>0</v>
      </c>
      <c r="AG148" s="16">
        <f t="shared" si="460"/>
        <v>1369816</v>
      </c>
      <c r="AH148" s="13">
        <f t="shared" si="460"/>
        <v>0</v>
      </c>
      <c r="AI148" s="13">
        <f t="shared" si="460"/>
        <v>1.9999999999999997E-2</v>
      </c>
      <c r="AJ148" s="13">
        <f t="shared" si="460"/>
        <v>3.2399999999999998</v>
      </c>
      <c r="AK148" s="13">
        <f t="shared" si="460"/>
        <v>0</v>
      </c>
      <c r="AL148" s="13">
        <f t="shared" si="460"/>
        <v>0</v>
      </c>
      <c r="AM148" s="13">
        <f t="shared" si="460"/>
        <v>0</v>
      </c>
      <c r="AN148" s="13">
        <f t="shared" si="460"/>
        <v>0</v>
      </c>
      <c r="AO148" s="13">
        <f t="shared" si="460"/>
        <v>0</v>
      </c>
      <c r="AP148" s="13">
        <f t="shared" si="460"/>
        <v>3.2399999999999998</v>
      </c>
      <c r="AQ148" s="13">
        <f t="shared" si="460"/>
        <v>1.9999999999999997E-2</v>
      </c>
      <c r="AR148" s="172">
        <f t="shared" si="460"/>
        <v>3.26</v>
      </c>
      <c r="AS148" s="170">
        <f t="shared" si="460"/>
        <v>18183371</v>
      </c>
      <c r="AT148" s="16">
        <f t="shared" si="460"/>
        <v>13327874</v>
      </c>
      <c r="AU148" s="16">
        <f t="shared" si="460"/>
        <v>15860</v>
      </c>
      <c r="AV148" s="16">
        <f t="shared" si="460"/>
        <v>4510182</v>
      </c>
      <c r="AW148" s="16">
        <f t="shared" si="460"/>
        <v>133280</v>
      </c>
      <c r="AX148" s="16">
        <f t="shared" si="460"/>
        <v>196175</v>
      </c>
      <c r="AY148" s="13">
        <f t="shared" si="460"/>
        <v>27.254900000000006</v>
      </c>
      <c r="AZ148" s="13">
        <f t="shared" si="460"/>
        <v>20.673000000000002</v>
      </c>
      <c r="BA148" s="17">
        <f t="shared" si="460"/>
        <v>6.581900000000001</v>
      </c>
    </row>
    <row r="149" spans="4:53" s="91" customFormat="1" ht="12.95" customHeight="1" x14ac:dyDescent="0.25">
      <c r="D149" s="330"/>
      <c r="E149" s="331"/>
      <c r="F149" s="330"/>
      <c r="G149" s="332"/>
      <c r="H149" s="2">
        <v>3122</v>
      </c>
      <c r="I149" s="170">
        <f t="shared" ref="I149:BA149" si="461">SUMIF($F$12:$F$461,"=3122",I$12:I$461)</f>
        <v>0</v>
      </c>
      <c r="J149" s="16">
        <f t="shared" si="461"/>
        <v>0</v>
      </c>
      <c r="K149" s="16">
        <f t="shared" si="461"/>
        <v>0</v>
      </c>
      <c r="L149" s="16">
        <f t="shared" si="461"/>
        <v>0</v>
      </c>
      <c r="M149" s="16">
        <f t="shared" si="461"/>
        <v>0</v>
      </c>
      <c r="N149" s="13">
        <f t="shared" si="461"/>
        <v>0</v>
      </c>
      <c r="O149" s="13">
        <f t="shared" si="461"/>
        <v>0</v>
      </c>
      <c r="P149" s="172">
        <f t="shared" si="461"/>
        <v>0</v>
      </c>
      <c r="Q149" s="170">
        <f t="shared" si="461"/>
        <v>0</v>
      </c>
      <c r="R149" s="16">
        <f t="shared" si="461"/>
        <v>0</v>
      </c>
      <c r="S149" s="16">
        <f t="shared" si="461"/>
        <v>0</v>
      </c>
      <c r="T149" s="16">
        <f t="shared" si="461"/>
        <v>0</v>
      </c>
      <c r="U149" s="16">
        <f t="shared" si="461"/>
        <v>0</v>
      </c>
      <c r="V149" s="16">
        <f t="shared" si="461"/>
        <v>0</v>
      </c>
      <c r="W149" s="16">
        <f t="shared" si="461"/>
        <v>0</v>
      </c>
      <c r="X149" s="16">
        <f t="shared" si="461"/>
        <v>0</v>
      </c>
      <c r="Y149" s="16">
        <f t="shared" si="461"/>
        <v>0</v>
      </c>
      <c r="Z149" s="16">
        <f t="shared" si="461"/>
        <v>0</v>
      </c>
      <c r="AA149" s="16">
        <f t="shared" si="461"/>
        <v>0</v>
      </c>
      <c r="AB149" s="16">
        <f t="shared" si="461"/>
        <v>0</v>
      </c>
      <c r="AC149" s="16">
        <f t="shared" si="461"/>
        <v>0</v>
      </c>
      <c r="AD149" s="16">
        <f t="shared" si="461"/>
        <v>0</v>
      </c>
      <c r="AE149" s="16">
        <f t="shared" si="461"/>
        <v>0</v>
      </c>
      <c r="AF149" s="16">
        <f t="shared" si="461"/>
        <v>0</v>
      </c>
      <c r="AG149" s="16">
        <f t="shared" si="461"/>
        <v>0</v>
      </c>
      <c r="AH149" s="13">
        <f t="shared" si="461"/>
        <v>0</v>
      </c>
      <c r="AI149" s="13">
        <f t="shared" si="461"/>
        <v>0</v>
      </c>
      <c r="AJ149" s="13">
        <f t="shared" si="461"/>
        <v>0</v>
      </c>
      <c r="AK149" s="13">
        <f t="shared" si="461"/>
        <v>0</v>
      </c>
      <c r="AL149" s="13">
        <f t="shared" si="461"/>
        <v>0</v>
      </c>
      <c r="AM149" s="13">
        <f t="shared" si="461"/>
        <v>0</v>
      </c>
      <c r="AN149" s="13">
        <f t="shared" si="461"/>
        <v>0</v>
      </c>
      <c r="AO149" s="13">
        <f t="shared" si="461"/>
        <v>0</v>
      </c>
      <c r="AP149" s="13">
        <f t="shared" si="461"/>
        <v>0</v>
      </c>
      <c r="AQ149" s="13">
        <f t="shared" si="461"/>
        <v>0</v>
      </c>
      <c r="AR149" s="172">
        <f t="shared" si="461"/>
        <v>0</v>
      </c>
      <c r="AS149" s="170">
        <f t="shared" si="461"/>
        <v>0</v>
      </c>
      <c r="AT149" s="16">
        <f t="shared" si="461"/>
        <v>0</v>
      </c>
      <c r="AU149" s="16">
        <f t="shared" si="461"/>
        <v>0</v>
      </c>
      <c r="AV149" s="16">
        <f t="shared" si="461"/>
        <v>0</v>
      </c>
      <c r="AW149" s="16">
        <f t="shared" si="461"/>
        <v>0</v>
      </c>
      <c r="AX149" s="16">
        <f t="shared" si="461"/>
        <v>0</v>
      </c>
      <c r="AY149" s="13">
        <f t="shared" si="461"/>
        <v>0</v>
      </c>
      <c r="AZ149" s="13">
        <f t="shared" si="461"/>
        <v>0</v>
      </c>
      <c r="BA149" s="17">
        <f t="shared" si="461"/>
        <v>0</v>
      </c>
    </row>
    <row r="150" spans="4:53" s="91" customFormat="1" ht="12.95" customHeight="1" x14ac:dyDescent="0.25">
      <c r="D150" s="330"/>
      <c r="E150" s="331"/>
      <c r="F150" s="330"/>
      <c r="G150" s="332"/>
      <c r="H150" s="2">
        <v>3124</v>
      </c>
      <c r="I150" s="170">
        <f t="shared" ref="I150:BA150" si="462">SUMIF($F$12:$F$461,"=3124",I$12:I$461)</f>
        <v>0</v>
      </c>
      <c r="J150" s="16">
        <f t="shared" si="462"/>
        <v>0</v>
      </c>
      <c r="K150" s="16">
        <f t="shared" si="462"/>
        <v>0</v>
      </c>
      <c r="L150" s="16">
        <f t="shared" si="462"/>
        <v>0</v>
      </c>
      <c r="M150" s="16">
        <f t="shared" si="462"/>
        <v>0</v>
      </c>
      <c r="N150" s="13">
        <f t="shared" si="462"/>
        <v>0</v>
      </c>
      <c r="O150" s="13">
        <f t="shared" si="462"/>
        <v>0</v>
      </c>
      <c r="P150" s="172">
        <f t="shared" si="462"/>
        <v>0</v>
      </c>
      <c r="Q150" s="170">
        <f t="shared" si="462"/>
        <v>0</v>
      </c>
      <c r="R150" s="16">
        <f t="shared" si="462"/>
        <v>0</v>
      </c>
      <c r="S150" s="16">
        <f t="shared" si="462"/>
        <v>0</v>
      </c>
      <c r="T150" s="16">
        <f t="shared" si="462"/>
        <v>0</v>
      </c>
      <c r="U150" s="16">
        <f t="shared" si="462"/>
        <v>0</v>
      </c>
      <c r="V150" s="16">
        <f t="shared" si="462"/>
        <v>0</v>
      </c>
      <c r="W150" s="16">
        <f t="shared" si="462"/>
        <v>0</v>
      </c>
      <c r="X150" s="16">
        <f t="shared" si="462"/>
        <v>0</v>
      </c>
      <c r="Y150" s="16">
        <f t="shared" si="462"/>
        <v>0</v>
      </c>
      <c r="Z150" s="16">
        <f t="shared" si="462"/>
        <v>0</v>
      </c>
      <c r="AA150" s="16">
        <f t="shared" si="462"/>
        <v>0</v>
      </c>
      <c r="AB150" s="16">
        <f t="shared" si="462"/>
        <v>0</v>
      </c>
      <c r="AC150" s="16">
        <f t="shared" si="462"/>
        <v>0</v>
      </c>
      <c r="AD150" s="16">
        <f t="shared" si="462"/>
        <v>0</v>
      </c>
      <c r="AE150" s="16">
        <f t="shared" si="462"/>
        <v>0</v>
      </c>
      <c r="AF150" s="16">
        <f t="shared" si="462"/>
        <v>0</v>
      </c>
      <c r="AG150" s="16">
        <f t="shared" si="462"/>
        <v>0</v>
      </c>
      <c r="AH150" s="13">
        <f t="shared" si="462"/>
        <v>0</v>
      </c>
      <c r="AI150" s="13">
        <f t="shared" si="462"/>
        <v>0</v>
      </c>
      <c r="AJ150" s="13">
        <f t="shared" si="462"/>
        <v>0</v>
      </c>
      <c r="AK150" s="13">
        <f t="shared" si="462"/>
        <v>0</v>
      </c>
      <c r="AL150" s="13">
        <f t="shared" si="462"/>
        <v>0</v>
      </c>
      <c r="AM150" s="13">
        <f t="shared" si="462"/>
        <v>0</v>
      </c>
      <c r="AN150" s="13">
        <f t="shared" si="462"/>
        <v>0</v>
      </c>
      <c r="AO150" s="13">
        <f t="shared" si="462"/>
        <v>0</v>
      </c>
      <c r="AP150" s="13">
        <f t="shared" si="462"/>
        <v>0</v>
      </c>
      <c r="AQ150" s="13">
        <f t="shared" si="462"/>
        <v>0</v>
      </c>
      <c r="AR150" s="172">
        <f t="shared" si="462"/>
        <v>0</v>
      </c>
      <c r="AS150" s="170">
        <f t="shared" si="462"/>
        <v>0</v>
      </c>
      <c r="AT150" s="16">
        <f t="shared" si="462"/>
        <v>0</v>
      </c>
      <c r="AU150" s="16">
        <f t="shared" si="462"/>
        <v>0</v>
      </c>
      <c r="AV150" s="16">
        <f t="shared" si="462"/>
        <v>0</v>
      </c>
      <c r="AW150" s="16">
        <f t="shared" si="462"/>
        <v>0</v>
      </c>
      <c r="AX150" s="16">
        <f t="shared" si="462"/>
        <v>0</v>
      </c>
      <c r="AY150" s="13">
        <f t="shared" si="462"/>
        <v>0</v>
      </c>
      <c r="AZ150" s="13">
        <f t="shared" si="462"/>
        <v>0</v>
      </c>
      <c r="BA150" s="17">
        <f t="shared" si="462"/>
        <v>0</v>
      </c>
    </row>
    <row r="151" spans="4:53" s="91" customFormat="1" ht="12.95" customHeight="1" x14ac:dyDescent="0.25">
      <c r="D151" s="330"/>
      <c r="E151" s="331"/>
      <c r="F151" s="330"/>
      <c r="G151" s="332"/>
      <c r="H151" s="2">
        <v>3141</v>
      </c>
      <c r="I151" s="170">
        <f t="shared" ref="I151:BA151" si="463">SUMIF($F$12:$F$461,"=3141",I$12:I$461)</f>
        <v>18437344</v>
      </c>
      <c r="J151" s="16">
        <f t="shared" si="463"/>
        <v>13605628</v>
      </c>
      <c r="K151" s="16">
        <f t="shared" si="463"/>
        <v>4598704</v>
      </c>
      <c r="L151" s="16">
        <f t="shared" si="463"/>
        <v>136058</v>
      </c>
      <c r="M151" s="16">
        <f t="shared" si="463"/>
        <v>96954</v>
      </c>
      <c r="N151" s="13">
        <f t="shared" si="463"/>
        <v>43.710000000000008</v>
      </c>
      <c r="O151" s="13">
        <f t="shared" si="463"/>
        <v>0</v>
      </c>
      <c r="P151" s="172">
        <f t="shared" si="463"/>
        <v>43.710000000000008</v>
      </c>
      <c r="Q151" s="170">
        <f t="shared" si="463"/>
        <v>-16250</v>
      </c>
      <c r="R151" s="16">
        <f t="shared" si="463"/>
        <v>0</v>
      </c>
      <c r="S151" s="16">
        <f t="shared" si="463"/>
        <v>0</v>
      </c>
      <c r="T151" s="16">
        <f t="shared" si="463"/>
        <v>0</v>
      </c>
      <c r="U151" s="16">
        <f t="shared" si="463"/>
        <v>0</v>
      </c>
      <c r="V151" s="16">
        <f t="shared" si="463"/>
        <v>-16250</v>
      </c>
      <c r="W151" s="16">
        <f t="shared" si="463"/>
        <v>16250</v>
      </c>
      <c r="X151" s="16">
        <f t="shared" si="463"/>
        <v>0</v>
      </c>
      <c r="Y151" s="16">
        <f t="shared" si="463"/>
        <v>0</v>
      </c>
      <c r="Z151" s="16">
        <f t="shared" si="463"/>
        <v>16250</v>
      </c>
      <c r="AA151" s="16">
        <f t="shared" si="463"/>
        <v>0</v>
      </c>
      <c r="AB151" s="16">
        <f t="shared" si="463"/>
        <v>0</v>
      </c>
      <c r="AC151" s="16">
        <f t="shared" si="463"/>
        <v>-163</v>
      </c>
      <c r="AD151" s="16">
        <f t="shared" si="463"/>
        <v>0</v>
      </c>
      <c r="AE151" s="16">
        <f t="shared" si="463"/>
        <v>0</v>
      </c>
      <c r="AF151" s="16">
        <f t="shared" si="463"/>
        <v>0</v>
      </c>
      <c r="AG151" s="16">
        <f t="shared" si="463"/>
        <v>-163</v>
      </c>
      <c r="AH151" s="13">
        <f t="shared" si="463"/>
        <v>0</v>
      </c>
      <c r="AI151" s="13">
        <f t="shared" si="463"/>
        <v>0</v>
      </c>
      <c r="AJ151" s="13">
        <f t="shared" si="463"/>
        <v>0</v>
      </c>
      <c r="AK151" s="13">
        <f t="shared" si="463"/>
        <v>0</v>
      </c>
      <c r="AL151" s="13">
        <f t="shared" si="463"/>
        <v>0</v>
      </c>
      <c r="AM151" s="13">
        <f t="shared" si="463"/>
        <v>0</v>
      </c>
      <c r="AN151" s="13">
        <f t="shared" si="463"/>
        <v>0</v>
      </c>
      <c r="AO151" s="13">
        <f t="shared" si="463"/>
        <v>0</v>
      </c>
      <c r="AP151" s="13">
        <f t="shared" si="463"/>
        <v>0</v>
      </c>
      <c r="AQ151" s="13">
        <f t="shared" si="463"/>
        <v>0</v>
      </c>
      <c r="AR151" s="172">
        <f t="shared" si="463"/>
        <v>0</v>
      </c>
      <c r="AS151" s="170">
        <f t="shared" si="463"/>
        <v>18437181</v>
      </c>
      <c r="AT151" s="16">
        <f t="shared" si="463"/>
        <v>13589378</v>
      </c>
      <c r="AU151" s="16">
        <f t="shared" si="463"/>
        <v>16250</v>
      </c>
      <c r="AV151" s="16">
        <f t="shared" si="463"/>
        <v>4598704</v>
      </c>
      <c r="AW151" s="16">
        <f t="shared" si="463"/>
        <v>135895</v>
      </c>
      <c r="AX151" s="16">
        <f t="shared" si="463"/>
        <v>96954</v>
      </c>
      <c r="AY151" s="13">
        <f t="shared" si="463"/>
        <v>43.710000000000008</v>
      </c>
      <c r="AZ151" s="13">
        <f t="shared" si="463"/>
        <v>0</v>
      </c>
      <c r="BA151" s="17">
        <f t="shared" si="463"/>
        <v>43.710000000000008</v>
      </c>
    </row>
    <row r="152" spans="4:53" s="91" customFormat="1" ht="12.95" customHeight="1" x14ac:dyDescent="0.25">
      <c r="D152" s="330"/>
      <c r="E152" s="331"/>
      <c r="F152" s="330"/>
      <c r="G152" s="332"/>
      <c r="H152" s="2">
        <v>3143</v>
      </c>
      <c r="I152" s="170">
        <f t="shared" ref="I152:BA152" si="464">SUMIF($F$12:$F$461,"=3143",I$12:I$461)</f>
        <v>15669368</v>
      </c>
      <c r="J152" s="16">
        <f t="shared" si="464"/>
        <v>11609537</v>
      </c>
      <c r="K152" s="16">
        <f t="shared" si="464"/>
        <v>3924025</v>
      </c>
      <c r="L152" s="16">
        <f t="shared" si="464"/>
        <v>116096</v>
      </c>
      <c r="M152" s="16">
        <f t="shared" si="464"/>
        <v>19710</v>
      </c>
      <c r="N152" s="13">
        <f t="shared" si="464"/>
        <v>24.718699999999998</v>
      </c>
      <c r="O152" s="13">
        <f t="shared" si="464"/>
        <v>23.108699999999995</v>
      </c>
      <c r="P152" s="172">
        <f t="shared" si="464"/>
        <v>1.61</v>
      </c>
      <c r="Q152" s="170">
        <f t="shared" si="464"/>
        <v>-3250</v>
      </c>
      <c r="R152" s="16">
        <f t="shared" si="464"/>
        <v>0</v>
      </c>
      <c r="S152" s="16">
        <f t="shared" si="464"/>
        <v>0</v>
      </c>
      <c r="T152" s="16">
        <f t="shared" si="464"/>
        <v>0</v>
      </c>
      <c r="U152" s="16">
        <f t="shared" si="464"/>
        <v>0</v>
      </c>
      <c r="V152" s="16">
        <f t="shared" si="464"/>
        <v>-3250</v>
      </c>
      <c r="W152" s="16">
        <f t="shared" si="464"/>
        <v>3250</v>
      </c>
      <c r="X152" s="16">
        <f t="shared" si="464"/>
        <v>0</v>
      </c>
      <c r="Y152" s="16">
        <f t="shared" si="464"/>
        <v>60000</v>
      </c>
      <c r="Z152" s="16">
        <f t="shared" si="464"/>
        <v>63250</v>
      </c>
      <c r="AA152" s="16">
        <f t="shared" si="464"/>
        <v>60000</v>
      </c>
      <c r="AB152" s="16">
        <f t="shared" si="464"/>
        <v>0</v>
      </c>
      <c r="AC152" s="16">
        <f t="shared" si="464"/>
        <v>-33</v>
      </c>
      <c r="AD152" s="16">
        <f t="shared" si="464"/>
        <v>0</v>
      </c>
      <c r="AE152" s="16">
        <f t="shared" si="464"/>
        <v>0</v>
      </c>
      <c r="AF152" s="16">
        <f t="shared" si="464"/>
        <v>0</v>
      </c>
      <c r="AG152" s="16">
        <f t="shared" si="464"/>
        <v>59967</v>
      </c>
      <c r="AH152" s="13">
        <f t="shared" si="464"/>
        <v>0</v>
      </c>
      <c r="AI152" s="13">
        <f t="shared" si="464"/>
        <v>0</v>
      </c>
      <c r="AJ152" s="13">
        <f t="shared" si="464"/>
        <v>0</v>
      </c>
      <c r="AK152" s="13">
        <f t="shared" si="464"/>
        <v>0</v>
      </c>
      <c r="AL152" s="13">
        <f t="shared" si="464"/>
        <v>0</v>
      </c>
      <c r="AM152" s="13">
        <f t="shared" si="464"/>
        <v>0</v>
      </c>
      <c r="AN152" s="13">
        <f t="shared" si="464"/>
        <v>0</v>
      </c>
      <c r="AO152" s="13">
        <f t="shared" si="464"/>
        <v>0</v>
      </c>
      <c r="AP152" s="13">
        <f t="shared" si="464"/>
        <v>0</v>
      </c>
      <c r="AQ152" s="13">
        <f t="shared" si="464"/>
        <v>0</v>
      </c>
      <c r="AR152" s="172">
        <f t="shared" si="464"/>
        <v>0</v>
      </c>
      <c r="AS152" s="170">
        <f t="shared" si="464"/>
        <v>15729335</v>
      </c>
      <c r="AT152" s="16">
        <f t="shared" si="464"/>
        <v>11606287</v>
      </c>
      <c r="AU152" s="16">
        <f t="shared" si="464"/>
        <v>63250</v>
      </c>
      <c r="AV152" s="16">
        <f t="shared" si="464"/>
        <v>3924025</v>
      </c>
      <c r="AW152" s="16">
        <f t="shared" si="464"/>
        <v>116063</v>
      </c>
      <c r="AX152" s="16">
        <f t="shared" si="464"/>
        <v>19710</v>
      </c>
      <c r="AY152" s="13">
        <f t="shared" si="464"/>
        <v>24.718699999999998</v>
      </c>
      <c r="AZ152" s="13">
        <f t="shared" si="464"/>
        <v>23.108699999999995</v>
      </c>
      <c r="BA152" s="17">
        <f t="shared" si="464"/>
        <v>1.61</v>
      </c>
    </row>
    <row r="153" spans="4:53" s="91" customFormat="1" ht="12.95" customHeight="1" x14ac:dyDescent="0.25">
      <c r="D153" s="330"/>
      <c r="E153" s="331"/>
      <c r="F153" s="330"/>
      <c r="G153" s="332"/>
      <c r="H153" s="2">
        <v>3231</v>
      </c>
      <c r="I153" s="170">
        <f t="shared" ref="I153:BA153" si="465">SUMIF($F$12:$F$461,"=3231",I$12:I$461)</f>
        <v>21454687</v>
      </c>
      <c r="J153" s="16">
        <f t="shared" si="465"/>
        <v>15882343</v>
      </c>
      <c r="K153" s="16">
        <f t="shared" si="465"/>
        <v>5368232</v>
      </c>
      <c r="L153" s="16">
        <f t="shared" si="465"/>
        <v>158824</v>
      </c>
      <c r="M153" s="16">
        <f t="shared" si="465"/>
        <v>45288</v>
      </c>
      <c r="N153" s="13">
        <f t="shared" si="465"/>
        <v>28.0031</v>
      </c>
      <c r="O153" s="13">
        <f t="shared" si="465"/>
        <v>25.3307</v>
      </c>
      <c r="P153" s="172">
        <f t="shared" si="465"/>
        <v>2.6724000000000001</v>
      </c>
      <c r="Q153" s="170">
        <f t="shared" si="465"/>
        <v>0</v>
      </c>
      <c r="R153" s="16">
        <f t="shared" si="465"/>
        <v>0</v>
      </c>
      <c r="S153" s="16">
        <f t="shared" si="465"/>
        <v>0</v>
      </c>
      <c r="T153" s="16">
        <f t="shared" si="465"/>
        <v>0</v>
      </c>
      <c r="U153" s="16">
        <f t="shared" si="465"/>
        <v>0</v>
      </c>
      <c r="V153" s="16">
        <f t="shared" si="465"/>
        <v>0</v>
      </c>
      <c r="W153" s="16">
        <f t="shared" si="465"/>
        <v>0</v>
      </c>
      <c r="X153" s="16">
        <f t="shared" si="465"/>
        <v>0</v>
      </c>
      <c r="Y153" s="16">
        <f t="shared" si="465"/>
        <v>0</v>
      </c>
      <c r="Z153" s="16">
        <f t="shared" si="465"/>
        <v>0</v>
      </c>
      <c r="AA153" s="16">
        <f t="shared" si="465"/>
        <v>0</v>
      </c>
      <c r="AB153" s="16">
        <f t="shared" si="465"/>
        <v>0</v>
      </c>
      <c r="AC153" s="16">
        <f t="shared" si="465"/>
        <v>0</v>
      </c>
      <c r="AD153" s="16">
        <f t="shared" si="465"/>
        <v>0</v>
      </c>
      <c r="AE153" s="16">
        <f t="shared" si="465"/>
        <v>0</v>
      </c>
      <c r="AF153" s="16">
        <f t="shared" si="465"/>
        <v>0</v>
      </c>
      <c r="AG153" s="16">
        <f t="shared" si="465"/>
        <v>0</v>
      </c>
      <c r="AH153" s="13">
        <f t="shared" si="465"/>
        <v>0</v>
      </c>
      <c r="AI153" s="13">
        <f t="shared" si="465"/>
        <v>0</v>
      </c>
      <c r="AJ153" s="13">
        <f t="shared" si="465"/>
        <v>0</v>
      </c>
      <c r="AK153" s="13">
        <f t="shared" si="465"/>
        <v>0</v>
      </c>
      <c r="AL153" s="13">
        <f t="shared" si="465"/>
        <v>0</v>
      </c>
      <c r="AM153" s="13">
        <f t="shared" si="465"/>
        <v>0</v>
      </c>
      <c r="AN153" s="13">
        <f t="shared" si="465"/>
        <v>0</v>
      </c>
      <c r="AO153" s="13">
        <f t="shared" si="465"/>
        <v>0</v>
      </c>
      <c r="AP153" s="13">
        <f t="shared" si="465"/>
        <v>0</v>
      </c>
      <c r="AQ153" s="13">
        <f t="shared" si="465"/>
        <v>0</v>
      </c>
      <c r="AR153" s="172">
        <f t="shared" si="465"/>
        <v>0</v>
      </c>
      <c r="AS153" s="170">
        <f t="shared" si="465"/>
        <v>21454687</v>
      </c>
      <c r="AT153" s="16">
        <f t="shared" si="465"/>
        <v>15882343</v>
      </c>
      <c r="AU153" s="16">
        <f t="shared" si="465"/>
        <v>0</v>
      </c>
      <c r="AV153" s="16">
        <f t="shared" si="465"/>
        <v>5368232</v>
      </c>
      <c r="AW153" s="16">
        <f t="shared" si="465"/>
        <v>158824</v>
      </c>
      <c r="AX153" s="16">
        <f t="shared" si="465"/>
        <v>45288</v>
      </c>
      <c r="AY153" s="13">
        <f t="shared" si="465"/>
        <v>28.0031</v>
      </c>
      <c r="AZ153" s="13">
        <f t="shared" si="465"/>
        <v>25.3307</v>
      </c>
      <c r="BA153" s="17">
        <f t="shared" si="465"/>
        <v>2.6724000000000001</v>
      </c>
    </row>
    <row r="154" spans="4:53" s="91" customFormat="1" ht="15.75" thickBot="1" x14ac:dyDescent="0.3">
      <c r="D154" s="330"/>
      <c r="E154" s="331"/>
      <c r="F154" s="330"/>
      <c r="G154" s="332"/>
      <c r="H154" s="154">
        <v>3233</v>
      </c>
      <c r="I154" s="173">
        <f t="shared" ref="I154:BA154" si="466">SUMIF($F$12:$F$461,"=3233",I$12:I$461)</f>
        <v>2180157</v>
      </c>
      <c r="J154" s="174">
        <f t="shared" si="466"/>
        <v>1615837</v>
      </c>
      <c r="K154" s="174">
        <f t="shared" si="466"/>
        <v>546153</v>
      </c>
      <c r="L154" s="174">
        <f t="shared" si="466"/>
        <v>16158</v>
      </c>
      <c r="M154" s="174">
        <f t="shared" si="466"/>
        <v>2009</v>
      </c>
      <c r="N154" s="175">
        <f t="shared" si="466"/>
        <v>3.5199999999999996</v>
      </c>
      <c r="O154" s="175">
        <f t="shared" si="466"/>
        <v>2.5099999999999998</v>
      </c>
      <c r="P154" s="178">
        <f t="shared" si="466"/>
        <v>1.01</v>
      </c>
      <c r="Q154" s="173">
        <f t="shared" si="466"/>
        <v>0</v>
      </c>
      <c r="R154" s="174">
        <f t="shared" si="466"/>
        <v>0</v>
      </c>
      <c r="S154" s="174">
        <f t="shared" si="466"/>
        <v>0</v>
      </c>
      <c r="T154" s="174">
        <f t="shared" si="466"/>
        <v>0</v>
      </c>
      <c r="U154" s="174">
        <f t="shared" si="466"/>
        <v>0</v>
      </c>
      <c r="V154" s="174">
        <f t="shared" si="466"/>
        <v>0</v>
      </c>
      <c r="W154" s="174">
        <f t="shared" si="466"/>
        <v>0</v>
      </c>
      <c r="X154" s="174">
        <f t="shared" si="466"/>
        <v>0</v>
      </c>
      <c r="Y154" s="174">
        <f t="shared" si="466"/>
        <v>0</v>
      </c>
      <c r="Z154" s="174">
        <f t="shared" si="466"/>
        <v>0</v>
      </c>
      <c r="AA154" s="174">
        <f t="shared" si="466"/>
        <v>0</v>
      </c>
      <c r="AB154" s="174">
        <f t="shared" si="466"/>
        <v>0</v>
      </c>
      <c r="AC154" s="174">
        <f t="shared" si="466"/>
        <v>0</v>
      </c>
      <c r="AD154" s="174">
        <f t="shared" si="466"/>
        <v>0</v>
      </c>
      <c r="AE154" s="174">
        <f t="shared" si="466"/>
        <v>0</v>
      </c>
      <c r="AF154" s="174">
        <f t="shared" si="466"/>
        <v>0</v>
      </c>
      <c r="AG154" s="174">
        <f t="shared" si="466"/>
        <v>0</v>
      </c>
      <c r="AH154" s="175">
        <f t="shared" si="466"/>
        <v>0</v>
      </c>
      <c r="AI154" s="175">
        <f t="shared" si="466"/>
        <v>0</v>
      </c>
      <c r="AJ154" s="175">
        <f t="shared" si="466"/>
        <v>0</v>
      </c>
      <c r="AK154" s="175">
        <f t="shared" si="466"/>
        <v>0</v>
      </c>
      <c r="AL154" s="175">
        <f t="shared" si="466"/>
        <v>0</v>
      </c>
      <c r="AM154" s="175">
        <f t="shared" si="466"/>
        <v>0</v>
      </c>
      <c r="AN154" s="175">
        <f t="shared" si="466"/>
        <v>0</v>
      </c>
      <c r="AO154" s="175">
        <f t="shared" si="466"/>
        <v>0</v>
      </c>
      <c r="AP154" s="175">
        <f t="shared" si="466"/>
        <v>0</v>
      </c>
      <c r="AQ154" s="175">
        <f t="shared" si="466"/>
        <v>0</v>
      </c>
      <c r="AR154" s="178">
        <f t="shared" si="466"/>
        <v>0</v>
      </c>
      <c r="AS154" s="173">
        <f t="shared" si="466"/>
        <v>2180157</v>
      </c>
      <c r="AT154" s="174">
        <f t="shared" si="466"/>
        <v>1615837</v>
      </c>
      <c r="AU154" s="174">
        <f t="shared" si="466"/>
        <v>0</v>
      </c>
      <c r="AV154" s="174">
        <f t="shared" si="466"/>
        <v>546153</v>
      </c>
      <c r="AW154" s="174">
        <f t="shared" si="466"/>
        <v>16158</v>
      </c>
      <c r="AX154" s="174">
        <f t="shared" si="466"/>
        <v>2009</v>
      </c>
      <c r="AY154" s="175">
        <f t="shared" si="466"/>
        <v>3.5199999999999996</v>
      </c>
      <c r="AZ154" s="175">
        <f t="shared" si="466"/>
        <v>2.5099999999999998</v>
      </c>
      <c r="BA154" s="176">
        <f t="shared" si="466"/>
        <v>1.01</v>
      </c>
    </row>
    <row r="159" spans="4:53" x14ac:dyDescent="0.25">
      <c r="N159" s="333"/>
    </row>
  </sheetData>
  <mergeCells count="26">
    <mergeCell ref="AS6:BA7"/>
    <mergeCell ref="Q7:V9"/>
    <mergeCell ref="W7:Z9"/>
    <mergeCell ref="AA7:AA10"/>
    <mergeCell ref="AB7:AB10"/>
    <mergeCell ref="AD7:AF9"/>
    <mergeCell ref="AS8:AS10"/>
    <mergeCell ref="AT8:AX9"/>
    <mergeCell ref="AY8:AY10"/>
    <mergeCell ref="AZ8:BA9"/>
    <mergeCell ref="AK8:AL8"/>
    <mergeCell ref="AM8:AM9"/>
    <mergeCell ref="A3:E3"/>
    <mergeCell ref="AC7:AC10"/>
    <mergeCell ref="I6:P7"/>
    <mergeCell ref="I8:I10"/>
    <mergeCell ref="J8:M9"/>
    <mergeCell ref="N8:N10"/>
    <mergeCell ref="O8:P9"/>
    <mergeCell ref="Q6:AR6"/>
    <mergeCell ref="AH7:AR7"/>
    <mergeCell ref="AN8:AO9"/>
    <mergeCell ref="AP8:AR9"/>
    <mergeCell ref="AG7:AG10"/>
    <mergeCell ref="AH8:AI9"/>
    <mergeCell ref="AJ8:AJ9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11"/>
  <dimension ref="A1:BA219"/>
  <sheetViews>
    <sheetView workbookViewId="0">
      <pane xSplit="8" ySplit="11" topLeftCell="AI195" activePane="bottomRight" state="frozen"/>
      <selection activeCell="AQ11" sqref="AQ11"/>
      <selection pane="topRight" activeCell="AQ11" sqref="AQ11"/>
      <selection pane="bottomLeft" activeCell="AQ11" sqref="AQ11"/>
      <selection pane="bottomRight" activeCell="AS6" sqref="AS6:BA7"/>
    </sheetView>
  </sheetViews>
  <sheetFormatPr defaultColWidth="9.140625" defaultRowHeight="15" x14ac:dyDescent="0.25"/>
  <cols>
    <col min="1" max="1" width="5" style="420" customWidth="1"/>
    <col min="2" max="2" width="8" style="328" customWidth="1"/>
    <col min="3" max="3" width="10.28515625" style="328" customWidth="1"/>
    <col min="4" max="4" width="9.42578125" style="328" customWidth="1"/>
    <col min="5" max="5" width="26.28515625" style="269" customWidth="1"/>
    <col min="6" max="6" width="4.42578125" style="269" bestFit="1" customWidth="1"/>
    <col min="7" max="7" width="10.28515625" style="269" customWidth="1"/>
    <col min="8" max="8" width="8" style="421" bestFit="1" customWidth="1"/>
    <col min="9" max="9" width="10.85546875" style="333" customWidth="1"/>
    <col min="10" max="10" width="11.85546875" style="333" customWidth="1"/>
    <col min="11" max="11" width="13.42578125" style="333" customWidth="1"/>
    <col min="12" max="13" width="10.42578125" style="333" customWidth="1"/>
    <col min="14" max="14" width="11.28515625" style="334" customWidth="1"/>
    <col min="15" max="16" width="10.42578125" style="334" customWidth="1"/>
    <col min="17" max="17" width="9.140625" style="333" customWidth="1"/>
    <col min="18" max="18" width="9.7109375" style="333" customWidth="1"/>
    <col min="19" max="20" width="9.140625" style="333" customWidth="1"/>
    <col min="21" max="21" width="9.7109375" style="333" customWidth="1"/>
    <col min="22" max="26" width="9.140625" style="333" customWidth="1"/>
    <col min="27" max="27" width="10.28515625" style="333" customWidth="1"/>
    <col min="28" max="33" width="9.140625" style="333" customWidth="1"/>
    <col min="34" max="44" width="9.140625" style="334" customWidth="1"/>
    <col min="45" max="45" width="12" style="333" customWidth="1"/>
    <col min="46" max="46" width="11.28515625" style="333" customWidth="1"/>
    <col min="47" max="47" width="9.140625" style="333" customWidth="1"/>
    <col min="48" max="48" width="12.5703125" style="333" customWidth="1"/>
    <col min="49" max="50" width="9.140625" style="333" customWidth="1"/>
    <col min="51" max="51" width="11.42578125" style="334" customWidth="1"/>
    <col min="52" max="53" width="9.28515625" style="334" customWidth="1"/>
    <col min="54" max="16384" width="9.140625" style="269"/>
  </cols>
  <sheetData>
    <row r="1" spans="1:53" ht="12" customHeight="1" x14ac:dyDescent="0.25">
      <c r="A1" s="422" t="s">
        <v>2</v>
      </c>
      <c r="B1" s="424"/>
      <c r="C1" s="267"/>
      <c r="D1" s="424"/>
      <c r="E1" s="424"/>
      <c r="F1" s="268"/>
      <c r="G1" s="268"/>
      <c r="H1" s="268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89"/>
      <c r="AK1" s="89"/>
      <c r="AL1" s="89"/>
      <c r="AM1" s="89"/>
      <c r="AN1" s="89"/>
      <c r="AO1" s="89"/>
      <c r="AP1" s="89"/>
      <c r="AQ1" s="89"/>
      <c r="AR1" s="89"/>
      <c r="AS1" s="89"/>
    </row>
    <row r="2" spans="1:53" ht="12" customHeight="1" x14ac:dyDescent="0.25">
      <c r="A2" s="387" t="s">
        <v>3</v>
      </c>
      <c r="B2" s="424"/>
      <c r="C2" s="267"/>
      <c r="D2" s="424"/>
      <c r="E2" s="424"/>
      <c r="F2" s="268"/>
      <c r="G2" s="268"/>
      <c r="H2" s="268"/>
    </row>
    <row r="3" spans="1:53" ht="12" customHeight="1" x14ac:dyDescent="0.25">
      <c r="A3" s="839" t="s">
        <v>4</v>
      </c>
      <c r="B3" s="839"/>
      <c r="C3" s="839"/>
      <c r="D3" s="839"/>
      <c r="E3" s="839"/>
      <c r="F3" s="268"/>
      <c r="G3" s="268"/>
      <c r="H3" s="268"/>
      <c r="R3" s="631"/>
      <c r="S3" s="631"/>
      <c r="T3" s="631"/>
    </row>
    <row r="4" spans="1:53" ht="12" customHeight="1" x14ac:dyDescent="0.25">
      <c r="A4" s="388"/>
      <c r="B4" s="424"/>
      <c r="C4" s="424"/>
      <c r="D4" s="424"/>
      <c r="E4" s="424"/>
      <c r="F4" s="268"/>
      <c r="G4" s="268"/>
      <c r="H4" s="268"/>
      <c r="R4" s="712" t="s">
        <v>839</v>
      </c>
      <c r="S4" s="630"/>
      <c r="T4" s="630"/>
    </row>
    <row r="5" spans="1:53" ht="23.25" customHeight="1" thickBot="1" x14ac:dyDescent="0.3">
      <c r="A5" s="185" t="s">
        <v>827</v>
      </c>
      <c r="B5" s="52"/>
      <c r="C5" s="52"/>
      <c r="D5" s="52"/>
      <c r="E5" s="53"/>
      <c r="F5" s="271"/>
      <c r="G5" s="271"/>
      <c r="H5" s="271"/>
      <c r="R5" s="713" t="s">
        <v>840</v>
      </c>
      <c r="S5" s="630"/>
      <c r="T5" s="630"/>
    </row>
    <row r="6" spans="1:53" x14ac:dyDescent="0.25">
      <c r="A6" s="766" t="s">
        <v>859</v>
      </c>
      <c r="B6" s="767"/>
      <c r="C6" s="768"/>
      <c r="D6" s="768"/>
      <c r="E6" s="767"/>
      <c r="F6" s="767"/>
      <c r="G6" s="53"/>
      <c r="H6" s="268"/>
      <c r="I6" s="803" t="s">
        <v>828</v>
      </c>
      <c r="J6" s="804"/>
      <c r="K6" s="804"/>
      <c r="L6" s="804"/>
      <c r="M6" s="804"/>
      <c r="N6" s="804"/>
      <c r="O6" s="804"/>
      <c r="P6" s="805"/>
      <c r="Q6" s="809" t="s">
        <v>841</v>
      </c>
      <c r="R6" s="809"/>
      <c r="S6" s="809"/>
      <c r="T6" s="809"/>
      <c r="U6" s="809"/>
      <c r="V6" s="809"/>
      <c r="W6" s="809"/>
      <c r="X6" s="809"/>
      <c r="Y6" s="809"/>
      <c r="Z6" s="809"/>
      <c r="AA6" s="809"/>
      <c r="AB6" s="809"/>
      <c r="AC6" s="809"/>
      <c r="AD6" s="809"/>
      <c r="AE6" s="809"/>
      <c r="AF6" s="809"/>
      <c r="AG6" s="809"/>
      <c r="AH6" s="809"/>
      <c r="AI6" s="809"/>
      <c r="AJ6" s="809"/>
      <c r="AK6" s="809"/>
      <c r="AL6" s="809"/>
      <c r="AM6" s="809"/>
      <c r="AN6" s="809"/>
      <c r="AO6" s="809"/>
      <c r="AP6" s="809"/>
      <c r="AQ6" s="809"/>
      <c r="AR6" s="810"/>
      <c r="AS6" s="811" t="s">
        <v>865</v>
      </c>
      <c r="AT6" s="812"/>
      <c r="AU6" s="812"/>
      <c r="AV6" s="812"/>
      <c r="AW6" s="812"/>
      <c r="AX6" s="812"/>
      <c r="AY6" s="812"/>
      <c r="AZ6" s="812"/>
      <c r="BA6" s="813"/>
    </row>
    <row r="7" spans="1:53" ht="16.5" customHeight="1" thickBot="1" x14ac:dyDescent="0.3">
      <c r="A7" s="388"/>
      <c r="B7" s="272"/>
      <c r="C7" s="91"/>
      <c r="D7" s="273"/>
      <c r="E7" s="272"/>
      <c r="F7" s="268"/>
      <c r="G7" s="268"/>
      <c r="H7" s="268"/>
      <c r="I7" s="806"/>
      <c r="J7" s="807"/>
      <c r="K7" s="807"/>
      <c r="L7" s="807"/>
      <c r="M7" s="807"/>
      <c r="N7" s="807"/>
      <c r="O7" s="807"/>
      <c r="P7" s="808"/>
      <c r="Q7" s="817" t="s">
        <v>282</v>
      </c>
      <c r="R7" s="817"/>
      <c r="S7" s="817"/>
      <c r="T7" s="817"/>
      <c r="U7" s="817"/>
      <c r="V7" s="818"/>
      <c r="W7" s="823" t="s">
        <v>283</v>
      </c>
      <c r="X7" s="817"/>
      <c r="Y7" s="817"/>
      <c r="Z7" s="818"/>
      <c r="AA7" s="785" t="s">
        <v>284</v>
      </c>
      <c r="AB7" s="785" t="s">
        <v>5</v>
      </c>
      <c r="AC7" s="785" t="s">
        <v>285</v>
      </c>
      <c r="AD7" s="826"/>
      <c r="AE7" s="826"/>
      <c r="AF7" s="827"/>
      <c r="AG7" s="785" t="s">
        <v>305</v>
      </c>
      <c r="AH7" s="832" t="s">
        <v>850</v>
      </c>
      <c r="AI7" s="833"/>
      <c r="AJ7" s="833"/>
      <c r="AK7" s="833"/>
      <c r="AL7" s="833"/>
      <c r="AM7" s="833"/>
      <c r="AN7" s="833"/>
      <c r="AO7" s="833"/>
      <c r="AP7" s="833"/>
      <c r="AQ7" s="833"/>
      <c r="AR7" s="834"/>
      <c r="AS7" s="814"/>
      <c r="AT7" s="815"/>
      <c r="AU7" s="815"/>
      <c r="AV7" s="815"/>
      <c r="AW7" s="815"/>
      <c r="AX7" s="815"/>
      <c r="AY7" s="815"/>
      <c r="AZ7" s="815"/>
      <c r="BA7" s="816"/>
    </row>
    <row r="8" spans="1:53" ht="15" customHeight="1" x14ac:dyDescent="0.25">
      <c r="A8" s="389"/>
      <c r="B8" s="275"/>
      <c r="C8" s="275"/>
      <c r="D8" s="275"/>
      <c r="E8" s="275"/>
      <c r="F8" s="275"/>
      <c r="G8" s="275"/>
      <c r="H8" s="275"/>
      <c r="I8" s="794" t="s">
        <v>6</v>
      </c>
      <c r="J8" s="797" t="s">
        <v>802</v>
      </c>
      <c r="K8" s="798"/>
      <c r="L8" s="798"/>
      <c r="M8" s="799"/>
      <c r="N8" s="773" t="s">
        <v>849</v>
      </c>
      <c r="O8" s="776" t="s">
        <v>803</v>
      </c>
      <c r="P8" s="777"/>
      <c r="Q8" s="819"/>
      <c r="R8" s="819"/>
      <c r="S8" s="819"/>
      <c r="T8" s="819"/>
      <c r="U8" s="819"/>
      <c r="V8" s="820"/>
      <c r="W8" s="824"/>
      <c r="X8" s="819"/>
      <c r="Y8" s="819"/>
      <c r="Z8" s="820"/>
      <c r="AA8" s="786"/>
      <c r="AB8" s="786"/>
      <c r="AC8" s="786"/>
      <c r="AD8" s="828"/>
      <c r="AE8" s="828"/>
      <c r="AF8" s="829"/>
      <c r="AG8" s="786"/>
      <c r="AH8" s="780" t="s">
        <v>286</v>
      </c>
      <c r="AI8" s="781"/>
      <c r="AJ8" s="837" t="s">
        <v>287</v>
      </c>
      <c r="AK8" s="835" t="s">
        <v>842</v>
      </c>
      <c r="AL8" s="836"/>
      <c r="AM8" s="837" t="s">
        <v>820</v>
      </c>
      <c r="AN8" s="780" t="s">
        <v>288</v>
      </c>
      <c r="AO8" s="781"/>
      <c r="AP8" s="788" t="s">
        <v>851</v>
      </c>
      <c r="AQ8" s="789"/>
      <c r="AR8" s="790"/>
      <c r="AS8" s="794" t="s">
        <v>6</v>
      </c>
      <c r="AT8" s="797" t="s">
        <v>802</v>
      </c>
      <c r="AU8" s="798"/>
      <c r="AV8" s="798"/>
      <c r="AW8" s="798"/>
      <c r="AX8" s="799"/>
      <c r="AY8" s="773" t="s">
        <v>849</v>
      </c>
      <c r="AZ8" s="776" t="s">
        <v>804</v>
      </c>
      <c r="BA8" s="777"/>
    </row>
    <row r="9" spans="1:53" ht="15.75" customHeight="1" thickBot="1" x14ac:dyDescent="0.3">
      <c r="A9" s="387" t="s">
        <v>800</v>
      </c>
      <c r="B9" s="91"/>
      <c r="C9" s="91"/>
      <c r="D9" s="277"/>
      <c r="E9" s="91"/>
      <c r="F9" s="278"/>
      <c r="G9" s="279"/>
      <c r="H9" s="279"/>
      <c r="I9" s="795"/>
      <c r="J9" s="800"/>
      <c r="K9" s="801"/>
      <c r="L9" s="801"/>
      <c r="M9" s="802"/>
      <c r="N9" s="774"/>
      <c r="O9" s="778"/>
      <c r="P9" s="779"/>
      <c r="Q9" s="821"/>
      <c r="R9" s="821"/>
      <c r="S9" s="821"/>
      <c r="T9" s="821"/>
      <c r="U9" s="821"/>
      <c r="V9" s="822"/>
      <c r="W9" s="825"/>
      <c r="X9" s="821"/>
      <c r="Y9" s="821"/>
      <c r="Z9" s="822"/>
      <c r="AA9" s="786"/>
      <c r="AB9" s="786"/>
      <c r="AC9" s="786"/>
      <c r="AD9" s="830"/>
      <c r="AE9" s="830"/>
      <c r="AF9" s="831"/>
      <c r="AG9" s="786"/>
      <c r="AH9" s="782"/>
      <c r="AI9" s="783"/>
      <c r="AJ9" s="838"/>
      <c r="AK9" s="634" t="s">
        <v>817</v>
      </c>
      <c r="AL9" s="634" t="s">
        <v>818</v>
      </c>
      <c r="AM9" s="838"/>
      <c r="AN9" s="782"/>
      <c r="AO9" s="783"/>
      <c r="AP9" s="791"/>
      <c r="AQ9" s="792"/>
      <c r="AR9" s="793"/>
      <c r="AS9" s="795"/>
      <c r="AT9" s="800"/>
      <c r="AU9" s="801"/>
      <c r="AV9" s="801"/>
      <c r="AW9" s="801"/>
      <c r="AX9" s="802"/>
      <c r="AY9" s="774"/>
      <c r="AZ9" s="778"/>
      <c r="BA9" s="779"/>
    </row>
    <row r="10" spans="1:53" ht="34.5" thickBot="1" x14ac:dyDescent="0.3">
      <c r="A10" s="390" t="s">
        <v>776</v>
      </c>
      <c r="B10" s="281" t="s">
        <v>547</v>
      </c>
      <c r="C10" s="281" t="s">
        <v>548</v>
      </c>
      <c r="D10" s="281" t="s">
        <v>264</v>
      </c>
      <c r="E10" s="166" t="s">
        <v>778</v>
      </c>
      <c r="F10" s="281" t="s">
        <v>0</v>
      </c>
      <c r="G10" s="282" t="s">
        <v>265</v>
      </c>
      <c r="H10" s="37" t="s">
        <v>276</v>
      </c>
      <c r="I10" s="796"/>
      <c r="J10" s="439" t="s">
        <v>274</v>
      </c>
      <c r="K10" s="431" t="s">
        <v>5</v>
      </c>
      <c r="L10" s="431" t="s">
        <v>1</v>
      </c>
      <c r="M10" s="431" t="s">
        <v>7</v>
      </c>
      <c r="N10" s="775"/>
      <c r="O10" s="434" t="s">
        <v>280</v>
      </c>
      <c r="P10" s="435" t="s">
        <v>281</v>
      </c>
      <c r="Q10" s="642" t="s">
        <v>289</v>
      </c>
      <c r="R10" s="433" t="s">
        <v>287</v>
      </c>
      <c r="S10" s="433" t="s">
        <v>819</v>
      </c>
      <c r="T10" s="433" t="s">
        <v>820</v>
      </c>
      <c r="U10" s="433" t="s">
        <v>288</v>
      </c>
      <c r="V10" s="433" t="s">
        <v>821</v>
      </c>
      <c r="W10" s="432" t="s">
        <v>290</v>
      </c>
      <c r="X10" s="433" t="s">
        <v>801</v>
      </c>
      <c r="Y10" s="432" t="s">
        <v>291</v>
      </c>
      <c r="Z10" s="433" t="s">
        <v>768</v>
      </c>
      <c r="AA10" s="787"/>
      <c r="AB10" s="787"/>
      <c r="AC10" s="787"/>
      <c r="AD10" s="433" t="s">
        <v>287</v>
      </c>
      <c r="AE10" s="433" t="s">
        <v>292</v>
      </c>
      <c r="AF10" s="433" t="s">
        <v>769</v>
      </c>
      <c r="AG10" s="787"/>
      <c r="AH10" s="436" t="s">
        <v>280</v>
      </c>
      <c r="AI10" s="437" t="s">
        <v>281</v>
      </c>
      <c r="AJ10" s="436" t="s">
        <v>280</v>
      </c>
      <c r="AK10" s="436" t="s">
        <v>280</v>
      </c>
      <c r="AL10" s="437" t="s">
        <v>281</v>
      </c>
      <c r="AM10" s="436" t="s">
        <v>280</v>
      </c>
      <c r="AN10" s="436" t="s">
        <v>280</v>
      </c>
      <c r="AO10" s="437" t="s">
        <v>281</v>
      </c>
      <c r="AP10" s="436" t="s">
        <v>280</v>
      </c>
      <c r="AQ10" s="437" t="s">
        <v>281</v>
      </c>
      <c r="AR10" s="438" t="s">
        <v>301</v>
      </c>
      <c r="AS10" s="796"/>
      <c r="AT10" s="38" t="s">
        <v>274</v>
      </c>
      <c r="AU10" s="439" t="s">
        <v>283</v>
      </c>
      <c r="AV10" s="431" t="s">
        <v>5</v>
      </c>
      <c r="AW10" s="431" t="s">
        <v>1</v>
      </c>
      <c r="AX10" s="431" t="s">
        <v>7</v>
      </c>
      <c r="AY10" s="775"/>
      <c r="AZ10" s="434" t="s">
        <v>280</v>
      </c>
      <c r="BA10" s="435" t="s">
        <v>281</v>
      </c>
    </row>
    <row r="11" spans="1:53" s="286" customFormat="1" ht="12" thickBot="1" x14ac:dyDescent="0.25">
      <c r="A11" s="391" t="s">
        <v>549</v>
      </c>
      <c r="B11" s="284" t="s">
        <v>550</v>
      </c>
      <c r="C11" s="284" t="s">
        <v>266</v>
      </c>
      <c r="D11" s="284" t="s">
        <v>267</v>
      </c>
      <c r="E11" s="284" t="s">
        <v>551</v>
      </c>
      <c r="F11" s="284" t="s">
        <v>0</v>
      </c>
      <c r="G11" s="284" t="s">
        <v>552</v>
      </c>
      <c r="H11" s="285" t="s">
        <v>772</v>
      </c>
      <c r="I11" s="139" t="s">
        <v>268</v>
      </c>
      <c r="J11" s="140" t="s">
        <v>269</v>
      </c>
      <c r="K11" s="140" t="s">
        <v>270</v>
      </c>
      <c r="L11" s="140" t="s">
        <v>271</v>
      </c>
      <c r="M11" s="140" t="s">
        <v>272</v>
      </c>
      <c r="N11" s="607" t="s">
        <v>273</v>
      </c>
      <c r="O11" s="193" t="s">
        <v>553</v>
      </c>
      <c r="P11" s="194" t="s">
        <v>554</v>
      </c>
      <c r="Q11" s="139" t="s">
        <v>293</v>
      </c>
      <c r="R11" s="140" t="s">
        <v>293</v>
      </c>
      <c r="S11" s="140" t="s">
        <v>293</v>
      </c>
      <c r="T11" s="140" t="s">
        <v>293</v>
      </c>
      <c r="U11" s="140" t="s">
        <v>293</v>
      </c>
      <c r="V11" s="140" t="s">
        <v>293</v>
      </c>
      <c r="W11" s="140" t="s">
        <v>294</v>
      </c>
      <c r="X11" s="140" t="s">
        <v>294</v>
      </c>
      <c r="Y11" s="140" t="s">
        <v>295</v>
      </c>
      <c r="Z11" s="140" t="s">
        <v>294</v>
      </c>
      <c r="AA11" s="140" t="s">
        <v>296</v>
      </c>
      <c r="AB11" s="140" t="s">
        <v>297</v>
      </c>
      <c r="AC11" s="140" t="s">
        <v>298</v>
      </c>
      <c r="AD11" s="140" t="s">
        <v>300</v>
      </c>
      <c r="AE11" s="140" t="s">
        <v>299</v>
      </c>
      <c r="AF11" s="140" t="s">
        <v>299</v>
      </c>
      <c r="AG11" s="140" t="s">
        <v>306</v>
      </c>
      <c r="AH11" s="193" t="s">
        <v>302</v>
      </c>
      <c r="AI11" s="193" t="s">
        <v>303</v>
      </c>
      <c r="AJ11" s="193" t="s">
        <v>302</v>
      </c>
      <c r="AK11" s="193" t="s">
        <v>302</v>
      </c>
      <c r="AL11" s="193" t="s">
        <v>303</v>
      </c>
      <c r="AM11" s="193" t="s">
        <v>302</v>
      </c>
      <c r="AN11" s="193" t="s">
        <v>302</v>
      </c>
      <c r="AO11" s="193" t="s">
        <v>303</v>
      </c>
      <c r="AP11" s="193" t="s">
        <v>302</v>
      </c>
      <c r="AQ11" s="193" t="s">
        <v>303</v>
      </c>
      <c r="AR11" s="194" t="s">
        <v>304</v>
      </c>
      <c r="AS11" s="629" t="s">
        <v>268</v>
      </c>
      <c r="AT11" s="140" t="s">
        <v>269</v>
      </c>
      <c r="AU11" s="140" t="s">
        <v>275</v>
      </c>
      <c r="AV11" s="140" t="s">
        <v>270</v>
      </c>
      <c r="AW11" s="140" t="s">
        <v>271</v>
      </c>
      <c r="AX11" s="140" t="s">
        <v>272</v>
      </c>
      <c r="AY11" s="193" t="s">
        <v>273</v>
      </c>
      <c r="AZ11" s="193" t="s">
        <v>553</v>
      </c>
      <c r="BA11" s="194" t="s">
        <v>554</v>
      </c>
    </row>
    <row r="12" spans="1:53" x14ac:dyDescent="0.25">
      <c r="A12" s="287">
        <v>1</v>
      </c>
      <c r="B12" s="288">
        <v>5490</v>
      </c>
      <c r="C12" s="288">
        <v>600099474</v>
      </c>
      <c r="D12" s="288">
        <v>71173854</v>
      </c>
      <c r="E12" s="392" t="s">
        <v>470</v>
      </c>
      <c r="F12" s="288">
        <v>3111</v>
      </c>
      <c r="G12" s="393" t="s">
        <v>321</v>
      </c>
      <c r="H12" s="394" t="s">
        <v>277</v>
      </c>
      <c r="I12" s="440">
        <f t="shared" ref="I12:I13" si="0">SUM(J12:M12)</f>
        <v>14511875</v>
      </c>
      <c r="J12" s="441">
        <v>10705931</v>
      </c>
      <c r="K12" s="441">
        <f t="shared" ref="K12:K17" si="1">ROUND(J12*33.8%,0)</f>
        <v>3618605</v>
      </c>
      <c r="L12" s="441">
        <f>ROUND(J12*1%,0)</f>
        <v>107059</v>
      </c>
      <c r="M12" s="441">
        <v>80280</v>
      </c>
      <c r="N12" s="442">
        <f t="shared" ref="N12:N17" si="2">O12+P12</f>
        <v>22.829000000000001</v>
      </c>
      <c r="O12" s="443">
        <v>18.879000000000001</v>
      </c>
      <c r="P12" s="586">
        <v>3.95</v>
      </c>
      <c r="Q12" s="444">
        <f t="shared" ref="Q12:Q17" si="3">W12*-1</f>
        <v>0</v>
      </c>
      <c r="R12" s="445">
        <v>0</v>
      </c>
      <c r="S12" s="675">
        <v>0</v>
      </c>
      <c r="T12" s="445">
        <v>0</v>
      </c>
      <c r="U12" s="445">
        <v>0</v>
      </c>
      <c r="V12" s="445">
        <f t="shared" ref="V12:V17" si="4">SUM(Q12:U12)</f>
        <v>0</v>
      </c>
      <c r="W12" s="445">
        <v>0</v>
      </c>
      <c r="X12" s="445">
        <v>0</v>
      </c>
      <c r="Y12" s="445">
        <v>52902</v>
      </c>
      <c r="Z12" s="445">
        <f t="shared" ref="Z12:Z17" si="5">SUM(W12:Y12)</f>
        <v>52902</v>
      </c>
      <c r="AA12" s="445">
        <f t="shared" ref="AA12:AA17" si="6">V12+Z12</f>
        <v>52902</v>
      </c>
      <c r="AB12" s="147">
        <f t="shared" ref="AB12:AB17" si="7">ROUND((V12+W12+X12)*33.8%,0)</f>
        <v>0</v>
      </c>
      <c r="AC12" s="147">
        <f>ROUND(V12*1%,0)</f>
        <v>0</v>
      </c>
      <c r="AD12" s="445">
        <v>0</v>
      </c>
      <c r="AE12" s="445">
        <v>0</v>
      </c>
      <c r="AF12" s="445">
        <f t="shared" ref="AF12:AF17" si="8">SUM(AD12:AE12)</f>
        <v>0</v>
      </c>
      <c r="AG12" s="445">
        <f t="shared" ref="AG12:AG17" si="9">AA12+AB12+AC12+AF12</f>
        <v>52902</v>
      </c>
      <c r="AH12" s="446">
        <v>0</v>
      </c>
      <c r="AI12" s="446">
        <v>0</v>
      </c>
      <c r="AJ12" s="446">
        <v>0</v>
      </c>
      <c r="AK12" s="446">
        <v>0</v>
      </c>
      <c r="AL12" s="676">
        <v>0</v>
      </c>
      <c r="AM12" s="446">
        <v>0</v>
      </c>
      <c r="AN12" s="446">
        <v>0</v>
      </c>
      <c r="AO12" s="446">
        <v>0</v>
      </c>
      <c r="AP12" s="446">
        <f t="shared" ref="AP12:AP17" si="10">AH12+AJ12+AK12+AM12+AN12</f>
        <v>0</v>
      </c>
      <c r="AQ12" s="446">
        <f t="shared" ref="AQ12:AQ17" si="11">AI12+AL12+AO12</f>
        <v>0</v>
      </c>
      <c r="AR12" s="448">
        <f t="shared" ref="AR12:AR17" si="12">SUM(AP12:AQ12)</f>
        <v>0</v>
      </c>
      <c r="AS12" s="444">
        <f t="shared" ref="AS12:AS17" si="13">I12+AG12</f>
        <v>14564777</v>
      </c>
      <c r="AT12" s="445">
        <f t="shared" ref="AT12:AT17" si="14">J12+V12</f>
        <v>10705931</v>
      </c>
      <c r="AU12" s="445">
        <f>Z12</f>
        <v>52902</v>
      </c>
      <c r="AV12" s="445">
        <f t="shared" ref="AV12:AW17" si="15">K12+AB12</f>
        <v>3618605</v>
      </c>
      <c r="AW12" s="445">
        <f t="shared" si="15"/>
        <v>107059</v>
      </c>
      <c r="AX12" s="445">
        <f t="shared" ref="AX12:AX17" si="16">M12+AF12</f>
        <v>80280</v>
      </c>
      <c r="AY12" s="446">
        <f t="shared" ref="AY12:AY17" si="17">N12+AR12</f>
        <v>22.829000000000001</v>
      </c>
      <c r="AZ12" s="446">
        <f t="shared" ref="AZ12:BA17" si="18">O12+AP12</f>
        <v>18.879000000000001</v>
      </c>
      <c r="BA12" s="448">
        <f t="shared" si="18"/>
        <v>3.95</v>
      </c>
    </row>
    <row r="13" spans="1:53" ht="12" customHeight="1" x14ac:dyDescent="0.25">
      <c r="A13" s="299">
        <v>1</v>
      </c>
      <c r="B13" s="395">
        <v>5490</v>
      </c>
      <c r="C13" s="395">
        <v>600099474</v>
      </c>
      <c r="D13" s="395">
        <v>71173854</v>
      </c>
      <c r="E13" s="396" t="s">
        <v>470</v>
      </c>
      <c r="F13" s="395">
        <v>3111</v>
      </c>
      <c r="G13" s="350" t="s">
        <v>309</v>
      </c>
      <c r="H13" s="304" t="s">
        <v>277</v>
      </c>
      <c r="I13" s="462">
        <f t="shared" si="0"/>
        <v>2739648</v>
      </c>
      <c r="J13" s="457">
        <v>2032380</v>
      </c>
      <c r="K13" s="457">
        <f t="shared" si="1"/>
        <v>686944</v>
      </c>
      <c r="L13" s="457">
        <f>ROUND(J13*1%,0)</f>
        <v>20324</v>
      </c>
      <c r="M13" s="457">
        <v>0</v>
      </c>
      <c r="N13" s="458">
        <f t="shared" si="2"/>
        <v>5</v>
      </c>
      <c r="O13" s="459">
        <v>5</v>
      </c>
      <c r="P13" s="646">
        <v>0</v>
      </c>
      <c r="Q13" s="469">
        <f t="shared" si="3"/>
        <v>0</v>
      </c>
      <c r="R13" s="460">
        <v>0</v>
      </c>
      <c r="S13" s="673">
        <v>0</v>
      </c>
      <c r="T13" s="460">
        <v>0</v>
      </c>
      <c r="U13" s="460">
        <v>0</v>
      </c>
      <c r="V13" s="460">
        <f t="shared" si="4"/>
        <v>0</v>
      </c>
      <c r="W13" s="460">
        <v>0</v>
      </c>
      <c r="X13" s="460">
        <v>0</v>
      </c>
      <c r="Y13" s="460">
        <v>0</v>
      </c>
      <c r="Z13" s="460">
        <f t="shared" si="5"/>
        <v>0</v>
      </c>
      <c r="AA13" s="460">
        <f t="shared" si="6"/>
        <v>0</v>
      </c>
      <c r="AB13" s="69">
        <f t="shared" si="7"/>
        <v>0</v>
      </c>
      <c r="AC13" s="69">
        <f>ROUND(V13*1%,0)</f>
        <v>0</v>
      </c>
      <c r="AD13" s="460">
        <v>0</v>
      </c>
      <c r="AE13" s="460">
        <v>0</v>
      </c>
      <c r="AF13" s="460">
        <f t="shared" si="8"/>
        <v>0</v>
      </c>
      <c r="AG13" s="460">
        <f t="shared" si="9"/>
        <v>0</v>
      </c>
      <c r="AH13" s="461">
        <v>0</v>
      </c>
      <c r="AI13" s="461">
        <v>0</v>
      </c>
      <c r="AJ13" s="461">
        <v>0</v>
      </c>
      <c r="AK13" s="461">
        <v>0</v>
      </c>
      <c r="AL13" s="674">
        <v>0</v>
      </c>
      <c r="AM13" s="461">
        <v>0</v>
      </c>
      <c r="AN13" s="461">
        <v>0</v>
      </c>
      <c r="AO13" s="461">
        <v>0</v>
      </c>
      <c r="AP13" s="461">
        <f t="shared" si="10"/>
        <v>0</v>
      </c>
      <c r="AQ13" s="461">
        <f t="shared" si="11"/>
        <v>0</v>
      </c>
      <c r="AR13" s="463">
        <f t="shared" si="12"/>
        <v>0</v>
      </c>
      <c r="AS13" s="469">
        <f t="shared" si="13"/>
        <v>2739648</v>
      </c>
      <c r="AT13" s="460">
        <f t="shared" si="14"/>
        <v>2032380</v>
      </c>
      <c r="AU13" s="460">
        <f>Z13</f>
        <v>0</v>
      </c>
      <c r="AV13" s="460">
        <f t="shared" si="15"/>
        <v>686944</v>
      </c>
      <c r="AW13" s="460">
        <f t="shared" si="15"/>
        <v>20324</v>
      </c>
      <c r="AX13" s="460">
        <f t="shared" si="16"/>
        <v>0</v>
      </c>
      <c r="AY13" s="461">
        <f t="shared" si="17"/>
        <v>5</v>
      </c>
      <c r="AZ13" s="461">
        <f t="shared" si="18"/>
        <v>5</v>
      </c>
      <c r="BA13" s="463">
        <f t="shared" si="18"/>
        <v>0</v>
      </c>
    </row>
    <row r="14" spans="1:53" ht="12.95" customHeight="1" x14ac:dyDescent="0.25">
      <c r="A14" s="299">
        <v>1</v>
      </c>
      <c r="B14" s="220">
        <v>5490</v>
      </c>
      <c r="C14" s="395">
        <v>600099474</v>
      </c>
      <c r="D14" s="220">
        <v>71173854</v>
      </c>
      <c r="E14" s="397" t="s">
        <v>470</v>
      </c>
      <c r="F14" s="220">
        <v>3114</v>
      </c>
      <c r="G14" s="350" t="s">
        <v>546</v>
      </c>
      <c r="H14" s="304" t="s">
        <v>277</v>
      </c>
      <c r="I14" s="462">
        <f t="shared" ref="I14:I17" si="19">SUM(J14:M14)</f>
        <v>6603552</v>
      </c>
      <c r="J14" s="457">
        <v>4874964</v>
      </c>
      <c r="K14" s="457">
        <f t="shared" si="1"/>
        <v>1647738</v>
      </c>
      <c r="L14" s="457">
        <f t="shared" ref="L14:L17" si="20">ROUND(J14*1%,0)</f>
        <v>48750</v>
      </c>
      <c r="M14" s="457">
        <v>32100</v>
      </c>
      <c r="N14" s="458">
        <f t="shared" si="2"/>
        <v>8.2111999999999998</v>
      </c>
      <c r="O14" s="459">
        <v>5.8182</v>
      </c>
      <c r="P14" s="646">
        <v>2.3929999999999998</v>
      </c>
      <c r="Q14" s="469">
        <f t="shared" si="3"/>
        <v>0</v>
      </c>
      <c r="R14" s="460">
        <v>0</v>
      </c>
      <c r="S14" s="673">
        <v>0</v>
      </c>
      <c r="T14" s="460">
        <v>0</v>
      </c>
      <c r="U14" s="460">
        <v>0</v>
      </c>
      <c r="V14" s="460">
        <f t="shared" si="4"/>
        <v>0</v>
      </c>
      <c r="W14" s="460">
        <v>0</v>
      </c>
      <c r="X14" s="460">
        <v>0</v>
      </c>
      <c r="Y14" s="460">
        <v>0</v>
      </c>
      <c r="Z14" s="460">
        <f t="shared" si="5"/>
        <v>0</v>
      </c>
      <c r="AA14" s="460">
        <f t="shared" si="6"/>
        <v>0</v>
      </c>
      <c r="AB14" s="69">
        <f t="shared" si="7"/>
        <v>0</v>
      </c>
      <c r="AC14" s="69">
        <f t="shared" ref="AC14:AC17" si="21">ROUND(V14*1%,0)</f>
        <v>0</v>
      </c>
      <c r="AD14" s="460">
        <v>0</v>
      </c>
      <c r="AE14" s="460">
        <v>0</v>
      </c>
      <c r="AF14" s="460">
        <f t="shared" si="8"/>
        <v>0</v>
      </c>
      <c r="AG14" s="460">
        <f t="shared" si="9"/>
        <v>0</v>
      </c>
      <c r="AH14" s="461">
        <v>0</v>
      </c>
      <c r="AI14" s="461">
        <v>0</v>
      </c>
      <c r="AJ14" s="461">
        <v>0</v>
      </c>
      <c r="AK14" s="461">
        <v>0</v>
      </c>
      <c r="AL14" s="674">
        <v>0</v>
      </c>
      <c r="AM14" s="461">
        <v>0</v>
      </c>
      <c r="AN14" s="461">
        <v>0</v>
      </c>
      <c r="AO14" s="461">
        <v>0</v>
      </c>
      <c r="AP14" s="461">
        <f t="shared" si="10"/>
        <v>0</v>
      </c>
      <c r="AQ14" s="461">
        <f t="shared" si="11"/>
        <v>0</v>
      </c>
      <c r="AR14" s="463">
        <f t="shared" si="12"/>
        <v>0</v>
      </c>
      <c r="AS14" s="469">
        <f t="shared" si="13"/>
        <v>6603552</v>
      </c>
      <c r="AT14" s="460">
        <f t="shared" si="14"/>
        <v>4874964</v>
      </c>
      <c r="AU14" s="460">
        <f t="shared" ref="AU14:AU17" si="22">Z14</f>
        <v>0</v>
      </c>
      <c r="AV14" s="460">
        <f t="shared" si="15"/>
        <v>1647738</v>
      </c>
      <c r="AW14" s="460">
        <f t="shared" si="15"/>
        <v>48750</v>
      </c>
      <c r="AX14" s="460">
        <f t="shared" si="16"/>
        <v>32100</v>
      </c>
      <c r="AY14" s="461">
        <f t="shared" si="17"/>
        <v>8.2111999999999998</v>
      </c>
      <c r="AZ14" s="461">
        <f t="shared" si="18"/>
        <v>5.8182</v>
      </c>
      <c r="BA14" s="463">
        <f t="shared" si="18"/>
        <v>2.3929999999999998</v>
      </c>
    </row>
    <row r="15" spans="1:53" ht="12.95" customHeight="1" x14ac:dyDescent="0.25">
      <c r="A15" s="299">
        <v>1</v>
      </c>
      <c r="B15" s="395">
        <v>5490</v>
      </c>
      <c r="C15" s="395">
        <v>600099474</v>
      </c>
      <c r="D15" s="395">
        <v>71173854</v>
      </c>
      <c r="E15" s="396" t="s">
        <v>470</v>
      </c>
      <c r="F15" s="220">
        <v>3114</v>
      </c>
      <c r="G15" s="342" t="s">
        <v>308</v>
      </c>
      <c r="H15" s="304" t="s">
        <v>278</v>
      </c>
      <c r="I15" s="462">
        <f t="shared" si="19"/>
        <v>0</v>
      </c>
      <c r="J15" s="457">
        <v>0</v>
      </c>
      <c r="K15" s="457">
        <f t="shared" si="1"/>
        <v>0</v>
      </c>
      <c r="L15" s="457">
        <f t="shared" si="20"/>
        <v>0</v>
      </c>
      <c r="M15" s="457">
        <v>0</v>
      </c>
      <c r="N15" s="458">
        <f t="shared" si="2"/>
        <v>0</v>
      </c>
      <c r="O15" s="459">
        <v>0</v>
      </c>
      <c r="P15" s="646">
        <v>0</v>
      </c>
      <c r="Q15" s="469">
        <f t="shared" si="3"/>
        <v>0</v>
      </c>
      <c r="R15" s="460">
        <v>329243</v>
      </c>
      <c r="S15" s="673">
        <v>0</v>
      </c>
      <c r="T15" s="460">
        <v>0</v>
      </c>
      <c r="U15" s="460">
        <v>0</v>
      </c>
      <c r="V15" s="460">
        <f t="shared" si="4"/>
        <v>329243</v>
      </c>
      <c r="W15" s="460">
        <v>0</v>
      </c>
      <c r="X15" s="460">
        <v>0</v>
      </c>
      <c r="Y15" s="460">
        <v>0</v>
      </c>
      <c r="Z15" s="460">
        <f t="shared" si="5"/>
        <v>0</v>
      </c>
      <c r="AA15" s="460">
        <f t="shared" si="6"/>
        <v>329243</v>
      </c>
      <c r="AB15" s="69">
        <f t="shared" si="7"/>
        <v>111284</v>
      </c>
      <c r="AC15" s="69">
        <f t="shared" si="21"/>
        <v>3292</v>
      </c>
      <c r="AD15" s="460">
        <v>0</v>
      </c>
      <c r="AE15" s="460">
        <v>0</v>
      </c>
      <c r="AF15" s="460">
        <f t="shared" si="8"/>
        <v>0</v>
      </c>
      <c r="AG15" s="460">
        <f t="shared" si="9"/>
        <v>443819</v>
      </c>
      <c r="AH15" s="461">
        <v>0</v>
      </c>
      <c r="AI15" s="461">
        <v>0</v>
      </c>
      <c r="AJ15" s="461">
        <v>0.9</v>
      </c>
      <c r="AK15" s="461">
        <v>0</v>
      </c>
      <c r="AL15" s="674">
        <v>0</v>
      </c>
      <c r="AM15" s="461">
        <v>0</v>
      </c>
      <c r="AN15" s="461">
        <v>0</v>
      </c>
      <c r="AO15" s="461">
        <v>0</v>
      </c>
      <c r="AP15" s="461">
        <f t="shared" si="10"/>
        <v>0.9</v>
      </c>
      <c r="AQ15" s="461">
        <f t="shared" si="11"/>
        <v>0</v>
      </c>
      <c r="AR15" s="463">
        <f t="shared" si="12"/>
        <v>0.9</v>
      </c>
      <c r="AS15" s="469">
        <f t="shared" si="13"/>
        <v>443819</v>
      </c>
      <c r="AT15" s="460">
        <f t="shared" si="14"/>
        <v>329243</v>
      </c>
      <c r="AU15" s="460">
        <f t="shared" si="22"/>
        <v>0</v>
      </c>
      <c r="AV15" s="460">
        <f t="shared" si="15"/>
        <v>111284</v>
      </c>
      <c r="AW15" s="460">
        <f t="shared" si="15"/>
        <v>3292</v>
      </c>
      <c r="AX15" s="460">
        <f t="shared" si="16"/>
        <v>0</v>
      </c>
      <c r="AY15" s="461">
        <f t="shared" si="17"/>
        <v>0.9</v>
      </c>
      <c r="AZ15" s="461">
        <f t="shared" si="18"/>
        <v>0.9</v>
      </c>
      <c r="BA15" s="463">
        <f t="shared" si="18"/>
        <v>0</v>
      </c>
    </row>
    <row r="16" spans="1:53" ht="12.95" customHeight="1" x14ac:dyDescent="0.25">
      <c r="A16" s="299">
        <v>1</v>
      </c>
      <c r="B16" s="220">
        <v>5490</v>
      </c>
      <c r="C16" s="395">
        <v>600099474</v>
      </c>
      <c r="D16" s="220">
        <v>71173854</v>
      </c>
      <c r="E16" s="397" t="s">
        <v>470</v>
      </c>
      <c r="F16" s="220">
        <v>3114</v>
      </c>
      <c r="G16" s="350" t="s">
        <v>309</v>
      </c>
      <c r="H16" s="304" t="s">
        <v>277</v>
      </c>
      <c r="I16" s="462">
        <f t="shared" si="19"/>
        <v>2794731</v>
      </c>
      <c r="J16" s="457">
        <v>2073243</v>
      </c>
      <c r="K16" s="457">
        <f t="shared" si="1"/>
        <v>700756</v>
      </c>
      <c r="L16" s="457">
        <f t="shared" si="20"/>
        <v>20732</v>
      </c>
      <c r="M16" s="457">
        <v>0</v>
      </c>
      <c r="N16" s="458">
        <f t="shared" si="2"/>
        <v>5.25</v>
      </c>
      <c r="O16" s="459">
        <v>5.25</v>
      </c>
      <c r="P16" s="646">
        <v>0</v>
      </c>
      <c r="Q16" s="469">
        <f t="shared" si="3"/>
        <v>0</v>
      </c>
      <c r="R16" s="460">
        <v>0</v>
      </c>
      <c r="S16" s="673">
        <v>0</v>
      </c>
      <c r="T16" s="460">
        <v>0</v>
      </c>
      <c r="U16" s="460">
        <v>0</v>
      </c>
      <c r="V16" s="460">
        <f t="shared" si="4"/>
        <v>0</v>
      </c>
      <c r="W16" s="460">
        <v>0</v>
      </c>
      <c r="X16" s="460">
        <v>0</v>
      </c>
      <c r="Y16" s="460">
        <v>0</v>
      </c>
      <c r="Z16" s="460">
        <f t="shared" si="5"/>
        <v>0</v>
      </c>
      <c r="AA16" s="460">
        <f t="shared" si="6"/>
        <v>0</v>
      </c>
      <c r="AB16" s="69">
        <f t="shared" si="7"/>
        <v>0</v>
      </c>
      <c r="AC16" s="69">
        <f t="shared" si="21"/>
        <v>0</v>
      </c>
      <c r="AD16" s="460">
        <v>0</v>
      </c>
      <c r="AE16" s="460">
        <v>0</v>
      </c>
      <c r="AF16" s="460">
        <f t="shared" si="8"/>
        <v>0</v>
      </c>
      <c r="AG16" s="460">
        <f t="shared" si="9"/>
        <v>0</v>
      </c>
      <c r="AH16" s="461">
        <v>0</v>
      </c>
      <c r="AI16" s="461">
        <v>0</v>
      </c>
      <c r="AJ16" s="461">
        <v>0</v>
      </c>
      <c r="AK16" s="461">
        <v>0</v>
      </c>
      <c r="AL16" s="674">
        <v>0</v>
      </c>
      <c r="AM16" s="461">
        <v>0</v>
      </c>
      <c r="AN16" s="461">
        <v>0</v>
      </c>
      <c r="AO16" s="461">
        <v>0</v>
      </c>
      <c r="AP16" s="461">
        <f t="shared" si="10"/>
        <v>0</v>
      </c>
      <c r="AQ16" s="461">
        <f t="shared" si="11"/>
        <v>0</v>
      </c>
      <c r="AR16" s="463">
        <f t="shared" si="12"/>
        <v>0</v>
      </c>
      <c r="AS16" s="469">
        <f t="shared" si="13"/>
        <v>2794731</v>
      </c>
      <c r="AT16" s="460">
        <f t="shared" si="14"/>
        <v>2073243</v>
      </c>
      <c r="AU16" s="460">
        <f t="shared" si="22"/>
        <v>0</v>
      </c>
      <c r="AV16" s="460">
        <f t="shared" si="15"/>
        <v>700756</v>
      </c>
      <c r="AW16" s="460">
        <f t="shared" si="15"/>
        <v>20732</v>
      </c>
      <c r="AX16" s="460">
        <f t="shared" si="16"/>
        <v>0</v>
      </c>
      <c r="AY16" s="461">
        <f t="shared" si="17"/>
        <v>5.25</v>
      </c>
      <c r="AZ16" s="461">
        <f t="shared" si="18"/>
        <v>5.25</v>
      </c>
      <c r="BA16" s="463">
        <f t="shared" si="18"/>
        <v>0</v>
      </c>
    </row>
    <row r="17" spans="1:53" ht="12.95" customHeight="1" x14ac:dyDescent="0.25">
      <c r="A17" s="299">
        <v>1</v>
      </c>
      <c r="B17" s="395">
        <v>5490</v>
      </c>
      <c r="C17" s="395">
        <v>600099474</v>
      </c>
      <c r="D17" s="395">
        <v>71173854</v>
      </c>
      <c r="E17" s="396" t="s">
        <v>470</v>
      </c>
      <c r="F17" s="395">
        <v>3141</v>
      </c>
      <c r="G17" s="398" t="s">
        <v>311</v>
      </c>
      <c r="H17" s="304" t="s">
        <v>278</v>
      </c>
      <c r="I17" s="462">
        <f t="shared" si="19"/>
        <v>1419059</v>
      </c>
      <c r="J17" s="457">
        <v>1047237</v>
      </c>
      <c r="K17" s="457">
        <f t="shared" si="1"/>
        <v>353966</v>
      </c>
      <c r="L17" s="457">
        <f t="shared" si="20"/>
        <v>10472</v>
      </c>
      <c r="M17" s="457">
        <v>7384</v>
      </c>
      <c r="N17" s="458">
        <f t="shared" si="2"/>
        <v>3.37</v>
      </c>
      <c r="O17" s="459">
        <v>0</v>
      </c>
      <c r="P17" s="646">
        <v>3.37</v>
      </c>
      <c r="Q17" s="469">
        <f t="shared" si="3"/>
        <v>0</v>
      </c>
      <c r="R17" s="460">
        <v>0</v>
      </c>
      <c r="S17" s="673">
        <v>0</v>
      </c>
      <c r="T17" s="460">
        <v>0</v>
      </c>
      <c r="U17" s="460">
        <v>0</v>
      </c>
      <c r="V17" s="460">
        <f t="shared" si="4"/>
        <v>0</v>
      </c>
      <c r="W17" s="460">
        <v>0</v>
      </c>
      <c r="X17" s="460">
        <v>0</v>
      </c>
      <c r="Y17" s="460">
        <v>0</v>
      </c>
      <c r="Z17" s="460">
        <f t="shared" si="5"/>
        <v>0</v>
      </c>
      <c r="AA17" s="460">
        <f t="shared" si="6"/>
        <v>0</v>
      </c>
      <c r="AB17" s="69">
        <f t="shared" si="7"/>
        <v>0</v>
      </c>
      <c r="AC17" s="69">
        <f t="shared" si="21"/>
        <v>0</v>
      </c>
      <c r="AD17" s="460">
        <v>0</v>
      </c>
      <c r="AE17" s="460">
        <v>0</v>
      </c>
      <c r="AF17" s="460">
        <f t="shared" si="8"/>
        <v>0</v>
      </c>
      <c r="AG17" s="460">
        <f t="shared" si="9"/>
        <v>0</v>
      </c>
      <c r="AH17" s="461">
        <v>0</v>
      </c>
      <c r="AI17" s="461">
        <v>0</v>
      </c>
      <c r="AJ17" s="461">
        <v>0</v>
      </c>
      <c r="AK17" s="461">
        <v>0</v>
      </c>
      <c r="AL17" s="674">
        <v>0</v>
      </c>
      <c r="AM17" s="461">
        <v>0</v>
      </c>
      <c r="AN17" s="461">
        <v>0</v>
      </c>
      <c r="AO17" s="461">
        <v>0</v>
      </c>
      <c r="AP17" s="461">
        <f t="shared" si="10"/>
        <v>0</v>
      </c>
      <c r="AQ17" s="461">
        <f t="shared" si="11"/>
        <v>0</v>
      </c>
      <c r="AR17" s="463">
        <f t="shared" si="12"/>
        <v>0</v>
      </c>
      <c r="AS17" s="469">
        <f t="shared" si="13"/>
        <v>1419059</v>
      </c>
      <c r="AT17" s="460">
        <f t="shared" si="14"/>
        <v>1047237</v>
      </c>
      <c r="AU17" s="460">
        <f t="shared" si="22"/>
        <v>0</v>
      </c>
      <c r="AV17" s="460">
        <f t="shared" si="15"/>
        <v>353966</v>
      </c>
      <c r="AW17" s="460">
        <f t="shared" si="15"/>
        <v>10472</v>
      </c>
      <c r="AX17" s="460">
        <f t="shared" si="16"/>
        <v>7384</v>
      </c>
      <c r="AY17" s="461">
        <f t="shared" si="17"/>
        <v>3.37</v>
      </c>
      <c r="AZ17" s="461">
        <f t="shared" si="18"/>
        <v>0</v>
      </c>
      <c r="BA17" s="463">
        <f t="shared" si="18"/>
        <v>3.37</v>
      </c>
    </row>
    <row r="18" spans="1:53" ht="12.95" customHeight="1" x14ac:dyDescent="0.25">
      <c r="A18" s="221">
        <v>1</v>
      </c>
      <c r="B18" s="46">
        <v>5490</v>
      </c>
      <c r="C18" s="46">
        <v>600099474</v>
      </c>
      <c r="D18" s="46">
        <v>71173854</v>
      </c>
      <c r="E18" s="399" t="s">
        <v>471</v>
      </c>
      <c r="F18" s="46"/>
      <c r="G18" s="399"/>
      <c r="H18" s="186"/>
      <c r="I18" s="575">
        <f t="shared" ref="I18:P18" si="23">SUM(I12:I17)</f>
        <v>28068865</v>
      </c>
      <c r="J18" s="571">
        <f t="shared" si="23"/>
        <v>20733755</v>
      </c>
      <c r="K18" s="571">
        <f t="shared" si="23"/>
        <v>7008009</v>
      </c>
      <c r="L18" s="571">
        <f t="shared" si="23"/>
        <v>207337</v>
      </c>
      <c r="M18" s="571">
        <f t="shared" si="23"/>
        <v>119764</v>
      </c>
      <c r="N18" s="572">
        <f t="shared" si="23"/>
        <v>44.660199999999996</v>
      </c>
      <c r="O18" s="572">
        <f t="shared" si="23"/>
        <v>34.947200000000002</v>
      </c>
      <c r="P18" s="400">
        <f t="shared" si="23"/>
        <v>9.713000000000001</v>
      </c>
      <c r="Q18" s="577">
        <f t="shared" ref="Q18:BA18" si="24">SUM(Q12:Q17)</f>
        <v>0</v>
      </c>
      <c r="R18" s="571">
        <f t="shared" si="24"/>
        <v>329243</v>
      </c>
      <c r="S18" s="571">
        <f t="shared" si="24"/>
        <v>0</v>
      </c>
      <c r="T18" s="571">
        <f t="shared" si="24"/>
        <v>0</v>
      </c>
      <c r="U18" s="571">
        <f t="shared" si="24"/>
        <v>0</v>
      </c>
      <c r="V18" s="571">
        <f t="shared" si="24"/>
        <v>329243</v>
      </c>
      <c r="W18" s="571">
        <f t="shared" si="24"/>
        <v>0</v>
      </c>
      <c r="X18" s="571">
        <f t="shared" si="24"/>
        <v>0</v>
      </c>
      <c r="Y18" s="571">
        <f t="shared" si="24"/>
        <v>52902</v>
      </c>
      <c r="Z18" s="571">
        <f t="shared" si="24"/>
        <v>52902</v>
      </c>
      <c r="AA18" s="571">
        <f t="shared" si="24"/>
        <v>382145</v>
      </c>
      <c r="AB18" s="571">
        <f t="shared" si="24"/>
        <v>111284</v>
      </c>
      <c r="AC18" s="571">
        <f t="shared" si="24"/>
        <v>3292</v>
      </c>
      <c r="AD18" s="571">
        <f t="shared" si="24"/>
        <v>0</v>
      </c>
      <c r="AE18" s="571">
        <f t="shared" si="24"/>
        <v>0</v>
      </c>
      <c r="AF18" s="571">
        <f t="shared" si="24"/>
        <v>0</v>
      </c>
      <c r="AG18" s="571">
        <f t="shared" si="24"/>
        <v>496721</v>
      </c>
      <c r="AH18" s="572">
        <f t="shared" si="24"/>
        <v>0</v>
      </c>
      <c r="AI18" s="572">
        <f t="shared" si="24"/>
        <v>0</v>
      </c>
      <c r="AJ18" s="572">
        <f t="shared" si="24"/>
        <v>0.9</v>
      </c>
      <c r="AK18" s="572">
        <f t="shared" si="24"/>
        <v>0</v>
      </c>
      <c r="AL18" s="572">
        <f t="shared" si="24"/>
        <v>0</v>
      </c>
      <c r="AM18" s="572">
        <f t="shared" si="24"/>
        <v>0</v>
      </c>
      <c r="AN18" s="572">
        <f t="shared" si="24"/>
        <v>0</v>
      </c>
      <c r="AO18" s="572">
        <f t="shared" si="24"/>
        <v>0</v>
      </c>
      <c r="AP18" s="572">
        <f t="shared" si="24"/>
        <v>0.9</v>
      </c>
      <c r="AQ18" s="572">
        <f t="shared" si="24"/>
        <v>0</v>
      </c>
      <c r="AR18" s="400">
        <f t="shared" si="24"/>
        <v>0.9</v>
      </c>
      <c r="AS18" s="577">
        <f t="shared" si="24"/>
        <v>28565586</v>
      </c>
      <c r="AT18" s="571">
        <f t="shared" si="24"/>
        <v>21062998</v>
      </c>
      <c r="AU18" s="571">
        <f t="shared" si="24"/>
        <v>52902</v>
      </c>
      <c r="AV18" s="571">
        <f t="shared" si="24"/>
        <v>7119293</v>
      </c>
      <c r="AW18" s="571">
        <f t="shared" si="24"/>
        <v>210629</v>
      </c>
      <c r="AX18" s="571">
        <f t="shared" si="24"/>
        <v>119764</v>
      </c>
      <c r="AY18" s="572">
        <f t="shared" si="24"/>
        <v>45.560199999999995</v>
      </c>
      <c r="AZ18" s="572">
        <f t="shared" si="24"/>
        <v>35.847200000000001</v>
      </c>
      <c r="BA18" s="400">
        <f t="shared" si="24"/>
        <v>9.713000000000001</v>
      </c>
    </row>
    <row r="19" spans="1:53" ht="12.95" customHeight="1" x14ac:dyDescent="0.25">
      <c r="A19" s="299">
        <v>2</v>
      </c>
      <c r="B19" s="401">
        <v>5460</v>
      </c>
      <c r="C19" s="401">
        <v>600098621</v>
      </c>
      <c r="D19" s="401">
        <v>72743549</v>
      </c>
      <c r="E19" s="219" t="s">
        <v>472</v>
      </c>
      <c r="F19" s="401">
        <v>3111</v>
      </c>
      <c r="G19" s="398" t="s">
        <v>321</v>
      </c>
      <c r="H19" s="402" t="s">
        <v>277</v>
      </c>
      <c r="I19" s="462">
        <f t="shared" ref="I19:I21" si="25">SUM(J19:M19)</f>
        <v>6569801</v>
      </c>
      <c r="J19" s="457">
        <v>4851781</v>
      </c>
      <c r="K19" s="457">
        <f t="shared" ref="K19:K21" si="26">ROUND(J19*33.8%,0)</f>
        <v>1639902</v>
      </c>
      <c r="L19" s="457">
        <f t="shared" ref="L19:L21" si="27">ROUND(J19*1%,0)</f>
        <v>48518</v>
      </c>
      <c r="M19" s="457">
        <v>29600</v>
      </c>
      <c r="N19" s="458">
        <f t="shared" ref="N19:N21" si="28">O19+P19</f>
        <v>10.24</v>
      </c>
      <c r="O19" s="459">
        <v>8</v>
      </c>
      <c r="P19" s="646">
        <v>2.2400000000000002</v>
      </c>
      <c r="Q19" s="469">
        <f t="shared" ref="Q19:Q21" si="29">W19*-1</f>
        <v>-16250</v>
      </c>
      <c r="R19" s="460">
        <v>0</v>
      </c>
      <c r="S19" s="673">
        <v>0</v>
      </c>
      <c r="T19" s="460">
        <v>0</v>
      </c>
      <c r="U19" s="460">
        <v>0</v>
      </c>
      <c r="V19" s="460">
        <f>SUM(Q19:U19)</f>
        <v>-16250</v>
      </c>
      <c r="W19" s="460">
        <v>16250</v>
      </c>
      <c r="X19" s="460">
        <v>0</v>
      </c>
      <c r="Y19" s="460">
        <v>0</v>
      </c>
      <c r="Z19" s="460">
        <f t="shared" ref="Z19:Z21" si="30">SUM(W19:Y19)</f>
        <v>16250</v>
      </c>
      <c r="AA19" s="460">
        <f t="shared" ref="AA19:AA21" si="31">V19+Z19</f>
        <v>0</v>
      </c>
      <c r="AB19" s="69">
        <f t="shared" ref="AB19:AB21" si="32">ROUND((V19+W19+X19)*33.8%,0)</f>
        <v>0</v>
      </c>
      <c r="AC19" s="69">
        <f t="shared" ref="AC19:AC21" si="33">ROUND(V19*1%,0)</f>
        <v>-163</v>
      </c>
      <c r="AD19" s="460">
        <v>0</v>
      </c>
      <c r="AE19" s="460">
        <v>0</v>
      </c>
      <c r="AF19" s="460">
        <f t="shared" ref="AF19:AF21" si="34">SUM(AD19:AE19)</f>
        <v>0</v>
      </c>
      <c r="AG19" s="460">
        <f t="shared" ref="AG19:AG21" si="35">AA19+AB19+AC19+AF19</f>
        <v>-163</v>
      </c>
      <c r="AH19" s="461">
        <v>0</v>
      </c>
      <c r="AI19" s="461">
        <v>-0.04</v>
      </c>
      <c r="AJ19" s="461">
        <v>0</v>
      </c>
      <c r="AK19" s="461">
        <v>0</v>
      </c>
      <c r="AL19" s="674">
        <v>0</v>
      </c>
      <c r="AM19" s="461">
        <v>0</v>
      </c>
      <c r="AN19" s="461">
        <v>0</v>
      </c>
      <c r="AO19" s="461">
        <v>0</v>
      </c>
      <c r="AP19" s="461">
        <f>AH19+AJ19+AK19+AM19+AN19</f>
        <v>0</v>
      </c>
      <c r="AQ19" s="461">
        <f>AI19+AL19+AO19</f>
        <v>-0.04</v>
      </c>
      <c r="AR19" s="463">
        <f t="shared" ref="AR19:AR21" si="36">SUM(AP19:AQ19)</f>
        <v>-0.04</v>
      </c>
      <c r="AS19" s="469">
        <f>I19+AG19</f>
        <v>6569638</v>
      </c>
      <c r="AT19" s="460">
        <f>J19+V19</f>
        <v>4835531</v>
      </c>
      <c r="AU19" s="460">
        <f t="shared" ref="AU19:AU21" si="37">Z19</f>
        <v>16250</v>
      </c>
      <c r="AV19" s="460">
        <f t="shared" ref="AV19:AW21" si="38">K19+AB19</f>
        <v>1639902</v>
      </c>
      <c r="AW19" s="460">
        <f t="shared" si="38"/>
        <v>48355</v>
      </c>
      <c r="AX19" s="460">
        <f>M19+AF19</f>
        <v>29600</v>
      </c>
      <c r="AY19" s="461">
        <f>N19+AR19</f>
        <v>10.200000000000001</v>
      </c>
      <c r="AZ19" s="461">
        <f t="shared" ref="AZ19:BA21" si="39">O19+AP19</f>
        <v>8</v>
      </c>
      <c r="BA19" s="463">
        <f t="shared" si="39"/>
        <v>2.2000000000000002</v>
      </c>
    </row>
    <row r="20" spans="1:53" ht="12.95" customHeight="1" x14ac:dyDescent="0.25">
      <c r="A20" s="299">
        <v>2</v>
      </c>
      <c r="B20" s="220">
        <v>5460</v>
      </c>
      <c r="C20" s="220">
        <v>600098621</v>
      </c>
      <c r="D20" s="220">
        <v>72743549</v>
      </c>
      <c r="E20" s="397" t="s">
        <v>472</v>
      </c>
      <c r="F20" s="401">
        <v>3111</v>
      </c>
      <c r="G20" s="342" t="s">
        <v>308</v>
      </c>
      <c r="H20" s="304" t="s">
        <v>278</v>
      </c>
      <c r="I20" s="462">
        <f t="shared" si="25"/>
        <v>0</v>
      </c>
      <c r="J20" s="457">
        <v>0</v>
      </c>
      <c r="K20" s="457">
        <f t="shared" si="26"/>
        <v>0</v>
      </c>
      <c r="L20" s="457">
        <f t="shared" si="27"/>
        <v>0</v>
      </c>
      <c r="M20" s="457">
        <v>0</v>
      </c>
      <c r="N20" s="458">
        <f t="shared" si="28"/>
        <v>0</v>
      </c>
      <c r="O20" s="459">
        <v>0</v>
      </c>
      <c r="P20" s="646">
        <v>0</v>
      </c>
      <c r="Q20" s="469">
        <f t="shared" si="29"/>
        <v>0</v>
      </c>
      <c r="R20" s="460">
        <v>346447</v>
      </c>
      <c r="S20" s="673">
        <v>0</v>
      </c>
      <c r="T20" s="460">
        <v>0</v>
      </c>
      <c r="U20" s="460">
        <v>0</v>
      </c>
      <c r="V20" s="460">
        <f>SUM(Q20:U20)</f>
        <v>346447</v>
      </c>
      <c r="W20" s="460">
        <v>0</v>
      </c>
      <c r="X20" s="460">
        <v>0</v>
      </c>
      <c r="Y20" s="460">
        <v>0</v>
      </c>
      <c r="Z20" s="460">
        <f t="shared" si="30"/>
        <v>0</v>
      </c>
      <c r="AA20" s="460">
        <f t="shared" si="31"/>
        <v>346447</v>
      </c>
      <c r="AB20" s="69">
        <f t="shared" si="32"/>
        <v>117099</v>
      </c>
      <c r="AC20" s="69">
        <f t="shared" si="33"/>
        <v>3464</v>
      </c>
      <c r="AD20" s="460">
        <v>0</v>
      </c>
      <c r="AE20" s="460">
        <v>0</v>
      </c>
      <c r="AF20" s="460">
        <f t="shared" si="34"/>
        <v>0</v>
      </c>
      <c r="AG20" s="460">
        <f t="shared" si="35"/>
        <v>467010</v>
      </c>
      <c r="AH20" s="461">
        <v>0</v>
      </c>
      <c r="AI20" s="461">
        <v>0</v>
      </c>
      <c r="AJ20" s="461">
        <v>1</v>
      </c>
      <c r="AK20" s="461">
        <v>0</v>
      </c>
      <c r="AL20" s="674">
        <v>0</v>
      </c>
      <c r="AM20" s="461">
        <v>0</v>
      </c>
      <c r="AN20" s="461">
        <v>0</v>
      </c>
      <c r="AO20" s="461">
        <v>0</v>
      </c>
      <c r="AP20" s="461">
        <f>AH20+AJ20+AK20+AM20+AN20</f>
        <v>1</v>
      </c>
      <c r="AQ20" s="461">
        <f>AI20+AL20+AO20</f>
        <v>0</v>
      </c>
      <c r="AR20" s="463">
        <f t="shared" si="36"/>
        <v>1</v>
      </c>
      <c r="AS20" s="469">
        <f>I20+AG20</f>
        <v>467010</v>
      </c>
      <c r="AT20" s="460">
        <f>J20+V20</f>
        <v>346447</v>
      </c>
      <c r="AU20" s="460">
        <f t="shared" si="37"/>
        <v>0</v>
      </c>
      <c r="AV20" s="460">
        <f t="shared" si="38"/>
        <v>117099</v>
      </c>
      <c r="AW20" s="460">
        <f t="shared" si="38"/>
        <v>3464</v>
      </c>
      <c r="AX20" s="460">
        <f>M20+AF20</f>
        <v>0</v>
      </c>
      <c r="AY20" s="461">
        <f>N20+AR20</f>
        <v>1</v>
      </c>
      <c r="AZ20" s="461">
        <f t="shared" si="39"/>
        <v>1</v>
      </c>
      <c r="BA20" s="463">
        <f t="shared" si="39"/>
        <v>0</v>
      </c>
    </row>
    <row r="21" spans="1:53" ht="12.95" customHeight="1" x14ac:dyDescent="0.25">
      <c r="A21" s="299">
        <v>2</v>
      </c>
      <c r="B21" s="220">
        <v>5460</v>
      </c>
      <c r="C21" s="220">
        <v>600098621</v>
      </c>
      <c r="D21" s="220">
        <v>72743549</v>
      </c>
      <c r="E21" s="397" t="s">
        <v>472</v>
      </c>
      <c r="F21" s="220">
        <v>3141</v>
      </c>
      <c r="G21" s="398" t="s">
        <v>311</v>
      </c>
      <c r="H21" s="304" t="s">
        <v>278</v>
      </c>
      <c r="I21" s="462">
        <f t="shared" si="25"/>
        <v>846602</v>
      </c>
      <c r="J21" s="457">
        <v>625188</v>
      </c>
      <c r="K21" s="457">
        <f t="shared" si="26"/>
        <v>211314</v>
      </c>
      <c r="L21" s="457">
        <f t="shared" si="27"/>
        <v>6252</v>
      </c>
      <c r="M21" s="457">
        <v>3848</v>
      </c>
      <c r="N21" s="458">
        <f t="shared" si="28"/>
        <v>2.0099999999999998</v>
      </c>
      <c r="O21" s="459">
        <v>0</v>
      </c>
      <c r="P21" s="646">
        <v>2.0099999999999998</v>
      </c>
      <c r="Q21" s="469">
        <f t="shared" si="29"/>
        <v>-6500</v>
      </c>
      <c r="R21" s="460">
        <v>0</v>
      </c>
      <c r="S21" s="673">
        <v>0</v>
      </c>
      <c r="T21" s="460">
        <v>0</v>
      </c>
      <c r="U21" s="460">
        <v>0</v>
      </c>
      <c r="V21" s="460">
        <f>SUM(Q21:U21)</f>
        <v>-6500</v>
      </c>
      <c r="W21" s="460">
        <v>6500</v>
      </c>
      <c r="X21" s="460">
        <v>0</v>
      </c>
      <c r="Y21" s="460">
        <v>0</v>
      </c>
      <c r="Z21" s="460">
        <f t="shared" si="30"/>
        <v>6500</v>
      </c>
      <c r="AA21" s="460">
        <f t="shared" si="31"/>
        <v>0</v>
      </c>
      <c r="AB21" s="69">
        <f t="shared" si="32"/>
        <v>0</v>
      </c>
      <c r="AC21" s="69">
        <f t="shared" si="33"/>
        <v>-65</v>
      </c>
      <c r="AD21" s="460">
        <v>0</v>
      </c>
      <c r="AE21" s="460">
        <v>0</v>
      </c>
      <c r="AF21" s="460">
        <f t="shared" si="34"/>
        <v>0</v>
      </c>
      <c r="AG21" s="460">
        <f t="shared" si="35"/>
        <v>-65</v>
      </c>
      <c r="AH21" s="461">
        <v>0</v>
      </c>
      <c r="AI21" s="461">
        <v>0</v>
      </c>
      <c r="AJ21" s="461">
        <v>0</v>
      </c>
      <c r="AK21" s="461">
        <v>0</v>
      </c>
      <c r="AL21" s="674">
        <v>0</v>
      </c>
      <c r="AM21" s="461">
        <v>0</v>
      </c>
      <c r="AN21" s="461">
        <v>0</v>
      </c>
      <c r="AO21" s="461">
        <v>0</v>
      </c>
      <c r="AP21" s="461">
        <f>AH21+AJ21+AK21+AM21+AN21</f>
        <v>0</v>
      </c>
      <c r="AQ21" s="461">
        <f>AI21+AL21+AO21</f>
        <v>0</v>
      </c>
      <c r="AR21" s="463">
        <f t="shared" si="36"/>
        <v>0</v>
      </c>
      <c r="AS21" s="469">
        <f>I21+AG21</f>
        <v>846537</v>
      </c>
      <c r="AT21" s="460">
        <f>J21+V21</f>
        <v>618688</v>
      </c>
      <c r="AU21" s="460">
        <f t="shared" si="37"/>
        <v>6500</v>
      </c>
      <c r="AV21" s="460">
        <f t="shared" si="38"/>
        <v>211314</v>
      </c>
      <c r="AW21" s="460">
        <f t="shared" si="38"/>
        <v>6187</v>
      </c>
      <c r="AX21" s="460">
        <f>M21+AF21</f>
        <v>3848</v>
      </c>
      <c r="AY21" s="461">
        <f>N21+AR21</f>
        <v>2.0099999999999998</v>
      </c>
      <c r="AZ21" s="461">
        <f t="shared" si="39"/>
        <v>0</v>
      </c>
      <c r="BA21" s="463">
        <f t="shared" si="39"/>
        <v>2.0099999999999998</v>
      </c>
    </row>
    <row r="22" spans="1:53" ht="12.95" customHeight="1" x14ac:dyDescent="0.25">
      <c r="A22" s="221">
        <v>2</v>
      </c>
      <c r="B22" s="46">
        <v>5460</v>
      </c>
      <c r="C22" s="46">
        <v>600098621</v>
      </c>
      <c r="D22" s="46">
        <v>72743549</v>
      </c>
      <c r="E22" s="399" t="s">
        <v>473</v>
      </c>
      <c r="F22" s="46"/>
      <c r="G22" s="399"/>
      <c r="H22" s="186"/>
      <c r="I22" s="536">
        <f t="shared" ref="I22:P22" si="40">SUM(I19:I21)</f>
        <v>7416403</v>
      </c>
      <c r="J22" s="532">
        <f t="shared" si="40"/>
        <v>5476969</v>
      </c>
      <c r="K22" s="532">
        <f t="shared" si="40"/>
        <v>1851216</v>
      </c>
      <c r="L22" s="532">
        <f t="shared" si="40"/>
        <v>54770</v>
      </c>
      <c r="M22" s="532">
        <f t="shared" si="40"/>
        <v>33448</v>
      </c>
      <c r="N22" s="533">
        <f t="shared" si="40"/>
        <v>12.25</v>
      </c>
      <c r="O22" s="533">
        <f t="shared" si="40"/>
        <v>8</v>
      </c>
      <c r="P22" s="298">
        <f t="shared" si="40"/>
        <v>4.25</v>
      </c>
      <c r="Q22" s="538">
        <f t="shared" ref="Q22:BA22" si="41">SUM(Q19:Q21)</f>
        <v>-22750</v>
      </c>
      <c r="R22" s="532">
        <f t="shared" si="41"/>
        <v>346447</v>
      </c>
      <c r="S22" s="532">
        <f t="shared" si="41"/>
        <v>0</v>
      </c>
      <c r="T22" s="532">
        <f t="shared" si="41"/>
        <v>0</v>
      </c>
      <c r="U22" s="532">
        <f t="shared" si="41"/>
        <v>0</v>
      </c>
      <c r="V22" s="532">
        <f t="shared" si="41"/>
        <v>323697</v>
      </c>
      <c r="W22" s="532">
        <f t="shared" si="41"/>
        <v>22750</v>
      </c>
      <c r="X22" s="532">
        <f t="shared" si="41"/>
        <v>0</v>
      </c>
      <c r="Y22" s="532">
        <f t="shared" si="41"/>
        <v>0</v>
      </c>
      <c r="Z22" s="532">
        <f t="shared" si="41"/>
        <v>22750</v>
      </c>
      <c r="AA22" s="532">
        <f t="shared" si="41"/>
        <v>346447</v>
      </c>
      <c r="AB22" s="532">
        <f t="shared" si="41"/>
        <v>117099</v>
      </c>
      <c r="AC22" s="532">
        <f t="shared" si="41"/>
        <v>3236</v>
      </c>
      <c r="AD22" s="532">
        <f t="shared" si="41"/>
        <v>0</v>
      </c>
      <c r="AE22" s="532">
        <f t="shared" si="41"/>
        <v>0</v>
      </c>
      <c r="AF22" s="532">
        <f t="shared" si="41"/>
        <v>0</v>
      </c>
      <c r="AG22" s="532">
        <f t="shared" si="41"/>
        <v>466782</v>
      </c>
      <c r="AH22" s="533">
        <f t="shared" si="41"/>
        <v>0</v>
      </c>
      <c r="AI22" s="533">
        <f t="shared" si="41"/>
        <v>-0.04</v>
      </c>
      <c r="AJ22" s="533">
        <f t="shared" si="41"/>
        <v>1</v>
      </c>
      <c r="AK22" s="533">
        <f t="shared" si="41"/>
        <v>0</v>
      </c>
      <c r="AL22" s="533">
        <f t="shared" si="41"/>
        <v>0</v>
      </c>
      <c r="AM22" s="533">
        <f t="shared" si="41"/>
        <v>0</v>
      </c>
      <c r="AN22" s="533">
        <f t="shared" si="41"/>
        <v>0</v>
      </c>
      <c r="AO22" s="533">
        <f t="shared" si="41"/>
        <v>0</v>
      </c>
      <c r="AP22" s="533">
        <f t="shared" si="41"/>
        <v>1</v>
      </c>
      <c r="AQ22" s="533">
        <f t="shared" si="41"/>
        <v>-0.04</v>
      </c>
      <c r="AR22" s="298">
        <f t="shared" si="41"/>
        <v>0.96</v>
      </c>
      <c r="AS22" s="538">
        <f t="shared" si="41"/>
        <v>7883185</v>
      </c>
      <c r="AT22" s="532">
        <f t="shared" si="41"/>
        <v>5800666</v>
      </c>
      <c r="AU22" s="532">
        <f t="shared" si="41"/>
        <v>22750</v>
      </c>
      <c r="AV22" s="532">
        <f t="shared" si="41"/>
        <v>1968315</v>
      </c>
      <c r="AW22" s="532">
        <f t="shared" si="41"/>
        <v>58006</v>
      </c>
      <c r="AX22" s="532">
        <f t="shared" si="41"/>
        <v>33448</v>
      </c>
      <c r="AY22" s="533">
        <f t="shared" si="41"/>
        <v>13.21</v>
      </c>
      <c r="AZ22" s="533">
        <f t="shared" si="41"/>
        <v>9</v>
      </c>
      <c r="BA22" s="298">
        <f t="shared" si="41"/>
        <v>4.21</v>
      </c>
    </row>
    <row r="23" spans="1:53" ht="12.95" customHeight="1" x14ac:dyDescent="0.25">
      <c r="A23" s="299">
        <v>3</v>
      </c>
      <c r="B23" s="401">
        <v>5462</v>
      </c>
      <c r="C23" s="401">
        <v>600098851</v>
      </c>
      <c r="D23" s="401">
        <v>72743620</v>
      </c>
      <c r="E23" s="219" t="s">
        <v>474</v>
      </c>
      <c r="F23" s="401">
        <v>3111</v>
      </c>
      <c r="G23" s="398" t="s">
        <v>321</v>
      </c>
      <c r="H23" s="304" t="s">
        <v>277</v>
      </c>
      <c r="I23" s="462">
        <f t="shared" ref="I23:I25" si="42">SUM(J23:M23)</f>
        <v>4871626</v>
      </c>
      <c r="J23" s="457">
        <v>3588818</v>
      </c>
      <c r="K23" s="457">
        <f t="shared" ref="K23:K25" si="43">ROUND(J23*33.8%,0)</f>
        <v>1213020</v>
      </c>
      <c r="L23" s="457">
        <f t="shared" ref="L23:L25" si="44">ROUND(J23*1%,0)</f>
        <v>35888</v>
      </c>
      <c r="M23" s="457">
        <v>33900</v>
      </c>
      <c r="N23" s="458">
        <f t="shared" ref="N23:N25" si="45">O23+P23</f>
        <v>7.68</v>
      </c>
      <c r="O23" s="459">
        <v>6</v>
      </c>
      <c r="P23" s="646">
        <v>1.6800000000000002</v>
      </c>
      <c r="Q23" s="469">
        <f t="shared" ref="Q23:Q25" si="46">W23*-1</f>
        <v>0</v>
      </c>
      <c r="R23" s="460">
        <v>0</v>
      </c>
      <c r="S23" s="673">
        <v>0</v>
      </c>
      <c r="T23" s="460">
        <v>0</v>
      </c>
      <c r="U23" s="460">
        <v>0</v>
      </c>
      <c r="V23" s="460">
        <f>SUM(Q23:U23)</f>
        <v>0</v>
      </c>
      <c r="W23" s="460">
        <v>0</v>
      </c>
      <c r="X23" s="460">
        <v>0</v>
      </c>
      <c r="Y23" s="460">
        <v>0</v>
      </c>
      <c r="Z23" s="460">
        <f t="shared" ref="Z23:Z25" si="47">SUM(W23:Y23)</f>
        <v>0</v>
      </c>
      <c r="AA23" s="460">
        <f t="shared" ref="AA23:AA25" si="48">V23+Z23</f>
        <v>0</v>
      </c>
      <c r="AB23" s="69">
        <f t="shared" ref="AB23:AB25" si="49">ROUND((V23+W23+X23)*33.8%,0)</f>
        <v>0</v>
      </c>
      <c r="AC23" s="69">
        <f t="shared" ref="AC23:AC25" si="50">ROUND(V23*1%,0)</f>
        <v>0</v>
      </c>
      <c r="AD23" s="460">
        <v>0</v>
      </c>
      <c r="AE23" s="460">
        <v>0</v>
      </c>
      <c r="AF23" s="460">
        <f t="shared" ref="AF23:AF25" si="51">SUM(AD23:AE23)</f>
        <v>0</v>
      </c>
      <c r="AG23" s="460">
        <f t="shared" ref="AG23:AG25" si="52">AA23+AB23+AC23+AF23</f>
        <v>0</v>
      </c>
      <c r="AH23" s="461">
        <v>0</v>
      </c>
      <c r="AI23" s="461">
        <v>0</v>
      </c>
      <c r="AJ23" s="461">
        <v>0</v>
      </c>
      <c r="AK23" s="461">
        <v>0</v>
      </c>
      <c r="AL23" s="674">
        <v>0</v>
      </c>
      <c r="AM23" s="461">
        <v>0</v>
      </c>
      <c r="AN23" s="461">
        <v>0</v>
      </c>
      <c r="AO23" s="461">
        <v>0</v>
      </c>
      <c r="AP23" s="461">
        <f>AH23+AJ23+AK23+AM23+AN23</f>
        <v>0</v>
      </c>
      <c r="AQ23" s="461">
        <f>AI23+AL23+AO23</f>
        <v>0</v>
      </c>
      <c r="AR23" s="463">
        <f t="shared" ref="AR23:AR25" si="53">SUM(AP23:AQ23)</f>
        <v>0</v>
      </c>
      <c r="AS23" s="469">
        <f>I23+AG23</f>
        <v>4871626</v>
      </c>
      <c r="AT23" s="460">
        <f>J23+V23</f>
        <v>3588818</v>
      </c>
      <c r="AU23" s="460">
        <f t="shared" ref="AU23:AU25" si="54">Z23</f>
        <v>0</v>
      </c>
      <c r="AV23" s="460">
        <f t="shared" ref="AV23:AW25" si="55">K23+AB23</f>
        <v>1213020</v>
      </c>
      <c r="AW23" s="460">
        <f t="shared" si="55"/>
        <v>35888</v>
      </c>
      <c r="AX23" s="460">
        <f>M23+AF23</f>
        <v>33900</v>
      </c>
      <c r="AY23" s="461">
        <f>N23+AR23</f>
        <v>7.68</v>
      </c>
      <c r="AZ23" s="461">
        <f t="shared" ref="AZ23:BA25" si="56">O23+AP23</f>
        <v>6</v>
      </c>
      <c r="BA23" s="463">
        <f t="shared" si="56"/>
        <v>1.6800000000000002</v>
      </c>
    </row>
    <row r="24" spans="1:53" ht="12.95" customHeight="1" x14ac:dyDescent="0.25">
      <c r="A24" s="299">
        <v>3</v>
      </c>
      <c r="B24" s="401">
        <v>5462</v>
      </c>
      <c r="C24" s="401">
        <v>600098851</v>
      </c>
      <c r="D24" s="401">
        <v>72743620</v>
      </c>
      <c r="E24" s="219" t="s">
        <v>474</v>
      </c>
      <c r="F24" s="401">
        <v>3111</v>
      </c>
      <c r="G24" s="398" t="s">
        <v>308</v>
      </c>
      <c r="H24" s="304" t="s">
        <v>278</v>
      </c>
      <c r="I24" s="462">
        <f t="shared" si="42"/>
        <v>0</v>
      </c>
      <c r="J24" s="457">
        <v>0</v>
      </c>
      <c r="K24" s="457">
        <f t="shared" si="43"/>
        <v>0</v>
      </c>
      <c r="L24" s="457">
        <f t="shared" si="44"/>
        <v>0</v>
      </c>
      <c r="M24" s="457">
        <v>0</v>
      </c>
      <c r="N24" s="458">
        <f t="shared" si="45"/>
        <v>0</v>
      </c>
      <c r="O24" s="459">
        <v>0</v>
      </c>
      <c r="P24" s="646">
        <v>0</v>
      </c>
      <c r="Q24" s="469">
        <f t="shared" si="46"/>
        <v>0</v>
      </c>
      <c r="R24" s="460">
        <v>0</v>
      </c>
      <c r="S24" s="673">
        <v>0</v>
      </c>
      <c r="T24" s="460">
        <v>0</v>
      </c>
      <c r="U24" s="460">
        <v>0</v>
      </c>
      <c r="V24" s="460">
        <f>SUM(Q24:U24)</f>
        <v>0</v>
      </c>
      <c r="W24" s="460">
        <v>0</v>
      </c>
      <c r="X24" s="460">
        <v>0</v>
      </c>
      <c r="Y24" s="460">
        <v>0</v>
      </c>
      <c r="Z24" s="460">
        <f t="shared" si="47"/>
        <v>0</v>
      </c>
      <c r="AA24" s="460">
        <f t="shared" si="48"/>
        <v>0</v>
      </c>
      <c r="AB24" s="69">
        <f t="shared" si="49"/>
        <v>0</v>
      </c>
      <c r="AC24" s="69">
        <f t="shared" si="50"/>
        <v>0</v>
      </c>
      <c r="AD24" s="460">
        <v>0</v>
      </c>
      <c r="AE24" s="460">
        <v>0</v>
      </c>
      <c r="AF24" s="460">
        <f t="shared" si="51"/>
        <v>0</v>
      </c>
      <c r="AG24" s="460">
        <f t="shared" si="52"/>
        <v>0</v>
      </c>
      <c r="AH24" s="461">
        <v>0</v>
      </c>
      <c r="AI24" s="461">
        <v>0</v>
      </c>
      <c r="AJ24" s="461">
        <v>0</v>
      </c>
      <c r="AK24" s="461">
        <v>0</v>
      </c>
      <c r="AL24" s="674">
        <v>0</v>
      </c>
      <c r="AM24" s="461">
        <v>0</v>
      </c>
      <c r="AN24" s="461">
        <v>0</v>
      </c>
      <c r="AO24" s="461">
        <v>0</v>
      </c>
      <c r="AP24" s="461">
        <f>AH24+AJ24+AK24+AM24+AN24</f>
        <v>0</v>
      </c>
      <c r="AQ24" s="461">
        <f>AI24+AL24+AO24</f>
        <v>0</v>
      </c>
      <c r="AR24" s="463">
        <f t="shared" si="53"/>
        <v>0</v>
      </c>
      <c r="AS24" s="469">
        <f>I24+AG24</f>
        <v>0</v>
      </c>
      <c r="AT24" s="460">
        <f>J24+V24</f>
        <v>0</v>
      </c>
      <c r="AU24" s="460">
        <f t="shared" si="54"/>
        <v>0</v>
      </c>
      <c r="AV24" s="460">
        <f t="shared" si="55"/>
        <v>0</v>
      </c>
      <c r="AW24" s="460">
        <f t="shared" si="55"/>
        <v>0</v>
      </c>
      <c r="AX24" s="460">
        <f>M24+AF24</f>
        <v>0</v>
      </c>
      <c r="AY24" s="461">
        <f>N24+AR24</f>
        <v>0</v>
      </c>
      <c r="AZ24" s="461">
        <f t="shared" si="56"/>
        <v>0</v>
      </c>
      <c r="BA24" s="463">
        <f t="shared" si="56"/>
        <v>0</v>
      </c>
    </row>
    <row r="25" spans="1:53" ht="12.95" customHeight="1" x14ac:dyDescent="0.25">
      <c r="A25" s="299">
        <v>3</v>
      </c>
      <c r="B25" s="401">
        <v>5462</v>
      </c>
      <c r="C25" s="401">
        <v>600098851</v>
      </c>
      <c r="D25" s="401">
        <v>72743620</v>
      </c>
      <c r="E25" s="219" t="s">
        <v>474</v>
      </c>
      <c r="F25" s="401">
        <v>3141</v>
      </c>
      <c r="G25" s="398" t="s">
        <v>311</v>
      </c>
      <c r="H25" s="304" t="s">
        <v>278</v>
      </c>
      <c r="I25" s="462">
        <f t="shared" si="42"/>
        <v>658218</v>
      </c>
      <c r="J25" s="457">
        <v>486325</v>
      </c>
      <c r="K25" s="457">
        <f t="shared" si="43"/>
        <v>164378</v>
      </c>
      <c r="L25" s="457">
        <f t="shared" si="44"/>
        <v>4863</v>
      </c>
      <c r="M25" s="457">
        <v>2652</v>
      </c>
      <c r="N25" s="458">
        <f t="shared" si="45"/>
        <v>1.56</v>
      </c>
      <c r="O25" s="459">
        <v>0</v>
      </c>
      <c r="P25" s="646">
        <v>1.56</v>
      </c>
      <c r="Q25" s="469">
        <f t="shared" si="46"/>
        <v>0</v>
      </c>
      <c r="R25" s="460">
        <v>0</v>
      </c>
      <c r="S25" s="673">
        <v>0</v>
      </c>
      <c r="T25" s="460">
        <v>0</v>
      </c>
      <c r="U25" s="460">
        <v>0</v>
      </c>
      <c r="V25" s="460">
        <f>SUM(Q25:U25)</f>
        <v>0</v>
      </c>
      <c r="W25" s="460">
        <v>0</v>
      </c>
      <c r="X25" s="460">
        <v>0</v>
      </c>
      <c r="Y25" s="460">
        <v>0</v>
      </c>
      <c r="Z25" s="460">
        <f t="shared" si="47"/>
        <v>0</v>
      </c>
      <c r="AA25" s="460">
        <f t="shared" si="48"/>
        <v>0</v>
      </c>
      <c r="AB25" s="69">
        <f t="shared" si="49"/>
        <v>0</v>
      </c>
      <c r="AC25" s="69">
        <f t="shared" si="50"/>
        <v>0</v>
      </c>
      <c r="AD25" s="460">
        <v>0</v>
      </c>
      <c r="AE25" s="460">
        <v>0</v>
      </c>
      <c r="AF25" s="460">
        <f t="shared" si="51"/>
        <v>0</v>
      </c>
      <c r="AG25" s="460">
        <f t="shared" si="52"/>
        <v>0</v>
      </c>
      <c r="AH25" s="461">
        <v>0</v>
      </c>
      <c r="AI25" s="461">
        <v>0</v>
      </c>
      <c r="AJ25" s="461">
        <v>0</v>
      </c>
      <c r="AK25" s="461">
        <v>0</v>
      </c>
      <c r="AL25" s="674">
        <v>0</v>
      </c>
      <c r="AM25" s="461">
        <v>0</v>
      </c>
      <c r="AN25" s="461">
        <v>0</v>
      </c>
      <c r="AO25" s="461">
        <v>0</v>
      </c>
      <c r="AP25" s="461">
        <f>AH25+AJ25+AK25+AM25+AN25</f>
        <v>0</v>
      </c>
      <c r="AQ25" s="461">
        <f>AI25+AL25+AO25</f>
        <v>0</v>
      </c>
      <c r="AR25" s="463">
        <f t="shared" si="53"/>
        <v>0</v>
      </c>
      <c r="AS25" s="469">
        <f>I25+AG25</f>
        <v>658218</v>
      </c>
      <c r="AT25" s="460">
        <f>J25+V25</f>
        <v>486325</v>
      </c>
      <c r="AU25" s="460">
        <f t="shared" si="54"/>
        <v>0</v>
      </c>
      <c r="AV25" s="460">
        <f t="shared" si="55"/>
        <v>164378</v>
      </c>
      <c r="AW25" s="460">
        <f t="shared" si="55"/>
        <v>4863</v>
      </c>
      <c r="AX25" s="460">
        <f>M25+AF25</f>
        <v>2652</v>
      </c>
      <c r="AY25" s="461">
        <f>N25+AR25</f>
        <v>1.56</v>
      </c>
      <c r="AZ25" s="461">
        <f t="shared" si="56"/>
        <v>0</v>
      </c>
      <c r="BA25" s="463">
        <f t="shared" si="56"/>
        <v>1.56</v>
      </c>
    </row>
    <row r="26" spans="1:53" ht="12.95" customHeight="1" x14ac:dyDescent="0.25">
      <c r="A26" s="221">
        <v>3</v>
      </c>
      <c r="B26" s="47">
        <v>5462</v>
      </c>
      <c r="C26" s="47">
        <v>600098851</v>
      </c>
      <c r="D26" s="47">
        <v>72743620</v>
      </c>
      <c r="E26" s="403" t="s">
        <v>475</v>
      </c>
      <c r="F26" s="47"/>
      <c r="G26" s="403"/>
      <c r="H26" s="187"/>
      <c r="I26" s="576">
        <f t="shared" ref="I26:P26" si="57">SUM(I23:I25)</f>
        <v>5529844</v>
      </c>
      <c r="J26" s="573">
        <f t="shared" si="57"/>
        <v>4075143</v>
      </c>
      <c r="K26" s="573">
        <f t="shared" si="57"/>
        <v>1377398</v>
      </c>
      <c r="L26" s="573">
        <f t="shared" si="57"/>
        <v>40751</v>
      </c>
      <c r="M26" s="573">
        <f t="shared" si="57"/>
        <v>36552</v>
      </c>
      <c r="N26" s="574">
        <f t="shared" si="57"/>
        <v>9.24</v>
      </c>
      <c r="O26" s="574">
        <f t="shared" si="57"/>
        <v>6</v>
      </c>
      <c r="P26" s="404">
        <f t="shared" si="57"/>
        <v>3.24</v>
      </c>
      <c r="Q26" s="578">
        <f t="shared" ref="Q26:BA26" si="58">SUM(Q23:Q25)</f>
        <v>0</v>
      </c>
      <c r="R26" s="573">
        <f t="shared" si="58"/>
        <v>0</v>
      </c>
      <c r="S26" s="573">
        <f t="shared" si="58"/>
        <v>0</v>
      </c>
      <c r="T26" s="573">
        <f t="shared" si="58"/>
        <v>0</v>
      </c>
      <c r="U26" s="573">
        <f t="shared" si="58"/>
        <v>0</v>
      </c>
      <c r="V26" s="573">
        <f t="shared" si="58"/>
        <v>0</v>
      </c>
      <c r="W26" s="573">
        <f t="shared" si="58"/>
        <v>0</v>
      </c>
      <c r="X26" s="573">
        <f t="shared" si="58"/>
        <v>0</v>
      </c>
      <c r="Y26" s="573">
        <f t="shared" si="58"/>
        <v>0</v>
      </c>
      <c r="Z26" s="573">
        <f t="shared" si="58"/>
        <v>0</v>
      </c>
      <c r="AA26" s="573">
        <f t="shared" si="58"/>
        <v>0</v>
      </c>
      <c r="AB26" s="573">
        <f t="shared" si="58"/>
        <v>0</v>
      </c>
      <c r="AC26" s="573">
        <f t="shared" si="58"/>
        <v>0</v>
      </c>
      <c r="AD26" s="573">
        <f t="shared" si="58"/>
        <v>0</v>
      </c>
      <c r="AE26" s="573">
        <f t="shared" si="58"/>
        <v>0</v>
      </c>
      <c r="AF26" s="573">
        <f t="shared" si="58"/>
        <v>0</v>
      </c>
      <c r="AG26" s="573">
        <f t="shared" si="58"/>
        <v>0</v>
      </c>
      <c r="AH26" s="574">
        <f t="shared" si="58"/>
        <v>0</v>
      </c>
      <c r="AI26" s="574">
        <f t="shared" si="58"/>
        <v>0</v>
      </c>
      <c r="AJ26" s="574">
        <f t="shared" si="58"/>
        <v>0</v>
      </c>
      <c r="AK26" s="574">
        <f t="shared" si="58"/>
        <v>0</v>
      </c>
      <c r="AL26" s="574">
        <f t="shared" si="58"/>
        <v>0</v>
      </c>
      <c r="AM26" s="574">
        <f t="shared" si="58"/>
        <v>0</v>
      </c>
      <c r="AN26" s="574">
        <f t="shared" si="58"/>
        <v>0</v>
      </c>
      <c r="AO26" s="574">
        <f t="shared" si="58"/>
        <v>0</v>
      </c>
      <c r="AP26" s="574">
        <f t="shared" si="58"/>
        <v>0</v>
      </c>
      <c r="AQ26" s="574">
        <f t="shared" si="58"/>
        <v>0</v>
      </c>
      <c r="AR26" s="404">
        <f t="shared" si="58"/>
        <v>0</v>
      </c>
      <c r="AS26" s="578">
        <f t="shared" si="58"/>
        <v>5529844</v>
      </c>
      <c r="AT26" s="573">
        <f t="shared" si="58"/>
        <v>4075143</v>
      </c>
      <c r="AU26" s="573">
        <f t="shared" si="58"/>
        <v>0</v>
      </c>
      <c r="AV26" s="573">
        <f t="shared" si="58"/>
        <v>1377398</v>
      </c>
      <c r="AW26" s="573">
        <f t="shared" si="58"/>
        <v>40751</v>
      </c>
      <c r="AX26" s="573">
        <f t="shared" si="58"/>
        <v>36552</v>
      </c>
      <c r="AY26" s="574">
        <f t="shared" si="58"/>
        <v>9.24</v>
      </c>
      <c r="AZ26" s="574">
        <f t="shared" si="58"/>
        <v>6</v>
      </c>
      <c r="BA26" s="404">
        <f t="shared" si="58"/>
        <v>3.24</v>
      </c>
    </row>
    <row r="27" spans="1:53" ht="12.95" customHeight="1" x14ac:dyDescent="0.25">
      <c r="A27" s="299">
        <v>4</v>
      </c>
      <c r="B27" s="220">
        <v>5464</v>
      </c>
      <c r="C27" s="220">
        <v>600098869</v>
      </c>
      <c r="D27" s="220">
        <v>72743719</v>
      </c>
      <c r="E27" s="405" t="s">
        <v>476</v>
      </c>
      <c r="F27" s="406">
        <v>3111</v>
      </c>
      <c r="G27" s="398" t="s">
        <v>321</v>
      </c>
      <c r="H27" s="304" t="s">
        <v>277</v>
      </c>
      <c r="I27" s="462">
        <f t="shared" ref="I27:I29" si="59">SUM(J27:M27)</f>
        <v>5026860</v>
      </c>
      <c r="J27" s="457">
        <v>3711321</v>
      </c>
      <c r="K27" s="457">
        <f t="shared" ref="K27:K29" si="60">ROUND(J27*33.8%,0)</f>
        <v>1254426</v>
      </c>
      <c r="L27" s="457">
        <f t="shared" ref="L27:L29" si="61">ROUND(J27*1%,0)</f>
        <v>37113</v>
      </c>
      <c r="M27" s="457">
        <v>24000</v>
      </c>
      <c r="N27" s="458">
        <f t="shared" ref="N27:N29" si="62">O27+P27</f>
        <v>7.68</v>
      </c>
      <c r="O27" s="459">
        <v>6</v>
      </c>
      <c r="P27" s="646">
        <v>1.6800000000000002</v>
      </c>
      <c r="Q27" s="469">
        <f t="shared" ref="Q27:Q29" si="63">W27*-1</f>
        <v>-3250</v>
      </c>
      <c r="R27" s="460">
        <v>0</v>
      </c>
      <c r="S27" s="673">
        <v>0</v>
      </c>
      <c r="T27" s="460">
        <v>0</v>
      </c>
      <c r="U27" s="460">
        <v>0</v>
      </c>
      <c r="V27" s="460">
        <f>SUM(Q27:U27)</f>
        <v>-3250</v>
      </c>
      <c r="W27" s="460">
        <v>3250</v>
      </c>
      <c r="X27" s="460">
        <v>0</v>
      </c>
      <c r="Y27" s="460">
        <v>0</v>
      </c>
      <c r="Z27" s="460">
        <f t="shared" ref="Z27:Z29" si="64">SUM(W27:Y27)</f>
        <v>3250</v>
      </c>
      <c r="AA27" s="460">
        <f t="shared" ref="AA27:AA29" si="65">V27+Z27</f>
        <v>0</v>
      </c>
      <c r="AB27" s="69">
        <f t="shared" ref="AB27:AB29" si="66">ROUND((V27+W27+X27)*33.8%,0)</f>
        <v>0</v>
      </c>
      <c r="AC27" s="69">
        <f t="shared" ref="AC27:AC29" si="67">ROUND(V27*1%,0)</f>
        <v>-33</v>
      </c>
      <c r="AD27" s="460">
        <v>0</v>
      </c>
      <c r="AE27" s="460">
        <v>0</v>
      </c>
      <c r="AF27" s="460">
        <f t="shared" ref="AF27:AF29" si="68">SUM(AD27:AE27)</f>
        <v>0</v>
      </c>
      <c r="AG27" s="460">
        <f t="shared" ref="AG27:AG29" si="69">AA27+AB27+AC27+AF27</f>
        <v>-33</v>
      </c>
      <c r="AH27" s="461">
        <v>0</v>
      </c>
      <c r="AI27" s="461">
        <v>0</v>
      </c>
      <c r="AJ27" s="461">
        <v>0</v>
      </c>
      <c r="AK27" s="461">
        <v>0</v>
      </c>
      <c r="AL27" s="674">
        <v>0</v>
      </c>
      <c r="AM27" s="461">
        <v>0</v>
      </c>
      <c r="AN27" s="461">
        <v>0</v>
      </c>
      <c r="AO27" s="461">
        <v>0</v>
      </c>
      <c r="AP27" s="461">
        <f>AH27+AJ27+AK27+AM27+AN27</f>
        <v>0</v>
      </c>
      <c r="AQ27" s="461">
        <f>AI27+AL27+AO27</f>
        <v>0</v>
      </c>
      <c r="AR27" s="463">
        <f t="shared" ref="AR27:AR29" si="70">SUM(AP27:AQ27)</f>
        <v>0</v>
      </c>
      <c r="AS27" s="469">
        <f>I27+AG27</f>
        <v>5026827</v>
      </c>
      <c r="AT27" s="460">
        <f>J27+V27</f>
        <v>3708071</v>
      </c>
      <c r="AU27" s="460">
        <f t="shared" ref="AU27:AU29" si="71">Z27</f>
        <v>3250</v>
      </c>
      <c r="AV27" s="460">
        <f t="shared" ref="AV27:AW29" si="72">K27+AB27</f>
        <v>1254426</v>
      </c>
      <c r="AW27" s="460">
        <f t="shared" si="72"/>
        <v>37080</v>
      </c>
      <c r="AX27" s="460">
        <f>M27+AF27</f>
        <v>24000</v>
      </c>
      <c r="AY27" s="461">
        <f>N27+AR27</f>
        <v>7.68</v>
      </c>
      <c r="AZ27" s="461">
        <f t="shared" ref="AZ27:BA29" si="73">O27+AP27</f>
        <v>6</v>
      </c>
      <c r="BA27" s="463">
        <f t="shared" si="73"/>
        <v>1.6800000000000002</v>
      </c>
    </row>
    <row r="28" spans="1:53" ht="12.95" customHeight="1" x14ac:dyDescent="0.25">
      <c r="A28" s="299">
        <v>4</v>
      </c>
      <c r="B28" s="220">
        <v>5464</v>
      </c>
      <c r="C28" s="220">
        <v>600098869</v>
      </c>
      <c r="D28" s="220">
        <v>72743719</v>
      </c>
      <c r="E28" s="396" t="s">
        <v>476</v>
      </c>
      <c r="F28" s="406">
        <v>3111</v>
      </c>
      <c r="G28" s="342" t="s">
        <v>308</v>
      </c>
      <c r="H28" s="304" t="s">
        <v>278</v>
      </c>
      <c r="I28" s="462">
        <f t="shared" si="59"/>
        <v>0</v>
      </c>
      <c r="J28" s="457">
        <v>0</v>
      </c>
      <c r="K28" s="457">
        <f t="shared" si="60"/>
        <v>0</v>
      </c>
      <c r="L28" s="457">
        <f t="shared" si="61"/>
        <v>0</v>
      </c>
      <c r="M28" s="457">
        <v>0</v>
      </c>
      <c r="N28" s="458">
        <f t="shared" si="62"/>
        <v>0</v>
      </c>
      <c r="O28" s="459">
        <v>0</v>
      </c>
      <c r="P28" s="646">
        <v>0</v>
      </c>
      <c r="Q28" s="469">
        <f t="shared" si="63"/>
        <v>0</v>
      </c>
      <c r="R28" s="460">
        <v>0</v>
      </c>
      <c r="S28" s="673">
        <v>0</v>
      </c>
      <c r="T28" s="460">
        <v>0</v>
      </c>
      <c r="U28" s="460">
        <v>0</v>
      </c>
      <c r="V28" s="460">
        <f>SUM(Q28:U28)</f>
        <v>0</v>
      </c>
      <c r="W28" s="460">
        <v>0</v>
      </c>
      <c r="X28" s="460">
        <v>0</v>
      </c>
      <c r="Y28" s="460">
        <v>0</v>
      </c>
      <c r="Z28" s="460">
        <f t="shared" si="64"/>
        <v>0</v>
      </c>
      <c r="AA28" s="460">
        <f t="shared" si="65"/>
        <v>0</v>
      </c>
      <c r="AB28" s="69">
        <f t="shared" si="66"/>
        <v>0</v>
      </c>
      <c r="AC28" s="69">
        <f t="shared" si="67"/>
        <v>0</v>
      </c>
      <c r="AD28" s="460">
        <v>0</v>
      </c>
      <c r="AE28" s="460">
        <v>0</v>
      </c>
      <c r="AF28" s="460">
        <f t="shared" si="68"/>
        <v>0</v>
      </c>
      <c r="AG28" s="460">
        <f t="shared" si="69"/>
        <v>0</v>
      </c>
      <c r="AH28" s="461">
        <v>0</v>
      </c>
      <c r="AI28" s="461">
        <v>0</v>
      </c>
      <c r="AJ28" s="461">
        <v>0</v>
      </c>
      <c r="AK28" s="461">
        <v>0</v>
      </c>
      <c r="AL28" s="674">
        <v>0</v>
      </c>
      <c r="AM28" s="461">
        <v>0</v>
      </c>
      <c r="AN28" s="461">
        <v>0</v>
      </c>
      <c r="AO28" s="461">
        <v>0</v>
      </c>
      <c r="AP28" s="461">
        <f>AH28+AJ28+AK28+AM28+AN28</f>
        <v>0</v>
      </c>
      <c r="AQ28" s="461">
        <f>AI28+AL28+AO28</f>
        <v>0</v>
      </c>
      <c r="AR28" s="463">
        <f t="shared" si="70"/>
        <v>0</v>
      </c>
      <c r="AS28" s="469">
        <f>I28+AG28</f>
        <v>0</v>
      </c>
      <c r="AT28" s="460">
        <f>J28+V28</f>
        <v>0</v>
      </c>
      <c r="AU28" s="460">
        <f t="shared" si="71"/>
        <v>0</v>
      </c>
      <c r="AV28" s="460">
        <f t="shared" si="72"/>
        <v>0</v>
      </c>
      <c r="AW28" s="460">
        <f t="shared" si="72"/>
        <v>0</v>
      </c>
      <c r="AX28" s="460">
        <f>M28+AF28</f>
        <v>0</v>
      </c>
      <c r="AY28" s="461">
        <f>N28+AR28</f>
        <v>0</v>
      </c>
      <c r="AZ28" s="461">
        <f t="shared" si="73"/>
        <v>0</v>
      </c>
      <c r="BA28" s="463">
        <f t="shared" si="73"/>
        <v>0</v>
      </c>
    </row>
    <row r="29" spans="1:53" ht="12.95" customHeight="1" x14ac:dyDescent="0.25">
      <c r="A29" s="299">
        <v>4</v>
      </c>
      <c r="B29" s="220">
        <v>5464</v>
      </c>
      <c r="C29" s="220">
        <v>600098869</v>
      </c>
      <c r="D29" s="220">
        <v>72743719</v>
      </c>
      <c r="E29" s="396" t="s">
        <v>476</v>
      </c>
      <c r="F29" s="407">
        <v>3141</v>
      </c>
      <c r="G29" s="398" t="s">
        <v>311</v>
      </c>
      <c r="H29" s="304" t="s">
        <v>278</v>
      </c>
      <c r="I29" s="462">
        <f t="shared" si="59"/>
        <v>734852</v>
      </c>
      <c r="J29" s="457">
        <v>542828</v>
      </c>
      <c r="K29" s="457">
        <f t="shared" si="60"/>
        <v>183476</v>
      </c>
      <c r="L29" s="457">
        <f t="shared" si="61"/>
        <v>5428</v>
      </c>
      <c r="M29" s="457">
        <v>3120</v>
      </c>
      <c r="N29" s="458">
        <f t="shared" si="62"/>
        <v>1.74</v>
      </c>
      <c r="O29" s="459">
        <v>0</v>
      </c>
      <c r="P29" s="646">
        <v>1.74</v>
      </c>
      <c r="Q29" s="469">
        <f t="shared" si="63"/>
        <v>-3250</v>
      </c>
      <c r="R29" s="460">
        <v>0</v>
      </c>
      <c r="S29" s="673">
        <v>0</v>
      </c>
      <c r="T29" s="460">
        <v>0</v>
      </c>
      <c r="U29" s="460">
        <v>0</v>
      </c>
      <c r="V29" s="460">
        <f>SUM(Q29:U29)</f>
        <v>-3250</v>
      </c>
      <c r="W29" s="460">
        <v>3250</v>
      </c>
      <c r="X29" s="460">
        <v>0</v>
      </c>
      <c r="Y29" s="460">
        <v>0</v>
      </c>
      <c r="Z29" s="460">
        <f t="shared" si="64"/>
        <v>3250</v>
      </c>
      <c r="AA29" s="460">
        <f t="shared" si="65"/>
        <v>0</v>
      </c>
      <c r="AB29" s="69">
        <f t="shared" si="66"/>
        <v>0</v>
      </c>
      <c r="AC29" s="69">
        <f t="shared" si="67"/>
        <v>-33</v>
      </c>
      <c r="AD29" s="460">
        <v>0</v>
      </c>
      <c r="AE29" s="460">
        <v>0</v>
      </c>
      <c r="AF29" s="460">
        <f t="shared" si="68"/>
        <v>0</v>
      </c>
      <c r="AG29" s="460">
        <f t="shared" si="69"/>
        <v>-33</v>
      </c>
      <c r="AH29" s="461">
        <v>0</v>
      </c>
      <c r="AI29" s="461">
        <v>0</v>
      </c>
      <c r="AJ29" s="461">
        <v>0</v>
      </c>
      <c r="AK29" s="461">
        <v>0</v>
      </c>
      <c r="AL29" s="674">
        <v>0</v>
      </c>
      <c r="AM29" s="461">
        <v>0</v>
      </c>
      <c r="AN29" s="461">
        <v>0</v>
      </c>
      <c r="AO29" s="461">
        <v>0</v>
      </c>
      <c r="AP29" s="461">
        <f>AH29+AJ29+AK29+AM29+AN29</f>
        <v>0</v>
      </c>
      <c r="AQ29" s="461">
        <f>AI29+AL29+AO29</f>
        <v>0</v>
      </c>
      <c r="AR29" s="463">
        <f t="shared" si="70"/>
        <v>0</v>
      </c>
      <c r="AS29" s="469">
        <f>I29+AG29</f>
        <v>734819</v>
      </c>
      <c r="AT29" s="460">
        <f>J29+V29</f>
        <v>539578</v>
      </c>
      <c r="AU29" s="460">
        <f t="shared" si="71"/>
        <v>3250</v>
      </c>
      <c r="AV29" s="460">
        <f t="shared" si="72"/>
        <v>183476</v>
      </c>
      <c r="AW29" s="460">
        <f t="shared" si="72"/>
        <v>5395</v>
      </c>
      <c r="AX29" s="460">
        <f>M29+AF29</f>
        <v>3120</v>
      </c>
      <c r="AY29" s="461">
        <f>N29+AR29</f>
        <v>1.74</v>
      </c>
      <c r="AZ29" s="461">
        <f t="shared" si="73"/>
        <v>0</v>
      </c>
      <c r="BA29" s="463">
        <f t="shared" si="73"/>
        <v>1.74</v>
      </c>
    </row>
    <row r="30" spans="1:53" ht="12.95" customHeight="1" x14ac:dyDescent="0.25">
      <c r="A30" s="221">
        <v>4</v>
      </c>
      <c r="B30" s="46">
        <v>5464</v>
      </c>
      <c r="C30" s="46">
        <v>600098869</v>
      </c>
      <c r="D30" s="46">
        <v>72743719</v>
      </c>
      <c r="E30" s="408" t="s">
        <v>477</v>
      </c>
      <c r="F30" s="409"/>
      <c r="G30" s="408"/>
      <c r="H30" s="410"/>
      <c r="I30" s="536">
        <f t="shared" ref="I30:P30" si="74">SUM(I27:I29)</f>
        <v>5761712</v>
      </c>
      <c r="J30" s="532">
        <f t="shared" si="74"/>
        <v>4254149</v>
      </c>
      <c r="K30" s="532">
        <f t="shared" si="74"/>
        <v>1437902</v>
      </c>
      <c r="L30" s="532">
        <f t="shared" si="74"/>
        <v>42541</v>
      </c>
      <c r="M30" s="532">
        <f t="shared" si="74"/>
        <v>27120</v>
      </c>
      <c r="N30" s="533">
        <f t="shared" si="74"/>
        <v>9.42</v>
      </c>
      <c r="O30" s="533">
        <f t="shared" si="74"/>
        <v>6</v>
      </c>
      <c r="P30" s="298">
        <f t="shared" si="74"/>
        <v>3.42</v>
      </c>
      <c r="Q30" s="538">
        <f t="shared" ref="Q30:BA30" si="75">SUM(Q27:Q29)</f>
        <v>-6500</v>
      </c>
      <c r="R30" s="532">
        <f t="shared" si="75"/>
        <v>0</v>
      </c>
      <c r="S30" s="532">
        <f t="shared" si="75"/>
        <v>0</v>
      </c>
      <c r="T30" s="532">
        <f t="shared" si="75"/>
        <v>0</v>
      </c>
      <c r="U30" s="532">
        <f t="shared" si="75"/>
        <v>0</v>
      </c>
      <c r="V30" s="532">
        <f t="shared" si="75"/>
        <v>-6500</v>
      </c>
      <c r="W30" s="532">
        <f t="shared" si="75"/>
        <v>6500</v>
      </c>
      <c r="X30" s="532">
        <f t="shared" si="75"/>
        <v>0</v>
      </c>
      <c r="Y30" s="532">
        <f t="shared" si="75"/>
        <v>0</v>
      </c>
      <c r="Z30" s="532">
        <f t="shared" si="75"/>
        <v>6500</v>
      </c>
      <c r="AA30" s="532">
        <f t="shared" si="75"/>
        <v>0</v>
      </c>
      <c r="AB30" s="532">
        <f t="shared" si="75"/>
        <v>0</v>
      </c>
      <c r="AC30" s="532">
        <f t="shared" si="75"/>
        <v>-66</v>
      </c>
      <c r="AD30" s="532">
        <f t="shared" si="75"/>
        <v>0</v>
      </c>
      <c r="AE30" s="532">
        <f t="shared" si="75"/>
        <v>0</v>
      </c>
      <c r="AF30" s="532">
        <f t="shared" si="75"/>
        <v>0</v>
      </c>
      <c r="AG30" s="532">
        <f t="shared" si="75"/>
        <v>-66</v>
      </c>
      <c r="AH30" s="533">
        <f t="shared" si="75"/>
        <v>0</v>
      </c>
      <c r="AI30" s="533">
        <f t="shared" si="75"/>
        <v>0</v>
      </c>
      <c r="AJ30" s="533">
        <f t="shared" si="75"/>
        <v>0</v>
      </c>
      <c r="AK30" s="533">
        <f t="shared" si="75"/>
        <v>0</v>
      </c>
      <c r="AL30" s="533">
        <f t="shared" si="75"/>
        <v>0</v>
      </c>
      <c r="AM30" s="533">
        <f t="shared" si="75"/>
        <v>0</v>
      </c>
      <c r="AN30" s="533">
        <f t="shared" si="75"/>
        <v>0</v>
      </c>
      <c r="AO30" s="533">
        <f t="shared" si="75"/>
        <v>0</v>
      </c>
      <c r="AP30" s="533">
        <f t="shared" si="75"/>
        <v>0</v>
      </c>
      <c r="AQ30" s="533">
        <f t="shared" si="75"/>
        <v>0</v>
      </c>
      <c r="AR30" s="298">
        <f t="shared" si="75"/>
        <v>0</v>
      </c>
      <c r="AS30" s="538">
        <f t="shared" si="75"/>
        <v>5761646</v>
      </c>
      <c r="AT30" s="532">
        <f t="shared" si="75"/>
        <v>4247649</v>
      </c>
      <c r="AU30" s="532">
        <f t="shared" si="75"/>
        <v>6500</v>
      </c>
      <c r="AV30" s="532">
        <f t="shared" si="75"/>
        <v>1437902</v>
      </c>
      <c r="AW30" s="532">
        <f t="shared" si="75"/>
        <v>42475</v>
      </c>
      <c r="AX30" s="532">
        <f t="shared" si="75"/>
        <v>27120</v>
      </c>
      <c r="AY30" s="533">
        <f t="shared" si="75"/>
        <v>9.42</v>
      </c>
      <c r="AZ30" s="533">
        <f t="shared" si="75"/>
        <v>6</v>
      </c>
      <c r="BA30" s="298">
        <f t="shared" si="75"/>
        <v>3.42</v>
      </c>
    </row>
    <row r="31" spans="1:53" ht="12.95" customHeight="1" x14ac:dyDescent="0.25">
      <c r="A31" s="299">
        <v>5</v>
      </c>
      <c r="B31" s="220">
        <v>5467</v>
      </c>
      <c r="C31" s="220">
        <v>600098648</v>
      </c>
      <c r="D31" s="220">
        <v>72743948</v>
      </c>
      <c r="E31" s="397" t="s">
        <v>478</v>
      </c>
      <c r="F31" s="220">
        <v>3111</v>
      </c>
      <c r="G31" s="398" t="s">
        <v>321</v>
      </c>
      <c r="H31" s="304" t="s">
        <v>277</v>
      </c>
      <c r="I31" s="462">
        <f t="shared" ref="I31:I33" si="76">SUM(J31:M31)</f>
        <v>4768282</v>
      </c>
      <c r="J31" s="457">
        <v>3522464</v>
      </c>
      <c r="K31" s="457">
        <f t="shared" ref="K31:K33" si="77">ROUND(J31*33.8%,0)</f>
        <v>1190593</v>
      </c>
      <c r="L31" s="457">
        <f t="shared" ref="L31:L33" si="78">ROUND(J31*1%,0)</f>
        <v>35225</v>
      </c>
      <c r="M31" s="457">
        <v>20000</v>
      </c>
      <c r="N31" s="458">
        <f t="shared" ref="N31:N33" si="79">O31+P31</f>
        <v>7.68</v>
      </c>
      <c r="O31" s="459">
        <v>6</v>
      </c>
      <c r="P31" s="646">
        <v>1.6800000000000002</v>
      </c>
      <c r="Q31" s="469">
        <f t="shared" ref="Q31:Q33" si="80">W31*-1</f>
        <v>0</v>
      </c>
      <c r="R31" s="460">
        <v>0</v>
      </c>
      <c r="S31" s="673">
        <v>0</v>
      </c>
      <c r="T31" s="460">
        <v>0</v>
      </c>
      <c r="U31" s="460">
        <v>0</v>
      </c>
      <c r="V31" s="460">
        <f>SUM(Q31:U31)</f>
        <v>0</v>
      </c>
      <c r="W31" s="460">
        <v>0</v>
      </c>
      <c r="X31" s="460">
        <v>0</v>
      </c>
      <c r="Y31" s="460">
        <v>14985</v>
      </c>
      <c r="Z31" s="460">
        <f t="shared" ref="Z31:Z33" si="81">SUM(W31:Y31)</f>
        <v>14985</v>
      </c>
      <c r="AA31" s="460">
        <f t="shared" ref="AA31:AA33" si="82">V31+Z31</f>
        <v>14985</v>
      </c>
      <c r="AB31" s="69">
        <f t="shared" ref="AB31:AB33" si="83">ROUND((V31+W31+X31)*33.8%,0)</f>
        <v>0</v>
      </c>
      <c r="AC31" s="69">
        <f t="shared" ref="AC31:AC33" si="84">ROUND(V31*1%,0)</f>
        <v>0</v>
      </c>
      <c r="AD31" s="460">
        <v>0</v>
      </c>
      <c r="AE31" s="460">
        <v>0</v>
      </c>
      <c r="AF31" s="460">
        <f t="shared" ref="AF31:AF33" si="85">SUM(AD31:AE31)</f>
        <v>0</v>
      </c>
      <c r="AG31" s="460">
        <f t="shared" ref="AG31:AG33" si="86">AA31+AB31+AC31+AF31</f>
        <v>14985</v>
      </c>
      <c r="AH31" s="461">
        <v>0</v>
      </c>
      <c r="AI31" s="461">
        <v>0</v>
      </c>
      <c r="AJ31" s="461">
        <v>0</v>
      </c>
      <c r="AK31" s="461">
        <v>0</v>
      </c>
      <c r="AL31" s="674">
        <v>0</v>
      </c>
      <c r="AM31" s="461">
        <v>0</v>
      </c>
      <c r="AN31" s="461">
        <v>0</v>
      </c>
      <c r="AO31" s="461">
        <v>0</v>
      </c>
      <c r="AP31" s="461">
        <f>AH31+AJ31+AK31+AM31+AN31</f>
        <v>0</v>
      </c>
      <c r="AQ31" s="461">
        <f>AI31+AL31+AO31</f>
        <v>0</v>
      </c>
      <c r="AR31" s="463">
        <f t="shared" ref="AR31:AR33" si="87">SUM(AP31:AQ31)</f>
        <v>0</v>
      </c>
      <c r="AS31" s="469">
        <f>I31+AG31</f>
        <v>4783267</v>
      </c>
      <c r="AT31" s="460">
        <f>J31+V31</f>
        <v>3522464</v>
      </c>
      <c r="AU31" s="460">
        <f t="shared" ref="AU31:AU33" si="88">Z31</f>
        <v>14985</v>
      </c>
      <c r="AV31" s="460">
        <f t="shared" ref="AV31:AW33" si="89">K31+AB31</f>
        <v>1190593</v>
      </c>
      <c r="AW31" s="460">
        <f t="shared" si="89"/>
        <v>35225</v>
      </c>
      <c r="AX31" s="460">
        <f>M31+AF31</f>
        <v>20000</v>
      </c>
      <c r="AY31" s="461">
        <f>N31+AR31</f>
        <v>7.68</v>
      </c>
      <c r="AZ31" s="461">
        <f t="shared" ref="AZ31:BA33" si="90">O31+AP31</f>
        <v>6</v>
      </c>
      <c r="BA31" s="463">
        <f t="shared" si="90"/>
        <v>1.6800000000000002</v>
      </c>
    </row>
    <row r="32" spans="1:53" ht="12.95" customHeight="1" x14ac:dyDescent="0.25">
      <c r="A32" s="299">
        <v>5</v>
      </c>
      <c r="B32" s="220">
        <v>5467</v>
      </c>
      <c r="C32" s="220">
        <v>600098648</v>
      </c>
      <c r="D32" s="220">
        <v>72743948</v>
      </c>
      <c r="E32" s="396" t="s">
        <v>478</v>
      </c>
      <c r="F32" s="220">
        <v>3111</v>
      </c>
      <c r="G32" s="342" t="s">
        <v>308</v>
      </c>
      <c r="H32" s="304" t="s">
        <v>278</v>
      </c>
      <c r="I32" s="462">
        <f t="shared" si="76"/>
        <v>0</v>
      </c>
      <c r="J32" s="457">
        <v>0</v>
      </c>
      <c r="K32" s="457">
        <f t="shared" si="77"/>
        <v>0</v>
      </c>
      <c r="L32" s="457">
        <f t="shared" si="78"/>
        <v>0</v>
      </c>
      <c r="M32" s="457">
        <v>0</v>
      </c>
      <c r="N32" s="458">
        <f t="shared" si="79"/>
        <v>0</v>
      </c>
      <c r="O32" s="459">
        <v>0</v>
      </c>
      <c r="P32" s="646">
        <v>0</v>
      </c>
      <c r="Q32" s="469">
        <f t="shared" si="80"/>
        <v>0</v>
      </c>
      <c r="R32" s="460">
        <v>0</v>
      </c>
      <c r="S32" s="673">
        <v>0</v>
      </c>
      <c r="T32" s="460">
        <v>0</v>
      </c>
      <c r="U32" s="460">
        <v>0</v>
      </c>
      <c r="V32" s="460">
        <f>SUM(Q32:U32)</f>
        <v>0</v>
      </c>
      <c r="W32" s="460">
        <v>0</v>
      </c>
      <c r="X32" s="460">
        <v>0</v>
      </c>
      <c r="Y32" s="460">
        <v>0</v>
      </c>
      <c r="Z32" s="460">
        <f t="shared" si="81"/>
        <v>0</v>
      </c>
      <c r="AA32" s="460">
        <f t="shared" si="82"/>
        <v>0</v>
      </c>
      <c r="AB32" s="69">
        <f t="shared" si="83"/>
        <v>0</v>
      </c>
      <c r="AC32" s="69">
        <f t="shared" si="84"/>
        <v>0</v>
      </c>
      <c r="AD32" s="460">
        <v>0</v>
      </c>
      <c r="AE32" s="460">
        <v>0</v>
      </c>
      <c r="AF32" s="460">
        <f t="shared" si="85"/>
        <v>0</v>
      </c>
      <c r="AG32" s="460">
        <f t="shared" si="86"/>
        <v>0</v>
      </c>
      <c r="AH32" s="461">
        <v>0</v>
      </c>
      <c r="AI32" s="461">
        <v>0</v>
      </c>
      <c r="AJ32" s="461">
        <v>0</v>
      </c>
      <c r="AK32" s="461">
        <v>0</v>
      </c>
      <c r="AL32" s="674">
        <v>0</v>
      </c>
      <c r="AM32" s="461">
        <v>0</v>
      </c>
      <c r="AN32" s="461">
        <v>0</v>
      </c>
      <c r="AO32" s="461">
        <v>0</v>
      </c>
      <c r="AP32" s="461">
        <f>AH32+AJ32+AK32+AM32+AN32</f>
        <v>0</v>
      </c>
      <c r="AQ32" s="461">
        <f>AI32+AL32+AO32</f>
        <v>0</v>
      </c>
      <c r="AR32" s="463">
        <f t="shared" si="87"/>
        <v>0</v>
      </c>
      <c r="AS32" s="469">
        <f>I32+AG32</f>
        <v>0</v>
      </c>
      <c r="AT32" s="460">
        <f>J32+V32</f>
        <v>0</v>
      </c>
      <c r="AU32" s="460">
        <f t="shared" si="88"/>
        <v>0</v>
      </c>
      <c r="AV32" s="460">
        <f t="shared" si="89"/>
        <v>0</v>
      </c>
      <c r="AW32" s="460">
        <f t="shared" si="89"/>
        <v>0</v>
      </c>
      <c r="AX32" s="460">
        <f>M32+AF32</f>
        <v>0</v>
      </c>
      <c r="AY32" s="461">
        <f>N32+AR32</f>
        <v>0</v>
      </c>
      <c r="AZ32" s="461">
        <f t="shared" si="90"/>
        <v>0</v>
      </c>
      <c r="BA32" s="463">
        <f t="shared" si="90"/>
        <v>0</v>
      </c>
    </row>
    <row r="33" spans="1:53" ht="12.95" customHeight="1" x14ac:dyDescent="0.25">
      <c r="A33" s="299">
        <v>5</v>
      </c>
      <c r="B33" s="220">
        <v>5467</v>
      </c>
      <c r="C33" s="220">
        <v>600098648</v>
      </c>
      <c r="D33" s="220">
        <v>72743948</v>
      </c>
      <c r="E33" s="396" t="s">
        <v>478</v>
      </c>
      <c r="F33" s="407">
        <v>3141</v>
      </c>
      <c r="G33" s="398" t="s">
        <v>311</v>
      </c>
      <c r="H33" s="304" t="s">
        <v>278</v>
      </c>
      <c r="I33" s="462">
        <f t="shared" si="76"/>
        <v>649380</v>
      </c>
      <c r="J33" s="457">
        <v>479807</v>
      </c>
      <c r="K33" s="457">
        <f t="shared" si="77"/>
        <v>162175</v>
      </c>
      <c r="L33" s="457">
        <f t="shared" si="78"/>
        <v>4798</v>
      </c>
      <c r="M33" s="457">
        <v>2600</v>
      </c>
      <c r="N33" s="458">
        <f t="shared" si="79"/>
        <v>1.54</v>
      </c>
      <c r="O33" s="459">
        <v>0</v>
      </c>
      <c r="P33" s="646">
        <v>1.54</v>
      </c>
      <c r="Q33" s="469">
        <f t="shared" si="80"/>
        <v>0</v>
      </c>
      <c r="R33" s="460">
        <v>0</v>
      </c>
      <c r="S33" s="673">
        <v>0</v>
      </c>
      <c r="T33" s="460">
        <v>0</v>
      </c>
      <c r="U33" s="460">
        <v>0</v>
      </c>
      <c r="V33" s="460">
        <f>SUM(Q33:U33)</f>
        <v>0</v>
      </c>
      <c r="W33" s="460">
        <v>0</v>
      </c>
      <c r="X33" s="460">
        <v>0</v>
      </c>
      <c r="Y33" s="460">
        <v>0</v>
      </c>
      <c r="Z33" s="460">
        <f t="shared" si="81"/>
        <v>0</v>
      </c>
      <c r="AA33" s="460">
        <f t="shared" si="82"/>
        <v>0</v>
      </c>
      <c r="AB33" s="69">
        <f t="shared" si="83"/>
        <v>0</v>
      </c>
      <c r="AC33" s="69">
        <f t="shared" si="84"/>
        <v>0</v>
      </c>
      <c r="AD33" s="460">
        <v>0</v>
      </c>
      <c r="AE33" s="460">
        <v>0</v>
      </c>
      <c r="AF33" s="460">
        <f t="shared" si="85"/>
        <v>0</v>
      </c>
      <c r="AG33" s="460">
        <f t="shared" si="86"/>
        <v>0</v>
      </c>
      <c r="AH33" s="461">
        <v>0</v>
      </c>
      <c r="AI33" s="461">
        <v>0</v>
      </c>
      <c r="AJ33" s="461">
        <v>0</v>
      </c>
      <c r="AK33" s="461">
        <v>0</v>
      </c>
      <c r="AL33" s="674">
        <v>0</v>
      </c>
      <c r="AM33" s="461">
        <v>0</v>
      </c>
      <c r="AN33" s="461">
        <v>0</v>
      </c>
      <c r="AO33" s="461">
        <v>0</v>
      </c>
      <c r="AP33" s="461">
        <f>AH33+AJ33+AK33+AM33+AN33</f>
        <v>0</v>
      </c>
      <c r="AQ33" s="461">
        <f>AI33+AL33+AO33</f>
        <v>0</v>
      </c>
      <c r="AR33" s="463">
        <f t="shared" si="87"/>
        <v>0</v>
      </c>
      <c r="AS33" s="469">
        <f>I33+AG33</f>
        <v>649380</v>
      </c>
      <c r="AT33" s="460">
        <f>J33+V33</f>
        <v>479807</v>
      </c>
      <c r="AU33" s="460">
        <f t="shared" si="88"/>
        <v>0</v>
      </c>
      <c r="AV33" s="460">
        <f t="shared" si="89"/>
        <v>162175</v>
      </c>
      <c r="AW33" s="460">
        <f t="shared" si="89"/>
        <v>4798</v>
      </c>
      <c r="AX33" s="460">
        <f>M33+AF33</f>
        <v>2600</v>
      </c>
      <c r="AY33" s="461">
        <f>N33+AR33</f>
        <v>1.54</v>
      </c>
      <c r="AZ33" s="461">
        <f t="shared" si="90"/>
        <v>0</v>
      </c>
      <c r="BA33" s="463">
        <f t="shared" si="90"/>
        <v>1.54</v>
      </c>
    </row>
    <row r="34" spans="1:53" ht="12.95" customHeight="1" x14ac:dyDescent="0.25">
      <c r="A34" s="221">
        <v>5</v>
      </c>
      <c r="B34" s="47">
        <v>5467</v>
      </c>
      <c r="C34" s="47">
        <v>600098648</v>
      </c>
      <c r="D34" s="47">
        <v>72743948</v>
      </c>
      <c r="E34" s="408" t="s">
        <v>479</v>
      </c>
      <c r="F34" s="409"/>
      <c r="G34" s="408"/>
      <c r="H34" s="410"/>
      <c r="I34" s="576">
        <f t="shared" ref="I34:P34" si="91">SUM(I31:I33)</f>
        <v>5417662</v>
      </c>
      <c r="J34" s="573">
        <f t="shared" si="91"/>
        <v>4002271</v>
      </c>
      <c r="K34" s="573">
        <f t="shared" si="91"/>
        <v>1352768</v>
      </c>
      <c r="L34" s="573">
        <f t="shared" si="91"/>
        <v>40023</v>
      </c>
      <c r="M34" s="573">
        <f t="shared" si="91"/>
        <v>22600</v>
      </c>
      <c r="N34" s="574">
        <f t="shared" si="91"/>
        <v>9.2199999999999989</v>
      </c>
      <c r="O34" s="574">
        <f t="shared" si="91"/>
        <v>6</v>
      </c>
      <c r="P34" s="404">
        <f t="shared" si="91"/>
        <v>3.22</v>
      </c>
      <c r="Q34" s="578">
        <f t="shared" ref="Q34:BA34" si="92">SUM(Q31:Q33)</f>
        <v>0</v>
      </c>
      <c r="R34" s="573">
        <f t="shared" si="92"/>
        <v>0</v>
      </c>
      <c r="S34" s="573">
        <f t="shared" si="92"/>
        <v>0</v>
      </c>
      <c r="T34" s="573">
        <f t="shared" si="92"/>
        <v>0</v>
      </c>
      <c r="U34" s="573">
        <f t="shared" si="92"/>
        <v>0</v>
      </c>
      <c r="V34" s="573">
        <f t="shared" si="92"/>
        <v>0</v>
      </c>
      <c r="W34" s="573">
        <f t="shared" si="92"/>
        <v>0</v>
      </c>
      <c r="X34" s="573">
        <f t="shared" si="92"/>
        <v>0</v>
      </c>
      <c r="Y34" s="573">
        <f t="shared" si="92"/>
        <v>14985</v>
      </c>
      <c r="Z34" s="573">
        <f t="shared" si="92"/>
        <v>14985</v>
      </c>
      <c r="AA34" s="573">
        <f t="shared" si="92"/>
        <v>14985</v>
      </c>
      <c r="AB34" s="573">
        <f t="shared" si="92"/>
        <v>0</v>
      </c>
      <c r="AC34" s="573">
        <f t="shared" si="92"/>
        <v>0</v>
      </c>
      <c r="AD34" s="573">
        <f t="shared" si="92"/>
        <v>0</v>
      </c>
      <c r="AE34" s="573">
        <f t="shared" si="92"/>
        <v>0</v>
      </c>
      <c r="AF34" s="573">
        <f t="shared" si="92"/>
        <v>0</v>
      </c>
      <c r="AG34" s="573">
        <f t="shared" si="92"/>
        <v>14985</v>
      </c>
      <c r="AH34" s="574">
        <f t="shared" si="92"/>
        <v>0</v>
      </c>
      <c r="AI34" s="574">
        <f t="shared" si="92"/>
        <v>0</v>
      </c>
      <c r="AJ34" s="574">
        <f t="shared" si="92"/>
        <v>0</v>
      </c>
      <c r="AK34" s="574">
        <f t="shared" si="92"/>
        <v>0</v>
      </c>
      <c r="AL34" s="574">
        <f t="shared" si="92"/>
        <v>0</v>
      </c>
      <c r="AM34" s="574">
        <f t="shared" si="92"/>
        <v>0</v>
      </c>
      <c r="AN34" s="574">
        <f t="shared" si="92"/>
        <v>0</v>
      </c>
      <c r="AO34" s="574">
        <f t="shared" si="92"/>
        <v>0</v>
      </c>
      <c r="AP34" s="574">
        <f t="shared" si="92"/>
        <v>0</v>
      </c>
      <c r="AQ34" s="574">
        <f t="shared" si="92"/>
        <v>0</v>
      </c>
      <c r="AR34" s="404">
        <f t="shared" si="92"/>
        <v>0</v>
      </c>
      <c r="AS34" s="578">
        <f t="shared" si="92"/>
        <v>5432647</v>
      </c>
      <c r="AT34" s="573">
        <f t="shared" si="92"/>
        <v>4002271</v>
      </c>
      <c r="AU34" s="573">
        <f t="shared" si="92"/>
        <v>14985</v>
      </c>
      <c r="AV34" s="573">
        <f t="shared" si="92"/>
        <v>1352768</v>
      </c>
      <c r="AW34" s="573">
        <f t="shared" si="92"/>
        <v>40023</v>
      </c>
      <c r="AX34" s="573">
        <f t="shared" si="92"/>
        <v>22600</v>
      </c>
      <c r="AY34" s="574">
        <f t="shared" si="92"/>
        <v>9.2199999999999989</v>
      </c>
      <c r="AZ34" s="574">
        <f t="shared" si="92"/>
        <v>6</v>
      </c>
      <c r="BA34" s="404">
        <f t="shared" si="92"/>
        <v>3.22</v>
      </c>
    </row>
    <row r="35" spans="1:53" ht="12.95" customHeight="1" x14ac:dyDescent="0.25">
      <c r="A35" s="299">
        <v>6</v>
      </c>
      <c r="B35" s="220">
        <v>5463</v>
      </c>
      <c r="C35" s="220">
        <v>600098877</v>
      </c>
      <c r="D35" s="220">
        <v>72743786</v>
      </c>
      <c r="E35" s="219" t="s">
        <v>480</v>
      </c>
      <c r="F35" s="220">
        <v>3111</v>
      </c>
      <c r="G35" s="398" t="s">
        <v>321</v>
      </c>
      <c r="H35" s="304" t="s">
        <v>277</v>
      </c>
      <c r="I35" s="462">
        <f t="shared" ref="I35:I37" si="93">SUM(J35:M35)</f>
        <v>5010852</v>
      </c>
      <c r="J35" s="457">
        <v>3698184</v>
      </c>
      <c r="K35" s="457">
        <f t="shared" ref="K35:K37" si="94">ROUND(J35*33.8%,0)</f>
        <v>1249986</v>
      </c>
      <c r="L35" s="457">
        <f t="shared" ref="L35:L37" si="95">ROUND(J35*1%,0)</f>
        <v>36982</v>
      </c>
      <c r="M35" s="457">
        <v>25700</v>
      </c>
      <c r="N35" s="458">
        <f t="shared" ref="N35:N37" si="96">O35+P35</f>
        <v>7.9219000000000008</v>
      </c>
      <c r="O35" s="459">
        <v>6.2419000000000002</v>
      </c>
      <c r="P35" s="646">
        <v>1.6800000000000002</v>
      </c>
      <c r="Q35" s="469">
        <f t="shared" ref="Q35:Q37" si="97">W35*-1</f>
        <v>0</v>
      </c>
      <c r="R35" s="460">
        <v>0</v>
      </c>
      <c r="S35" s="673">
        <v>0</v>
      </c>
      <c r="T35" s="460">
        <v>0</v>
      </c>
      <c r="U35" s="460">
        <v>0</v>
      </c>
      <c r="V35" s="460">
        <f>SUM(Q35:U35)</f>
        <v>0</v>
      </c>
      <c r="W35" s="460">
        <v>0</v>
      </c>
      <c r="X35" s="460">
        <v>0</v>
      </c>
      <c r="Y35" s="460">
        <v>0</v>
      </c>
      <c r="Z35" s="460">
        <f t="shared" ref="Z35:Z37" si="98">SUM(W35:Y35)</f>
        <v>0</v>
      </c>
      <c r="AA35" s="460">
        <f t="shared" ref="AA35:AA37" si="99">V35+Z35</f>
        <v>0</v>
      </c>
      <c r="AB35" s="69">
        <f t="shared" ref="AB35:AB37" si="100">ROUND((V35+W35+X35)*33.8%,0)</f>
        <v>0</v>
      </c>
      <c r="AC35" s="69">
        <f t="shared" ref="AC35:AC37" si="101">ROUND(V35*1%,0)</f>
        <v>0</v>
      </c>
      <c r="AD35" s="460">
        <v>0</v>
      </c>
      <c r="AE35" s="460">
        <v>0</v>
      </c>
      <c r="AF35" s="460">
        <f t="shared" ref="AF35:AF37" si="102">SUM(AD35:AE35)</f>
        <v>0</v>
      </c>
      <c r="AG35" s="460">
        <f t="shared" ref="AG35:AG37" si="103">AA35+AB35+AC35+AF35</f>
        <v>0</v>
      </c>
      <c r="AH35" s="461">
        <v>0</v>
      </c>
      <c r="AI35" s="461">
        <v>0</v>
      </c>
      <c r="AJ35" s="461">
        <v>0</v>
      </c>
      <c r="AK35" s="461">
        <v>0</v>
      </c>
      <c r="AL35" s="674">
        <v>0</v>
      </c>
      <c r="AM35" s="461">
        <v>0</v>
      </c>
      <c r="AN35" s="461">
        <v>0</v>
      </c>
      <c r="AO35" s="461">
        <v>0</v>
      </c>
      <c r="AP35" s="461">
        <f>AH35+AJ35+AK35+AM35+AN35</f>
        <v>0</v>
      </c>
      <c r="AQ35" s="461">
        <f>AI35+AL35+AO35</f>
        <v>0</v>
      </c>
      <c r="AR35" s="463">
        <f t="shared" ref="AR35:AR37" si="104">SUM(AP35:AQ35)</f>
        <v>0</v>
      </c>
      <c r="AS35" s="469">
        <f>I35+AG35</f>
        <v>5010852</v>
      </c>
      <c r="AT35" s="460">
        <f>J35+V35</f>
        <v>3698184</v>
      </c>
      <c r="AU35" s="460">
        <f t="shared" ref="AU35:AU37" si="105">Z35</f>
        <v>0</v>
      </c>
      <c r="AV35" s="460">
        <f t="shared" ref="AV35:AW37" si="106">K35+AB35</f>
        <v>1249986</v>
      </c>
      <c r="AW35" s="460">
        <f t="shared" si="106"/>
        <v>36982</v>
      </c>
      <c r="AX35" s="460">
        <f>M35+AF35</f>
        <v>25700</v>
      </c>
      <c r="AY35" s="461">
        <f>N35+AR35</f>
        <v>7.9219000000000008</v>
      </c>
      <c r="AZ35" s="461">
        <f t="shared" ref="AZ35:BA37" si="107">O35+AP35</f>
        <v>6.2419000000000002</v>
      </c>
      <c r="BA35" s="463">
        <f t="shared" si="107"/>
        <v>1.6800000000000002</v>
      </c>
    </row>
    <row r="36" spans="1:53" ht="12.95" customHeight="1" x14ac:dyDescent="0.25">
      <c r="A36" s="299">
        <v>6</v>
      </c>
      <c r="B36" s="220">
        <v>5463</v>
      </c>
      <c r="C36" s="220">
        <v>600098877</v>
      </c>
      <c r="D36" s="220">
        <v>72743786</v>
      </c>
      <c r="E36" s="397" t="s">
        <v>480</v>
      </c>
      <c r="F36" s="220">
        <v>3111</v>
      </c>
      <c r="G36" s="342" t="s">
        <v>308</v>
      </c>
      <c r="H36" s="304" t="s">
        <v>278</v>
      </c>
      <c r="I36" s="462">
        <f t="shared" si="93"/>
        <v>0</v>
      </c>
      <c r="J36" s="457">
        <v>0</v>
      </c>
      <c r="K36" s="457">
        <f t="shared" si="94"/>
        <v>0</v>
      </c>
      <c r="L36" s="457">
        <f t="shared" si="95"/>
        <v>0</v>
      </c>
      <c r="M36" s="457">
        <v>0</v>
      </c>
      <c r="N36" s="458">
        <f t="shared" si="96"/>
        <v>0</v>
      </c>
      <c r="O36" s="459">
        <v>0</v>
      </c>
      <c r="P36" s="646">
        <v>0</v>
      </c>
      <c r="Q36" s="469">
        <f t="shared" si="97"/>
        <v>0</v>
      </c>
      <c r="R36" s="460">
        <v>23136</v>
      </c>
      <c r="S36" s="673">
        <v>0</v>
      </c>
      <c r="T36" s="460">
        <v>0</v>
      </c>
      <c r="U36" s="460">
        <v>0</v>
      </c>
      <c r="V36" s="460">
        <f>SUM(Q36:U36)</f>
        <v>23136</v>
      </c>
      <c r="W36" s="460">
        <v>0</v>
      </c>
      <c r="X36" s="460">
        <v>0</v>
      </c>
      <c r="Y36" s="460">
        <v>0</v>
      </c>
      <c r="Z36" s="460">
        <f t="shared" si="98"/>
        <v>0</v>
      </c>
      <c r="AA36" s="460">
        <f t="shared" si="99"/>
        <v>23136</v>
      </c>
      <c r="AB36" s="69">
        <f t="shared" si="100"/>
        <v>7820</v>
      </c>
      <c r="AC36" s="69">
        <f t="shared" si="101"/>
        <v>231</v>
      </c>
      <c r="AD36" s="460">
        <v>0</v>
      </c>
      <c r="AE36" s="460">
        <v>0</v>
      </c>
      <c r="AF36" s="460">
        <f t="shared" si="102"/>
        <v>0</v>
      </c>
      <c r="AG36" s="460">
        <f t="shared" si="103"/>
        <v>31187</v>
      </c>
      <c r="AH36" s="461">
        <v>0</v>
      </c>
      <c r="AI36" s="461">
        <v>0</v>
      </c>
      <c r="AJ36" s="461">
        <v>0.05</v>
      </c>
      <c r="AK36" s="461">
        <v>0</v>
      </c>
      <c r="AL36" s="674">
        <v>0</v>
      </c>
      <c r="AM36" s="461">
        <v>0</v>
      </c>
      <c r="AN36" s="461">
        <v>0</v>
      </c>
      <c r="AO36" s="461">
        <v>0</v>
      </c>
      <c r="AP36" s="461">
        <f>AH36+AJ36+AK36+AM36+AN36</f>
        <v>0.05</v>
      </c>
      <c r="AQ36" s="461">
        <f>AI36+AL36+AO36</f>
        <v>0</v>
      </c>
      <c r="AR36" s="463">
        <f t="shared" si="104"/>
        <v>0.05</v>
      </c>
      <c r="AS36" s="469">
        <f>I36+AG36</f>
        <v>31187</v>
      </c>
      <c r="AT36" s="460">
        <f>J36+V36</f>
        <v>23136</v>
      </c>
      <c r="AU36" s="460">
        <f t="shared" si="105"/>
        <v>0</v>
      </c>
      <c r="AV36" s="460">
        <f t="shared" si="106"/>
        <v>7820</v>
      </c>
      <c r="AW36" s="460">
        <f t="shared" si="106"/>
        <v>231</v>
      </c>
      <c r="AX36" s="460">
        <f>M36+AF36</f>
        <v>0</v>
      </c>
      <c r="AY36" s="461">
        <f>N36+AR36</f>
        <v>0.05</v>
      </c>
      <c r="AZ36" s="461">
        <f t="shared" si="107"/>
        <v>0.05</v>
      </c>
      <c r="BA36" s="463">
        <f t="shared" si="107"/>
        <v>0</v>
      </c>
    </row>
    <row r="37" spans="1:53" ht="12.95" customHeight="1" x14ac:dyDescent="0.25">
      <c r="A37" s="299">
        <v>6</v>
      </c>
      <c r="B37" s="220">
        <v>5463</v>
      </c>
      <c r="C37" s="220">
        <v>600098877</v>
      </c>
      <c r="D37" s="220">
        <v>72743786</v>
      </c>
      <c r="E37" s="397" t="s">
        <v>480</v>
      </c>
      <c r="F37" s="220">
        <v>3141</v>
      </c>
      <c r="G37" s="398" t="s">
        <v>311</v>
      </c>
      <c r="H37" s="304" t="s">
        <v>278</v>
      </c>
      <c r="I37" s="462">
        <f t="shared" si="93"/>
        <v>675680</v>
      </c>
      <c r="J37" s="457">
        <v>499202</v>
      </c>
      <c r="K37" s="457">
        <f t="shared" si="94"/>
        <v>168730</v>
      </c>
      <c r="L37" s="457">
        <f t="shared" si="95"/>
        <v>4992</v>
      </c>
      <c r="M37" s="457">
        <v>2756</v>
      </c>
      <c r="N37" s="458">
        <f t="shared" si="96"/>
        <v>1.6</v>
      </c>
      <c r="O37" s="459">
        <v>0</v>
      </c>
      <c r="P37" s="646">
        <v>1.6</v>
      </c>
      <c r="Q37" s="469">
        <f t="shared" si="97"/>
        <v>0</v>
      </c>
      <c r="R37" s="460">
        <v>0</v>
      </c>
      <c r="S37" s="673">
        <v>0</v>
      </c>
      <c r="T37" s="460">
        <v>0</v>
      </c>
      <c r="U37" s="460">
        <v>0</v>
      </c>
      <c r="V37" s="460">
        <f>SUM(Q37:U37)</f>
        <v>0</v>
      </c>
      <c r="W37" s="460">
        <v>0</v>
      </c>
      <c r="X37" s="460">
        <v>0</v>
      </c>
      <c r="Y37" s="460">
        <v>0</v>
      </c>
      <c r="Z37" s="460">
        <f t="shared" si="98"/>
        <v>0</v>
      </c>
      <c r="AA37" s="460">
        <f t="shared" si="99"/>
        <v>0</v>
      </c>
      <c r="AB37" s="69">
        <f t="shared" si="100"/>
        <v>0</v>
      </c>
      <c r="AC37" s="69">
        <f t="shared" si="101"/>
        <v>0</v>
      </c>
      <c r="AD37" s="460">
        <v>0</v>
      </c>
      <c r="AE37" s="460">
        <v>0</v>
      </c>
      <c r="AF37" s="460">
        <f t="shared" si="102"/>
        <v>0</v>
      </c>
      <c r="AG37" s="460">
        <f t="shared" si="103"/>
        <v>0</v>
      </c>
      <c r="AH37" s="461">
        <v>0</v>
      </c>
      <c r="AI37" s="461">
        <v>0</v>
      </c>
      <c r="AJ37" s="461">
        <v>0</v>
      </c>
      <c r="AK37" s="461">
        <v>0</v>
      </c>
      <c r="AL37" s="674">
        <v>0</v>
      </c>
      <c r="AM37" s="461">
        <v>0</v>
      </c>
      <c r="AN37" s="461">
        <v>0</v>
      </c>
      <c r="AO37" s="461">
        <v>0</v>
      </c>
      <c r="AP37" s="461">
        <f>AH37+AJ37+AK37+AM37+AN37</f>
        <v>0</v>
      </c>
      <c r="AQ37" s="461">
        <f>AI37+AL37+AO37</f>
        <v>0</v>
      </c>
      <c r="AR37" s="463">
        <f t="shared" si="104"/>
        <v>0</v>
      </c>
      <c r="AS37" s="469">
        <f>I37+AG37</f>
        <v>675680</v>
      </c>
      <c r="AT37" s="460">
        <f>J37+V37</f>
        <v>499202</v>
      </c>
      <c r="AU37" s="460">
        <f t="shared" si="105"/>
        <v>0</v>
      </c>
      <c r="AV37" s="460">
        <f t="shared" si="106"/>
        <v>168730</v>
      </c>
      <c r="AW37" s="460">
        <f t="shared" si="106"/>
        <v>4992</v>
      </c>
      <c r="AX37" s="460">
        <f>M37+AF37</f>
        <v>2756</v>
      </c>
      <c r="AY37" s="461">
        <f>N37+AR37</f>
        <v>1.6</v>
      </c>
      <c r="AZ37" s="461">
        <f t="shared" si="107"/>
        <v>0</v>
      </c>
      <c r="BA37" s="463">
        <f t="shared" si="107"/>
        <v>1.6</v>
      </c>
    </row>
    <row r="38" spans="1:53" ht="12.95" customHeight="1" x14ac:dyDescent="0.25">
      <c r="A38" s="221">
        <v>6</v>
      </c>
      <c r="B38" s="46">
        <v>5463</v>
      </c>
      <c r="C38" s="46">
        <v>600098877</v>
      </c>
      <c r="D38" s="46">
        <v>72743786</v>
      </c>
      <c r="E38" s="399" t="s">
        <v>481</v>
      </c>
      <c r="F38" s="46"/>
      <c r="G38" s="399"/>
      <c r="H38" s="186"/>
      <c r="I38" s="575">
        <f t="shared" ref="I38:P38" si="108">SUM(I35:I37)</f>
        <v>5686532</v>
      </c>
      <c r="J38" s="571">
        <f t="shared" si="108"/>
        <v>4197386</v>
      </c>
      <c r="K38" s="571">
        <f t="shared" si="108"/>
        <v>1418716</v>
      </c>
      <c r="L38" s="571">
        <f t="shared" si="108"/>
        <v>41974</v>
      </c>
      <c r="M38" s="571">
        <f t="shared" si="108"/>
        <v>28456</v>
      </c>
      <c r="N38" s="572">
        <f t="shared" si="108"/>
        <v>9.5219000000000005</v>
      </c>
      <c r="O38" s="572">
        <f t="shared" si="108"/>
        <v>6.2419000000000002</v>
      </c>
      <c r="P38" s="400">
        <f t="shared" si="108"/>
        <v>3.2800000000000002</v>
      </c>
      <c r="Q38" s="577">
        <f t="shared" ref="Q38:BA38" si="109">SUM(Q35:Q37)</f>
        <v>0</v>
      </c>
      <c r="R38" s="571">
        <f t="shared" si="109"/>
        <v>23136</v>
      </c>
      <c r="S38" s="571">
        <f t="shared" si="109"/>
        <v>0</v>
      </c>
      <c r="T38" s="571">
        <f t="shared" si="109"/>
        <v>0</v>
      </c>
      <c r="U38" s="571">
        <f t="shared" si="109"/>
        <v>0</v>
      </c>
      <c r="V38" s="571">
        <f t="shared" si="109"/>
        <v>23136</v>
      </c>
      <c r="W38" s="571">
        <f t="shared" si="109"/>
        <v>0</v>
      </c>
      <c r="X38" s="571">
        <f t="shared" si="109"/>
        <v>0</v>
      </c>
      <c r="Y38" s="571">
        <f t="shared" si="109"/>
        <v>0</v>
      </c>
      <c r="Z38" s="571">
        <f t="shared" si="109"/>
        <v>0</v>
      </c>
      <c r="AA38" s="571">
        <f t="shared" si="109"/>
        <v>23136</v>
      </c>
      <c r="AB38" s="571">
        <f t="shared" si="109"/>
        <v>7820</v>
      </c>
      <c r="AC38" s="571">
        <f t="shared" si="109"/>
        <v>231</v>
      </c>
      <c r="AD38" s="571">
        <f t="shared" si="109"/>
        <v>0</v>
      </c>
      <c r="AE38" s="571">
        <f t="shared" si="109"/>
        <v>0</v>
      </c>
      <c r="AF38" s="571">
        <f t="shared" si="109"/>
        <v>0</v>
      </c>
      <c r="AG38" s="571">
        <f t="shared" si="109"/>
        <v>31187</v>
      </c>
      <c r="AH38" s="572">
        <f t="shared" si="109"/>
        <v>0</v>
      </c>
      <c r="AI38" s="572">
        <f t="shared" si="109"/>
        <v>0</v>
      </c>
      <c r="AJ38" s="572">
        <f t="shared" si="109"/>
        <v>0.05</v>
      </c>
      <c r="AK38" s="572">
        <f t="shared" si="109"/>
        <v>0</v>
      </c>
      <c r="AL38" s="572">
        <f t="shared" si="109"/>
        <v>0</v>
      </c>
      <c r="AM38" s="572">
        <f t="shared" si="109"/>
        <v>0</v>
      </c>
      <c r="AN38" s="572">
        <f t="shared" si="109"/>
        <v>0</v>
      </c>
      <c r="AO38" s="572">
        <f t="shared" si="109"/>
        <v>0</v>
      </c>
      <c r="AP38" s="572">
        <f t="shared" si="109"/>
        <v>0.05</v>
      </c>
      <c r="AQ38" s="572">
        <f t="shared" si="109"/>
        <v>0</v>
      </c>
      <c r="AR38" s="400">
        <f t="shared" si="109"/>
        <v>0.05</v>
      </c>
      <c r="AS38" s="577">
        <f t="shared" si="109"/>
        <v>5717719</v>
      </c>
      <c r="AT38" s="571">
        <f t="shared" si="109"/>
        <v>4220522</v>
      </c>
      <c r="AU38" s="571">
        <f t="shared" si="109"/>
        <v>0</v>
      </c>
      <c r="AV38" s="571">
        <f t="shared" si="109"/>
        <v>1426536</v>
      </c>
      <c r="AW38" s="571">
        <f t="shared" si="109"/>
        <v>42205</v>
      </c>
      <c r="AX38" s="571">
        <f t="shared" si="109"/>
        <v>28456</v>
      </c>
      <c r="AY38" s="572">
        <f t="shared" si="109"/>
        <v>9.5719000000000012</v>
      </c>
      <c r="AZ38" s="572">
        <f t="shared" si="109"/>
        <v>6.2919</v>
      </c>
      <c r="BA38" s="400">
        <f t="shared" si="109"/>
        <v>3.2800000000000002</v>
      </c>
    </row>
    <row r="39" spans="1:53" ht="12.95" customHeight="1" x14ac:dyDescent="0.25">
      <c r="A39" s="299">
        <v>7</v>
      </c>
      <c r="B39" s="220">
        <v>5461</v>
      </c>
      <c r="C39" s="220">
        <v>600098915</v>
      </c>
      <c r="D39" s="220">
        <v>72743701</v>
      </c>
      <c r="E39" s="219" t="s">
        <v>482</v>
      </c>
      <c r="F39" s="220">
        <v>3111</v>
      </c>
      <c r="G39" s="398" t="s">
        <v>321</v>
      </c>
      <c r="H39" s="304" t="s">
        <v>277</v>
      </c>
      <c r="I39" s="462">
        <f t="shared" ref="I39:I40" si="110">SUM(J39:M39)</f>
        <v>3300125</v>
      </c>
      <c r="J39" s="457">
        <v>2432066</v>
      </c>
      <c r="K39" s="457">
        <f t="shared" ref="K39:K40" si="111">ROUND(J39*33.8%,0)</f>
        <v>822038</v>
      </c>
      <c r="L39" s="457">
        <f t="shared" ref="L39:L40" si="112">ROUND(J39*1%,0)</f>
        <v>24321</v>
      </c>
      <c r="M39" s="457">
        <v>21700</v>
      </c>
      <c r="N39" s="458">
        <f t="shared" ref="N39:N40" si="113">O39+P39</f>
        <v>5.2</v>
      </c>
      <c r="O39" s="459">
        <v>4</v>
      </c>
      <c r="P39" s="646">
        <v>1.2000000000000002</v>
      </c>
      <c r="Q39" s="469">
        <f t="shared" ref="Q39:Q40" si="114">W39*-1</f>
        <v>0</v>
      </c>
      <c r="R39" s="460">
        <v>0</v>
      </c>
      <c r="S39" s="673">
        <v>0</v>
      </c>
      <c r="T39" s="460">
        <v>0</v>
      </c>
      <c r="U39" s="460">
        <v>0</v>
      </c>
      <c r="V39" s="460">
        <f>SUM(Q39:U39)</f>
        <v>0</v>
      </c>
      <c r="W39" s="460">
        <v>0</v>
      </c>
      <c r="X39" s="460">
        <v>0</v>
      </c>
      <c r="Y39" s="460">
        <v>0</v>
      </c>
      <c r="Z39" s="460">
        <f t="shared" ref="Z39:Z40" si="115">SUM(W39:Y39)</f>
        <v>0</v>
      </c>
      <c r="AA39" s="460">
        <f t="shared" ref="AA39:AA40" si="116">V39+Z39</f>
        <v>0</v>
      </c>
      <c r="AB39" s="69">
        <f t="shared" ref="AB39:AB40" si="117">ROUND((V39+W39+X39)*33.8%,0)</f>
        <v>0</v>
      </c>
      <c r="AC39" s="69">
        <f t="shared" ref="AC39:AC40" si="118">ROUND(V39*1%,0)</f>
        <v>0</v>
      </c>
      <c r="AD39" s="460">
        <v>0</v>
      </c>
      <c r="AE39" s="460">
        <v>0</v>
      </c>
      <c r="AF39" s="460">
        <f t="shared" ref="AF39:AF40" si="119">SUM(AD39:AE39)</f>
        <v>0</v>
      </c>
      <c r="AG39" s="460">
        <f t="shared" ref="AG39:AG40" si="120">AA39+AB39+AC39+AF39</f>
        <v>0</v>
      </c>
      <c r="AH39" s="461">
        <v>0</v>
      </c>
      <c r="AI39" s="461">
        <v>0</v>
      </c>
      <c r="AJ39" s="461">
        <v>0</v>
      </c>
      <c r="AK39" s="461">
        <v>0</v>
      </c>
      <c r="AL39" s="674">
        <v>0</v>
      </c>
      <c r="AM39" s="461">
        <v>0</v>
      </c>
      <c r="AN39" s="461">
        <v>0</v>
      </c>
      <c r="AO39" s="461">
        <v>0</v>
      </c>
      <c r="AP39" s="461">
        <f>AH39+AJ39+AK39+AM39+AN39</f>
        <v>0</v>
      </c>
      <c r="AQ39" s="461">
        <f>AI39+AL39+AO39</f>
        <v>0</v>
      </c>
      <c r="AR39" s="463">
        <f t="shared" ref="AR39:AR40" si="121">SUM(AP39:AQ39)</f>
        <v>0</v>
      </c>
      <c r="AS39" s="469">
        <f>I39+AG39</f>
        <v>3300125</v>
      </c>
      <c r="AT39" s="460">
        <f>J39+V39</f>
        <v>2432066</v>
      </c>
      <c r="AU39" s="460">
        <f t="shared" ref="AU39:AU40" si="122">Z39</f>
        <v>0</v>
      </c>
      <c r="AV39" s="460">
        <f>K39+AB39</f>
        <v>822038</v>
      </c>
      <c r="AW39" s="460">
        <f>L39+AC39</f>
        <v>24321</v>
      </c>
      <c r="AX39" s="460">
        <f>M39+AF39</f>
        <v>21700</v>
      </c>
      <c r="AY39" s="461">
        <f>N39+AR39</f>
        <v>5.2</v>
      </c>
      <c r="AZ39" s="461">
        <f>O39+AP39</f>
        <v>4</v>
      </c>
      <c r="BA39" s="463">
        <f>P39+AQ39</f>
        <v>1.2000000000000002</v>
      </c>
    </row>
    <row r="40" spans="1:53" ht="12.95" customHeight="1" x14ac:dyDescent="0.25">
      <c r="A40" s="299">
        <v>7</v>
      </c>
      <c r="B40" s="406">
        <v>5461</v>
      </c>
      <c r="C40" s="406">
        <v>600098915</v>
      </c>
      <c r="D40" s="406">
        <v>72743701</v>
      </c>
      <c r="E40" s="405" t="s">
        <v>482</v>
      </c>
      <c r="F40" s="406">
        <v>3141</v>
      </c>
      <c r="G40" s="398" t="s">
        <v>311</v>
      </c>
      <c r="H40" s="304" t="s">
        <v>278</v>
      </c>
      <c r="I40" s="462">
        <f t="shared" si="110"/>
        <v>585255</v>
      </c>
      <c r="J40" s="457">
        <v>432507</v>
      </c>
      <c r="K40" s="457">
        <f t="shared" si="111"/>
        <v>146187</v>
      </c>
      <c r="L40" s="457">
        <f t="shared" si="112"/>
        <v>4325</v>
      </c>
      <c r="M40" s="457">
        <v>2236</v>
      </c>
      <c r="N40" s="458">
        <f t="shared" si="113"/>
        <v>1.39</v>
      </c>
      <c r="O40" s="459">
        <v>0</v>
      </c>
      <c r="P40" s="646">
        <v>1.39</v>
      </c>
      <c r="Q40" s="469">
        <f t="shared" si="114"/>
        <v>0</v>
      </c>
      <c r="R40" s="460">
        <v>0</v>
      </c>
      <c r="S40" s="673">
        <v>0</v>
      </c>
      <c r="T40" s="460">
        <v>0</v>
      </c>
      <c r="U40" s="460">
        <v>0</v>
      </c>
      <c r="V40" s="460">
        <f>SUM(Q40:U40)</f>
        <v>0</v>
      </c>
      <c r="W40" s="460">
        <v>0</v>
      </c>
      <c r="X40" s="460">
        <v>0</v>
      </c>
      <c r="Y40" s="460">
        <v>0</v>
      </c>
      <c r="Z40" s="460">
        <f t="shared" si="115"/>
        <v>0</v>
      </c>
      <c r="AA40" s="460">
        <f t="shared" si="116"/>
        <v>0</v>
      </c>
      <c r="AB40" s="69">
        <f t="shared" si="117"/>
        <v>0</v>
      </c>
      <c r="AC40" s="69">
        <f t="shared" si="118"/>
        <v>0</v>
      </c>
      <c r="AD40" s="460">
        <v>0</v>
      </c>
      <c r="AE40" s="460">
        <v>0</v>
      </c>
      <c r="AF40" s="460">
        <f t="shared" si="119"/>
        <v>0</v>
      </c>
      <c r="AG40" s="460">
        <f t="shared" si="120"/>
        <v>0</v>
      </c>
      <c r="AH40" s="461">
        <v>0</v>
      </c>
      <c r="AI40" s="461">
        <v>0</v>
      </c>
      <c r="AJ40" s="461">
        <v>0</v>
      </c>
      <c r="AK40" s="461">
        <v>0</v>
      </c>
      <c r="AL40" s="674">
        <v>0</v>
      </c>
      <c r="AM40" s="461">
        <v>0</v>
      </c>
      <c r="AN40" s="461">
        <v>0</v>
      </c>
      <c r="AO40" s="461">
        <v>0</v>
      </c>
      <c r="AP40" s="461">
        <f>AH40+AJ40+AK40+AM40+AN40</f>
        <v>0</v>
      </c>
      <c r="AQ40" s="461">
        <f>AI40+AL40+AO40</f>
        <v>0</v>
      </c>
      <c r="AR40" s="463">
        <f t="shared" si="121"/>
        <v>0</v>
      </c>
      <c r="AS40" s="469">
        <f>I40+AG40</f>
        <v>585255</v>
      </c>
      <c r="AT40" s="460">
        <f>J40+V40</f>
        <v>432507</v>
      </c>
      <c r="AU40" s="460">
        <f t="shared" si="122"/>
        <v>0</v>
      </c>
      <c r="AV40" s="460">
        <f>K40+AB40</f>
        <v>146187</v>
      </c>
      <c r="AW40" s="460">
        <f>L40+AC40</f>
        <v>4325</v>
      </c>
      <c r="AX40" s="460">
        <f>M40+AF40</f>
        <v>2236</v>
      </c>
      <c r="AY40" s="461">
        <f>N40+AR40</f>
        <v>1.39</v>
      </c>
      <c r="AZ40" s="461">
        <f>O40+AP40</f>
        <v>0</v>
      </c>
      <c r="BA40" s="463">
        <f>P40+AQ40</f>
        <v>1.39</v>
      </c>
    </row>
    <row r="41" spans="1:53" ht="12.95" customHeight="1" x14ac:dyDescent="0.25">
      <c r="A41" s="221">
        <v>7</v>
      </c>
      <c r="B41" s="48">
        <v>5461</v>
      </c>
      <c r="C41" s="48">
        <v>600098915</v>
      </c>
      <c r="D41" s="48">
        <v>72743701</v>
      </c>
      <c r="E41" s="411" t="s">
        <v>483</v>
      </c>
      <c r="F41" s="48"/>
      <c r="G41" s="411"/>
      <c r="H41" s="188"/>
      <c r="I41" s="536">
        <f t="shared" ref="I41:P41" si="123">SUM(I39:I40)</f>
        <v>3885380</v>
      </c>
      <c r="J41" s="532">
        <f t="shared" si="123"/>
        <v>2864573</v>
      </c>
      <c r="K41" s="532">
        <f t="shared" si="123"/>
        <v>968225</v>
      </c>
      <c r="L41" s="532">
        <f t="shared" si="123"/>
        <v>28646</v>
      </c>
      <c r="M41" s="532">
        <f t="shared" si="123"/>
        <v>23936</v>
      </c>
      <c r="N41" s="533">
        <f t="shared" si="123"/>
        <v>6.59</v>
      </c>
      <c r="O41" s="533">
        <f t="shared" si="123"/>
        <v>4</v>
      </c>
      <c r="P41" s="298">
        <f t="shared" si="123"/>
        <v>2.59</v>
      </c>
      <c r="Q41" s="538">
        <f t="shared" ref="Q41:BA41" si="124">SUM(Q39:Q40)</f>
        <v>0</v>
      </c>
      <c r="R41" s="532">
        <f t="shared" si="124"/>
        <v>0</v>
      </c>
      <c r="S41" s="532">
        <f t="shared" si="124"/>
        <v>0</v>
      </c>
      <c r="T41" s="532">
        <f t="shared" si="124"/>
        <v>0</v>
      </c>
      <c r="U41" s="532">
        <f t="shared" si="124"/>
        <v>0</v>
      </c>
      <c r="V41" s="532">
        <f t="shared" si="124"/>
        <v>0</v>
      </c>
      <c r="W41" s="532">
        <f t="shared" si="124"/>
        <v>0</v>
      </c>
      <c r="X41" s="532">
        <f t="shared" si="124"/>
        <v>0</v>
      </c>
      <c r="Y41" s="532">
        <f t="shared" si="124"/>
        <v>0</v>
      </c>
      <c r="Z41" s="532">
        <f t="shared" si="124"/>
        <v>0</v>
      </c>
      <c r="AA41" s="532">
        <f t="shared" si="124"/>
        <v>0</v>
      </c>
      <c r="AB41" s="532">
        <f t="shared" si="124"/>
        <v>0</v>
      </c>
      <c r="AC41" s="532">
        <f t="shared" si="124"/>
        <v>0</v>
      </c>
      <c r="AD41" s="532">
        <f t="shared" si="124"/>
        <v>0</v>
      </c>
      <c r="AE41" s="532">
        <f t="shared" si="124"/>
        <v>0</v>
      </c>
      <c r="AF41" s="532">
        <f t="shared" si="124"/>
        <v>0</v>
      </c>
      <c r="AG41" s="532">
        <f t="shared" si="124"/>
        <v>0</v>
      </c>
      <c r="AH41" s="533">
        <f t="shared" si="124"/>
        <v>0</v>
      </c>
      <c r="AI41" s="533">
        <f t="shared" si="124"/>
        <v>0</v>
      </c>
      <c r="AJ41" s="533">
        <f t="shared" si="124"/>
        <v>0</v>
      </c>
      <c r="AK41" s="533">
        <f t="shared" si="124"/>
        <v>0</v>
      </c>
      <c r="AL41" s="533">
        <f t="shared" si="124"/>
        <v>0</v>
      </c>
      <c r="AM41" s="533">
        <f t="shared" si="124"/>
        <v>0</v>
      </c>
      <c r="AN41" s="533">
        <f t="shared" si="124"/>
        <v>0</v>
      </c>
      <c r="AO41" s="533">
        <f t="shared" si="124"/>
        <v>0</v>
      </c>
      <c r="AP41" s="533">
        <f t="shared" si="124"/>
        <v>0</v>
      </c>
      <c r="AQ41" s="533">
        <f t="shared" si="124"/>
        <v>0</v>
      </c>
      <c r="AR41" s="298">
        <f t="shared" si="124"/>
        <v>0</v>
      </c>
      <c r="AS41" s="538">
        <f t="shared" si="124"/>
        <v>3885380</v>
      </c>
      <c r="AT41" s="532">
        <f t="shared" si="124"/>
        <v>2864573</v>
      </c>
      <c r="AU41" s="532">
        <f t="shared" si="124"/>
        <v>0</v>
      </c>
      <c r="AV41" s="532">
        <f t="shared" si="124"/>
        <v>968225</v>
      </c>
      <c r="AW41" s="532">
        <f t="shared" si="124"/>
        <v>28646</v>
      </c>
      <c r="AX41" s="532">
        <f t="shared" si="124"/>
        <v>23936</v>
      </c>
      <c r="AY41" s="533">
        <f t="shared" si="124"/>
        <v>6.59</v>
      </c>
      <c r="AZ41" s="533">
        <f t="shared" si="124"/>
        <v>4</v>
      </c>
      <c r="BA41" s="298">
        <f t="shared" si="124"/>
        <v>2.59</v>
      </c>
    </row>
    <row r="42" spans="1:53" ht="12.95" customHeight="1" x14ac:dyDescent="0.25">
      <c r="A42" s="299">
        <v>8</v>
      </c>
      <c r="B42" s="395">
        <v>5466</v>
      </c>
      <c r="C42" s="395">
        <v>600098885</v>
      </c>
      <c r="D42" s="395">
        <v>72743794</v>
      </c>
      <c r="E42" s="396" t="s">
        <v>484</v>
      </c>
      <c r="F42" s="395">
        <v>3111</v>
      </c>
      <c r="G42" s="398" t="s">
        <v>321</v>
      </c>
      <c r="H42" s="304" t="s">
        <v>277</v>
      </c>
      <c r="I42" s="462">
        <f t="shared" ref="I42:I44" si="125">SUM(J42:M42)</f>
        <v>8815983</v>
      </c>
      <c r="J42" s="457">
        <v>6503355</v>
      </c>
      <c r="K42" s="457">
        <f t="shared" ref="K42:K44" si="126">ROUND(J42*33.8%,0)</f>
        <v>2198134</v>
      </c>
      <c r="L42" s="457">
        <f t="shared" ref="L42:L44" si="127">ROUND(J42*1%,0)</f>
        <v>65034</v>
      </c>
      <c r="M42" s="457">
        <v>49460</v>
      </c>
      <c r="N42" s="458">
        <f t="shared" ref="N42:N44" si="128">O42+P42</f>
        <v>13.07</v>
      </c>
      <c r="O42" s="459">
        <v>10</v>
      </c>
      <c r="P42" s="646">
        <v>3.0700000000000003</v>
      </c>
      <c r="Q42" s="469">
        <f t="shared" ref="Q42:Q44" si="129">W42*-1</f>
        <v>0</v>
      </c>
      <c r="R42" s="460">
        <v>0</v>
      </c>
      <c r="S42" s="673">
        <v>0</v>
      </c>
      <c r="T42" s="460">
        <v>0</v>
      </c>
      <c r="U42" s="460">
        <v>0</v>
      </c>
      <c r="V42" s="460">
        <f>SUM(Q42:U42)</f>
        <v>0</v>
      </c>
      <c r="W42" s="460">
        <v>0</v>
      </c>
      <c r="X42" s="460">
        <v>0</v>
      </c>
      <c r="Y42" s="460">
        <v>0</v>
      </c>
      <c r="Z42" s="460">
        <f t="shared" ref="Z42:Z44" si="130">SUM(W42:Y42)</f>
        <v>0</v>
      </c>
      <c r="AA42" s="460">
        <f t="shared" ref="AA42:AA44" si="131">V42+Z42</f>
        <v>0</v>
      </c>
      <c r="AB42" s="69">
        <f t="shared" ref="AB42:AB44" si="132">ROUND((V42+W42+X42)*33.8%,0)</f>
        <v>0</v>
      </c>
      <c r="AC42" s="69">
        <f t="shared" ref="AC42:AC44" si="133">ROUND(V42*1%,0)</f>
        <v>0</v>
      </c>
      <c r="AD42" s="460">
        <v>0</v>
      </c>
      <c r="AE42" s="460">
        <v>0</v>
      </c>
      <c r="AF42" s="460">
        <f t="shared" ref="AF42:AF44" si="134">SUM(AD42:AE42)</f>
        <v>0</v>
      </c>
      <c r="AG42" s="460">
        <f t="shared" ref="AG42:AG44" si="135">AA42+AB42+AC42+AF42</f>
        <v>0</v>
      </c>
      <c r="AH42" s="461">
        <v>0</v>
      </c>
      <c r="AI42" s="461">
        <v>0</v>
      </c>
      <c r="AJ42" s="461">
        <v>0</v>
      </c>
      <c r="AK42" s="461">
        <v>0</v>
      </c>
      <c r="AL42" s="674">
        <v>0</v>
      </c>
      <c r="AM42" s="461">
        <v>0</v>
      </c>
      <c r="AN42" s="461">
        <v>0</v>
      </c>
      <c r="AO42" s="461">
        <v>0</v>
      </c>
      <c r="AP42" s="461">
        <f>AH42+AJ42+AK42+AM42+AN42</f>
        <v>0</v>
      </c>
      <c r="AQ42" s="461">
        <f>AI42+AL42+AO42</f>
        <v>0</v>
      </c>
      <c r="AR42" s="463">
        <f t="shared" ref="AR42:AR44" si="136">SUM(AP42:AQ42)</f>
        <v>0</v>
      </c>
      <c r="AS42" s="469">
        <f>I42+AG42</f>
        <v>8815983</v>
      </c>
      <c r="AT42" s="460">
        <f>J42+V42</f>
        <v>6503355</v>
      </c>
      <c r="AU42" s="460">
        <f t="shared" ref="AU42:AU44" si="137">Z42</f>
        <v>0</v>
      </c>
      <c r="AV42" s="460">
        <f t="shared" ref="AV42:AW44" si="138">K42+AB42</f>
        <v>2198134</v>
      </c>
      <c r="AW42" s="460">
        <f t="shared" si="138"/>
        <v>65034</v>
      </c>
      <c r="AX42" s="460">
        <f>M42+AF42</f>
        <v>49460</v>
      </c>
      <c r="AY42" s="461">
        <f>N42+AR42</f>
        <v>13.07</v>
      </c>
      <c r="AZ42" s="461">
        <f t="shared" ref="AZ42:BA44" si="139">O42+AP42</f>
        <v>10</v>
      </c>
      <c r="BA42" s="463">
        <f t="shared" si="139"/>
        <v>3.0700000000000003</v>
      </c>
    </row>
    <row r="43" spans="1:53" ht="12.95" customHeight="1" x14ac:dyDescent="0.25">
      <c r="A43" s="299">
        <v>8</v>
      </c>
      <c r="B43" s="395">
        <v>5466</v>
      </c>
      <c r="C43" s="395">
        <v>600098885</v>
      </c>
      <c r="D43" s="395">
        <v>72743794</v>
      </c>
      <c r="E43" s="396" t="s">
        <v>484</v>
      </c>
      <c r="F43" s="395">
        <v>3111</v>
      </c>
      <c r="G43" s="350" t="s">
        <v>309</v>
      </c>
      <c r="H43" s="304" t="s">
        <v>277</v>
      </c>
      <c r="I43" s="462">
        <f t="shared" si="125"/>
        <v>259358</v>
      </c>
      <c r="J43" s="457">
        <v>192402</v>
      </c>
      <c r="K43" s="457">
        <f t="shared" si="126"/>
        <v>65032</v>
      </c>
      <c r="L43" s="457">
        <f t="shared" si="127"/>
        <v>1924</v>
      </c>
      <c r="M43" s="457">
        <v>0</v>
      </c>
      <c r="N43" s="458">
        <f t="shared" si="128"/>
        <v>0.5</v>
      </c>
      <c r="O43" s="459">
        <v>0.5</v>
      </c>
      <c r="P43" s="646">
        <v>0</v>
      </c>
      <c r="Q43" s="469">
        <f t="shared" si="129"/>
        <v>0</v>
      </c>
      <c r="R43" s="460">
        <v>0</v>
      </c>
      <c r="S43" s="673">
        <v>0</v>
      </c>
      <c r="T43" s="460">
        <v>0</v>
      </c>
      <c r="U43" s="460">
        <v>0</v>
      </c>
      <c r="V43" s="460">
        <f>SUM(Q43:U43)</f>
        <v>0</v>
      </c>
      <c r="W43" s="460">
        <v>0</v>
      </c>
      <c r="X43" s="460">
        <v>0</v>
      </c>
      <c r="Y43" s="460">
        <v>0</v>
      </c>
      <c r="Z43" s="460">
        <f t="shared" si="130"/>
        <v>0</v>
      </c>
      <c r="AA43" s="460">
        <f t="shared" si="131"/>
        <v>0</v>
      </c>
      <c r="AB43" s="69">
        <f t="shared" si="132"/>
        <v>0</v>
      </c>
      <c r="AC43" s="69">
        <f t="shared" si="133"/>
        <v>0</v>
      </c>
      <c r="AD43" s="460">
        <v>0</v>
      </c>
      <c r="AE43" s="460">
        <v>0</v>
      </c>
      <c r="AF43" s="460">
        <f t="shared" si="134"/>
        <v>0</v>
      </c>
      <c r="AG43" s="460">
        <f t="shared" si="135"/>
        <v>0</v>
      </c>
      <c r="AH43" s="461">
        <v>0</v>
      </c>
      <c r="AI43" s="461">
        <v>0</v>
      </c>
      <c r="AJ43" s="461">
        <v>0</v>
      </c>
      <c r="AK43" s="461">
        <v>0</v>
      </c>
      <c r="AL43" s="674">
        <v>0</v>
      </c>
      <c r="AM43" s="461">
        <v>0</v>
      </c>
      <c r="AN43" s="461">
        <v>0</v>
      </c>
      <c r="AO43" s="461">
        <v>0</v>
      </c>
      <c r="AP43" s="461">
        <f>AH43+AJ43+AK43+AM43+AN43</f>
        <v>0</v>
      </c>
      <c r="AQ43" s="461">
        <f>AI43+AL43+AO43</f>
        <v>0</v>
      </c>
      <c r="AR43" s="463">
        <f t="shared" si="136"/>
        <v>0</v>
      </c>
      <c r="AS43" s="469">
        <f>I43+AG43</f>
        <v>259358</v>
      </c>
      <c r="AT43" s="460">
        <f>J43+V43</f>
        <v>192402</v>
      </c>
      <c r="AU43" s="460">
        <f t="shared" si="137"/>
        <v>0</v>
      </c>
      <c r="AV43" s="460">
        <f t="shared" si="138"/>
        <v>65032</v>
      </c>
      <c r="AW43" s="460">
        <f t="shared" si="138"/>
        <v>1924</v>
      </c>
      <c r="AX43" s="460">
        <f>M43+AF43</f>
        <v>0</v>
      </c>
      <c r="AY43" s="461">
        <f>N43+AR43</f>
        <v>0.5</v>
      </c>
      <c r="AZ43" s="461">
        <f t="shared" si="139"/>
        <v>0.5</v>
      </c>
      <c r="BA43" s="463">
        <f t="shared" si="139"/>
        <v>0</v>
      </c>
    </row>
    <row r="44" spans="1:53" ht="12.95" customHeight="1" x14ac:dyDescent="0.25">
      <c r="A44" s="299">
        <v>8</v>
      </c>
      <c r="B44" s="220">
        <v>5466</v>
      </c>
      <c r="C44" s="220">
        <v>600098885</v>
      </c>
      <c r="D44" s="220">
        <v>72743794</v>
      </c>
      <c r="E44" s="397" t="s">
        <v>484</v>
      </c>
      <c r="F44" s="220">
        <v>3141</v>
      </c>
      <c r="G44" s="398" t="s">
        <v>311</v>
      </c>
      <c r="H44" s="304" t="s">
        <v>278</v>
      </c>
      <c r="I44" s="462">
        <f t="shared" si="125"/>
        <v>1066861</v>
      </c>
      <c r="J44" s="457">
        <v>787466</v>
      </c>
      <c r="K44" s="457">
        <f t="shared" si="126"/>
        <v>266164</v>
      </c>
      <c r="L44" s="457">
        <f t="shared" si="127"/>
        <v>7875</v>
      </c>
      <c r="M44" s="457">
        <v>5356</v>
      </c>
      <c r="N44" s="458">
        <f t="shared" si="128"/>
        <v>2.5299999999999998</v>
      </c>
      <c r="O44" s="459">
        <v>0</v>
      </c>
      <c r="P44" s="646">
        <v>2.5299999999999998</v>
      </c>
      <c r="Q44" s="469">
        <f t="shared" si="129"/>
        <v>-32500</v>
      </c>
      <c r="R44" s="460">
        <v>0</v>
      </c>
      <c r="S44" s="673">
        <v>0</v>
      </c>
      <c r="T44" s="460">
        <v>0</v>
      </c>
      <c r="U44" s="460">
        <v>0</v>
      </c>
      <c r="V44" s="460">
        <f>SUM(Q44:U44)</f>
        <v>-32500</v>
      </c>
      <c r="W44" s="460">
        <v>32500</v>
      </c>
      <c r="X44" s="460">
        <v>0</v>
      </c>
      <c r="Y44" s="460">
        <v>0</v>
      </c>
      <c r="Z44" s="460">
        <f t="shared" si="130"/>
        <v>32500</v>
      </c>
      <c r="AA44" s="460">
        <f t="shared" si="131"/>
        <v>0</v>
      </c>
      <c r="AB44" s="69">
        <f t="shared" si="132"/>
        <v>0</v>
      </c>
      <c r="AC44" s="69">
        <f t="shared" si="133"/>
        <v>-325</v>
      </c>
      <c r="AD44" s="460">
        <v>0</v>
      </c>
      <c r="AE44" s="460">
        <v>0</v>
      </c>
      <c r="AF44" s="460">
        <f t="shared" si="134"/>
        <v>0</v>
      </c>
      <c r="AG44" s="460">
        <f t="shared" si="135"/>
        <v>-325</v>
      </c>
      <c r="AH44" s="461">
        <v>0</v>
      </c>
      <c r="AI44" s="461">
        <v>-0.04</v>
      </c>
      <c r="AJ44" s="461">
        <v>0</v>
      </c>
      <c r="AK44" s="461">
        <v>0</v>
      </c>
      <c r="AL44" s="674">
        <v>0</v>
      </c>
      <c r="AM44" s="461">
        <v>0</v>
      </c>
      <c r="AN44" s="461">
        <v>0</v>
      </c>
      <c r="AO44" s="461">
        <v>0</v>
      </c>
      <c r="AP44" s="461">
        <f>AH44+AJ44+AK44+AM44+AN44</f>
        <v>0</v>
      </c>
      <c r="AQ44" s="461">
        <f>AI44+AL44+AO44</f>
        <v>-0.04</v>
      </c>
      <c r="AR44" s="463">
        <f t="shared" si="136"/>
        <v>-0.04</v>
      </c>
      <c r="AS44" s="469">
        <f>I44+AG44</f>
        <v>1066536</v>
      </c>
      <c r="AT44" s="460">
        <f>J44+V44</f>
        <v>754966</v>
      </c>
      <c r="AU44" s="460">
        <f t="shared" si="137"/>
        <v>32500</v>
      </c>
      <c r="AV44" s="460">
        <f t="shared" si="138"/>
        <v>266164</v>
      </c>
      <c r="AW44" s="460">
        <f t="shared" si="138"/>
        <v>7550</v>
      </c>
      <c r="AX44" s="460">
        <f>M44+AF44</f>
        <v>5356</v>
      </c>
      <c r="AY44" s="461">
        <f>N44+AR44</f>
        <v>2.4899999999999998</v>
      </c>
      <c r="AZ44" s="461">
        <f t="shared" si="139"/>
        <v>0</v>
      </c>
      <c r="BA44" s="463">
        <f t="shared" si="139"/>
        <v>2.4899999999999998</v>
      </c>
    </row>
    <row r="45" spans="1:53" ht="12.95" customHeight="1" x14ac:dyDescent="0.25">
      <c r="A45" s="221">
        <v>8</v>
      </c>
      <c r="B45" s="46">
        <v>5466</v>
      </c>
      <c r="C45" s="46">
        <v>600098885</v>
      </c>
      <c r="D45" s="46">
        <v>72743794</v>
      </c>
      <c r="E45" s="399" t="s">
        <v>485</v>
      </c>
      <c r="F45" s="46"/>
      <c r="G45" s="399"/>
      <c r="H45" s="186"/>
      <c r="I45" s="536">
        <f t="shared" ref="I45:P45" si="140">SUM(I42:I44)</f>
        <v>10142202</v>
      </c>
      <c r="J45" s="532">
        <f t="shared" si="140"/>
        <v>7483223</v>
      </c>
      <c r="K45" s="532">
        <f t="shared" si="140"/>
        <v>2529330</v>
      </c>
      <c r="L45" s="532">
        <f t="shared" si="140"/>
        <v>74833</v>
      </c>
      <c r="M45" s="532">
        <f t="shared" si="140"/>
        <v>54816</v>
      </c>
      <c r="N45" s="533">
        <f t="shared" si="140"/>
        <v>16.100000000000001</v>
      </c>
      <c r="O45" s="533">
        <f t="shared" si="140"/>
        <v>10.5</v>
      </c>
      <c r="P45" s="298">
        <f t="shared" si="140"/>
        <v>5.6</v>
      </c>
      <c r="Q45" s="538">
        <f t="shared" ref="Q45:BA45" si="141">SUM(Q42:Q44)</f>
        <v>-32500</v>
      </c>
      <c r="R45" s="532">
        <f t="shared" si="141"/>
        <v>0</v>
      </c>
      <c r="S45" s="532">
        <f t="shared" si="141"/>
        <v>0</v>
      </c>
      <c r="T45" s="532">
        <f t="shared" si="141"/>
        <v>0</v>
      </c>
      <c r="U45" s="532">
        <f t="shared" si="141"/>
        <v>0</v>
      </c>
      <c r="V45" s="532">
        <f t="shared" si="141"/>
        <v>-32500</v>
      </c>
      <c r="W45" s="532">
        <f t="shared" si="141"/>
        <v>32500</v>
      </c>
      <c r="X45" s="532">
        <f t="shared" si="141"/>
        <v>0</v>
      </c>
      <c r="Y45" s="532">
        <f t="shared" si="141"/>
        <v>0</v>
      </c>
      <c r="Z45" s="532">
        <f t="shared" si="141"/>
        <v>32500</v>
      </c>
      <c r="AA45" s="532">
        <f t="shared" si="141"/>
        <v>0</v>
      </c>
      <c r="AB45" s="532">
        <f t="shared" si="141"/>
        <v>0</v>
      </c>
      <c r="AC45" s="532">
        <f t="shared" si="141"/>
        <v>-325</v>
      </c>
      <c r="AD45" s="532">
        <f t="shared" si="141"/>
        <v>0</v>
      </c>
      <c r="AE45" s="532">
        <f t="shared" si="141"/>
        <v>0</v>
      </c>
      <c r="AF45" s="532">
        <f t="shared" si="141"/>
        <v>0</v>
      </c>
      <c r="AG45" s="532">
        <f t="shared" si="141"/>
        <v>-325</v>
      </c>
      <c r="AH45" s="533">
        <f t="shared" si="141"/>
        <v>0</v>
      </c>
      <c r="AI45" s="533">
        <f t="shared" si="141"/>
        <v>-0.04</v>
      </c>
      <c r="AJ45" s="533">
        <f t="shared" si="141"/>
        <v>0</v>
      </c>
      <c r="AK45" s="533">
        <f t="shared" si="141"/>
        <v>0</v>
      </c>
      <c r="AL45" s="533">
        <f t="shared" si="141"/>
        <v>0</v>
      </c>
      <c r="AM45" s="533">
        <f t="shared" si="141"/>
        <v>0</v>
      </c>
      <c r="AN45" s="533">
        <f t="shared" si="141"/>
        <v>0</v>
      </c>
      <c r="AO45" s="533">
        <f t="shared" si="141"/>
        <v>0</v>
      </c>
      <c r="AP45" s="533">
        <f t="shared" si="141"/>
        <v>0</v>
      </c>
      <c r="AQ45" s="533">
        <f t="shared" si="141"/>
        <v>-0.04</v>
      </c>
      <c r="AR45" s="298">
        <f t="shared" si="141"/>
        <v>-0.04</v>
      </c>
      <c r="AS45" s="538">
        <f t="shared" si="141"/>
        <v>10141877</v>
      </c>
      <c r="AT45" s="532">
        <f t="shared" si="141"/>
        <v>7450723</v>
      </c>
      <c r="AU45" s="532">
        <f t="shared" si="141"/>
        <v>32500</v>
      </c>
      <c r="AV45" s="532">
        <f t="shared" si="141"/>
        <v>2529330</v>
      </c>
      <c r="AW45" s="532">
        <f t="shared" si="141"/>
        <v>74508</v>
      </c>
      <c r="AX45" s="532">
        <f t="shared" si="141"/>
        <v>54816</v>
      </c>
      <c r="AY45" s="533">
        <f t="shared" si="141"/>
        <v>16.059999999999999</v>
      </c>
      <c r="AZ45" s="533">
        <f t="shared" si="141"/>
        <v>10.5</v>
      </c>
      <c r="BA45" s="298">
        <f t="shared" si="141"/>
        <v>5.5600000000000005</v>
      </c>
    </row>
    <row r="46" spans="1:53" ht="12.95" customHeight="1" x14ac:dyDescent="0.25">
      <c r="A46" s="299">
        <v>9</v>
      </c>
      <c r="B46" s="220">
        <v>5702</v>
      </c>
      <c r="C46" s="220">
        <v>600099547</v>
      </c>
      <c r="D46" s="220">
        <v>855022</v>
      </c>
      <c r="E46" s="396" t="s">
        <v>486</v>
      </c>
      <c r="F46" s="407">
        <v>3233</v>
      </c>
      <c r="G46" s="396" t="s">
        <v>403</v>
      </c>
      <c r="H46" s="304" t="s">
        <v>278</v>
      </c>
      <c r="I46" s="462">
        <f t="shared" ref="I46" si="142">SUM(J46:M46)</f>
        <v>4179277</v>
      </c>
      <c r="J46" s="457">
        <v>3095504</v>
      </c>
      <c r="K46" s="457">
        <f t="shared" ref="K46" si="143">ROUND(J46*33.8%,0)</f>
        <v>1046280</v>
      </c>
      <c r="L46" s="457">
        <f>ROUND(J46*1%,0)</f>
        <v>30955</v>
      </c>
      <c r="M46" s="457">
        <v>6538</v>
      </c>
      <c r="N46" s="458">
        <f t="shared" ref="N46" si="144">O46+P46</f>
        <v>7.1499999999999995</v>
      </c>
      <c r="O46" s="459">
        <v>4.2699999999999996</v>
      </c>
      <c r="P46" s="646">
        <v>2.88</v>
      </c>
      <c r="Q46" s="469">
        <f t="shared" ref="Q46" si="145">W46*-1</f>
        <v>0</v>
      </c>
      <c r="R46" s="460">
        <v>0</v>
      </c>
      <c r="S46" s="673">
        <v>0</v>
      </c>
      <c r="T46" s="460">
        <v>0</v>
      </c>
      <c r="U46" s="460">
        <v>0</v>
      </c>
      <c r="V46" s="460">
        <f>SUM(Q46:U46)</f>
        <v>0</v>
      </c>
      <c r="W46" s="460">
        <v>0</v>
      </c>
      <c r="X46" s="460">
        <v>0</v>
      </c>
      <c r="Y46" s="460">
        <v>0</v>
      </c>
      <c r="Z46" s="460">
        <f t="shared" ref="Z46" si="146">SUM(W46:Y46)</f>
        <v>0</v>
      </c>
      <c r="AA46" s="460">
        <f t="shared" ref="AA46" si="147">V46+Z46</f>
        <v>0</v>
      </c>
      <c r="AB46" s="69">
        <f t="shared" ref="AB46" si="148">ROUND((V46+W46+X46)*33.8%,0)</f>
        <v>0</v>
      </c>
      <c r="AC46" s="69">
        <f>ROUND(V46*1%,0)</f>
        <v>0</v>
      </c>
      <c r="AD46" s="460">
        <v>0</v>
      </c>
      <c r="AE46" s="460">
        <v>0</v>
      </c>
      <c r="AF46" s="460">
        <f t="shared" ref="AF46" si="149">SUM(AD46:AE46)</f>
        <v>0</v>
      </c>
      <c r="AG46" s="460">
        <f t="shared" ref="AG46" si="150">AA46+AB46+AC46+AF46</f>
        <v>0</v>
      </c>
      <c r="AH46" s="461">
        <v>0</v>
      </c>
      <c r="AI46" s="461">
        <v>0</v>
      </c>
      <c r="AJ46" s="461">
        <v>0</v>
      </c>
      <c r="AK46" s="461">
        <v>0</v>
      </c>
      <c r="AL46" s="674">
        <v>0</v>
      </c>
      <c r="AM46" s="461">
        <v>0</v>
      </c>
      <c r="AN46" s="461">
        <v>0</v>
      </c>
      <c r="AO46" s="461">
        <v>0</v>
      </c>
      <c r="AP46" s="461">
        <f>AH46+AJ46+AK46+AM46+AN46</f>
        <v>0</v>
      </c>
      <c r="AQ46" s="461">
        <f>AI46+AL46+AO46</f>
        <v>0</v>
      </c>
      <c r="AR46" s="463">
        <f t="shared" ref="AR46" si="151">SUM(AP46:AQ46)</f>
        <v>0</v>
      </c>
      <c r="AS46" s="469">
        <f>I46+AG46</f>
        <v>4179277</v>
      </c>
      <c r="AT46" s="460">
        <f>J46+V46</f>
        <v>3095504</v>
      </c>
      <c r="AU46" s="460">
        <f>Z46</f>
        <v>0</v>
      </c>
      <c r="AV46" s="460">
        <f>K46+AB46</f>
        <v>1046280</v>
      </c>
      <c r="AW46" s="460">
        <f>L46+AC46</f>
        <v>30955</v>
      </c>
      <c r="AX46" s="460">
        <f>M46+AF46</f>
        <v>6538</v>
      </c>
      <c r="AY46" s="461">
        <f>N46+AR46</f>
        <v>7.1499999999999995</v>
      </c>
      <c r="AZ46" s="461">
        <f>O46+AP46</f>
        <v>4.2699999999999996</v>
      </c>
      <c r="BA46" s="463">
        <f>P46+AQ46</f>
        <v>2.88</v>
      </c>
    </row>
    <row r="47" spans="1:53" ht="12.95" customHeight="1" x14ac:dyDescent="0.25">
      <c r="A47" s="221">
        <v>9</v>
      </c>
      <c r="B47" s="46">
        <v>5702</v>
      </c>
      <c r="C47" s="46">
        <v>600099547</v>
      </c>
      <c r="D47" s="46">
        <v>855022</v>
      </c>
      <c r="E47" s="408" t="s">
        <v>487</v>
      </c>
      <c r="F47" s="409"/>
      <c r="G47" s="408"/>
      <c r="H47" s="410"/>
      <c r="I47" s="575">
        <f t="shared" ref="I47:BA47" si="152">SUM(I46)</f>
        <v>4179277</v>
      </c>
      <c r="J47" s="571">
        <f t="shared" si="152"/>
        <v>3095504</v>
      </c>
      <c r="K47" s="571">
        <f t="shared" si="152"/>
        <v>1046280</v>
      </c>
      <c r="L47" s="571">
        <f t="shared" si="152"/>
        <v>30955</v>
      </c>
      <c r="M47" s="571">
        <f t="shared" si="152"/>
        <v>6538</v>
      </c>
      <c r="N47" s="572">
        <f t="shared" si="152"/>
        <v>7.1499999999999995</v>
      </c>
      <c r="O47" s="572">
        <f t="shared" si="152"/>
        <v>4.2699999999999996</v>
      </c>
      <c r="P47" s="400">
        <f t="shared" si="152"/>
        <v>2.88</v>
      </c>
      <c r="Q47" s="577">
        <f t="shared" si="152"/>
        <v>0</v>
      </c>
      <c r="R47" s="571">
        <f t="shared" si="152"/>
        <v>0</v>
      </c>
      <c r="S47" s="571">
        <f t="shared" si="152"/>
        <v>0</v>
      </c>
      <c r="T47" s="571">
        <f t="shared" si="152"/>
        <v>0</v>
      </c>
      <c r="U47" s="571">
        <f t="shared" si="152"/>
        <v>0</v>
      </c>
      <c r="V47" s="571">
        <f t="shared" si="152"/>
        <v>0</v>
      </c>
      <c r="W47" s="571">
        <f t="shared" si="152"/>
        <v>0</v>
      </c>
      <c r="X47" s="571">
        <f t="shared" si="152"/>
        <v>0</v>
      </c>
      <c r="Y47" s="571">
        <f t="shared" si="152"/>
        <v>0</v>
      </c>
      <c r="Z47" s="571">
        <f t="shared" si="152"/>
        <v>0</v>
      </c>
      <c r="AA47" s="571">
        <f t="shared" si="152"/>
        <v>0</v>
      </c>
      <c r="AB47" s="571">
        <f t="shared" si="152"/>
        <v>0</v>
      </c>
      <c r="AC47" s="571">
        <f t="shared" si="152"/>
        <v>0</v>
      </c>
      <c r="AD47" s="571">
        <f t="shared" si="152"/>
        <v>0</v>
      </c>
      <c r="AE47" s="571">
        <f t="shared" si="152"/>
        <v>0</v>
      </c>
      <c r="AF47" s="571">
        <f t="shared" si="152"/>
        <v>0</v>
      </c>
      <c r="AG47" s="571">
        <f t="shared" si="152"/>
        <v>0</v>
      </c>
      <c r="AH47" s="572">
        <f t="shared" si="152"/>
        <v>0</v>
      </c>
      <c r="AI47" s="572">
        <f t="shared" si="152"/>
        <v>0</v>
      </c>
      <c r="AJ47" s="572">
        <f t="shared" si="152"/>
        <v>0</v>
      </c>
      <c r="AK47" s="572">
        <f t="shared" si="152"/>
        <v>0</v>
      </c>
      <c r="AL47" s="572">
        <f t="shared" si="152"/>
        <v>0</v>
      </c>
      <c r="AM47" s="572">
        <f t="shared" si="152"/>
        <v>0</v>
      </c>
      <c r="AN47" s="572">
        <f t="shared" si="152"/>
        <v>0</v>
      </c>
      <c r="AO47" s="572">
        <f t="shared" si="152"/>
        <v>0</v>
      </c>
      <c r="AP47" s="572">
        <f t="shared" si="152"/>
        <v>0</v>
      </c>
      <c r="AQ47" s="572">
        <f t="shared" si="152"/>
        <v>0</v>
      </c>
      <c r="AR47" s="400">
        <f t="shared" si="152"/>
        <v>0</v>
      </c>
      <c r="AS47" s="577">
        <f t="shared" si="152"/>
        <v>4179277</v>
      </c>
      <c r="AT47" s="571">
        <f t="shared" si="152"/>
        <v>3095504</v>
      </c>
      <c r="AU47" s="571">
        <f t="shared" si="152"/>
        <v>0</v>
      </c>
      <c r="AV47" s="571">
        <f t="shared" si="152"/>
        <v>1046280</v>
      </c>
      <c r="AW47" s="571">
        <f t="shared" si="152"/>
        <v>30955</v>
      </c>
      <c r="AX47" s="571">
        <f t="shared" si="152"/>
        <v>6538</v>
      </c>
      <c r="AY47" s="572">
        <f t="shared" si="152"/>
        <v>7.1499999999999995</v>
      </c>
      <c r="AZ47" s="572">
        <f t="shared" si="152"/>
        <v>4.2699999999999996</v>
      </c>
      <c r="BA47" s="400">
        <f t="shared" si="152"/>
        <v>2.88</v>
      </c>
    </row>
    <row r="48" spans="1:53" ht="12.95" customHeight="1" x14ac:dyDescent="0.25">
      <c r="A48" s="299">
        <v>10</v>
      </c>
      <c r="B48" s="220">
        <v>5458</v>
      </c>
      <c r="C48" s="220">
        <v>600099288</v>
      </c>
      <c r="D48" s="220">
        <v>856126</v>
      </c>
      <c r="E48" s="397" t="s">
        <v>488</v>
      </c>
      <c r="F48" s="220">
        <v>3113</v>
      </c>
      <c r="G48" s="397" t="s">
        <v>325</v>
      </c>
      <c r="H48" s="304" t="s">
        <v>277</v>
      </c>
      <c r="I48" s="462">
        <f t="shared" ref="I48:I52" si="153">SUM(J48:M48)</f>
        <v>39779401</v>
      </c>
      <c r="J48" s="457">
        <v>28963357</v>
      </c>
      <c r="K48" s="457">
        <f t="shared" ref="K48:K52" si="154">ROUND(J48*33.8%,0)</f>
        <v>9789615</v>
      </c>
      <c r="L48" s="457">
        <f t="shared" ref="L48:L52" si="155">ROUND(J48*1%,0)</f>
        <v>289634</v>
      </c>
      <c r="M48" s="457">
        <v>736795</v>
      </c>
      <c r="N48" s="458">
        <f t="shared" ref="N48:N52" si="156">O48+P48</f>
        <v>46.788699999999999</v>
      </c>
      <c r="O48" s="459">
        <v>37.968699999999998</v>
      </c>
      <c r="P48" s="646">
        <v>8.82</v>
      </c>
      <c r="Q48" s="469">
        <f t="shared" ref="Q48:Q52" si="157">W48*-1</f>
        <v>-162500</v>
      </c>
      <c r="R48" s="460">
        <v>0</v>
      </c>
      <c r="S48" s="673">
        <v>0</v>
      </c>
      <c r="T48" s="460">
        <v>0</v>
      </c>
      <c r="U48" s="460">
        <v>0</v>
      </c>
      <c r="V48" s="460">
        <f>SUM(Q48:U48)</f>
        <v>-162500</v>
      </c>
      <c r="W48" s="460">
        <v>162500</v>
      </c>
      <c r="X48" s="460">
        <v>0</v>
      </c>
      <c r="Y48" s="460">
        <v>0</v>
      </c>
      <c r="Z48" s="460">
        <f t="shared" ref="Z48:Z52" si="158">SUM(W48:Y48)</f>
        <v>162500</v>
      </c>
      <c r="AA48" s="460">
        <f t="shared" ref="AA48:AA52" si="159">V48+Z48</f>
        <v>0</v>
      </c>
      <c r="AB48" s="69">
        <f t="shared" ref="AB48:AB52" si="160">ROUND((V48+W48+X48)*33.8%,0)</f>
        <v>0</v>
      </c>
      <c r="AC48" s="69">
        <f t="shared" ref="AC48:AC52" si="161">ROUND(V48*1%,0)</f>
        <v>-1625</v>
      </c>
      <c r="AD48" s="460">
        <v>0</v>
      </c>
      <c r="AE48" s="460">
        <v>0</v>
      </c>
      <c r="AF48" s="460">
        <f t="shared" ref="AF48:AF52" si="162">SUM(AD48:AE48)</f>
        <v>0</v>
      </c>
      <c r="AG48" s="460">
        <f t="shared" ref="AG48:AG52" si="163">AA48+AB48+AC48+AF48</f>
        <v>-1625</v>
      </c>
      <c r="AH48" s="461">
        <v>-0.1</v>
      </c>
      <c r="AI48" s="461">
        <v>-0.25</v>
      </c>
      <c r="AJ48" s="461">
        <v>0</v>
      </c>
      <c r="AK48" s="461">
        <v>0</v>
      </c>
      <c r="AL48" s="674">
        <v>0</v>
      </c>
      <c r="AM48" s="461">
        <v>0</v>
      </c>
      <c r="AN48" s="461">
        <v>0</v>
      </c>
      <c r="AO48" s="461">
        <v>0</v>
      </c>
      <c r="AP48" s="461">
        <f>AH48+AJ48+AK48+AM48+AN48</f>
        <v>-0.1</v>
      </c>
      <c r="AQ48" s="461">
        <f>AI48+AL48+AO48</f>
        <v>-0.25</v>
      </c>
      <c r="AR48" s="463">
        <f t="shared" ref="AR48:AR52" si="164">SUM(AP48:AQ48)</f>
        <v>-0.35</v>
      </c>
      <c r="AS48" s="469">
        <f>I48+AG48</f>
        <v>39777776</v>
      </c>
      <c r="AT48" s="460">
        <f>J48+V48</f>
        <v>28800857</v>
      </c>
      <c r="AU48" s="460">
        <f t="shared" ref="AU48:AU52" si="165">Z48</f>
        <v>162500</v>
      </c>
      <c r="AV48" s="460">
        <f t="shared" ref="AV48:AW52" si="166">K48+AB48</f>
        <v>9789615</v>
      </c>
      <c r="AW48" s="460">
        <f t="shared" si="166"/>
        <v>288009</v>
      </c>
      <c r="AX48" s="460">
        <f>M48+AF48</f>
        <v>736795</v>
      </c>
      <c r="AY48" s="461">
        <f>N48+AR48</f>
        <v>46.438699999999997</v>
      </c>
      <c r="AZ48" s="461">
        <f t="shared" ref="AZ48:BA52" si="167">O48+AP48</f>
        <v>37.868699999999997</v>
      </c>
      <c r="BA48" s="463">
        <f t="shared" si="167"/>
        <v>8.57</v>
      </c>
    </row>
    <row r="49" spans="1:53" ht="12.95" customHeight="1" x14ac:dyDescent="0.25">
      <c r="A49" s="299">
        <v>10</v>
      </c>
      <c r="B49" s="220">
        <v>5458</v>
      </c>
      <c r="C49" s="220">
        <v>600099288</v>
      </c>
      <c r="D49" s="220">
        <v>856126</v>
      </c>
      <c r="E49" s="397" t="s">
        <v>488</v>
      </c>
      <c r="F49" s="220">
        <v>3113</v>
      </c>
      <c r="G49" s="342" t="s">
        <v>308</v>
      </c>
      <c r="H49" s="304" t="s">
        <v>278</v>
      </c>
      <c r="I49" s="462">
        <f t="shared" si="153"/>
        <v>0</v>
      </c>
      <c r="J49" s="457">
        <v>0</v>
      </c>
      <c r="K49" s="457">
        <f t="shared" si="154"/>
        <v>0</v>
      </c>
      <c r="L49" s="457">
        <f t="shared" si="155"/>
        <v>0</v>
      </c>
      <c r="M49" s="457">
        <v>0</v>
      </c>
      <c r="N49" s="458">
        <f t="shared" si="156"/>
        <v>0</v>
      </c>
      <c r="O49" s="459">
        <v>0</v>
      </c>
      <c r="P49" s="646">
        <v>0</v>
      </c>
      <c r="Q49" s="469">
        <f t="shared" si="157"/>
        <v>0</v>
      </c>
      <c r="R49" s="460">
        <v>2474159</v>
      </c>
      <c r="S49" s="673">
        <v>0</v>
      </c>
      <c r="T49" s="460">
        <v>0</v>
      </c>
      <c r="U49" s="460">
        <v>0</v>
      </c>
      <c r="V49" s="460">
        <f>SUM(Q49:U49)</f>
        <v>2474159</v>
      </c>
      <c r="W49" s="460">
        <v>0</v>
      </c>
      <c r="X49" s="460">
        <v>0</v>
      </c>
      <c r="Y49" s="460">
        <v>0</v>
      </c>
      <c r="Z49" s="460">
        <f t="shared" si="158"/>
        <v>0</v>
      </c>
      <c r="AA49" s="460">
        <f t="shared" si="159"/>
        <v>2474159</v>
      </c>
      <c r="AB49" s="69">
        <f t="shared" si="160"/>
        <v>836266</v>
      </c>
      <c r="AC49" s="69">
        <f t="shared" si="161"/>
        <v>24742</v>
      </c>
      <c r="AD49" s="460">
        <v>0</v>
      </c>
      <c r="AE49" s="460">
        <v>0</v>
      </c>
      <c r="AF49" s="460">
        <f t="shared" si="162"/>
        <v>0</v>
      </c>
      <c r="AG49" s="460">
        <f t="shared" si="163"/>
        <v>3335167</v>
      </c>
      <c r="AH49" s="461">
        <v>0</v>
      </c>
      <c r="AI49" s="461">
        <v>0</v>
      </c>
      <c r="AJ49" s="461">
        <v>6.96</v>
      </c>
      <c r="AK49" s="461">
        <v>0</v>
      </c>
      <c r="AL49" s="674">
        <v>0</v>
      </c>
      <c r="AM49" s="461">
        <v>0</v>
      </c>
      <c r="AN49" s="461">
        <v>0</v>
      </c>
      <c r="AO49" s="461">
        <v>0</v>
      </c>
      <c r="AP49" s="461">
        <f>AH49+AJ49+AK49+AM49+AN49</f>
        <v>6.96</v>
      </c>
      <c r="AQ49" s="461">
        <f>AI49+AL49+AO49</f>
        <v>0</v>
      </c>
      <c r="AR49" s="463">
        <f t="shared" si="164"/>
        <v>6.96</v>
      </c>
      <c r="AS49" s="469">
        <f>I49+AG49</f>
        <v>3335167</v>
      </c>
      <c r="AT49" s="460">
        <f>J49+V49</f>
        <v>2474159</v>
      </c>
      <c r="AU49" s="460">
        <f t="shared" si="165"/>
        <v>0</v>
      </c>
      <c r="AV49" s="460">
        <f t="shared" si="166"/>
        <v>836266</v>
      </c>
      <c r="AW49" s="460">
        <f t="shared" si="166"/>
        <v>24742</v>
      </c>
      <c r="AX49" s="460">
        <f>M49+AF49</f>
        <v>0</v>
      </c>
      <c r="AY49" s="461">
        <f>N49+AR49</f>
        <v>6.96</v>
      </c>
      <c r="AZ49" s="461">
        <f t="shared" si="167"/>
        <v>6.96</v>
      </c>
      <c r="BA49" s="463">
        <f t="shared" si="167"/>
        <v>0</v>
      </c>
    </row>
    <row r="50" spans="1:53" ht="12.95" customHeight="1" x14ac:dyDescent="0.25">
      <c r="A50" s="299">
        <v>10</v>
      </c>
      <c r="B50" s="220">
        <v>5458</v>
      </c>
      <c r="C50" s="220">
        <v>600099288</v>
      </c>
      <c r="D50" s="220">
        <v>856126</v>
      </c>
      <c r="E50" s="396" t="s">
        <v>488</v>
      </c>
      <c r="F50" s="407">
        <v>3141</v>
      </c>
      <c r="G50" s="398" t="s">
        <v>311</v>
      </c>
      <c r="H50" s="304" t="s">
        <v>278</v>
      </c>
      <c r="I50" s="462">
        <f t="shared" si="153"/>
        <v>3359404</v>
      </c>
      <c r="J50" s="457">
        <v>2469688</v>
      </c>
      <c r="K50" s="457">
        <f t="shared" si="154"/>
        <v>834755</v>
      </c>
      <c r="L50" s="457">
        <f t="shared" si="155"/>
        <v>24697</v>
      </c>
      <c r="M50" s="457">
        <v>30264</v>
      </c>
      <c r="N50" s="458">
        <f t="shared" si="156"/>
        <v>7.94</v>
      </c>
      <c r="O50" s="459">
        <v>0</v>
      </c>
      <c r="P50" s="646">
        <v>7.94</v>
      </c>
      <c r="Q50" s="469">
        <f t="shared" si="157"/>
        <v>0</v>
      </c>
      <c r="R50" s="460">
        <v>0</v>
      </c>
      <c r="S50" s="673">
        <v>0</v>
      </c>
      <c r="T50" s="460">
        <v>0</v>
      </c>
      <c r="U50" s="460">
        <v>0</v>
      </c>
      <c r="V50" s="460">
        <f>SUM(Q50:U50)</f>
        <v>0</v>
      </c>
      <c r="W50" s="460">
        <v>0</v>
      </c>
      <c r="X50" s="460">
        <v>0</v>
      </c>
      <c r="Y50" s="460">
        <v>0</v>
      </c>
      <c r="Z50" s="460">
        <f t="shared" si="158"/>
        <v>0</v>
      </c>
      <c r="AA50" s="460">
        <f t="shared" si="159"/>
        <v>0</v>
      </c>
      <c r="AB50" s="69">
        <f t="shared" si="160"/>
        <v>0</v>
      </c>
      <c r="AC50" s="69">
        <f t="shared" si="161"/>
        <v>0</v>
      </c>
      <c r="AD50" s="460">
        <v>0</v>
      </c>
      <c r="AE50" s="460">
        <v>0</v>
      </c>
      <c r="AF50" s="460">
        <f t="shared" si="162"/>
        <v>0</v>
      </c>
      <c r="AG50" s="460">
        <f t="shared" si="163"/>
        <v>0</v>
      </c>
      <c r="AH50" s="461">
        <v>0</v>
      </c>
      <c r="AI50" s="461">
        <v>0</v>
      </c>
      <c r="AJ50" s="461">
        <v>0</v>
      </c>
      <c r="AK50" s="461">
        <v>0</v>
      </c>
      <c r="AL50" s="674">
        <v>0</v>
      </c>
      <c r="AM50" s="461">
        <v>0</v>
      </c>
      <c r="AN50" s="461">
        <v>0</v>
      </c>
      <c r="AO50" s="461">
        <v>0</v>
      </c>
      <c r="AP50" s="461">
        <f>AH50+AJ50+AK50+AM50+AN50</f>
        <v>0</v>
      </c>
      <c r="AQ50" s="461">
        <f>AI50+AL50+AO50</f>
        <v>0</v>
      </c>
      <c r="AR50" s="463">
        <f t="shared" si="164"/>
        <v>0</v>
      </c>
      <c r="AS50" s="469">
        <f>I50+AG50</f>
        <v>3359404</v>
      </c>
      <c r="AT50" s="460">
        <f>J50+V50</f>
        <v>2469688</v>
      </c>
      <c r="AU50" s="460">
        <f t="shared" si="165"/>
        <v>0</v>
      </c>
      <c r="AV50" s="460">
        <f t="shared" si="166"/>
        <v>834755</v>
      </c>
      <c r="AW50" s="460">
        <f t="shared" si="166"/>
        <v>24697</v>
      </c>
      <c r="AX50" s="460">
        <f>M50+AF50</f>
        <v>30264</v>
      </c>
      <c r="AY50" s="461">
        <f>N50+AR50</f>
        <v>7.94</v>
      </c>
      <c r="AZ50" s="461">
        <f t="shared" si="167"/>
        <v>0</v>
      </c>
      <c r="BA50" s="463">
        <f t="shared" si="167"/>
        <v>7.94</v>
      </c>
    </row>
    <row r="51" spans="1:53" ht="12.95" customHeight="1" x14ac:dyDescent="0.25">
      <c r="A51" s="299">
        <v>10</v>
      </c>
      <c r="B51" s="220">
        <v>5458</v>
      </c>
      <c r="C51" s="220">
        <v>600099288</v>
      </c>
      <c r="D51" s="220">
        <v>856126</v>
      </c>
      <c r="E51" s="397" t="s">
        <v>488</v>
      </c>
      <c r="F51" s="220">
        <v>3143</v>
      </c>
      <c r="G51" s="342" t="s">
        <v>616</v>
      </c>
      <c r="H51" s="304" t="s">
        <v>277</v>
      </c>
      <c r="I51" s="462">
        <f t="shared" si="153"/>
        <v>2904458</v>
      </c>
      <c r="J51" s="457">
        <v>2154643</v>
      </c>
      <c r="K51" s="457">
        <f t="shared" si="154"/>
        <v>728269</v>
      </c>
      <c r="L51" s="457">
        <f t="shared" si="155"/>
        <v>21546</v>
      </c>
      <c r="M51" s="457">
        <v>0</v>
      </c>
      <c r="N51" s="458">
        <f t="shared" si="156"/>
        <v>4.4062999999999999</v>
      </c>
      <c r="O51" s="459">
        <v>4.4062999999999999</v>
      </c>
      <c r="P51" s="646">
        <v>0</v>
      </c>
      <c r="Q51" s="469">
        <f t="shared" si="157"/>
        <v>0</v>
      </c>
      <c r="R51" s="460">
        <v>0</v>
      </c>
      <c r="S51" s="673">
        <v>0</v>
      </c>
      <c r="T51" s="460">
        <v>0</v>
      </c>
      <c r="U51" s="460">
        <v>0</v>
      </c>
      <c r="V51" s="460">
        <f>SUM(Q51:U51)</f>
        <v>0</v>
      </c>
      <c r="W51" s="460">
        <v>0</v>
      </c>
      <c r="X51" s="460">
        <v>0</v>
      </c>
      <c r="Y51" s="460">
        <v>0</v>
      </c>
      <c r="Z51" s="460">
        <f t="shared" si="158"/>
        <v>0</v>
      </c>
      <c r="AA51" s="460">
        <f t="shared" si="159"/>
        <v>0</v>
      </c>
      <c r="AB51" s="69">
        <f t="shared" si="160"/>
        <v>0</v>
      </c>
      <c r="AC51" s="69">
        <f t="shared" si="161"/>
        <v>0</v>
      </c>
      <c r="AD51" s="460">
        <v>0</v>
      </c>
      <c r="AE51" s="460">
        <v>0</v>
      </c>
      <c r="AF51" s="460">
        <f t="shared" si="162"/>
        <v>0</v>
      </c>
      <c r="AG51" s="460">
        <f t="shared" si="163"/>
        <v>0</v>
      </c>
      <c r="AH51" s="461">
        <v>0</v>
      </c>
      <c r="AI51" s="461">
        <v>0</v>
      </c>
      <c r="AJ51" s="461">
        <v>0</v>
      </c>
      <c r="AK51" s="461">
        <v>0</v>
      </c>
      <c r="AL51" s="674">
        <v>0</v>
      </c>
      <c r="AM51" s="461">
        <v>0</v>
      </c>
      <c r="AN51" s="461">
        <v>0</v>
      </c>
      <c r="AO51" s="461">
        <v>0</v>
      </c>
      <c r="AP51" s="461">
        <f>AH51+AJ51+AK51+AM51+AN51</f>
        <v>0</v>
      </c>
      <c r="AQ51" s="461">
        <f>AI51+AL51+AO51</f>
        <v>0</v>
      </c>
      <c r="AR51" s="463">
        <f t="shared" si="164"/>
        <v>0</v>
      </c>
      <c r="AS51" s="469">
        <f>I51+AG51</f>
        <v>2904458</v>
      </c>
      <c r="AT51" s="460">
        <f>J51+V51</f>
        <v>2154643</v>
      </c>
      <c r="AU51" s="460">
        <f t="shared" si="165"/>
        <v>0</v>
      </c>
      <c r="AV51" s="460">
        <f t="shared" si="166"/>
        <v>728269</v>
      </c>
      <c r="AW51" s="460">
        <f t="shared" si="166"/>
        <v>21546</v>
      </c>
      <c r="AX51" s="460">
        <f>M51+AF51</f>
        <v>0</v>
      </c>
      <c r="AY51" s="461">
        <f>N51+AR51</f>
        <v>4.4062999999999999</v>
      </c>
      <c r="AZ51" s="461">
        <f t="shared" si="167"/>
        <v>4.4062999999999999</v>
      </c>
      <c r="BA51" s="463">
        <f t="shared" si="167"/>
        <v>0</v>
      </c>
    </row>
    <row r="52" spans="1:53" ht="12.95" customHeight="1" x14ac:dyDescent="0.25">
      <c r="A52" s="299">
        <v>10</v>
      </c>
      <c r="B52" s="220">
        <v>5458</v>
      </c>
      <c r="C52" s="220">
        <v>600099288</v>
      </c>
      <c r="D52" s="220">
        <v>856126</v>
      </c>
      <c r="E52" s="397" t="s">
        <v>488</v>
      </c>
      <c r="F52" s="220">
        <v>3143</v>
      </c>
      <c r="G52" s="342" t="s">
        <v>617</v>
      </c>
      <c r="H52" s="304" t="s">
        <v>278</v>
      </c>
      <c r="I52" s="462">
        <f t="shared" si="153"/>
        <v>102619</v>
      </c>
      <c r="J52" s="457">
        <v>73323</v>
      </c>
      <c r="K52" s="457">
        <f t="shared" si="154"/>
        <v>24783</v>
      </c>
      <c r="L52" s="457">
        <f t="shared" si="155"/>
        <v>733</v>
      </c>
      <c r="M52" s="457">
        <v>3780</v>
      </c>
      <c r="N52" s="458">
        <f t="shared" si="156"/>
        <v>0.28999999999999998</v>
      </c>
      <c r="O52" s="459">
        <v>0</v>
      </c>
      <c r="P52" s="646">
        <v>0.28999999999999998</v>
      </c>
      <c r="Q52" s="469">
        <f t="shared" si="157"/>
        <v>0</v>
      </c>
      <c r="R52" s="460">
        <v>0</v>
      </c>
      <c r="S52" s="673">
        <v>0</v>
      </c>
      <c r="T52" s="460">
        <v>0</v>
      </c>
      <c r="U52" s="460">
        <v>0</v>
      </c>
      <c r="V52" s="460">
        <f>SUM(Q52:U52)</f>
        <v>0</v>
      </c>
      <c r="W52" s="460">
        <v>0</v>
      </c>
      <c r="X52" s="460">
        <v>0</v>
      </c>
      <c r="Y52" s="460">
        <v>0</v>
      </c>
      <c r="Z52" s="460">
        <f t="shared" si="158"/>
        <v>0</v>
      </c>
      <c r="AA52" s="460">
        <f t="shared" si="159"/>
        <v>0</v>
      </c>
      <c r="AB52" s="69">
        <f t="shared" si="160"/>
        <v>0</v>
      </c>
      <c r="AC52" s="69">
        <f t="shared" si="161"/>
        <v>0</v>
      </c>
      <c r="AD52" s="460">
        <v>0</v>
      </c>
      <c r="AE52" s="460">
        <v>0</v>
      </c>
      <c r="AF52" s="460">
        <f t="shared" si="162"/>
        <v>0</v>
      </c>
      <c r="AG52" s="460">
        <f t="shared" si="163"/>
        <v>0</v>
      </c>
      <c r="AH52" s="461">
        <v>0</v>
      </c>
      <c r="AI52" s="461">
        <v>0</v>
      </c>
      <c r="AJ52" s="461">
        <v>0</v>
      </c>
      <c r="AK52" s="461">
        <v>0</v>
      </c>
      <c r="AL52" s="674">
        <v>0</v>
      </c>
      <c r="AM52" s="461">
        <v>0</v>
      </c>
      <c r="AN52" s="461">
        <v>0</v>
      </c>
      <c r="AO52" s="461">
        <v>0</v>
      </c>
      <c r="AP52" s="461">
        <f>AH52+AJ52+AK52+AM52+AN52</f>
        <v>0</v>
      </c>
      <c r="AQ52" s="461">
        <f>AI52+AL52+AO52</f>
        <v>0</v>
      </c>
      <c r="AR52" s="463">
        <f t="shared" si="164"/>
        <v>0</v>
      </c>
      <c r="AS52" s="469">
        <f>I52+AG52</f>
        <v>102619</v>
      </c>
      <c r="AT52" s="460">
        <f>J52+V52</f>
        <v>73323</v>
      </c>
      <c r="AU52" s="460">
        <f t="shared" si="165"/>
        <v>0</v>
      </c>
      <c r="AV52" s="460">
        <f t="shared" si="166"/>
        <v>24783</v>
      </c>
      <c r="AW52" s="460">
        <f t="shared" si="166"/>
        <v>733</v>
      </c>
      <c r="AX52" s="460">
        <f>M52+AF52</f>
        <v>3780</v>
      </c>
      <c r="AY52" s="461">
        <f>N52+AR52</f>
        <v>0.28999999999999998</v>
      </c>
      <c r="AZ52" s="461">
        <f t="shared" si="167"/>
        <v>0</v>
      </c>
      <c r="BA52" s="463">
        <f t="shared" si="167"/>
        <v>0.28999999999999998</v>
      </c>
    </row>
    <row r="53" spans="1:53" ht="12.95" customHeight="1" x14ac:dyDescent="0.25">
      <c r="A53" s="221">
        <v>10</v>
      </c>
      <c r="B53" s="46">
        <v>5458</v>
      </c>
      <c r="C53" s="46">
        <v>600099288</v>
      </c>
      <c r="D53" s="46">
        <v>856126</v>
      </c>
      <c r="E53" s="399" t="s">
        <v>489</v>
      </c>
      <c r="F53" s="46"/>
      <c r="G53" s="399"/>
      <c r="H53" s="186"/>
      <c r="I53" s="576">
        <f t="shared" ref="I53:P53" si="168">SUM(I48:I52)</f>
        <v>46145882</v>
      </c>
      <c r="J53" s="573">
        <f t="shared" si="168"/>
        <v>33661011</v>
      </c>
      <c r="K53" s="573">
        <f t="shared" si="168"/>
        <v>11377422</v>
      </c>
      <c r="L53" s="573">
        <f t="shared" si="168"/>
        <v>336610</v>
      </c>
      <c r="M53" s="573">
        <f t="shared" si="168"/>
        <v>770839</v>
      </c>
      <c r="N53" s="574">
        <f t="shared" si="168"/>
        <v>59.424999999999997</v>
      </c>
      <c r="O53" s="574">
        <f t="shared" si="168"/>
        <v>42.375</v>
      </c>
      <c r="P53" s="404">
        <f t="shared" si="168"/>
        <v>17.05</v>
      </c>
      <c r="Q53" s="578">
        <f t="shared" ref="Q53:BA53" si="169">SUM(Q48:Q52)</f>
        <v>-162500</v>
      </c>
      <c r="R53" s="573">
        <f t="shared" si="169"/>
        <v>2474159</v>
      </c>
      <c r="S53" s="573">
        <f t="shared" si="169"/>
        <v>0</v>
      </c>
      <c r="T53" s="573">
        <f t="shared" si="169"/>
        <v>0</v>
      </c>
      <c r="U53" s="573">
        <f t="shared" si="169"/>
        <v>0</v>
      </c>
      <c r="V53" s="573">
        <f t="shared" si="169"/>
        <v>2311659</v>
      </c>
      <c r="W53" s="573">
        <f t="shared" si="169"/>
        <v>162500</v>
      </c>
      <c r="X53" s="573">
        <f t="shared" si="169"/>
        <v>0</v>
      </c>
      <c r="Y53" s="573">
        <f t="shared" si="169"/>
        <v>0</v>
      </c>
      <c r="Z53" s="573">
        <f t="shared" si="169"/>
        <v>162500</v>
      </c>
      <c r="AA53" s="573">
        <f t="shared" si="169"/>
        <v>2474159</v>
      </c>
      <c r="AB53" s="573">
        <f t="shared" si="169"/>
        <v>836266</v>
      </c>
      <c r="AC53" s="573">
        <f t="shared" si="169"/>
        <v>23117</v>
      </c>
      <c r="AD53" s="573">
        <f t="shared" si="169"/>
        <v>0</v>
      </c>
      <c r="AE53" s="573">
        <f t="shared" si="169"/>
        <v>0</v>
      </c>
      <c r="AF53" s="573">
        <f t="shared" si="169"/>
        <v>0</v>
      </c>
      <c r="AG53" s="573">
        <f t="shared" si="169"/>
        <v>3333542</v>
      </c>
      <c r="AH53" s="574">
        <f t="shared" si="169"/>
        <v>-0.1</v>
      </c>
      <c r="AI53" s="574">
        <f t="shared" si="169"/>
        <v>-0.25</v>
      </c>
      <c r="AJ53" s="574">
        <f t="shared" si="169"/>
        <v>6.96</v>
      </c>
      <c r="AK53" s="574">
        <f t="shared" si="169"/>
        <v>0</v>
      </c>
      <c r="AL53" s="574">
        <f t="shared" si="169"/>
        <v>0</v>
      </c>
      <c r="AM53" s="574">
        <f t="shared" si="169"/>
        <v>0</v>
      </c>
      <c r="AN53" s="574">
        <f t="shared" si="169"/>
        <v>0</v>
      </c>
      <c r="AO53" s="574">
        <f t="shared" si="169"/>
        <v>0</v>
      </c>
      <c r="AP53" s="574">
        <f t="shared" si="169"/>
        <v>6.86</v>
      </c>
      <c r="AQ53" s="574">
        <f t="shared" si="169"/>
        <v>-0.25</v>
      </c>
      <c r="AR53" s="404">
        <f t="shared" si="169"/>
        <v>6.61</v>
      </c>
      <c r="AS53" s="578">
        <f t="shared" si="169"/>
        <v>49479424</v>
      </c>
      <c r="AT53" s="573">
        <f t="shared" si="169"/>
        <v>35972670</v>
      </c>
      <c r="AU53" s="573">
        <f t="shared" si="169"/>
        <v>162500</v>
      </c>
      <c r="AV53" s="573">
        <f t="shared" si="169"/>
        <v>12213688</v>
      </c>
      <c r="AW53" s="573">
        <f t="shared" si="169"/>
        <v>359727</v>
      </c>
      <c r="AX53" s="573">
        <f t="shared" si="169"/>
        <v>770839</v>
      </c>
      <c r="AY53" s="574">
        <f t="shared" si="169"/>
        <v>66.034999999999997</v>
      </c>
      <c r="AZ53" s="574">
        <f t="shared" si="169"/>
        <v>49.234999999999999</v>
      </c>
      <c r="BA53" s="404">
        <f t="shared" si="169"/>
        <v>16.8</v>
      </c>
    </row>
    <row r="54" spans="1:53" ht="12.95" customHeight="1" x14ac:dyDescent="0.25">
      <c r="A54" s="299">
        <v>11</v>
      </c>
      <c r="B54" s="220">
        <v>5456</v>
      </c>
      <c r="C54" s="220">
        <v>600099369</v>
      </c>
      <c r="D54" s="220">
        <v>854794</v>
      </c>
      <c r="E54" s="397" t="s">
        <v>490</v>
      </c>
      <c r="F54" s="220">
        <v>3113</v>
      </c>
      <c r="G54" s="397" t="s">
        <v>325</v>
      </c>
      <c r="H54" s="304" t="s">
        <v>277</v>
      </c>
      <c r="I54" s="462">
        <f t="shared" ref="I54:I58" si="170">SUM(J54:M54)</f>
        <v>50818549</v>
      </c>
      <c r="J54" s="457">
        <v>37059402</v>
      </c>
      <c r="K54" s="457">
        <f t="shared" ref="K54:K58" si="171">ROUND(J54*33.8%,0)</f>
        <v>12526078</v>
      </c>
      <c r="L54" s="457">
        <f t="shared" ref="L54:L58" si="172">ROUND(J54*1%,0)</f>
        <v>370594</v>
      </c>
      <c r="M54" s="457">
        <v>862475</v>
      </c>
      <c r="N54" s="458">
        <f t="shared" ref="N54:N58" si="173">O54+P54</f>
        <v>61.9739</v>
      </c>
      <c r="O54" s="459">
        <v>50.953899999999997</v>
      </c>
      <c r="P54" s="646">
        <v>11.02</v>
      </c>
      <c r="Q54" s="469">
        <f t="shared" ref="Q54:Q58" si="174">W54*-1</f>
        <v>-117000</v>
      </c>
      <c r="R54" s="460">
        <v>0</v>
      </c>
      <c r="S54" s="673">
        <v>0</v>
      </c>
      <c r="T54" s="460">
        <v>55710</v>
      </c>
      <c r="U54" s="460">
        <v>0</v>
      </c>
      <c r="V54" s="460">
        <f>SUM(Q54:U54)</f>
        <v>-61290</v>
      </c>
      <c r="W54" s="460">
        <v>117000</v>
      </c>
      <c r="X54" s="460">
        <v>74280</v>
      </c>
      <c r="Y54" s="460">
        <v>0</v>
      </c>
      <c r="Z54" s="460">
        <f t="shared" ref="Z54:Z58" si="175">SUM(W54:Y54)</f>
        <v>191280</v>
      </c>
      <c r="AA54" s="460">
        <f t="shared" ref="AA54:AA58" si="176">V54+Z54</f>
        <v>129990</v>
      </c>
      <c r="AB54" s="69">
        <f t="shared" ref="AB54:AB58" si="177">ROUND((V54+W54+X54)*33.8%,0)</f>
        <v>43937</v>
      </c>
      <c r="AC54" s="69">
        <f t="shared" ref="AC54:AC58" si="178">ROUND(V54*1%,0)</f>
        <v>-613</v>
      </c>
      <c r="AD54" s="460">
        <v>0</v>
      </c>
      <c r="AE54" s="460">
        <v>0</v>
      </c>
      <c r="AF54" s="460">
        <f t="shared" ref="AF54:AF58" si="179">SUM(AD54:AE54)</f>
        <v>0</v>
      </c>
      <c r="AG54" s="460">
        <f t="shared" ref="AG54:AG58" si="180">AA54+AB54+AC54+AF54</f>
        <v>173314</v>
      </c>
      <c r="AH54" s="461">
        <v>-0.08</v>
      </c>
      <c r="AI54" s="461">
        <v>-0.12</v>
      </c>
      <c r="AJ54" s="461">
        <v>0</v>
      </c>
      <c r="AK54" s="461">
        <v>0</v>
      </c>
      <c r="AL54" s="674">
        <v>0</v>
      </c>
      <c r="AM54" s="461">
        <v>0.05</v>
      </c>
      <c r="AN54" s="461">
        <v>0</v>
      </c>
      <c r="AO54" s="461">
        <v>0</v>
      </c>
      <c r="AP54" s="461">
        <f>AH54+AJ54+AK54+AM54+AN54</f>
        <v>-0.03</v>
      </c>
      <c r="AQ54" s="461">
        <f>AI54+AL54+AO54</f>
        <v>-0.12</v>
      </c>
      <c r="AR54" s="463">
        <f t="shared" ref="AR54:AR58" si="181">SUM(AP54:AQ54)</f>
        <v>-0.15</v>
      </c>
      <c r="AS54" s="469">
        <f>I54+AG54</f>
        <v>50991863</v>
      </c>
      <c r="AT54" s="460">
        <f>J54+V54</f>
        <v>36998112</v>
      </c>
      <c r="AU54" s="460">
        <f t="shared" ref="AU54:AU58" si="182">Z54</f>
        <v>191280</v>
      </c>
      <c r="AV54" s="460">
        <f t="shared" ref="AV54:AW58" si="183">K54+AB54</f>
        <v>12570015</v>
      </c>
      <c r="AW54" s="460">
        <f t="shared" si="183"/>
        <v>369981</v>
      </c>
      <c r="AX54" s="460">
        <f>M54+AF54</f>
        <v>862475</v>
      </c>
      <c r="AY54" s="461">
        <f>N54+AR54</f>
        <v>61.823900000000002</v>
      </c>
      <c r="AZ54" s="461">
        <f t="shared" ref="AZ54:BA58" si="184">O54+AP54</f>
        <v>50.923899999999996</v>
      </c>
      <c r="BA54" s="463">
        <f t="shared" si="184"/>
        <v>10.9</v>
      </c>
    </row>
    <row r="55" spans="1:53" ht="12.95" customHeight="1" x14ac:dyDescent="0.25">
      <c r="A55" s="299">
        <v>11</v>
      </c>
      <c r="B55" s="220">
        <v>5456</v>
      </c>
      <c r="C55" s="220">
        <v>600099369</v>
      </c>
      <c r="D55" s="220">
        <v>854794</v>
      </c>
      <c r="E55" s="219" t="s">
        <v>490</v>
      </c>
      <c r="F55" s="220">
        <v>3113</v>
      </c>
      <c r="G55" s="342" t="s">
        <v>308</v>
      </c>
      <c r="H55" s="304" t="s">
        <v>278</v>
      </c>
      <c r="I55" s="462">
        <f t="shared" si="170"/>
        <v>0</v>
      </c>
      <c r="J55" s="457">
        <v>0</v>
      </c>
      <c r="K55" s="457">
        <f t="shared" si="171"/>
        <v>0</v>
      </c>
      <c r="L55" s="457">
        <f t="shared" si="172"/>
        <v>0</v>
      </c>
      <c r="M55" s="457">
        <v>0</v>
      </c>
      <c r="N55" s="458">
        <f t="shared" si="173"/>
        <v>0</v>
      </c>
      <c r="O55" s="459">
        <v>0</v>
      </c>
      <c r="P55" s="646">
        <v>0</v>
      </c>
      <c r="Q55" s="469">
        <f t="shared" si="174"/>
        <v>0</v>
      </c>
      <c r="R55" s="460">
        <v>2993720</v>
      </c>
      <c r="S55" s="673">
        <v>0</v>
      </c>
      <c r="T55" s="460">
        <v>0</v>
      </c>
      <c r="U55" s="460">
        <v>0</v>
      </c>
      <c r="V55" s="460">
        <f>SUM(Q55:U55)</f>
        <v>2993720</v>
      </c>
      <c r="W55" s="460">
        <v>0</v>
      </c>
      <c r="X55" s="460">
        <v>0</v>
      </c>
      <c r="Y55" s="460">
        <v>0</v>
      </c>
      <c r="Z55" s="460">
        <f t="shared" si="175"/>
        <v>0</v>
      </c>
      <c r="AA55" s="460">
        <f t="shared" si="176"/>
        <v>2993720</v>
      </c>
      <c r="AB55" s="69">
        <f t="shared" si="177"/>
        <v>1011877</v>
      </c>
      <c r="AC55" s="69">
        <f t="shared" si="178"/>
        <v>29937</v>
      </c>
      <c r="AD55" s="460">
        <v>0</v>
      </c>
      <c r="AE55" s="460">
        <v>0</v>
      </c>
      <c r="AF55" s="460">
        <f t="shared" si="179"/>
        <v>0</v>
      </c>
      <c r="AG55" s="460">
        <f t="shared" si="180"/>
        <v>4035534</v>
      </c>
      <c r="AH55" s="461">
        <v>0</v>
      </c>
      <c r="AI55" s="461">
        <v>0</v>
      </c>
      <c r="AJ55" s="461">
        <v>8.31</v>
      </c>
      <c r="AK55" s="461">
        <v>0</v>
      </c>
      <c r="AL55" s="674">
        <v>0</v>
      </c>
      <c r="AM55" s="461">
        <v>0</v>
      </c>
      <c r="AN55" s="461">
        <v>0</v>
      </c>
      <c r="AO55" s="461">
        <v>0</v>
      </c>
      <c r="AP55" s="461">
        <f>AH55+AJ55+AK55+AM55+AN55</f>
        <v>8.31</v>
      </c>
      <c r="AQ55" s="461">
        <f>AI55+AL55+AO55</f>
        <v>0</v>
      </c>
      <c r="AR55" s="463">
        <f t="shared" si="181"/>
        <v>8.31</v>
      </c>
      <c r="AS55" s="469">
        <f>I55+AG55</f>
        <v>4035534</v>
      </c>
      <c r="AT55" s="460">
        <f>J55+V55</f>
        <v>2993720</v>
      </c>
      <c r="AU55" s="460">
        <f t="shared" si="182"/>
        <v>0</v>
      </c>
      <c r="AV55" s="460">
        <f t="shared" si="183"/>
        <v>1011877</v>
      </c>
      <c r="AW55" s="460">
        <f t="shared" si="183"/>
        <v>29937</v>
      </c>
      <c r="AX55" s="460">
        <f>M55+AF55</f>
        <v>0</v>
      </c>
      <c r="AY55" s="461">
        <f>N55+AR55</f>
        <v>8.31</v>
      </c>
      <c r="AZ55" s="461">
        <f t="shared" si="184"/>
        <v>8.31</v>
      </c>
      <c r="BA55" s="463">
        <f t="shared" si="184"/>
        <v>0</v>
      </c>
    </row>
    <row r="56" spans="1:53" ht="12.95" customHeight="1" x14ac:dyDescent="0.25">
      <c r="A56" s="299">
        <v>11</v>
      </c>
      <c r="B56" s="220">
        <v>5456</v>
      </c>
      <c r="C56" s="220">
        <v>600099369</v>
      </c>
      <c r="D56" s="220">
        <v>854794</v>
      </c>
      <c r="E56" s="396" t="s">
        <v>490</v>
      </c>
      <c r="F56" s="407">
        <v>3141</v>
      </c>
      <c r="G56" s="398" t="s">
        <v>311</v>
      </c>
      <c r="H56" s="304" t="s">
        <v>278</v>
      </c>
      <c r="I56" s="462">
        <f t="shared" si="170"/>
        <v>5394766</v>
      </c>
      <c r="J56" s="457">
        <f>3428356+535889</f>
        <v>3964245</v>
      </c>
      <c r="K56" s="457">
        <f t="shared" si="171"/>
        <v>1339915</v>
      </c>
      <c r="L56" s="457">
        <f t="shared" si="172"/>
        <v>39642</v>
      </c>
      <c r="M56" s="457">
        <f>41750+9214</f>
        <v>50964</v>
      </c>
      <c r="N56" s="458">
        <f t="shared" si="173"/>
        <v>12.74</v>
      </c>
      <c r="O56" s="459">
        <v>0</v>
      </c>
      <c r="P56" s="646">
        <f>11.02+1.72</f>
        <v>12.74</v>
      </c>
      <c r="Q56" s="469">
        <f t="shared" si="174"/>
        <v>-6500</v>
      </c>
      <c r="R56" s="460">
        <v>0</v>
      </c>
      <c r="S56" s="673">
        <v>0</v>
      </c>
      <c r="T56" s="460">
        <v>0</v>
      </c>
      <c r="U56" s="460">
        <v>0</v>
      </c>
      <c r="V56" s="460">
        <f>SUM(Q56:U56)</f>
        <v>-6500</v>
      </c>
      <c r="W56" s="460">
        <v>6500</v>
      </c>
      <c r="X56" s="460">
        <v>0</v>
      </c>
      <c r="Y56" s="460">
        <v>0</v>
      </c>
      <c r="Z56" s="460">
        <f t="shared" si="175"/>
        <v>6500</v>
      </c>
      <c r="AA56" s="460">
        <f t="shared" si="176"/>
        <v>0</v>
      </c>
      <c r="AB56" s="69">
        <f t="shared" si="177"/>
        <v>0</v>
      </c>
      <c r="AC56" s="69">
        <f t="shared" si="178"/>
        <v>-65</v>
      </c>
      <c r="AD56" s="460">
        <v>0</v>
      </c>
      <c r="AE56" s="460">
        <v>0</v>
      </c>
      <c r="AF56" s="460">
        <f t="shared" si="179"/>
        <v>0</v>
      </c>
      <c r="AG56" s="460">
        <f t="shared" si="180"/>
        <v>-65</v>
      </c>
      <c r="AH56" s="461">
        <v>0</v>
      </c>
      <c r="AI56" s="461">
        <v>0</v>
      </c>
      <c r="AJ56" s="461">
        <v>0</v>
      </c>
      <c r="AK56" s="461">
        <v>0</v>
      </c>
      <c r="AL56" s="674">
        <v>0</v>
      </c>
      <c r="AM56" s="461">
        <v>0</v>
      </c>
      <c r="AN56" s="461">
        <v>0</v>
      </c>
      <c r="AO56" s="461">
        <v>0</v>
      </c>
      <c r="AP56" s="461">
        <f>AH56+AJ56+AK56+AM56+AN56</f>
        <v>0</v>
      </c>
      <c r="AQ56" s="461">
        <f>AI56+AL56+AO56</f>
        <v>0</v>
      </c>
      <c r="AR56" s="463">
        <f t="shared" si="181"/>
        <v>0</v>
      </c>
      <c r="AS56" s="469">
        <f>I56+AG56</f>
        <v>5394701</v>
      </c>
      <c r="AT56" s="460">
        <f>J56+V56</f>
        <v>3957745</v>
      </c>
      <c r="AU56" s="460">
        <f t="shared" si="182"/>
        <v>6500</v>
      </c>
      <c r="AV56" s="460">
        <f t="shared" si="183"/>
        <v>1339915</v>
      </c>
      <c r="AW56" s="460">
        <f t="shared" si="183"/>
        <v>39577</v>
      </c>
      <c r="AX56" s="460">
        <f>M56+AF56</f>
        <v>50964</v>
      </c>
      <c r="AY56" s="461">
        <f>N56+AR56</f>
        <v>12.74</v>
      </c>
      <c r="AZ56" s="461">
        <f t="shared" si="184"/>
        <v>0</v>
      </c>
      <c r="BA56" s="463">
        <f t="shared" si="184"/>
        <v>12.74</v>
      </c>
    </row>
    <row r="57" spans="1:53" ht="12.95" customHeight="1" x14ac:dyDescent="0.25">
      <c r="A57" s="299">
        <v>11</v>
      </c>
      <c r="B57" s="220">
        <v>5456</v>
      </c>
      <c r="C57" s="220">
        <v>600099369</v>
      </c>
      <c r="D57" s="220">
        <v>854794</v>
      </c>
      <c r="E57" s="219" t="s">
        <v>490</v>
      </c>
      <c r="F57" s="220">
        <v>3143</v>
      </c>
      <c r="G57" s="342" t="s">
        <v>616</v>
      </c>
      <c r="H57" s="304" t="s">
        <v>277</v>
      </c>
      <c r="I57" s="462">
        <f t="shared" si="170"/>
        <v>3197409</v>
      </c>
      <c r="J57" s="457">
        <v>2371965</v>
      </c>
      <c r="K57" s="457">
        <f t="shared" si="171"/>
        <v>801724</v>
      </c>
      <c r="L57" s="457">
        <f t="shared" si="172"/>
        <v>23720</v>
      </c>
      <c r="M57" s="457">
        <v>0</v>
      </c>
      <c r="N57" s="458">
        <f t="shared" si="173"/>
        <v>4.8032000000000004</v>
      </c>
      <c r="O57" s="459">
        <v>4.8032000000000004</v>
      </c>
      <c r="P57" s="646">
        <v>0</v>
      </c>
      <c r="Q57" s="469">
        <f t="shared" si="174"/>
        <v>0</v>
      </c>
      <c r="R57" s="460">
        <v>0</v>
      </c>
      <c r="S57" s="673">
        <v>0</v>
      </c>
      <c r="T57" s="460">
        <v>0</v>
      </c>
      <c r="U57" s="460">
        <v>0</v>
      </c>
      <c r="V57" s="460">
        <f>SUM(Q57:U57)</f>
        <v>0</v>
      </c>
      <c r="W57" s="460">
        <v>0</v>
      </c>
      <c r="X57" s="460">
        <v>0</v>
      </c>
      <c r="Y57" s="460">
        <v>0</v>
      </c>
      <c r="Z57" s="460">
        <f t="shared" si="175"/>
        <v>0</v>
      </c>
      <c r="AA57" s="460">
        <f t="shared" si="176"/>
        <v>0</v>
      </c>
      <c r="AB57" s="69">
        <f t="shared" si="177"/>
        <v>0</v>
      </c>
      <c r="AC57" s="69">
        <f t="shared" si="178"/>
        <v>0</v>
      </c>
      <c r="AD57" s="460">
        <v>0</v>
      </c>
      <c r="AE57" s="460">
        <v>0</v>
      </c>
      <c r="AF57" s="460">
        <f t="shared" si="179"/>
        <v>0</v>
      </c>
      <c r="AG57" s="460">
        <f t="shared" si="180"/>
        <v>0</v>
      </c>
      <c r="AH57" s="461">
        <v>0</v>
      </c>
      <c r="AI57" s="461">
        <v>0</v>
      </c>
      <c r="AJ57" s="461">
        <v>0</v>
      </c>
      <c r="AK57" s="461">
        <v>0</v>
      </c>
      <c r="AL57" s="674">
        <v>0</v>
      </c>
      <c r="AM57" s="461">
        <v>0</v>
      </c>
      <c r="AN57" s="461">
        <v>0</v>
      </c>
      <c r="AO57" s="461">
        <v>0</v>
      </c>
      <c r="AP57" s="461">
        <f>AH57+AJ57+AK57+AM57+AN57</f>
        <v>0</v>
      </c>
      <c r="AQ57" s="461">
        <f>AI57+AL57+AO57</f>
        <v>0</v>
      </c>
      <c r="AR57" s="463">
        <f t="shared" si="181"/>
        <v>0</v>
      </c>
      <c r="AS57" s="469">
        <f>I57+AG57</f>
        <v>3197409</v>
      </c>
      <c r="AT57" s="460">
        <f>J57+V57</f>
        <v>2371965</v>
      </c>
      <c r="AU57" s="460">
        <f t="shared" si="182"/>
        <v>0</v>
      </c>
      <c r="AV57" s="460">
        <f t="shared" si="183"/>
        <v>801724</v>
      </c>
      <c r="AW57" s="460">
        <f t="shared" si="183"/>
        <v>23720</v>
      </c>
      <c r="AX57" s="460">
        <f>M57+AF57</f>
        <v>0</v>
      </c>
      <c r="AY57" s="461">
        <f>N57+AR57</f>
        <v>4.8032000000000004</v>
      </c>
      <c r="AZ57" s="461">
        <f t="shared" si="184"/>
        <v>4.8032000000000004</v>
      </c>
      <c r="BA57" s="463">
        <f t="shared" si="184"/>
        <v>0</v>
      </c>
    </row>
    <row r="58" spans="1:53" ht="12.95" customHeight="1" x14ac:dyDescent="0.25">
      <c r="A58" s="299">
        <v>11</v>
      </c>
      <c r="B58" s="220">
        <v>5456</v>
      </c>
      <c r="C58" s="220">
        <v>600099369</v>
      </c>
      <c r="D58" s="220">
        <v>854794</v>
      </c>
      <c r="E58" s="219" t="s">
        <v>490</v>
      </c>
      <c r="F58" s="220">
        <v>3143</v>
      </c>
      <c r="G58" s="342" t="s">
        <v>617</v>
      </c>
      <c r="H58" s="304" t="s">
        <v>278</v>
      </c>
      <c r="I58" s="462">
        <f t="shared" si="170"/>
        <v>109951</v>
      </c>
      <c r="J58" s="457">
        <v>78561</v>
      </c>
      <c r="K58" s="457">
        <f t="shared" si="171"/>
        <v>26554</v>
      </c>
      <c r="L58" s="457">
        <f t="shared" si="172"/>
        <v>786</v>
      </c>
      <c r="M58" s="457">
        <v>4050</v>
      </c>
      <c r="N58" s="458">
        <f t="shared" si="173"/>
        <v>0.31</v>
      </c>
      <c r="O58" s="459">
        <v>0</v>
      </c>
      <c r="P58" s="646">
        <v>0.31</v>
      </c>
      <c r="Q58" s="469">
        <f t="shared" si="174"/>
        <v>-3250</v>
      </c>
      <c r="R58" s="460">
        <v>0</v>
      </c>
      <c r="S58" s="673">
        <v>0</v>
      </c>
      <c r="T58" s="460">
        <v>0</v>
      </c>
      <c r="U58" s="460">
        <v>0</v>
      </c>
      <c r="V58" s="460">
        <f>SUM(Q58:U58)</f>
        <v>-3250</v>
      </c>
      <c r="W58" s="460">
        <v>3250</v>
      </c>
      <c r="X58" s="460">
        <v>0</v>
      </c>
      <c r="Y58" s="460">
        <v>0</v>
      </c>
      <c r="Z58" s="460">
        <f t="shared" si="175"/>
        <v>3250</v>
      </c>
      <c r="AA58" s="460">
        <f t="shared" si="176"/>
        <v>0</v>
      </c>
      <c r="AB58" s="69">
        <f t="shared" si="177"/>
        <v>0</v>
      </c>
      <c r="AC58" s="69">
        <f t="shared" si="178"/>
        <v>-33</v>
      </c>
      <c r="AD58" s="460">
        <v>0</v>
      </c>
      <c r="AE58" s="460">
        <v>0</v>
      </c>
      <c r="AF58" s="460">
        <f t="shared" si="179"/>
        <v>0</v>
      </c>
      <c r="AG58" s="460">
        <f t="shared" si="180"/>
        <v>-33</v>
      </c>
      <c r="AH58" s="461">
        <v>0</v>
      </c>
      <c r="AI58" s="461">
        <v>0</v>
      </c>
      <c r="AJ58" s="461">
        <v>0</v>
      </c>
      <c r="AK58" s="461">
        <v>0</v>
      </c>
      <c r="AL58" s="674">
        <v>0</v>
      </c>
      <c r="AM58" s="461">
        <v>0</v>
      </c>
      <c r="AN58" s="461">
        <v>0</v>
      </c>
      <c r="AO58" s="461">
        <v>0</v>
      </c>
      <c r="AP58" s="461">
        <f>AH58+AJ58+AK58+AM58+AN58</f>
        <v>0</v>
      </c>
      <c r="AQ58" s="461">
        <f>AI58+AL58+AO58</f>
        <v>0</v>
      </c>
      <c r="AR58" s="463">
        <f t="shared" si="181"/>
        <v>0</v>
      </c>
      <c r="AS58" s="469">
        <f>I58+AG58</f>
        <v>109918</v>
      </c>
      <c r="AT58" s="460">
        <f>J58+V58</f>
        <v>75311</v>
      </c>
      <c r="AU58" s="460">
        <f t="shared" si="182"/>
        <v>3250</v>
      </c>
      <c r="AV58" s="460">
        <f t="shared" si="183"/>
        <v>26554</v>
      </c>
      <c r="AW58" s="460">
        <f t="shared" si="183"/>
        <v>753</v>
      </c>
      <c r="AX58" s="460">
        <f>M58+AF58</f>
        <v>4050</v>
      </c>
      <c r="AY58" s="461">
        <f>N58+AR58</f>
        <v>0.31</v>
      </c>
      <c r="AZ58" s="461">
        <f t="shared" si="184"/>
        <v>0</v>
      </c>
      <c r="BA58" s="463">
        <f t="shared" si="184"/>
        <v>0.31</v>
      </c>
    </row>
    <row r="59" spans="1:53" ht="12.95" customHeight="1" x14ac:dyDescent="0.25">
      <c r="A59" s="221">
        <v>11</v>
      </c>
      <c r="B59" s="49">
        <v>5456</v>
      </c>
      <c r="C59" s="49">
        <v>600099369</v>
      </c>
      <c r="D59" s="49">
        <v>854794</v>
      </c>
      <c r="E59" s="399" t="s">
        <v>491</v>
      </c>
      <c r="F59" s="49"/>
      <c r="G59" s="412"/>
      <c r="H59" s="189"/>
      <c r="I59" s="536">
        <f t="shared" ref="I59:P59" si="185">SUM(I54:I58)</f>
        <v>59520675</v>
      </c>
      <c r="J59" s="532">
        <f t="shared" si="185"/>
        <v>43474173</v>
      </c>
      <c r="K59" s="532">
        <f t="shared" si="185"/>
        <v>14694271</v>
      </c>
      <c r="L59" s="532">
        <f t="shared" si="185"/>
        <v>434742</v>
      </c>
      <c r="M59" s="532">
        <f t="shared" si="185"/>
        <v>917489</v>
      </c>
      <c r="N59" s="533">
        <f t="shared" si="185"/>
        <v>79.827100000000002</v>
      </c>
      <c r="O59" s="533">
        <f t="shared" si="185"/>
        <v>55.757099999999994</v>
      </c>
      <c r="P59" s="298">
        <f t="shared" si="185"/>
        <v>24.069999999999997</v>
      </c>
      <c r="Q59" s="538">
        <f t="shared" ref="Q59:BA59" si="186">SUM(Q54:Q58)</f>
        <v>-126750</v>
      </c>
      <c r="R59" s="532">
        <f t="shared" si="186"/>
        <v>2993720</v>
      </c>
      <c r="S59" s="532">
        <f t="shared" si="186"/>
        <v>0</v>
      </c>
      <c r="T59" s="532">
        <f t="shared" si="186"/>
        <v>55710</v>
      </c>
      <c r="U59" s="532">
        <f t="shared" si="186"/>
        <v>0</v>
      </c>
      <c r="V59" s="532">
        <f t="shared" si="186"/>
        <v>2922680</v>
      </c>
      <c r="W59" s="532">
        <f t="shared" si="186"/>
        <v>126750</v>
      </c>
      <c r="X59" s="532">
        <f t="shared" si="186"/>
        <v>74280</v>
      </c>
      <c r="Y59" s="532">
        <f t="shared" si="186"/>
        <v>0</v>
      </c>
      <c r="Z59" s="532">
        <f t="shared" si="186"/>
        <v>201030</v>
      </c>
      <c r="AA59" s="532">
        <f t="shared" si="186"/>
        <v>3123710</v>
      </c>
      <c r="AB59" s="532">
        <f t="shared" si="186"/>
        <v>1055814</v>
      </c>
      <c r="AC59" s="532">
        <f t="shared" si="186"/>
        <v>29226</v>
      </c>
      <c r="AD59" s="532">
        <f t="shared" si="186"/>
        <v>0</v>
      </c>
      <c r="AE59" s="532">
        <f t="shared" si="186"/>
        <v>0</v>
      </c>
      <c r="AF59" s="532">
        <f t="shared" si="186"/>
        <v>0</v>
      </c>
      <c r="AG59" s="532">
        <f t="shared" si="186"/>
        <v>4208750</v>
      </c>
      <c r="AH59" s="533">
        <f t="shared" si="186"/>
        <v>-0.08</v>
      </c>
      <c r="AI59" s="533">
        <f t="shared" si="186"/>
        <v>-0.12</v>
      </c>
      <c r="AJ59" s="533">
        <f t="shared" si="186"/>
        <v>8.31</v>
      </c>
      <c r="AK59" s="533">
        <f t="shared" si="186"/>
        <v>0</v>
      </c>
      <c r="AL59" s="533">
        <f t="shared" si="186"/>
        <v>0</v>
      </c>
      <c r="AM59" s="533">
        <f t="shared" si="186"/>
        <v>0.05</v>
      </c>
      <c r="AN59" s="533">
        <f t="shared" si="186"/>
        <v>0</v>
      </c>
      <c r="AO59" s="533">
        <f t="shared" si="186"/>
        <v>0</v>
      </c>
      <c r="AP59" s="533">
        <f t="shared" si="186"/>
        <v>8.2800000000000011</v>
      </c>
      <c r="AQ59" s="533">
        <f t="shared" si="186"/>
        <v>-0.12</v>
      </c>
      <c r="AR59" s="298">
        <f t="shared" si="186"/>
        <v>8.16</v>
      </c>
      <c r="AS59" s="538">
        <f t="shared" si="186"/>
        <v>63729425</v>
      </c>
      <c r="AT59" s="532">
        <f t="shared" si="186"/>
        <v>46396853</v>
      </c>
      <c r="AU59" s="532">
        <f t="shared" si="186"/>
        <v>201030</v>
      </c>
      <c r="AV59" s="532">
        <f t="shared" si="186"/>
        <v>15750085</v>
      </c>
      <c r="AW59" s="532">
        <f t="shared" si="186"/>
        <v>463968</v>
      </c>
      <c r="AX59" s="532">
        <f t="shared" si="186"/>
        <v>917489</v>
      </c>
      <c r="AY59" s="533">
        <f t="shared" si="186"/>
        <v>87.987099999999998</v>
      </c>
      <c r="AZ59" s="533">
        <f t="shared" si="186"/>
        <v>64.037099999999995</v>
      </c>
      <c r="BA59" s="298">
        <f t="shared" si="186"/>
        <v>23.95</v>
      </c>
    </row>
    <row r="60" spans="1:53" ht="12.95" customHeight="1" x14ac:dyDescent="0.25">
      <c r="A60" s="299">
        <v>12</v>
      </c>
      <c r="B60" s="220">
        <v>5481</v>
      </c>
      <c r="C60" s="220">
        <v>600099075</v>
      </c>
      <c r="D60" s="220">
        <v>72742739</v>
      </c>
      <c r="E60" s="397" t="s">
        <v>492</v>
      </c>
      <c r="F60" s="220">
        <v>3117</v>
      </c>
      <c r="G60" s="397" t="s">
        <v>325</v>
      </c>
      <c r="H60" s="304" t="s">
        <v>277</v>
      </c>
      <c r="I60" s="462">
        <f t="shared" ref="I60:I64" si="187">SUM(J60:M60)</f>
        <v>6292391</v>
      </c>
      <c r="J60" s="457">
        <v>4553054</v>
      </c>
      <c r="K60" s="457">
        <f t="shared" ref="K60:K64" si="188">ROUND(J60*33.8%,0)</f>
        <v>1538932</v>
      </c>
      <c r="L60" s="457">
        <f>ROUND(J60*1%,0)-1</f>
        <v>45530</v>
      </c>
      <c r="M60" s="457">
        <v>154875</v>
      </c>
      <c r="N60" s="458">
        <f t="shared" ref="N60:N64" si="189">O60+P60</f>
        <v>7.8727999999999998</v>
      </c>
      <c r="O60" s="459">
        <v>5.7728000000000002</v>
      </c>
      <c r="P60" s="646">
        <v>2.1</v>
      </c>
      <c r="Q60" s="469">
        <f t="shared" ref="Q60:Q64" si="190">W60*-1</f>
        <v>-56550</v>
      </c>
      <c r="R60" s="460">
        <v>0</v>
      </c>
      <c r="S60" s="673">
        <v>0</v>
      </c>
      <c r="T60" s="460">
        <v>0</v>
      </c>
      <c r="U60" s="460">
        <v>0</v>
      </c>
      <c r="V60" s="460">
        <f>SUM(Q60:U60)</f>
        <v>-56550</v>
      </c>
      <c r="W60" s="460">
        <v>56550</v>
      </c>
      <c r="X60" s="460">
        <v>0</v>
      </c>
      <c r="Y60" s="460">
        <v>0</v>
      </c>
      <c r="Z60" s="460">
        <f t="shared" ref="Z60:Z64" si="191">SUM(W60:Y60)</f>
        <v>56550</v>
      </c>
      <c r="AA60" s="460">
        <f t="shared" ref="AA60:AA64" si="192">V60+Z60</f>
        <v>0</v>
      </c>
      <c r="AB60" s="69">
        <f t="shared" ref="AB60:AB64" si="193">ROUND((V60+W60+X60)*33.8%,0)</f>
        <v>0</v>
      </c>
      <c r="AC60" s="69">
        <f t="shared" ref="AC60:AC64" si="194">ROUND(V60*1%,0)</f>
        <v>-566</v>
      </c>
      <c r="AD60" s="460">
        <v>0</v>
      </c>
      <c r="AE60" s="460">
        <v>0</v>
      </c>
      <c r="AF60" s="460">
        <f t="shared" ref="AF60:AF64" si="195">SUM(AD60:AE60)</f>
        <v>0</v>
      </c>
      <c r="AG60" s="460">
        <f t="shared" ref="AG60:AG64" si="196">AA60+AB60+AC60+AF60</f>
        <v>-566</v>
      </c>
      <c r="AH60" s="461">
        <v>-0.04</v>
      </c>
      <c r="AI60" s="461">
        <v>-0.01</v>
      </c>
      <c r="AJ60" s="461">
        <v>0</v>
      </c>
      <c r="AK60" s="461">
        <v>0</v>
      </c>
      <c r="AL60" s="674">
        <v>0</v>
      </c>
      <c r="AM60" s="461">
        <v>0</v>
      </c>
      <c r="AN60" s="461">
        <v>0</v>
      </c>
      <c r="AO60" s="461">
        <v>0</v>
      </c>
      <c r="AP60" s="461">
        <f>AH60+AJ60+AK60+AM60+AN60</f>
        <v>-0.04</v>
      </c>
      <c r="AQ60" s="461">
        <f>AI60+AL60+AO60</f>
        <v>-0.01</v>
      </c>
      <c r="AR60" s="463">
        <f t="shared" ref="AR60:AR64" si="197">SUM(AP60:AQ60)</f>
        <v>-0.05</v>
      </c>
      <c r="AS60" s="469">
        <f>I60+AG60</f>
        <v>6291825</v>
      </c>
      <c r="AT60" s="460">
        <f>J60+V60</f>
        <v>4496504</v>
      </c>
      <c r="AU60" s="460">
        <f t="shared" ref="AU60:AU64" si="198">Z60</f>
        <v>56550</v>
      </c>
      <c r="AV60" s="460">
        <f t="shared" ref="AV60:AW64" si="199">K60+AB60</f>
        <v>1538932</v>
      </c>
      <c r="AW60" s="460">
        <f t="shared" si="199"/>
        <v>44964</v>
      </c>
      <c r="AX60" s="460">
        <f>M60+AF60</f>
        <v>154875</v>
      </c>
      <c r="AY60" s="461">
        <f>N60+AR60</f>
        <v>7.8228</v>
      </c>
      <c r="AZ60" s="461">
        <f t="shared" ref="AZ60:BA64" si="200">O60+AP60</f>
        <v>5.7328000000000001</v>
      </c>
      <c r="BA60" s="463">
        <f t="shared" si="200"/>
        <v>2.0900000000000003</v>
      </c>
    </row>
    <row r="61" spans="1:53" ht="12.95" customHeight="1" x14ac:dyDescent="0.25">
      <c r="A61" s="299">
        <v>12</v>
      </c>
      <c r="B61" s="220">
        <v>5481</v>
      </c>
      <c r="C61" s="220">
        <v>600099075</v>
      </c>
      <c r="D61" s="220">
        <v>72742739</v>
      </c>
      <c r="E61" s="219" t="s">
        <v>492</v>
      </c>
      <c r="F61" s="220">
        <v>3117</v>
      </c>
      <c r="G61" s="342" t="s">
        <v>308</v>
      </c>
      <c r="H61" s="304" t="s">
        <v>278</v>
      </c>
      <c r="I61" s="462">
        <f t="shared" si="187"/>
        <v>0</v>
      </c>
      <c r="J61" s="457">
        <v>0</v>
      </c>
      <c r="K61" s="457">
        <f t="shared" si="188"/>
        <v>0</v>
      </c>
      <c r="L61" s="457">
        <f t="shared" ref="L61:L64" si="201">ROUND(J61*1%,0)</f>
        <v>0</v>
      </c>
      <c r="M61" s="457">
        <v>0</v>
      </c>
      <c r="N61" s="458">
        <f t="shared" si="189"/>
        <v>0</v>
      </c>
      <c r="O61" s="459">
        <v>0</v>
      </c>
      <c r="P61" s="646">
        <v>0</v>
      </c>
      <c r="Q61" s="469">
        <f t="shared" si="190"/>
        <v>0</v>
      </c>
      <c r="R61" s="460">
        <v>346446</v>
      </c>
      <c r="S61" s="673">
        <v>0</v>
      </c>
      <c r="T61" s="460">
        <v>0</v>
      </c>
      <c r="U61" s="460">
        <v>0</v>
      </c>
      <c r="V61" s="460">
        <f>SUM(Q61:U61)</f>
        <v>346446</v>
      </c>
      <c r="W61" s="460">
        <v>0</v>
      </c>
      <c r="X61" s="460">
        <v>0</v>
      </c>
      <c r="Y61" s="460">
        <v>0</v>
      </c>
      <c r="Z61" s="460">
        <f t="shared" si="191"/>
        <v>0</v>
      </c>
      <c r="AA61" s="460">
        <f t="shared" si="192"/>
        <v>346446</v>
      </c>
      <c r="AB61" s="69">
        <f t="shared" si="193"/>
        <v>117099</v>
      </c>
      <c r="AC61" s="69">
        <f t="shared" si="194"/>
        <v>3464</v>
      </c>
      <c r="AD61" s="460">
        <v>0</v>
      </c>
      <c r="AE61" s="460">
        <v>0</v>
      </c>
      <c r="AF61" s="460">
        <f t="shared" si="195"/>
        <v>0</v>
      </c>
      <c r="AG61" s="460">
        <f t="shared" si="196"/>
        <v>467009</v>
      </c>
      <c r="AH61" s="461">
        <v>0</v>
      </c>
      <c r="AI61" s="461">
        <v>0</v>
      </c>
      <c r="AJ61" s="461">
        <v>1</v>
      </c>
      <c r="AK61" s="461">
        <v>0</v>
      </c>
      <c r="AL61" s="674">
        <v>0</v>
      </c>
      <c r="AM61" s="461">
        <v>0</v>
      </c>
      <c r="AN61" s="461">
        <v>0</v>
      </c>
      <c r="AO61" s="461">
        <v>0</v>
      </c>
      <c r="AP61" s="461">
        <f>AH61+AJ61+AK61+AM61+AN61</f>
        <v>1</v>
      </c>
      <c r="AQ61" s="461">
        <f>AI61+AL61+AO61</f>
        <v>0</v>
      </c>
      <c r="AR61" s="463">
        <f t="shared" si="197"/>
        <v>1</v>
      </c>
      <c r="AS61" s="469">
        <f>I61+AG61</f>
        <v>467009</v>
      </c>
      <c r="AT61" s="460">
        <f>J61+V61</f>
        <v>346446</v>
      </c>
      <c r="AU61" s="460">
        <f t="shared" si="198"/>
        <v>0</v>
      </c>
      <c r="AV61" s="460">
        <f t="shared" si="199"/>
        <v>117099</v>
      </c>
      <c r="AW61" s="460">
        <f t="shared" si="199"/>
        <v>3464</v>
      </c>
      <c r="AX61" s="460">
        <f>M61+AF61</f>
        <v>0</v>
      </c>
      <c r="AY61" s="461">
        <f>N61+AR61</f>
        <v>1</v>
      </c>
      <c r="AZ61" s="461">
        <f t="shared" si="200"/>
        <v>1</v>
      </c>
      <c r="BA61" s="463">
        <f t="shared" si="200"/>
        <v>0</v>
      </c>
    </row>
    <row r="62" spans="1:53" ht="12.95" customHeight="1" x14ac:dyDescent="0.25">
      <c r="A62" s="299">
        <v>12</v>
      </c>
      <c r="B62" s="220">
        <v>5481</v>
      </c>
      <c r="C62" s="220">
        <v>600099075</v>
      </c>
      <c r="D62" s="220">
        <v>72742739</v>
      </c>
      <c r="E62" s="219" t="s">
        <v>492</v>
      </c>
      <c r="F62" s="220">
        <v>3141</v>
      </c>
      <c r="G62" s="342" t="s">
        <v>311</v>
      </c>
      <c r="H62" s="304" t="s">
        <v>278</v>
      </c>
      <c r="I62" s="462">
        <f t="shared" si="187"/>
        <v>339910</v>
      </c>
      <c r="J62" s="457">
        <v>249586</v>
      </c>
      <c r="K62" s="457">
        <f t="shared" si="188"/>
        <v>84360</v>
      </c>
      <c r="L62" s="457">
        <f t="shared" si="201"/>
        <v>2496</v>
      </c>
      <c r="M62" s="457">
        <v>3468</v>
      </c>
      <c r="N62" s="458">
        <f t="shared" si="189"/>
        <v>0.8</v>
      </c>
      <c r="O62" s="459">
        <v>0</v>
      </c>
      <c r="P62" s="646">
        <v>0.8</v>
      </c>
      <c r="Q62" s="469">
        <f t="shared" si="190"/>
        <v>0</v>
      </c>
      <c r="R62" s="460">
        <v>0</v>
      </c>
      <c r="S62" s="673">
        <v>0</v>
      </c>
      <c r="T62" s="460">
        <v>0</v>
      </c>
      <c r="U62" s="460">
        <v>0</v>
      </c>
      <c r="V62" s="460">
        <f>SUM(Q62:U62)</f>
        <v>0</v>
      </c>
      <c r="W62" s="460">
        <v>0</v>
      </c>
      <c r="X62" s="460">
        <v>0</v>
      </c>
      <c r="Y62" s="460">
        <v>0</v>
      </c>
      <c r="Z62" s="460">
        <f t="shared" si="191"/>
        <v>0</v>
      </c>
      <c r="AA62" s="460">
        <f t="shared" si="192"/>
        <v>0</v>
      </c>
      <c r="AB62" s="69">
        <f t="shared" si="193"/>
        <v>0</v>
      </c>
      <c r="AC62" s="69">
        <f t="shared" si="194"/>
        <v>0</v>
      </c>
      <c r="AD62" s="460">
        <v>0</v>
      </c>
      <c r="AE62" s="460">
        <v>0</v>
      </c>
      <c r="AF62" s="460">
        <f t="shared" si="195"/>
        <v>0</v>
      </c>
      <c r="AG62" s="460">
        <f t="shared" si="196"/>
        <v>0</v>
      </c>
      <c r="AH62" s="461">
        <v>0</v>
      </c>
      <c r="AI62" s="461">
        <v>0</v>
      </c>
      <c r="AJ62" s="461">
        <v>0</v>
      </c>
      <c r="AK62" s="461">
        <v>0</v>
      </c>
      <c r="AL62" s="674">
        <v>0</v>
      </c>
      <c r="AM62" s="461">
        <v>0</v>
      </c>
      <c r="AN62" s="461">
        <v>0</v>
      </c>
      <c r="AO62" s="461">
        <v>0</v>
      </c>
      <c r="AP62" s="461">
        <f>AH62+AJ62+AK62+AM62+AN62</f>
        <v>0</v>
      </c>
      <c r="AQ62" s="461">
        <f>AI62+AL62+AO62</f>
        <v>0</v>
      </c>
      <c r="AR62" s="463">
        <f t="shared" si="197"/>
        <v>0</v>
      </c>
      <c r="AS62" s="469">
        <f>I62+AG62</f>
        <v>339910</v>
      </c>
      <c r="AT62" s="460">
        <f>J62+V62</f>
        <v>249586</v>
      </c>
      <c r="AU62" s="460">
        <f t="shared" si="198"/>
        <v>0</v>
      </c>
      <c r="AV62" s="460">
        <f t="shared" si="199"/>
        <v>84360</v>
      </c>
      <c r="AW62" s="460">
        <f t="shared" si="199"/>
        <v>2496</v>
      </c>
      <c r="AX62" s="460">
        <f>M62+AF62</f>
        <v>3468</v>
      </c>
      <c r="AY62" s="461">
        <f>N62+AR62</f>
        <v>0.8</v>
      </c>
      <c r="AZ62" s="461">
        <f t="shared" si="200"/>
        <v>0</v>
      </c>
      <c r="BA62" s="463">
        <f t="shared" si="200"/>
        <v>0.8</v>
      </c>
    </row>
    <row r="63" spans="1:53" ht="12.95" customHeight="1" x14ac:dyDescent="0.25">
      <c r="A63" s="299">
        <v>12</v>
      </c>
      <c r="B63" s="220">
        <v>5481</v>
      </c>
      <c r="C63" s="220">
        <v>600099075</v>
      </c>
      <c r="D63" s="220">
        <v>72742739</v>
      </c>
      <c r="E63" s="219" t="s">
        <v>492</v>
      </c>
      <c r="F63" s="220">
        <v>3143</v>
      </c>
      <c r="G63" s="342" t="s">
        <v>616</v>
      </c>
      <c r="H63" s="304" t="s">
        <v>277</v>
      </c>
      <c r="I63" s="462">
        <f t="shared" si="187"/>
        <v>1033230</v>
      </c>
      <c r="J63" s="457">
        <v>766491</v>
      </c>
      <c r="K63" s="457">
        <f t="shared" si="188"/>
        <v>259074</v>
      </c>
      <c r="L63" s="457">
        <f t="shared" si="201"/>
        <v>7665</v>
      </c>
      <c r="M63" s="457">
        <v>0</v>
      </c>
      <c r="N63" s="458">
        <f t="shared" si="189"/>
        <v>1.5</v>
      </c>
      <c r="O63" s="459">
        <v>1.5</v>
      </c>
      <c r="P63" s="646">
        <v>0</v>
      </c>
      <c r="Q63" s="469">
        <f t="shared" si="190"/>
        <v>0</v>
      </c>
      <c r="R63" s="460">
        <v>0</v>
      </c>
      <c r="S63" s="673">
        <v>0</v>
      </c>
      <c r="T63" s="460">
        <v>0</v>
      </c>
      <c r="U63" s="460">
        <v>0</v>
      </c>
      <c r="V63" s="460">
        <f>SUM(Q63:U63)</f>
        <v>0</v>
      </c>
      <c r="W63" s="460">
        <v>0</v>
      </c>
      <c r="X63" s="460">
        <v>0</v>
      </c>
      <c r="Y63" s="460">
        <v>0</v>
      </c>
      <c r="Z63" s="460">
        <f t="shared" si="191"/>
        <v>0</v>
      </c>
      <c r="AA63" s="460">
        <f t="shared" si="192"/>
        <v>0</v>
      </c>
      <c r="AB63" s="69">
        <f t="shared" si="193"/>
        <v>0</v>
      </c>
      <c r="AC63" s="69">
        <f t="shared" si="194"/>
        <v>0</v>
      </c>
      <c r="AD63" s="460">
        <v>0</v>
      </c>
      <c r="AE63" s="460">
        <v>0</v>
      </c>
      <c r="AF63" s="460">
        <f t="shared" si="195"/>
        <v>0</v>
      </c>
      <c r="AG63" s="460">
        <f t="shared" si="196"/>
        <v>0</v>
      </c>
      <c r="AH63" s="461">
        <v>0</v>
      </c>
      <c r="AI63" s="461">
        <v>0</v>
      </c>
      <c r="AJ63" s="461">
        <v>0</v>
      </c>
      <c r="AK63" s="461">
        <v>0</v>
      </c>
      <c r="AL63" s="674">
        <v>0</v>
      </c>
      <c r="AM63" s="461">
        <v>0</v>
      </c>
      <c r="AN63" s="461">
        <v>0</v>
      </c>
      <c r="AO63" s="461">
        <v>0</v>
      </c>
      <c r="AP63" s="461">
        <f>AH63+AJ63+AK63+AM63+AN63</f>
        <v>0</v>
      </c>
      <c r="AQ63" s="461">
        <f>AI63+AL63+AO63</f>
        <v>0</v>
      </c>
      <c r="AR63" s="463">
        <f t="shared" si="197"/>
        <v>0</v>
      </c>
      <c r="AS63" s="469">
        <f>I63+AG63</f>
        <v>1033230</v>
      </c>
      <c r="AT63" s="460">
        <f>J63+V63</f>
        <v>766491</v>
      </c>
      <c r="AU63" s="460">
        <f t="shared" si="198"/>
        <v>0</v>
      </c>
      <c r="AV63" s="460">
        <f t="shared" si="199"/>
        <v>259074</v>
      </c>
      <c r="AW63" s="460">
        <f t="shared" si="199"/>
        <v>7665</v>
      </c>
      <c r="AX63" s="460">
        <f>M63+AF63</f>
        <v>0</v>
      </c>
      <c r="AY63" s="461">
        <f>N63+AR63</f>
        <v>1.5</v>
      </c>
      <c r="AZ63" s="461">
        <f t="shared" si="200"/>
        <v>1.5</v>
      </c>
      <c r="BA63" s="463">
        <f t="shared" si="200"/>
        <v>0</v>
      </c>
    </row>
    <row r="64" spans="1:53" ht="12.95" customHeight="1" x14ac:dyDescent="0.25">
      <c r="A64" s="299">
        <v>12</v>
      </c>
      <c r="B64" s="220">
        <v>5481</v>
      </c>
      <c r="C64" s="220">
        <v>600099075</v>
      </c>
      <c r="D64" s="220">
        <v>72742739</v>
      </c>
      <c r="E64" s="219" t="s">
        <v>492</v>
      </c>
      <c r="F64" s="220">
        <v>3143</v>
      </c>
      <c r="G64" s="342" t="s">
        <v>617</v>
      </c>
      <c r="H64" s="304" t="s">
        <v>278</v>
      </c>
      <c r="I64" s="462">
        <f t="shared" si="187"/>
        <v>43979</v>
      </c>
      <c r="J64" s="457">
        <v>31424</v>
      </c>
      <c r="K64" s="457">
        <f t="shared" si="188"/>
        <v>10621</v>
      </c>
      <c r="L64" s="457">
        <f t="shared" si="201"/>
        <v>314</v>
      </c>
      <c r="M64" s="457">
        <v>1620</v>
      </c>
      <c r="N64" s="458">
        <f t="shared" si="189"/>
        <v>0.13</v>
      </c>
      <c r="O64" s="459">
        <v>0</v>
      </c>
      <c r="P64" s="646">
        <v>0.13</v>
      </c>
      <c r="Q64" s="469">
        <f t="shared" si="190"/>
        <v>-16250</v>
      </c>
      <c r="R64" s="460">
        <v>0</v>
      </c>
      <c r="S64" s="673">
        <v>0</v>
      </c>
      <c r="T64" s="460">
        <v>0</v>
      </c>
      <c r="U64" s="460">
        <v>0</v>
      </c>
      <c r="V64" s="460">
        <f>SUM(Q64:U64)</f>
        <v>-16250</v>
      </c>
      <c r="W64" s="460">
        <v>16250</v>
      </c>
      <c r="X64" s="460">
        <v>0</v>
      </c>
      <c r="Y64" s="460">
        <v>0</v>
      </c>
      <c r="Z64" s="460">
        <f t="shared" si="191"/>
        <v>16250</v>
      </c>
      <c r="AA64" s="460">
        <f t="shared" si="192"/>
        <v>0</v>
      </c>
      <c r="AB64" s="69">
        <f t="shared" si="193"/>
        <v>0</v>
      </c>
      <c r="AC64" s="69">
        <f t="shared" si="194"/>
        <v>-163</v>
      </c>
      <c r="AD64" s="460">
        <v>0</v>
      </c>
      <c r="AE64" s="460">
        <v>0</v>
      </c>
      <c r="AF64" s="460">
        <f t="shared" si="195"/>
        <v>0</v>
      </c>
      <c r="AG64" s="460">
        <f t="shared" si="196"/>
        <v>-163</v>
      </c>
      <c r="AH64" s="461">
        <v>0</v>
      </c>
      <c r="AI64" s="461">
        <v>-0.02</v>
      </c>
      <c r="AJ64" s="461">
        <v>0</v>
      </c>
      <c r="AK64" s="461">
        <v>0</v>
      </c>
      <c r="AL64" s="674">
        <v>0</v>
      </c>
      <c r="AM64" s="461">
        <v>0</v>
      </c>
      <c r="AN64" s="461">
        <v>0</v>
      </c>
      <c r="AO64" s="461">
        <v>0</v>
      </c>
      <c r="AP64" s="461">
        <f>AH64+AJ64+AK64+AM64+AN64</f>
        <v>0</v>
      </c>
      <c r="AQ64" s="461">
        <f>AI64+AL64+AO64</f>
        <v>-0.02</v>
      </c>
      <c r="AR64" s="463">
        <f t="shared" si="197"/>
        <v>-0.02</v>
      </c>
      <c r="AS64" s="469">
        <f>I64+AG64</f>
        <v>43816</v>
      </c>
      <c r="AT64" s="460">
        <f>J64+V64</f>
        <v>15174</v>
      </c>
      <c r="AU64" s="460">
        <f t="shared" si="198"/>
        <v>16250</v>
      </c>
      <c r="AV64" s="460">
        <f t="shared" si="199"/>
        <v>10621</v>
      </c>
      <c r="AW64" s="460">
        <f t="shared" si="199"/>
        <v>151</v>
      </c>
      <c r="AX64" s="460">
        <f>M64+AF64</f>
        <v>1620</v>
      </c>
      <c r="AY64" s="461">
        <f>N64+AR64</f>
        <v>0.11</v>
      </c>
      <c r="AZ64" s="461">
        <f t="shared" si="200"/>
        <v>0</v>
      </c>
      <c r="BA64" s="463">
        <f t="shared" si="200"/>
        <v>0.11</v>
      </c>
    </row>
    <row r="65" spans="1:53" ht="12.95" customHeight="1" x14ac:dyDescent="0.25">
      <c r="A65" s="221">
        <v>12</v>
      </c>
      <c r="B65" s="46">
        <v>5481</v>
      </c>
      <c r="C65" s="46">
        <v>600099075</v>
      </c>
      <c r="D65" s="46">
        <v>72742739</v>
      </c>
      <c r="E65" s="399" t="s">
        <v>493</v>
      </c>
      <c r="F65" s="46"/>
      <c r="G65" s="399"/>
      <c r="H65" s="186"/>
      <c r="I65" s="560">
        <f t="shared" ref="I65:P65" si="202">SUM(I60:I64)</f>
        <v>7709510</v>
      </c>
      <c r="J65" s="558">
        <f t="shared" si="202"/>
        <v>5600555</v>
      </c>
      <c r="K65" s="558">
        <f t="shared" si="202"/>
        <v>1892987</v>
      </c>
      <c r="L65" s="558">
        <f t="shared" si="202"/>
        <v>56005</v>
      </c>
      <c r="M65" s="558">
        <f t="shared" si="202"/>
        <v>159963</v>
      </c>
      <c r="N65" s="559">
        <f t="shared" si="202"/>
        <v>10.302800000000001</v>
      </c>
      <c r="O65" s="559">
        <f t="shared" si="202"/>
        <v>7.2728000000000002</v>
      </c>
      <c r="P65" s="372">
        <f t="shared" si="202"/>
        <v>3.0300000000000002</v>
      </c>
      <c r="Q65" s="561">
        <f t="shared" ref="Q65:BA65" si="203">SUM(Q60:Q64)</f>
        <v>-72800</v>
      </c>
      <c r="R65" s="558">
        <f t="shared" si="203"/>
        <v>346446</v>
      </c>
      <c r="S65" s="558">
        <f t="shared" si="203"/>
        <v>0</v>
      </c>
      <c r="T65" s="558">
        <f t="shared" si="203"/>
        <v>0</v>
      </c>
      <c r="U65" s="558">
        <f t="shared" si="203"/>
        <v>0</v>
      </c>
      <c r="V65" s="558">
        <f t="shared" si="203"/>
        <v>273646</v>
      </c>
      <c r="W65" s="558">
        <f t="shared" si="203"/>
        <v>72800</v>
      </c>
      <c r="X65" s="558">
        <f t="shared" si="203"/>
        <v>0</v>
      </c>
      <c r="Y65" s="558">
        <f t="shared" si="203"/>
        <v>0</v>
      </c>
      <c r="Z65" s="558">
        <f t="shared" si="203"/>
        <v>72800</v>
      </c>
      <c r="AA65" s="558">
        <f t="shared" si="203"/>
        <v>346446</v>
      </c>
      <c r="AB65" s="558">
        <f t="shared" si="203"/>
        <v>117099</v>
      </c>
      <c r="AC65" s="558">
        <f t="shared" si="203"/>
        <v>2735</v>
      </c>
      <c r="AD65" s="558">
        <f t="shared" si="203"/>
        <v>0</v>
      </c>
      <c r="AE65" s="558">
        <f t="shared" si="203"/>
        <v>0</v>
      </c>
      <c r="AF65" s="558">
        <f t="shared" si="203"/>
        <v>0</v>
      </c>
      <c r="AG65" s="558">
        <f t="shared" si="203"/>
        <v>466280</v>
      </c>
      <c r="AH65" s="559">
        <f t="shared" si="203"/>
        <v>-0.04</v>
      </c>
      <c r="AI65" s="559">
        <f t="shared" si="203"/>
        <v>-0.03</v>
      </c>
      <c r="AJ65" s="559">
        <f t="shared" si="203"/>
        <v>1</v>
      </c>
      <c r="AK65" s="559">
        <f t="shared" si="203"/>
        <v>0</v>
      </c>
      <c r="AL65" s="559">
        <f t="shared" si="203"/>
        <v>0</v>
      </c>
      <c r="AM65" s="559">
        <f t="shared" si="203"/>
        <v>0</v>
      </c>
      <c r="AN65" s="559">
        <f t="shared" si="203"/>
        <v>0</v>
      </c>
      <c r="AO65" s="559">
        <f t="shared" si="203"/>
        <v>0</v>
      </c>
      <c r="AP65" s="559">
        <f t="shared" si="203"/>
        <v>0.96</v>
      </c>
      <c r="AQ65" s="559">
        <f t="shared" si="203"/>
        <v>-0.03</v>
      </c>
      <c r="AR65" s="372">
        <f t="shared" si="203"/>
        <v>0.92999999999999994</v>
      </c>
      <c r="AS65" s="561">
        <f t="shared" si="203"/>
        <v>8175790</v>
      </c>
      <c r="AT65" s="558">
        <f t="shared" si="203"/>
        <v>5874201</v>
      </c>
      <c r="AU65" s="558">
        <f t="shared" si="203"/>
        <v>72800</v>
      </c>
      <c r="AV65" s="558">
        <f t="shared" si="203"/>
        <v>2010086</v>
      </c>
      <c r="AW65" s="558">
        <f t="shared" si="203"/>
        <v>58740</v>
      </c>
      <c r="AX65" s="558">
        <f t="shared" si="203"/>
        <v>159963</v>
      </c>
      <c r="AY65" s="559">
        <f t="shared" si="203"/>
        <v>11.232800000000001</v>
      </c>
      <c r="AZ65" s="559">
        <f t="shared" si="203"/>
        <v>8.232800000000001</v>
      </c>
      <c r="BA65" s="372">
        <f t="shared" si="203"/>
        <v>3.0000000000000004</v>
      </c>
    </row>
    <row r="66" spans="1:53" ht="12.95" customHeight="1" x14ac:dyDescent="0.25">
      <c r="A66" s="299">
        <v>13</v>
      </c>
      <c r="B66" s="220">
        <v>5492</v>
      </c>
      <c r="C66" s="220">
        <v>691007322</v>
      </c>
      <c r="D66" s="220">
        <v>71294180</v>
      </c>
      <c r="E66" s="219" t="s">
        <v>494</v>
      </c>
      <c r="F66" s="220">
        <v>3114</v>
      </c>
      <c r="G66" s="350" t="s">
        <v>546</v>
      </c>
      <c r="H66" s="304" t="s">
        <v>277</v>
      </c>
      <c r="I66" s="462">
        <f t="shared" ref="I66:I69" si="204">SUM(J66:M66)</f>
        <v>15085785</v>
      </c>
      <c r="J66" s="457">
        <v>11065248</v>
      </c>
      <c r="K66" s="457">
        <f t="shared" ref="K66:K69" si="205">ROUND(J66*33.8%,0)</f>
        <v>3740054</v>
      </c>
      <c r="L66" s="457">
        <f>ROUND(J66*1%,0)+1</f>
        <v>110653</v>
      </c>
      <c r="M66" s="457">
        <v>169830</v>
      </c>
      <c r="N66" s="458">
        <f t="shared" ref="N66:N69" si="206">O66+P66</f>
        <v>18.14</v>
      </c>
      <c r="O66" s="459">
        <v>14</v>
      </c>
      <c r="P66" s="646">
        <v>4.1399999999999997</v>
      </c>
      <c r="Q66" s="469">
        <f t="shared" ref="Q66:Q69" si="207">W66*-1</f>
        <v>0</v>
      </c>
      <c r="R66" s="460">
        <v>0</v>
      </c>
      <c r="S66" s="673">
        <v>0</v>
      </c>
      <c r="T66" s="460">
        <v>0</v>
      </c>
      <c r="U66" s="460">
        <v>0</v>
      </c>
      <c r="V66" s="460">
        <f>SUM(Q66:U66)</f>
        <v>0</v>
      </c>
      <c r="W66" s="460">
        <v>0</v>
      </c>
      <c r="X66" s="460">
        <v>0</v>
      </c>
      <c r="Y66" s="460">
        <v>0</v>
      </c>
      <c r="Z66" s="460">
        <f t="shared" ref="Z66:Z69" si="208">SUM(W66:Y66)</f>
        <v>0</v>
      </c>
      <c r="AA66" s="460">
        <f t="shared" ref="AA66:AA69" si="209">V66+Z66</f>
        <v>0</v>
      </c>
      <c r="AB66" s="69">
        <f t="shared" ref="AB66:AB69" si="210">ROUND((V66+W66+X66)*33.8%,0)</f>
        <v>0</v>
      </c>
      <c r="AC66" s="69">
        <f t="shared" ref="AC66:AC69" si="211">ROUND(V66*1%,0)</f>
        <v>0</v>
      </c>
      <c r="AD66" s="460">
        <v>0</v>
      </c>
      <c r="AE66" s="460">
        <v>0</v>
      </c>
      <c r="AF66" s="460">
        <f t="shared" ref="AF66:AF69" si="212">SUM(AD66:AE66)</f>
        <v>0</v>
      </c>
      <c r="AG66" s="460">
        <f t="shared" ref="AG66:AG69" si="213">AA66+AB66+AC66+AF66</f>
        <v>0</v>
      </c>
      <c r="AH66" s="461">
        <v>0</v>
      </c>
      <c r="AI66" s="461">
        <v>0</v>
      </c>
      <c r="AJ66" s="461">
        <v>0</v>
      </c>
      <c r="AK66" s="461">
        <v>0</v>
      </c>
      <c r="AL66" s="674">
        <v>0</v>
      </c>
      <c r="AM66" s="461">
        <v>0</v>
      </c>
      <c r="AN66" s="461">
        <v>0</v>
      </c>
      <c r="AO66" s="461">
        <v>0</v>
      </c>
      <c r="AP66" s="461">
        <f>AH66+AJ66+AK66+AM66+AN66</f>
        <v>0</v>
      </c>
      <c r="AQ66" s="461">
        <f>AI66+AL66+AO66</f>
        <v>0</v>
      </c>
      <c r="AR66" s="463">
        <f t="shared" ref="AR66:AR69" si="214">SUM(AP66:AQ66)</f>
        <v>0</v>
      </c>
      <c r="AS66" s="469">
        <f>I66+AG66</f>
        <v>15085785</v>
      </c>
      <c r="AT66" s="460">
        <f>J66+V66</f>
        <v>11065248</v>
      </c>
      <c r="AU66" s="460">
        <f t="shared" ref="AU66:AU69" si="215">Z66</f>
        <v>0</v>
      </c>
      <c r="AV66" s="460">
        <f t="shared" ref="AV66:AW69" si="216">K66+AB66</f>
        <v>3740054</v>
      </c>
      <c r="AW66" s="460">
        <f t="shared" si="216"/>
        <v>110653</v>
      </c>
      <c r="AX66" s="460">
        <f>M66+AF66</f>
        <v>169830</v>
      </c>
      <c r="AY66" s="461">
        <f>N66+AR66</f>
        <v>18.14</v>
      </c>
      <c r="AZ66" s="461">
        <f t="shared" ref="AZ66:BA69" si="217">O66+AP66</f>
        <v>14</v>
      </c>
      <c r="BA66" s="463">
        <f t="shared" si="217"/>
        <v>4.1399999999999997</v>
      </c>
    </row>
    <row r="67" spans="1:53" ht="12.95" customHeight="1" x14ac:dyDescent="0.25">
      <c r="A67" s="299">
        <v>13</v>
      </c>
      <c r="B67" s="220">
        <v>5492</v>
      </c>
      <c r="C67" s="220">
        <v>691007322</v>
      </c>
      <c r="D67" s="220">
        <v>71294180</v>
      </c>
      <c r="E67" s="219" t="s">
        <v>494</v>
      </c>
      <c r="F67" s="220">
        <v>3114</v>
      </c>
      <c r="G67" s="350" t="s">
        <v>309</v>
      </c>
      <c r="H67" s="304" t="s">
        <v>277</v>
      </c>
      <c r="I67" s="462">
        <f t="shared" si="204"/>
        <v>1799883</v>
      </c>
      <c r="J67" s="457">
        <v>1335225</v>
      </c>
      <c r="K67" s="457">
        <f t="shared" si="205"/>
        <v>451306</v>
      </c>
      <c r="L67" s="457">
        <f t="shared" ref="L67:L69" si="218">ROUND(J67*1%,0)</f>
        <v>13352</v>
      </c>
      <c r="M67" s="457">
        <v>0</v>
      </c>
      <c r="N67" s="458">
        <f t="shared" si="206"/>
        <v>3.3889</v>
      </c>
      <c r="O67" s="459">
        <v>3.3889</v>
      </c>
      <c r="P67" s="646">
        <v>0</v>
      </c>
      <c r="Q67" s="469">
        <f t="shared" si="207"/>
        <v>0</v>
      </c>
      <c r="R67" s="460">
        <v>0</v>
      </c>
      <c r="S67" s="673">
        <v>0</v>
      </c>
      <c r="T67" s="460">
        <v>0</v>
      </c>
      <c r="U67" s="460">
        <v>0</v>
      </c>
      <c r="V67" s="460">
        <f>SUM(Q67:U67)</f>
        <v>0</v>
      </c>
      <c r="W67" s="460">
        <v>0</v>
      </c>
      <c r="X67" s="460">
        <v>0</v>
      </c>
      <c r="Y67" s="460">
        <v>0</v>
      </c>
      <c r="Z67" s="460">
        <f t="shared" si="208"/>
        <v>0</v>
      </c>
      <c r="AA67" s="460">
        <f t="shared" si="209"/>
        <v>0</v>
      </c>
      <c r="AB67" s="69">
        <f t="shared" si="210"/>
        <v>0</v>
      </c>
      <c r="AC67" s="69">
        <f t="shared" si="211"/>
        <v>0</v>
      </c>
      <c r="AD67" s="460">
        <v>0</v>
      </c>
      <c r="AE67" s="460">
        <v>0</v>
      </c>
      <c r="AF67" s="460">
        <f t="shared" si="212"/>
        <v>0</v>
      </c>
      <c r="AG67" s="460">
        <f t="shared" si="213"/>
        <v>0</v>
      </c>
      <c r="AH67" s="461">
        <v>0</v>
      </c>
      <c r="AI67" s="461">
        <v>0</v>
      </c>
      <c r="AJ67" s="461">
        <v>0</v>
      </c>
      <c r="AK67" s="461">
        <v>0</v>
      </c>
      <c r="AL67" s="674">
        <v>0</v>
      </c>
      <c r="AM67" s="461">
        <v>0</v>
      </c>
      <c r="AN67" s="461">
        <v>0</v>
      </c>
      <c r="AO67" s="461">
        <v>0</v>
      </c>
      <c r="AP67" s="461">
        <f>AH67+AJ67+AK67+AM67+AN67</f>
        <v>0</v>
      </c>
      <c r="AQ67" s="461">
        <f>AI67+AL67+AO67</f>
        <v>0</v>
      </c>
      <c r="AR67" s="463">
        <f t="shared" si="214"/>
        <v>0</v>
      </c>
      <c r="AS67" s="469">
        <f>I67+AG67</f>
        <v>1799883</v>
      </c>
      <c r="AT67" s="460">
        <f>J67+V67</f>
        <v>1335225</v>
      </c>
      <c r="AU67" s="460">
        <f t="shared" si="215"/>
        <v>0</v>
      </c>
      <c r="AV67" s="460">
        <f t="shared" si="216"/>
        <v>451306</v>
      </c>
      <c r="AW67" s="460">
        <f t="shared" si="216"/>
        <v>13352</v>
      </c>
      <c r="AX67" s="460">
        <f>M67+AF67</f>
        <v>0</v>
      </c>
      <c r="AY67" s="461">
        <f>N67+AR67</f>
        <v>3.3889</v>
      </c>
      <c r="AZ67" s="461">
        <f t="shared" si="217"/>
        <v>3.3889</v>
      </c>
      <c r="BA67" s="463">
        <f t="shared" si="217"/>
        <v>0</v>
      </c>
    </row>
    <row r="68" spans="1:53" ht="12.95" customHeight="1" x14ac:dyDescent="0.25">
      <c r="A68" s="299">
        <v>13</v>
      </c>
      <c r="B68" s="220">
        <v>5492</v>
      </c>
      <c r="C68" s="220">
        <v>691007322</v>
      </c>
      <c r="D68" s="220">
        <v>71294180</v>
      </c>
      <c r="E68" s="397" t="s">
        <v>494</v>
      </c>
      <c r="F68" s="220">
        <v>3143</v>
      </c>
      <c r="G68" s="342" t="s">
        <v>616</v>
      </c>
      <c r="H68" s="304" t="s">
        <v>277</v>
      </c>
      <c r="I68" s="462">
        <f t="shared" si="204"/>
        <v>499024</v>
      </c>
      <c r="J68" s="457">
        <v>370196</v>
      </c>
      <c r="K68" s="457">
        <f t="shared" si="205"/>
        <v>125126</v>
      </c>
      <c r="L68" s="457">
        <f t="shared" si="218"/>
        <v>3702</v>
      </c>
      <c r="M68" s="457">
        <v>0</v>
      </c>
      <c r="N68" s="458">
        <f t="shared" si="206"/>
        <v>0.79990000000000006</v>
      </c>
      <c r="O68" s="459">
        <v>0.79990000000000006</v>
      </c>
      <c r="P68" s="646">
        <v>0</v>
      </c>
      <c r="Q68" s="469">
        <f t="shared" si="207"/>
        <v>0</v>
      </c>
      <c r="R68" s="460">
        <v>0</v>
      </c>
      <c r="S68" s="673">
        <v>0</v>
      </c>
      <c r="T68" s="460">
        <v>0</v>
      </c>
      <c r="U68" s="460">
        <v>0</v>
      </c>
      <c r="V68" s="460">
        <f>SUM(Q68:U68)</f>
        <v>0</v>
      </c>
      <c r="W68" s="460">
        <v>0</v>
      </c>
      <c r="X68" s="460">
        <v>0</v>
      </c>
      <c r="Y68" s="460">
        <v>0</v>
      </c>
      <c r="Z68" s="460">
        <f t="shared" si="208"/>
        <v>0</v>
      </c>
      <c r="AA68" s="460">
        <f t="shared" si="209"/>
        <v>0</v>
      </c>
      <c r="AB68" s="69">
        <f t="shared" si="210"/>
        <v>0</v>
      </c>
      <c r="AC68" s="69">
        <f t="shared" si="211"/>
        <v>0</v>
      </c>
      <c r="AD68" s="460">
        <v>0</v>
      </c>
      <c r="AE68" s="460">
        <v>0</v>
      </c>
      <c r="AF68" s="460">
        <f t="shared" si="212"/>
        <v>0</v>
      </c>
      <c r="AG68" s="460">
        <f t="shared" si="213"/>
        <v>0</v>
      </c>
      <c r="AH68" s="461">
        <v>0</v>
      </c>
      <c r="AI68" s="461">
        <v>0</v>
      </c>
      <c r="AJ68" s="461">
        <v>0</v>
      </c>
      <c r="AK68" s="461">
        <v>0</v>
      </c>
      <c r="AL68" s="674">
        <v>0</v>
      </c>
      <c r="AM68" s="461">
        <v>0</v>
      </c>
      <c r="AN68" s="461">
        <v>0</v>
      </c>
      <c r="AO68" s="461">
        <v>0</v>
      </c>
      <c r="AP68" s="461">
        <f>AH68+AJ68+AK68+AM68+AN68</f>
        <v>0</v>
      </c>
      <c r="AQ68" s="461">
        <f>AI68+AL68+AO68</f>
        <v>0</v>
      </c>
      <c r="AR68" s="463">
        <f t="shared" si="214"/>
        <v>0</v>
      </c>
      <c r="AS68" s="469">
        <f>I68+AG68</f>
        <v>499024</v>
      </c>
      <c r="AT68" s="460">
        <f>J68+V68</f>
        <v>370196</v>
      </c>
      <c r="AU68" s="460">
        <f t="shared" si="215"/>
        <v>0</v>
      </c>
      <c r="AV68" s="460">
        <f t="shared" si="216"/>
        <v>125126</v>
      </c>
      <c r="AW68" s="460">
        <f t="shared" si="216"/>
        <v>3702</v>
      </c>
      <c r="AX68" s="460">
        <f>M68+AF68</f>
        <v>0</v>
      </c>
      <c r="AY68" s="461">
        <f>N68+AR68</f>
        <v>0.79990000000000006</v>
      </c>
      <c r="AZ68" s="461">
        <f t="shared" si="217"/>
        <v>0.79990000000000006</v>
      </c>
      <c r="BA68" s="463">
        <f t="shared" si="217"/>
        <v>0</v>
      </c>
    </row>
    <row r="69" spans="1:53" ht="12.95" customHeight="1" x14ac:dyDescent="0.25">
      <c r="A69" s="299">
        <v>13</v>
      </c>
      <c r="B69" s="220">
        <v>5492</v>
      </c>
      <c r="C69" s="220">
        <v>691007322</v>
      </c>
      <c r="D69" s="220">
        <v>71294180</v>
      </c>
      <c r="E69" s="397" t="s">
        <v>494</v>
      </c>
      <c r="F69" s="220">
        <v>3143</v>
      </c>
      <c r="G69" s="342" t="s">
        <v>617</v>
      </c>
      <c r="H69" s="304" t="s">
        <v>278</v>
      </c>
      <c r="I69" s="462">
        <f t="shared" si="204"/>
        <v>10995</v>
      </c>
      <c r="J69" s="457">
        <v>7856</v>
      </c>
      <c r="K69" s="457">
        <f t="shared" si="205"/>
        <v>2655</v>
      </c>
      <c r="L69" s="457">
        <f t="shared" si="218"/>
        <v>79</v>
      </c>
      <c r="M69" s="457">
        <v>405</v>
      </c>
      <c r="N69" s="458">
        <f t="shared" si="206"/>
        <v>0.03</v>
      </c>
      <c r="O69" s="459">
        <v>0</v>
      </c>
      <c r="P69" s="646">
        <v>0.03</v>
      </c>
      <c r="Q69" s="469">
        <f t="shared" si="207"/>
        <v>0</v>
      </c>
      <c r="R69" s="460">
        <v>0</v>
      </c>
      <c r="S69" s="673">
        <v>0</v>
      </c>
      <c r="T69" s="460">
        <v>0</v>
      </c>
      <c r="U69" s="460">
        <v>0</v>
      </c>
      <c r="V69" s="460">
        <f>SUM(Q69:U69)</f>
        <v>0</v>
      </c>
      <c r="W69" s="460">
        <v>0</v>
      </c>
      <c r="X69" s="460">
        <v>0</v>
      </c>
      <c r="Y69" s="460">
        <v>0</v>
      </c>
      <c r="Z69" s="460">
        <f t="shared" si="208"/>
        <v>0</v>
      </c>
      <c r="AA69" s="460">
        <f t="shared" si="209"/>
        <v>0</v>
      </c>
      <c r="AB69" s="69">
        <f t="shared" si="210"/>
        <v>0</v>
      </c>
      <c r="AC69" s="69">
        <f t="shared" si="211"/>
        <v>0</v>
      </c>
      <c r="AD69" s="460">
        <v>0</v>
      </c>
      <c r="AE69" s="460">
        <v>0</v>
      </c>
      <c r="AF69" s="460">
        <f t="shared" si="212"/>
        <v>0</v>
      </c>
      <c r="AG69" s="460">
        <f t="shared" si="213"/>
        <v>0</v>
      </c>
      <c r="AH69" s="461">
        <v>0</v>
      </c>
      <c r="AI69" s="461">
        <v>0</v>
      </c>
      <c r="AJ69" s="461">
        <v>0</v>
      </c>
      <c r="AK69" s="461">
        <v>0</v>
      </c>
      <c r="AL69" s="674">
        <v>0</v>
      </c>
      <c r="AM69" s="461">
        <v>0</v>
      </c>
      <c r="AN69" s="461">
        <v>0</v>
      </c>
      <c r="AO69" s="461">
        <v>0</v>
      </c>
      <c r="AP69" s="461">
        <f>AH69+AJ69+AK69+AM69+AN69</f>
        <v>0</v>
      </c>
      <c r="AQ69" s="461">
        <f>AI69+AL69+AO69</f>
        <v>0</v>
      </c>
      <c r="AR69" s="463">
        <f t="shared" si="214"/>
        <v>0</v>
      </c>
      <c r="AS69" s="469">
        <f>I69+AG69</f>
        <v>10995</v>
      </c>
      <c r="AT69" s="460">
        <f>J69+V69</f>
        <v>7856</v>
      </c>
      <c r="AU69" s="460">
        <f t="shared" si="215"/>
        <v>0</v>
      </c>
      <c r="AV69" s="460">
        <f t="shared" si="216"/>
        <v>2655</v>
      </c>
      <c r="AW69" s="460">
        <f t="shared" si="216"/>
        <v>79</v>
      </c>
      <c r="AX69" s="460">
        <f>M69+AF69</f>
        <v>405</v>
      </c>
      <c r="AY69" s="461">
        <f>N69+AR69</f>
        <v>0.03</v>
      </c>
      <c r="AZ69" s="461">
        <f t="shared" si="217"/>
        <v>0</v>
      </c>
      <c r="BA69" s="463">
        <f t="shared" si="217"/>
        <v>0.03</v>
      </c>
    </row>
    <row r="70" spans="1:53" ht="12.95" customHeight="1" x14ac:dyDescent="0.25">
      <c r="A70" s="221">
        <v>13</v>
      </c>
      <c r="B70" s="46">
        <v>5492</v>
      </c>
      <c r="C70" s="46">
        <v>691007322</v>
      </c>
      <c r="D70" s="46">
        <v>71294180</v>
      </c>
      <c r="E70" s="399" t="s">
        <v>495</v>
      </c>
      <c r="F70" s="46"/>
      <c r="G70" s="399"/>
      <c r="H70" s="186"/>
      <c r="I70" s="560">
        <f t="shared" ref="I70:P70" si="219">SUM(I66:I69)</f>
        <v>17395687</v>
      </c>
      <c r="J70" s="558">
        <f t="shared" si="219"/>
        <v>12778525</v>
      </c>
      <c r="K70" s="558">
        <f t="shared" si="219"/>
        <v>4319141</v>
      </c>
      <c r="L70" s="558">
        <f t="shared" si="219"/>
        <v>127786</v>
      </c>
      <c r="M70" s="558">
        <f t="shared" si="219"/>
        <v>170235</v>
      </c>
      <c r="N70" s="559">
        <f t="shared" si="219"/>
        <v>22.358800000000002</v>
      </c>
      <c r="O70" s="559">
        <f t="shared" si="219"/>
        <v>18.188800000000001</v>
      </c>
      <c r="P70" s="372">
        <f t="shared" si="219"/>
        <v>4.17</v>
      </c>
      <c r="Q70" s="561">
        <f t="shared" ref="Q70:BA70" si="220">SUM(Q66:Q69)</f>
        <v>0</v>
      </c>
      <c r="R70" s="558">
        <f t="shared" si="220"/>
        <v>0</v>
      </c>
      <c r="S70" s="558">
        <f t="shared" si="220"/>
        <v>0</v>
      </c>
      <c r="T70" s="558">
        <f t="shared" si="220"/>
        <v>0</v>
      </c>
      <c r="U70" s="558">
        <f t="shared" si="220"/>
        <v>0</v>
      </c>
      <c r="V70" s="558">
        <f t="shared" si="220"/>
        <v>0</v>
      </c>
      <c r="W70" s="558">
        <f t="shared" si="220"/>
        <v>0</v>
      </c>
      <c r="X70" s="558">
        <f t="shared" si="220"/>
        <v>0</v>
      </c>
      <c r="Y70" s="558">
        <f t="shared" si="220"/>
        <v>0</v>
      </c>
      <c r="Z70" s="558">
        <f t="shared" si="220"/>
        <v>0</v>
      </c>
      <c r="AA70" s="558">
        <f t="shared" si="220"/>
        <v>0</v>
      </c>
      <c r="AB70" s="558">
        <f t="shared" si="220"/>
        <v>0</v>
      </c>
      <c r="AC70" s="558">
        <f t="shared" si="220"/>
        <v>0</v>
      </c>
      <c r="AD70" s="558">
        <f t="shared" si="220"/>
        <v>0</v>
      </c>
      <c r="AE70" s="558">
        <f t="shared" si="220"/>
        <v>0</v>
      </c>
      <c r="AF70" s="558">
        <f t="shared" si="220"/>
        <v>0</v>
      </c>
      <c r="AG70" s="558">
        <f t="shared" si="220"/>
        <v>0</v>
      </c>
      <c r="AH70" s="559">
        <f t="shared" si="220"/>
        <v>0</v>
      </c>
      <c r="AI70" s="559">
        <f t="shared" si="220"/>
        <v>0</v>
      </c>
      <c r="AJ70" s="559">
        <f t="shared" si="220"/>
        <v>0</v>
      </c>
      <c r="AK70" s="559">
        <f t="shared" si="220"/>
        <v>0</v>
      </c>
      <c r="AL70" s="559">
        <f t="shared" si="220"/>
        <v>0</v>
      </c>
      <c r="AM70" s="559">
        <f t="shared" si="220"/>
        <v>0</v>
      </c>
      <c r="AN70" s="559">
        <f t="shared" si="220"/>
        <v>0</v>
      </c>
      <c r="AO70" s="559">
        <f t="shared" si="220"/>
        <v>0</v>
      </c>
      <c r="AP70" s="559">
        <f t="shared" si="220"/>
        <v>0</v>
      </c>
      <c r="AQ70" s="559">
        <f t="shared" si="220"/>
        <v>0</v>
      </c>
      <c r="AR70" s="372">
        <f t="shared" si="220"/>
        <v>0</v>
      </c>
      <c r="AS70" s="561">
        <f t="shared" si="220"/>
        <v>17395687</v>
      </c>
      <c r="AT70" s="558">
        <f t="shared" si="220"/>
        <v>12778525</v>
      </c>
      <c r="AU70" s="558">
        <f t="shared" si="220"/>
        <v>0</v>
      </c>
      <c r="AV70" s="558">
        <f t="shared" si="220"/>
        <v>4319141</v>
      </c>
      <c r="AW70" s="558">
        <f t="shared" si="220"/>
        <v>127786</v>
      </c>
      <c r="AX70" s="558">
        <f t="shared" si="220"/>
        <v>170235</v>
      </c>
      <c r="AY70" s="559">
        <f t="shared" si="220"/>
        <v>22.358800000000002</v>
      </c>
      <c r="AZ70" s="559">
        <f t="shared" si="220"/>
        <v>18.188800000000001</v>
      </c>
      <c r="BA70" s="372">
        <f t="shared" si="220"/>
        <v>4.17</v>
      </c>
    </row>
    <row r="71" spans="1:53" ht="12.95" customHeight="1" x14ac:dyDescent="0.25">
      <c r="A71" s="299">
        <v>14</v>
      </c>
      <c r="B71" s="220">
        <v>5457</v>
      </c>
      <c r="C71" s="220">
        <v>600099377</v>
      </c>
      <c r="D71" s="220">
        <v>855049</v>
      </c>
      <c r="E71" s="397" t="s">
        <v>496</v>
      </c>
      <c r="F71" s="220">
        <v>3113</v>
      </c>
      <c r="G71" s="397" t="s">
        <v>325</v>
      </c>
      <c r="H71" s="304" t="s">
        <v>277</v>
      </c>
      <c r="I71" s="462">
        <f t="shared" ref="I71:I76" si="221">SUM(J71:M71)</f>
        <v>38647980</v>
      </c>
      <c r="J71" s="457">
        <v>28102455</v>
      </c>
      <c r="K71" s="457">
        <f t="shared" ref="K71:K76" si="222">ROUND(J71*33.8%,0)</f>
        <v>9498630</v>
      </c>
      <c r="L71" s="457">
        <f t="shared" ref="L71:L76" si="223">ROUND(J71*1%,0)</f>
        <v>281025</v>
      </c>
      <c r="M71" s="457">
        <v>765870</v>
      </c>
      <c r="N71" s="458">
        <f t="shared" ref="N71:N76" si="224">O71+P71</f>
        <v>46.340299999999999</v>
      </c>
      <c r="O71" s="459">
        <v>38.000300000000003</v>
      </c>
      <c r="P71" s="646">
        <v>8.34</v>
      </c>
      <c r="Q71" s="469">
        <f t="shared" ref="Q71:Q76" si="225">W71*-1</f>
        <v>-52000</v>
      </c>
      <c r="R71" s="460">
        <v>0</v>
      </c>
      <c r="S71" s="673">
        <v>0</v>
      </c>
      <c r="T71" s="460">
        <v>0</v>
      </c>
      <c r="U71" s="460">
        <v>0</v>
      </c>
      <c r="V71" s="460">
        <f t="shared" ref="V71:V76" si="226">SUM(Q71:U71)</f>
        <v>-52000</v>
      </c>
      <c r="W71" s="460">
        <v>52000</v>
      </c>
      <c r="X71" s="460">
        <v>148560</v>
      </c>
      <c r="Y71" s="460">
        <v>100000</v>
      </c>
      <c r="Z71" s="460">
        <f t="shared" ref="Z71:Z76" si="227">SUM(W71:Y71)</f>
        <v>300560</v>
      </c>
      <c r="AA71" s="460">
        <f t="shared" ref="AA71:AA76" si="228">V71+Z71</f>
        <v>248560</v>
      </c>
      <c r="AB71" s="69">
        <f t="shared" ref="AB71:AB76" si="229">ROUND((V71+W71+X71)*33.8%,0)</f>
        <v>50213</v>
      </c>
      <c r="AC71" s="69">
        <f t="shared" ref="AC71:AC76" si="230">ROUND(V71*1%,0)</f>
        <v>-520</v>
      </c>
      <c r="AD71" s="460">
        <v>0</v>
      </c>
      <c r="AE71" s="460">
        <v>0</v>
      </c>
      <c r="AF71" s="460">
        <f t="shared" ref="AF71:AF76" si="231">SUM(AD71:AE71)</f>
        <v>0</v>
      </c>
      <c r="AG71" s="460">
        <f t="shared" ref="AG71:AG76" si="232">AA71+AB71+AC71+AF71</f>
        <v>298253</v>
      </c>
      <c r="AH71" s="461">
        <v>0</v>
      </c>
      <c r="AI71" s="461">
        <v>-0.06</v>
      </c>
      <c r="AJ71" s="461">
        <v>0</v>
      </c>
      <c r="AK71" s="461">
        <v>0</v>
      </c>
      <c r="AL71" s="674">
        <v>0</v>
      </c>
      <c r="AM71" s="461">
        <v>0</v>
      </c>
      <c r="AN71" s="461">
        <v>0</v>
      </c>
      <c r="AO71" s="461">
        <v>0</v>
      </c>
      <c r="AP71" s="461">
        <f t="shared" ref="AP71:AP76" si="233">AH71+AJ71+AK71+AM71+AN71</f>
        <v>0</v>
      </c>
      <c r="AQ71" s="461">
        <f t="shared" ref="AQ71:AQ76" si="234">AI71+AL71+AO71</f>
        <v>-0.06</v>
      </c>
      <c r="AR71" s="463">
        <f t="shared" ref="AR71:AR76" si="235">SUM(AP71:AQ71)</f>
        <v>-0.06</v>
      </c>
      <c r="AS71" s="469">
        <f t="shared" ref="AS71:AS76" si="236">I71+AG71</f>
        <v>38946233</v>
      </c>
      <c r="AT71" s="460">
        <f t="shared" ref="AT71:AT76" si="237">J71+V71</f>
        <v>28050455</v>
      </c>
      <c r="AU71" s="460">
        <f t="shared" ref="AU71:AU76" si="238">Z71</f>
        <v>300560</v>
      </c>
      <c r="AV71" s="460">
        <f t="shared" ref="AV71:AW76" si="239">K71+AB71</f>
        <v>9548843</v>
      </c>
      <c r="AW71" s="460">
        <f t="shared" si="239"/>
        <v>280505</v>
      </c>
      <c r="AX71" s="460">
        <f t="shared" ref="AX71:AX76" si="240">M71+AF71</f>
        <v>765870</v>
      </c>
      <c r="AY71" s="461">
        <f t="shared" ref="AY71:AY76" si="241">N71+AR71</f>
        <v>46.280299999999997</v>
      </c>
      <c r="AZ71" s="461">
        <f t="shared" ref="AZ71:BA76" si="242">O71+AP71</f>
        <v>38.000300000000003</v>
      </c>
      <c r="BA71" s="463">
        <f t="shared" si="242"/>
        <v>8.2799999999999994</v>
      </c>
    </row>
    <row r="72" spans="1:53" ht="12.95" customHeight="1" x14ac:dyDescent="0.25">
      <c r="A72" s="299">
        <v>14</v>
      </c>
      <c r="B72" s="220">
        <v>5457</v>
      </c>
      <c r="C72" s="220">
        <v>600099377</v>
      </c>
      <c r="D72" s="220">
        <v>855049</v>
      </c>
      <c r="E72" s="219" t="s">
        <v>496</v>
      </c>
      <c r="F72" s="220">
        <v>3113</v>
      </c>
      <c r="G72" s="342" t="s">
        <v>308</v>
      </c>
      <c r="H72" s="304" t="s">
        <v>278</v>
      </c>
      <c r="I72" s="462">
        <f t="shared" si="221"/>
        <v>0</v>
      </c>
      <c r="J72" s="457">
        <v>0</v>
      </c>
      <c r="K72" s="457">
        <f t="shared" si="222"/>
        <v>0</v>
      </c>
      <c r="L72" s="457">
        <f t="shared" si="223"/>
        <v>0</v>
      </c>
      <c r="M72" s="457">
        <v>0</v>
      </c>
      <c r="N72" s="458">
        <f t="shared" si="224"/>
        <v>0</v>
      </c>
      <c r="O72" s="459">
        <v>0</v>
      </c>
      <c r="P72" s="646">
        <v>0</v>
      </c>
      <c r="Q72" s="469">
        <f t="shared" si="225"/>
        <v>0</v>
      </c>
      <c r="R72" s="460">
        <f>2689472+21208</f>
        <v>2710680</v>
      </c>
      <c r="S72" s="673">
        <v>0</v>
      </c>
      <c r="T72" s="460">
        <v>0</v>
      </c>
      <c r="U72" s="460">
        <v>0</v>
      </c>
      <c r="V72" s="460">
        <f t="shared" si="226"/>
        <v>2710680</v>
      </c>
      <c r="W72" s="460">
        <v>0</v>
      </c>
      <c r="X72" s="460">
        <v>0</v>
      </c>
      <c r="Y72" s="460">
        <v>0</v>
      </c>
      <c r="Z72" s="460">
        <f t="shared" si="227"/>
        <v>0</v>
      </c>
      <c r="AA72" s="460">
        <f t="shared" si="228"/>
        <v>2710680</v>
      </c>
      <c r="AB72" s="69">
        <f t="shared" si="229"/>
        <v>916210</v>
      </c>
      <c r="AC72" s="69">
        <f t="shared" si="230"/>
        <v>27107</v>
      </c>
      <c r="AD72" s="460">
        <v>0</v>
      </c>
      <c r="AE72" s="460">
        <v>0</v>
      </c>
      <c r="AF72" s="460">
        <f t="shared" si="231"/>
        <v>0</v>
      </c>
      <c r="AG72" s="460">
        <f t="shared" si="232"/>
        <v>3653997</v>
      </c>
      <c r="AH72" s="461">
        <v>0</v>
      </c>
      <c r="AI72" s="461">
        <v>0</v>
      </c>
      <c r="AJ72" s="461">
        <f>7.49+0.05</f>
        <v>7.54</v>
      </c>
      <c r="AK72" s="461">
        <v>0</v>
      </c>
      <c r="AL72" s="674">
        <v>0</v>
      </c>
      <c r="AM72" s="461">
        <v>0</v>
      </c>
      <c r="AN72" s="461">
        <v>0</v>
      </c>
      <c r="AO72" s="461">
        <v>0</v>
      </c>
      <c r="AP72" s="461">
        <f t="shared" si="233"/>
        <v>7.54</v>
      </c>
      <c r="AQ72" s="461">
        <f t="shared" si="234"/>
        <v>0</v>
      </c>
      <c r="AR72" s="463">
        <f t="shared" si="235"/>
        <v>7.54</v>
      </c>
      <c r="AS72" s="469">
        <f t="shared" si="236"/>
        <v>3653997</v>
      </c>
      <c r="AT72" s="460">
        <f t="shared" si="237"/>
        <v>2710680</v>
      </c>
      <c r="AU72" s="460">
        <f t="shared" si="238"/>
        <v>0</v>
      </c>
      <c r="AV72" s="460">
        <f t="shared" si="239"/>
        <v>916210</v>
      </c>
      <c r="AW72" s="460">
        <f t="shared" si="239"/>
        <v>27107</v>
      </c>
      <c r="AX72" s="460">
        <f t="shared" si="240"/>
        <v>0</v>
      </c>
      <c r="AY72" s="461">
        <f t="shared" si="241"/>
        <v>7.54</v>
      </c>
      <c r="AZ72" s="461">
        <f t="shared" si="242"/>
        <v>7.54</v>
      </c>
      <c r="BA72" s="463">
        <f t="shared" si="242"/>
        <v>0</v>
      </c>
    </row>
    <row r="73" spans="1:53" ht="12.95" customHeight="1" x14ac:dyDescent="0.25">
      <c r="A73" s="299">
        <v>14</v>
      </c>
      <c r="B73" s="395">
        <v>5457</v>
      </c>
      <c r="C73" s="395">
        <v>600099377</v>
      </c>
      <c r="D73" s="395">
        <v>855049</v>
      </c>
      <c r="E73" s="396" t="s">
        <v>496</v>
      </c>
      <c r="F73" s="395">
        <v>3141</v>
      </c>
      <c r="G73" s="398" t="s">
        <v>311</v>
      </c>
      <c r="H73" s="304" t="s">
        <v>278</v>
      </c>
      <c r="I73" s="462">
        <f t="shared" si="221"/>
        <v>1293183</v>
      </c>
      <c r="J73" s="457">
        <v>945437</v>
      </c>
      <c r="K73" s="457">
        <f t="shared" si="222"/>
        <v>319558</v>
      </c>
      <c r="L73" s="457">
        <f t="shared" si="223"/>
        <v>9454</v>
      </c>
      <c r="M73" s="457">
        <v>18734</v>
      </c>
      <c r="N73" s="458">
        <f t="shared" si="224"/>
        <v>3.04</v>
      </c>
      <c r="O73" s="459">
        <v>0</v>
      </c>
      <c r="P73" s="646">
        <v>3.04</v>
      </c>
      <c r="Q73" s="469">
        <f t="shared" si="225"/>
        <v>-13000</v>
      </c>
      <c r="R73" s="460">
        <v>0</v>
      </c>
      <c r="S73" s="673">
        <v>0</v>
      </c>
      <c r="T73" s="460">
        <v>0</v>
      </c>
      <c r="U73" s="460">
        <v>0</v>
      </c>
      <c r="V73" s="460">
        <f t="shared" si="226"/>
        <v>-13000</v>
      </c>
      <c r="W73" s="460">
        <v>13000</v>
      </c>
      <c r="X73" s="460">
        <v>0</v>
      </c>
      <c r="Y73" s="460">
        <v>0</v>
      </c>
      <c r="Z73" s="460">
        <f t="shared" si="227"/>
        <v>13000</v>
      </c>
      <c r="AA73" s="460">
        <f t="shared" si="228"/>
        <v>0</v>
      </c>
      <c r="AB73" s="69">
        <f t="shared" si="229"/>
        <v>0</v>
      </c>
      <c r="AC73" s="69">
        <f t="shared" si="230"/>
        <v>-130</v>
      </c>
      <c r="AD73" s="460">
        <v>0</v>
      </c>
      <c r="AE73" s="460">
        <v>0</v>
      </c>
      <c r="AF73" s="460">
        <f t="shared" si="231"/>
        <v>0</v>
      </c>
      <c r="AG73" s="460">
        <f t="shared" si="232"/>
        <v>-130</v>
      </c>
      <c r="AH73" s="461">
        <v>0</v>
      </c>
      <c r="AI73" s="461">
        <v>0</v>
      </c>
      <c r="AJ73" s="461">
        <v>0</v>
      </c>
      <c r="AK73" s="461">
        <v>0</v>
      </c>
      <c r="AL73" s="674">
        <v>0</v>
      </c>
      <c r="AM73" s="461">
        <v>0</v>
      </c>
      <c r="AN73" s="461">
        <v>0</v>
      </c>
      <c r="AO73" s="461">
        <v>0</v>
      </c>
      <c r="AP73" s="461">
        <f t="shared" si="233"/>
        <v>0</v>
      </c>
      <c r="AQ73" s="461">
        <f t="shared" si="234"/>
        <v>0</v>
      </c>
      <c r="AR73" s="463">
        <f t="shared" si="235"/>
        <v>0</v>
      </c>
      <c r="AS73" s="469">
        <f t="shared" si="236"/>
        <v>1293053</v>
      </c>
      <c r="AT73" s="460">
        <f t="shared" si="237"/>
        <v>932437</v>
      </c>
      <c r="AU73" s="460">
        <f t="shared" si="238"/>
        <v>13000</v>
      </c>
      <c r="AV73" s="460">
        <f t="shared" si="239"/>
        <v>319558</v>
      </c>
      <c r="AW73" s="460">
        <f t="shared" si="239"/>
        <v>9324</v>
      </c>
      <c r="AX73" s="460">
        <f t="shared" si="240"/>
        <v>18734</v>
      </c>
      <c r="AY73" s="461">
        <f t="shared" si="241"/>
        <v>3.04</v>
      </c>
      <c r="AZ73" s="461">
        <f t="shared" si="242"/>
        <v>0</v>
      </c>
      <c r="BA73" s="463">
        <f t="shared" si="242"/>
        <v>3.04</v>
      </c>
    </row>
    <row r="74" spans="1:53" ht="12.95" customHeight="1" x14ac:dyDescent="0.25">
      <c r="A74" s="299">
        <v>14</v>
      </c>
      <c r="B74" s="220">
        <v>5457</v>
      </c>
      <c r="C74" s="220">
        <v>600099377</v>
      </c>
      <c r="D74" s="220">
        <v>855049</v>
      </c>
      <c r="E74" s="397" t="s">
        <v>496</v>
      </c>
      <c r="F74" s="220">
        <v>3143</v>
      </c>
      <c r="G74" s="342" t="s">
        <v>616</v>
      </c>
      <c r="H74" s="304" t="s">
        <v>277</v>
      </c>
      <c r="I74" s="462">
        <f t="shared" si="221"/>
        <v>3514635</v>
      </c>
      <c r="J74" s="457">
        <v>2607296</v>
      </c>
      <c r="K74" s="457">
        <f t="shared" si="222"/>
        <v>881266</v>
      </c>
      <c r="L74" s="457">
        <f t="shared" si="223"/>
        <v>26073</v>
      </c>
      <c r="M74" s="457">
        <v>0</v>
      </c>
      <c r="N74" s="458">
        <f t="shared" si="224"/>
        <v>5.2857000000000003</v>
      </c>
      <c r="O74" s="459">
        <v>5.2857000000000003</v>
      </c>
      <c r="P74" s="646">
        <v>0</v>
      </c>
      <c r="Q74" s="469">
        <f t="shared" si="225"/>
        <v>-6500</v>
      </c>
      <c r="R74" s="460">
        <v>0</v>
      </c>
      <c r="S74" s="673">
        <v>0</v>
      </c>
      <c r="T74" s="460">
        <v>0</v>
      </c>
      <c r="U74" s="460">
        <v>0</v>
      </c>
      <c r="V74" s="460">
        <f t="shared" si="226"/>
        <v>-6500</v>
      </c>
      <c r="W74" s="460">
        <v>6500</v>
      </c>
      <c r="X74" s="460">
        <v>0</v>
      </c>
      <c r="Y74" s="460">
        <v>0</v>
      </c>
      <c r="Z74" s="460">
        <f t="shared" si="227"/>
        <v>6500</v>
      </c>
      <c r="AA74" s="460">
        <f t="shared" si="228"/>
        <v>0</v>
      </c>
      <c r="AB74" s="69">
        <f t="shared" si="229"/>
        <v>0</v>
      </c>
      <c r="AC74" s="69">
        <f t="shared" si="230"/>
        <v>-65</v>
      </c>
      <c r="AD74" s="460">
        <v>0</v>
      </c>
      <c r="AE74" s="460">
        <v>0</v>
      </c>
      <c r="AF74" s="460">
        <f t="shared" si="231"/>
        <v>0</v>
      </c>
      <c r="AG74" s="460">
        <f t="shared" si="232"/>
        <v>-65</v>
      </c>
      <c r="AH74" s="461">
        <v>0</v>
      </c>
      <c r="AI74" s="461">
        <v>0</v>
      </c>
      <c r="AJ74" s="461">
        <v>0</v>
      </c>
      <c r="AK74" s="461">
        <v>0</v>
      </c>
      <c r="AL74" s="674">
        <v>0</v>
      </c>
      <c r="AM74" s="461">
        <v>0</v>
      </c>
      <c r="AN74" s="461">
        <v>0</v>
      </c>
      <c r="AO74" s="461">
        <v>0</v>
      </c>
      <c r="AP74" s="461">
        <f t="shared" si="233"/>
        <v>0</v>
      </c>
      <c r="AQ74" s="461">
        <f t="shared" si="234"/>
        <v>0</v>
      </c>
      <c r="AR74" s="463">
        <f t="shared" si="235"/>
        <v>0</v>
      </c>
      <c r="AS74" s="469">
        <f t="shared" si="236"/>
        <v>3514570</v>
      </c>
      <c r="AT74" s="460">
        <f t="shared" si="237"/>
        <v>2600796</v>
      </c>
      <c r="AU74" s="460">
        <f t="shared" si="238"/>
        <v>6500</v>
      </c>
      <c r="AV74" s="460">
        <f t="shared" si="239"/>
        <v>881266</v>
      </c>
      <c r="AW74" s="460">
        <f t="shared" si="239"/>
        <v>26008</v>
      </c>
      <c r="AX74" s="460">
        <f t="shared" si="240"/>
        <v>0</v>
      </c>
      <c r="AY74" s="461">
        <f t="shared" si="241"/>
        <v>5.2857000000000003</v>
      </c>
      <c r="AZ74" s="461">
        <f t="shared" si="242"/>
        <v>5.2857000000000003</v>
      </c>
      <c r="BA74" s="463">
        <f t="shared" si="242"/>
        <v>0</v>
      </c>
    </row>
    <row r="75" spans="1:53" ht="12.95" customHeight="1" x14ac:dyDescent="0.25">
      <c r="A75" s="299">
        <v>14</v>
      </c>
      <c r="B75" s="220">
        <v>5457</v>
      </c>
      <c r="C75" s="220">
        <v>600099377</v>
      </c>
      <c r="D75" s="220">
        <v>855049</v>
      </c>
      <c r="E75" s="397" t="s">
        <v>496</v>
      </c>
      <c r="F75" s="220">
        <v>3143</v>
      </c>
      <c r="G75" s="342" t="s">
        <v>617</v>
      </c>
      <c r="H75" s="304" t="s">
        <v>278</v>
      </c>
      <c r="I75" s="462">
        <f t="shared" si="221"/>
        <v>123144</v>
      </c>
      <c r="J75" s="457">
        <v>87988</v>
      </c>
      <c r="K75" s="457">
        <f t="shared" si="222"/>
        <v>29740</v>
      </c>
      <c r="L75" s="457">
        <f t="shared" si="223"/>
        <v>880</v>
      </c>
      <c r="M75" s="457">
        <v>4536</v>
      </c>
      <c r="N75" s="458">
        <f t="shared" si="224"/>
        <v>0.35</v>
      </c>
      <c r="O75" s="459">
        <v>0</v>
      </c>
      <c r="P75" s="646">
        <v>0.35</v>
      </c>
      <c r="Q75" s="469">
        <f t="shared" si="225"/>
        <v>0</v>
      </c>
      <c r="R75" s="460">
        <v>0</v>
      </c>
      <c r="S75" s="673">
        <v>0</v>
      </c>
      <c r="T75" s="460">
        <v>0</v>
      </c>
      <c r="U75" s="460">
        <v>0</v>
      </c>
      <c r="V75" s="460">
        <f t="shared" si="226"/>
        <v>0</v>
      </c>
      <c r="W75" s="460">
        <v>0</v>
      </c>
      <c r="X75" s="460">
        <v>0</v>
      </c>
      <c r="Y75" s="460">
        <v>0</v>
      </c>
      <c r="Z75" s="460">
        <f t="shared" si="227"/>
        <v>0</v>
      </c>
      <c r="AA75" s="460">
        <f t="shared" si="228"/>
        <v>0</v>
      </c>
      <c r="AB75" s="69">
        <f t="shared" si="229"/>
        <v>0</v>
      </c>
      <c r="AC75" s="69">
        <f t="shared" si="230"/>
        <v>0</v>
      </c>
      <c r="AD75" s="460">
        <v>0</v>
      </c>
      <c r="AE75" s="460">
        <v>0</v>
      </c>
      <c r="AF75" s="460">
        <f t="shared" si="231"/>
        <v>0</v>
      </c>
      <c r="AG75" s="460">
        <f t="shared" si="232"/>
        <v>0</v>
      </c>
      <c r="AH75" s="461">
        <v>0</v>
      </c>
      <c r="AI75" s="461">
        <v>0</v>
      </c>
      <c r="AJ75" s="461">
        <v>0</v>
      </c>
      <c r="AK75" s="461">
        <v>0</v>
      </c>
      <c r="AL75" s="674">
        <v>0</v>
      </c>
      <c r="AM75" s="461">
        <v>0</v>
      </c>
      <c r="AN75" s="461">
        <v>0</v>
      </c>
      <c r="AO75" s="461">
        <v>0</v>
      </c>
      <c r="AP75" s="461">
        <f t="shared" si="233"/>
        <v>0</v>
      </c>
      <c r="AQ75" s="461">
        <f t="shared" si="234"/>
        <v>0</v>
      </c>
      <c r="AR75" s="463">
        <f t="shared" si="235"/>
        <v>0</v>
      </c>
      <c r="AS75" s="469">
        <f t="shared" si="236"/>
        <v>123144</v>
      </c>
      <c r="AT75" s="460">
        <f t="shared" si="237"/>
        <v>87988</v>
      </c>
      <c r="AU75" s="460">
        <f t="shared" si="238"/>
        <v>0</v>
      </c>
      <c r="AV75" s="460">
        <f t="shared" si="239"/>
        <v>29740</v>
      </c>
      <c r="AW75" s="460">
        <f t="shared" si="239"/>
        <v>880</v>
      </c>
      <c r="AX75" s="460">
        <f t="shared" si="240"/>
        <v>4536</v>
      </c>
      <c r="AY75" s="461">
        <f t="shared" si="241"/>
        <v>0.35</v>
      </c>
      <c r="AZ75" s="461">
        <f t="shared" si="242"/>
        <v>0</v>
      </c>
      <c r="BA75" s="463">
        <f t="shared" si="242"/>
        <v>0.35</v>
      </c>
    </row>
    <row r="76" spans="1:53" ht="12.95" customHeight="1" x14ac:dyDescent="0.25">
      <c r="A76" s="299">
        <v>14</v>
      </c>
      <c r="B76" s="220">
        <v>5457</v>
      </c>
      <c r="C76" s="220">
        <v>600099377</v>
      </c>
      <c r="D76" s="220">
        <v>855049</v>
      </c>
      <c r="E76" s="219" t="s">
        <v>496</v>
      </c>
      <c r="F76" s="220">
        <v>3143</v>
      </c>
      <c r="G76" s="342" t="s">
        <v>313</v>
      </c>
      <c r="H76" s="304" t="s">
        <v>278</v>
      </c>
      <c r="I76" s="462">
        <f t="shared" si="221"/>
        <v>745140</v>
      </c>
      <c r="J76" s="457">
        <v>551172</v>
      </c>
      <c r="K76" s="457">
        <f t="shared" si="222"/>
        <v>186296</v>
      </c>
      <c r="L76" s="457">
        <f t="shared" si="223"/>
        <v>5512</v>
      </c>
      <c r="M76" s="457">
        <v>2160</v>
      </c>
      <c r="N76" s="458">
        <f t="shared" si="224"/>
        <v>1.27</v>
      </c>
      <c r="O76" s="459">
        <v>1.02</v>
      </c>
      <c r="P76" s="646">
        <v>0.25</v>
      </c>
      <c r="Q76" s="469">
        <f t="shared" si="225"/>
        <v>0</v>
      </c>
      <c r="R76" s="460">
        <v>0</v>
      </c>
      <c r="S76" s="673">
        <v>0</v>
      </c>
      <c r="T76" s="460">
        <v>0</v>
      </c>
      <c r="U76" s="460">
        <v>0</v>
      </c>
      <c r="V76" s="460">
        <f t="shared" si="226"/>
        <v>0</v>
      </c>
      <c r="W76" s="460">
        <v>0</v>
      </c>
      <c r="X76" s="460">
        <v>0</v>
      </c>
      <c r="Y76" s="460">
        <v>0</v>
      </c>
      <c r="Z76" s="460">
        <f t="shared" si="227"/>
        <v>0</v>
      </c>
      <c r="AA76" s="460">
        <f t="shared" si="228"/>
        <v>0</v>
      </c>
      <c r="AB76" s="69">
        <f t="shared" si="229"/>
        <v>0</v>
      </c>
      <c r="AC76" s="69">
        <f t="shared" si="230"/>
        <v>0</v>
      </c>
      <c r="AD76" s="460">
        <v>0</v>
      </c>
      <c r="AE76" s="460">
        <v>0</v>
      </c>
      <c r="AF76" s="460">
        <f t="shared" si="231"/>
        <v>0</v>
      </c>
      <c r="AG76" s="460">
        <f t="shared" si="232"/>
        <v>0</v>
      </c>
      <c r="AH76" s="461">
        <v>0</v>
      </c>
      <c r="AI76" s="461">
        <v>0</v>
      </c>
      <c r="AJ76" s="461">
        <v>0</v>
      </c>
      <c r="AK76" s="461">
        <v>0</v>
      </c>
      <c r="AL76" s="674">
        <v>0</v>
      </c>
      <c r="AM76" s="461">
        <v>0</v>
      </c>
      <c r="AN76" s="461">
        <v>0</v>
      </c>
      <c r="AO76" s="461">
        <v>0</v>
      </c>
      <c r="AP76" s="461">
        <f t="shared" si="233"/>
        <v>0</v>
      </c>
      <c r="AQ76" s="461">
        <f t="shared" si="234"/>
        <v>0</v>
      </c>
      <c r="AR76" s="463">
        <f t="shared" si="235"/>
        <v>0</v>
      </c>
      <c r="AS76" s="469">
        <f t="shared" si="236"/>
        <v>745140</v>
      </c>
      <c r="AT76" s="460">
        <f t="shared" si="237"/>
        <v>551172</v>
      </c>
      <c r="AU76" s="460">
        <f t="shared" si="238"/>
        <v>0</v>
      </c>
      <c r="AV76" s="460">
        <f t="shared" si="239"/>
        <v>186296</v>
      </c>
      <c r="AW76" s="460">
        <f t="shared" si="239"/>
        <v>5512</v>
      </c>
      <c r="AX76" s="460">
        <f t="shared" si="240"/>
        <v>2160</v>
      </c>
      <c r="AY76" s="461">
        <f t="shared" si="241"/>
        <v>1.27</v>
      </c>
      <c r="AZ76" s="461">
        <f t="shared" si="242"/>
        <v>1.02</v>
      </c>
      <c r="BA76" s="463">
        <f t="shared" si="242"/>
        <v>0.25</v>
      </c>
    </row>
    <row r="77" spans="1:53" ht="12.95" customHeight="1" x14ac:dyDescent="0.25">
      <c r="A77" s="221">
        <v>14</v>
      </c>
      <c r="B77" s="49">
        <v>5457</v>
      </c>
      <c r="C77" s="49">
        <v>600099377</v>
      </c>
      <c r="D77" s="49">
        <v>855049</v>
      </c>
      <c r="E77" s="399" t="s">
        <v>497</v>
      </c>
      <c r="F77" s="49"/>
      <c r="G77" s="412"/>
      <c r="H77" s="189"/>
      <c r="I77" s="575">
        <f t="shared" ref="I77:P77" si="243">SUM(I71:I76)</f>
        <v>44324082</v>
      </c>
      <c r="J77" s="571">
        <f t="shared" si="243"/>
        <v>32294348</v>
      </c>
      <c r="K77" s="571">
        <f t="shared" si="243"/>
        <v>10915490</v>
      </c>
      <c r="L77" s="571">
        <f t="shared" si="243"/>
        <v>322944</v>
      </c>
      <c r="M77" s="571">
        <f t="shared" si="243"/>
        <v>791300</v>
      </c>
      <c r="N77" s="572">
        <f t="shared" si="243"/>
        <v>56.286000000000001</v>
      </c>
      <c r="O77" s="572">
        <f t="shared" si="243"/>
        <v>44.306000000000004</v>
      </c>
      <c r="P77" s="400">
        <f t="shared" si="243"/>
        <v>11.979999999999999</v>
      </c>
      <c r="Q77" s="577">
        <f t="shared" ref="Q77:BA77" si="244">SUM(Q71:Q76)</f>
        <v>-71500</v>
      </c>
      <c r="R77" s="571">
        <f t="shared" si="244"/>
        <v>2710680</v>
      </c>
      <c r="S77" s="571">
        <f t="shared" si="244"/>
        <v>0</v>
      </c>
      <c r="T77" s="571">
        <f t="shared" si="244"/>
        <v>0</v>
      </c>
      <c r="U77" s="571">
        <f t="shared" si="244"/>
        <v>0</v>
      </c>
      <c r="V77" s="571">
        <f t="shared" si="244"/>
        <v>2639180</v>
      </c>
      <c r="W77" s="571">
        <f t="shared" si="244"/>
        <v>71500</v>
      </c>
      <c r="X77" s="571">
        <f t="shared" si="244"/>
        <v>148560</v>
      </c>
      <c r="Y77" s="571">
        <f t="shared" si="244"/>
        <v>100000</v>
      </c>
      <c r="Z77" s="571">
        <f t="shared" si="244"/>
        <v>320060</v>
      </c>
      <c r="AA77" s="571">
        <f t="shared" si="244"/>
        <v>2959240</v>
      </c>
      <c r="AB77" s="571">
        <f t="shared" si="244"/>
        <v>966423</v>
      </c>
      <c r="AC77" s="571">
        <f t="shared" si="244"/>
        <v>26392</v>
      </c>
      <c r="AD77" s="571">
        <f t="shared" si="244"/>
        <v>0</v>
      </c>
      <c r="AE77" s="571">
        <f t="shared" si="244"/>
        <v>0</v>
      </c>
      <c r="AF77" s="571">
        <f t="shared" si="244"/>
        <v>0</v>
      </c>
      <c r="AG77" s="571">
        <f t="shared" si="244"/>
        <v>3952055</v>
      </c>
      <c r="AH77" s="572">
        <f t="shared" si="244"/>
        <v>0</v>
      </c>
      <c r="AI77" s="572">
        <f t="shared" si="244"/>
        <v>-0.06</v>
      </c>
      <c r="AJ77" s="572">
        <f t="shared" si="244"/>
        <v>7.54</v>
      </c>
      <c r="AK77" s="572">
        <f t="shared" si="244"/>
        <v>0</v>
      </c>
      <c r="AL77" s="572">
        <f t="shared" si="244"/>
        <v>0</v>
      </c>
      <c r="AM77" s="572">
        <f t="shared" si="244"/>
        <v>0</v>
      </c>
      <c r="AN77" s="572">
        <f t="shared" si="244"/>
        <v>0</v>
      </c>
      <c r="AO77" s="572">
        <f t="shared" si="244"/>
        <v>0</v>
      </c>
      <c r="AP77" s="572">
        <f t="shared" si="244"/>
        <v>7.54</v>
      </c>
      <c r="AQ77" s="572">
        <f t="shared" si="244"/>
        <v>-0.06</v>
      </c>
      <c r="AR77" s="400">
        <f t="shared" si="244"/>
        <v>7.48</v>
      </c>
      <c r="AS77" s="577">
        <f t="shared" si="244"/>
        <v>48276137</v>
      </c>
      <c r="AT77" s="571">
        <f t="shared" si="244"/>
        <v>34933528</v>
      </c>
      <c r="AU77" s="571">
        <f t="shared" si="244"/>
        <v>320060</v>
      </c>
      <c r="AV77" s="571">
        <f t="shared" si="244"/>
        <v>11881913</v>
      </c>
      <c r="AW77" s="571">
        <f t="shared" si="244"/>
        <v>349336</v>
      </c>
      <c r="AX77" s="571">
        <f t="shared" si="244"/>
        <v>791300</v>
      </c>
      <c r="AY77" s="572">
        <f t="shared" si="244"/>
        <v>63.765999999999998</v>
      </c>
      <c r="AZ77" s="572">
        <f t="shared" si="244"/>
        <v>51.846000000000004</v>
      </c>
      <c r="BA77" s="400">
        <f t="shared" si="244"/>
        <v>11.92</v>
      </c>
    </row>
    <row r="78" spans="1:53" ht="12.95" customHeight="1" x14ac:dyDescent="0.25">
      <c r="A78" s="299">
        <v>15</v>
      </c>
      <c r="B78" s="220">
        <v>5459</v>
      </c>
      <c r="C78" s="220">
        <v>600099415</v>
      </c>
      <c r="D78" s="220">
        <v>70946086</v>
      </c>
      <c r="E78" s="397" t="s">
        <v>498</v>
      </c>
      <c r="F78" s="220">
        <v>3231</v>
      </c>
      <c r="G78" s="397" t="s">
        <v>498</v>
      </c>
      <c r="H78" s="304" t="s">
        <v>277</v>
      </c>
      <c r="I78" s="462">
        <f t="shared" ref="I78" si="245">SUM(J78:M78)</f>
        <v>23049367</v>
      </c>
      <c r="J78" s="457">
        <v>17068663</v>
      </c>
      <c r="K78" s="457">
        <f t="shared" ref="K78" si="246">ROUND(J78*33.8%,0)</f>
        <v>5769208</v>
      </c>
      <c r="L78" s="457">
        <f>ROUND(J78*1%,0)</f>
        <v>170687</v>
      </c>
      <c r="M78" s="457">
        <v>40809</v>
      </c>
      <c r="N78" s="458">
        <f t="shared" ref="N78" si="247">O78+P78</f>
        <v>30.104399999999998</v>
      </c>
      <c r="O78" s="459">
        <v>27.3127</v>
      </c>
      <c r="P78" s="646">
        <v>2.7917000000000001</v>
      </c>
      <c r="Q78" s="469">
        <f t="shared" ref="Q78" si="248">W78*-1</f>
        <v>0</v>
      </c>
      <c r="R78" s="460">
        <v>0</v>
      </c>
      <c r="S78" s="673">
        <v>0</v>
      </c>
      <c r="T78" s="460">
        <v>0</v>
      </c>
      <c r="U78" s="460">
        <v>0</v>
      </c>
      <c r="V78" s="460">
        <f>SUM(Q78:U78)</f>
        <v>0</v>
      </c>
      <c r="W78" s="460">
        <v>0</v>
      </c>
      <c r="X78" s="460">
        <v>0</v>
      </c>
      <c r="Y78" s="460">
        <v>0</v>
      </c>
      <c r="Z78" s="460">
        <f t="shared" ref="Z78" si="249">SUM(W78:Y78)</f>
        <v>0</v>
      </c>
      <c r="AA78" s="460">
        <f t="shared" ref="AA78" si="250">V78+Z78</f>
        <v>0</v>
      </c>
      <c r="AB78" s="69">
        <f t="shared" ref="AB78" si="251">ROUND((V78+W78+X78)*33.8%,0)</f>
        <v>0</v>
      </c>
      <c r="AC78" s="69">
        <f>ROUND(V78*1%,0)</f>
        <v>0</v>
      </c>
      <c r="AD78" s="460">
        <v>0</v>
      </c>
      <c r="AE78" s="460">
        <v>0</v>
      </c>
      <c r="AF78" s="460">
        <f t="shared" ref="AF78" si="252">SUM(AD78:AE78)</f>
        <v>0</v>
      </c>
      <c r="AG78" s="460">
        <f t="shared" ref="AG78" si="253">AA78+AB78+AC78+AF78</f>
        <v>0</v>
      </c>
      <c r="AH78" s="461">
        <v>0</v>
      </c>
      <c r="AI78" s="461">
        <v>0</v>
      </c>
      <c r="AJ78" s="461">
        <v>0</v>
      </c>
      <c r="AK78" s="461">
        <v>0</v>
      </c>
      <c r="AL78" s="674">
        <v>0</v>
      </c>
      <c r="AM78" s="461">
        <v>0</v>
      </c>
      <c r="AN78" s="461">
        <v>0</v>
      </c>
      <c r="AO78" s="461">
        <v>0</v>
      </c>
      <c r="AP78" s="461">
        <f>AH78+AJ78+AK78+AM78+AN78</f>
        <v>0</v>
      </c>
      <c r="AQ78" s="461">
        <f>AI78+AL78+AO78</f>
        <v>0</v>
      </c>
      <c r="AR78" s="463">
        <f t="shared" ref="AR78" si="254">SUM(AP78:AQ78)</f>
        <v>0</v>
      </c>
      <c r="AS78" s="469">
        <f>I78+AG78</f>
        <v>23049367</v>
      </c>
      <c r="AT78" s="460">
        <f>J78+V78</f>
        <v>17068663</v>
      </c>
      <c r="AU78" s="460">
        <f>Z78</f>
        <v>0</v>
      </c>
      <c r="AV78" s="460">
        <f>K78+AB78</f>
        <v>5769208</v>
      </c>
      <c r="AW78" s="460">
        <f>L78+AC78</f>
        <v>170687</v>
      </c>
      <c r="AX78" s="460">
        <f>M78+AF78</f>
        <v>40809</v>
      </c>
      <c r="AY78" s="461">
        <f>N78+AR78</f>
        <v>30.104399999999998</v>
      </c>
      <c r="AZ78" s="461">
        <f>O78+AP78</f>
        <v>27.3127</v>
      </c>
      <c r="BA78" s="463">
        <f>P78+AQ78</f>
        <v>2.7917000000000001</v>
      </c>
    </row>
    <row r="79" spans="1:53" ht="12.95" customHeight="1" x14ac:dyDescent="0.25">
      <c r="A79" s="221">
        <v>15</v>
      </c>
      <c r="B79" s="46">
        <v>5459</v>
      </c>
      <c r="C79" s="46">
        <v>600099415</v>
      </c>
      <c r="D79" s="46">
        <v>70946086</v>
      </c>
      <c r="E79" s="399" t="s">
        <v>499</v>
      </c>
      <c r="F79" s="46"/>
      <c r="G79" s="399"/>
      <c r="H79" s="186"/>
      <c r="I79" s="536">
        <f t="shared" ref="I79:BA79" si="255">SUM(I78)</f>
        <v>23049367</v>
      </c>
      <c r="J79" s="532">
        <f t="shared" si="255"/>
        <v>17068663</v>
      </c>
      <c r="K79" s="532">
        <f t="shared" si="255"/>
        <v>5769208</v>
      </c>
      <c r="L79" s="532">
        <f t="shared" si="255"/>
        <v>170687</v>
      </c>
      <c r="M79" s="532">
        <f t="shared" si="255"/>
        <v>40809</v>
      </c>
      <c r="N79" s="533">
        <f t="shared" si="255"/>
        <v>30.104399999999998</v>
      </c>
      <c r="O79" s="533">
        <f t="shared" si="255"/>
        <v>27.3127</v>
      </c>
      <c r="P79" s="298">
        <f t="shared" si="255"/>
        <v>2.7917000000000001</v>
      </c>
      <c r="Q79" s="538">
        <f t="shared" si="255"/>
        <v>0</v>
      </c>
      <c r="R79" s="532">
        <f t="shared" si="255"/>
        <v>0</v>
      </c>
      <c r="S79" s="532">
        <f t="shared" si="255"/>
        <v>0</v>
      </c>
      <c r="T79" s="532">
        <f t="shared" si="255"/>
        <v>0</v>
      </c>
      <c r="U79" s="532">
        <f t="shared" si="255"/>
        <v>0</v>
      </c>
      <c r="V79" s="532">
        <f t="shared" si="255"/>
        <v>0</v>
      </c>
      <c r="W79" s="532">
        <f t="shared" si="255"/>
        <v>0</v>
      </c>
      <c r="X79" s="532">
        <f t="shared" si="255"/>
        <v>0</v>
      </c>
      <c r="Y79" s="532">
        <f t="shared" si="255"/>
        <v>0</v>
      </c>
      <c r="Z79" s="532">
        <f t="shared" si="255"/>
        <v>0</v>
      </c>
      <c r="AA79" s="532">
        <f t="shared" si="255"/>
        <v>0</v>
      </c>
      <c r="AB79" s="532">
        <f t="shared" si="255"/>
        <v>0</v>
      </c>
      <c r="AC79" s="532">
        <f t="shared" si="255"/>
        <v>0</v>
      </c>
      <c r="AD79" s="532">
        <f t="shared" si="255"/>
        <v>0</v>
      </c>
      <c r="AE79" s="532">
        <f t="shared" si="255"/>
        <v>0</v>
      </c>
      <c r="AF79" s="532">
        <f t="shared" si="255"/>
        <v>0</v>
      </c>
      <c r="AG79" s="532">
        <f t="shared" si="255"/>
        <v>0</v>
      </c>
      <c r="AH79" s="533">
        <f t="shared" si="255"/>
        <v>0</v>
      </c>
      <c r="AI79" s="533">
        <f t="shared" si="255"/>
        <v>0</v>
      </c>
      <c r="AJ79" s="533">
        <f t="shared" si="255"/>
        <v>0</v>
      </c>
      <c r="AK79" s="533">
        <f t="shared" si="255"/>
        <v>0</v>
      </c>
      <c r="AL79" s="533">
        <f t="shared" si="255"/>
        <v>0</v>
      </c>
      <c r="AM79" s="533">
        <f t="shared" si="255"/>
        <v>0</v>
      </c>
      <c r="AN79" s="533">
        <f t="shared" si="255"/>
        <v>0</v>
      </c>
      <c r="AO79" s="533">
        <f t="shared" si="255"/>
        <v>0</v>
      </c>
      <c r="AP79" s="533">
        <f t="shared" si="255"/>
        <v>0</v>
      </c>
      <c r="AQ79" s="533">
        <f t="shared" si="255"/>
        <v>0</v>
      </c>
      <c r="AR79" s="298">
        <f t="shared" si="255"/>
        <v>0</v>
      </c>
      <c r="AS79" s="538">
        <f t="shared" si="255"/>
        <v>23049367</v>
      </c>
      <c r="AT79" s="532">
        <f t="shared" si="255"/>
        <v>17068663</v>
      </c>
      <c r="AU79" s="532">
        <f t="shared" si="255"/>
        <v>0</v>
      </c>
      <c r="AV79" s="532">
        <f t="shared" si="255"/>
        <v>5769208</v>
      </c>
      <c r="AW79" s="532">
        <f t="shared" si="255"/>
        <v>170687</v>
      </c>
      <c r="AX79" s="532">
        <f t="shared" si="255"/>
        <v>40809</v>
      </c>
      <c r="AY79" s="533">
        <f t="shared" si="255"/>
        <v>30.104399999999998</v>
      </c>
      <c r="AZ79" s="533">
        <f t="shared" si="255"/>
        <v>27.3127</v>
      </c>
      <c r="BA79" s="298">
        <f t="shared" si="255"/>
        <v>2.7917000000000001</v>
      </c>
    </row>
    <row r="80" spans="1:53" ht="12.95" customHeight="1" x14ac:dyDescent="0.25">
      <c r="A80" s="299">
        <v>16</v>
      </c>
      <c r="B80" s="401">
        <v>5482</v>
      </c>
      <c r="C80" s="401">
        <v>600098982</v>
      </c>
      <c r="D80" s="401">
        <v>71006923</v>
      </c>
      <c r="E80" s="397" t="s">
        <v>500</v>
      </c>
      <c r="F80" s="220">
        <v>3111</v>
      </c>
      <c r="G80" s="398" t="s">
        <v>321</v>
      </c>
      <c r="H80" s="304" t="s">
        <v>277</v>
      </c>
      <c r="I80" s="462">
        <f t="shared" ref="I80:I85" si="256">SUM(J80:M80)</f>
        <v>1681333</v>
      </c>
      <c r="J80" s="457">
        <v>1238971</v>
      </c>
      <c r="K80" s="457">
        <f t="shared" ref="K80:K85" si="257">ROUND(J80*33.8%,0)</f>
        <v>418772</v>
      </c>
      <c r="L80" s="457">
        <f t="shared" ref="L80:L85" si="258">ROUND(J80*1%,0)</f>
        <v>12390</v>
      </c>
      <c r="M80" s="457">
        <v>11200</v>
      </c>
      <c r="N80" s="458">
        <f t="shared" ref="N80:N85" si="259">O80+P80</f>
        <v>2.4</v>
      </c>
      <c r="O80" s="459">
        <v>2</v>
      </c>
      <c r="P80" s="646">
        <v>0.4</v>
      </c>
      <c r="Q80" s="469">
        <f t="shared" ref="Q80:Q85" si="260">W80*-1</f>
        <v>0</v>
      </c>
      <c r="R80" s="460">
        <v>0</v>
      </c>
      <c r="S80" s="673">
        <v>0</v>
      </c>
      <c r="T80" s="460">
        <v>0</v>
      </c>
      <c r="U80" s="460">
        <v>0</v>
      </c>
      <c r="V80" s="460">
        <f t="shared" ref="V80:V85" si="261">SUM(Q80:U80)</f>
        <v>0</v>
      </c>
      <c r="W80" s="460">
        <v>0</v>
      </c>
      <c r="X80" s="460">
        <v>0</v>
      </c>
      <c r="Y80" s="460">
        <v>0</v>
      </c>
      <c r="Z80" s="460">
        <f t="shared" ref="Z80:Z85" si="262">SUM(W80:Y80)</f>
        <v>0</v>
      </c>
      <c r="AA80" s="460">
        <f t="shared" ref="AA80:AA85" si="263">V80+Z80</f>
        <v>0</v>
      </c>
      <c r="AB80" s="69">
        <f t="shared" ref="AB80:AB85" si="264">ROUND((V80+W80+X80)*33.8%,0)</f>
        <v>0</v>
      </c>
      <c r="AC80" s="69">
        <f t="shared" ref="AC80:AC85" si="265">ROUND(V80*1%,0)</f>
        <v>0</v>
      </c>
      <c r="AD80" s="460">
        <v>0</v>
      </c>
      <c r="AE80" s="460">
        <v>0</v>
      </c>
      <c r="AF80" s="460">
        <f t="shared" ref="AF80:AF85" si="266">SUM(AD80:AE80)</f>
        <v>0</v>
      </c>
      <c r="AG80" s="460">
        <f t="shared" ref="AG80:AG85" si="267">AA80+AB80+AC80+AF80</f>
        <v>0</v>
      </c>
      <c r="AH80" s="461">
        <v>0</v>
      </c>
      <c r="AI80" s="461">
        <v>0</v>
      </c>
      <c r="AJ80" s="461">
        <v>0</v>
      </c>
      <c r="AK80" s="461">
        <v>0</v>
      </c>
      <c r="AL80" s="674">
        <v>0</v>
      </c>
      <c r="AM80" s="461">
        <v>0</v>
      </c>
      <c r="AN80" s="461">
        <v>0</v>
      </c>
      <c r="AO80" s="461">
        <v>0</v>
      </c>
      <c r="AP80" s="461">
        <f t="shared" ref="AP80:AP85" si="268">AH80+AJ80+AK80+AM80+AN80</f>
        <v>0</v>
      </c>
      <c r="AQ80" s="461">
        <f t="shared" ref="AQ80:AQ85" si="269">AI80+AL80+AO80</f>
        <v>0</v>
      </c>
      <c r="AR80" s="463">
        <f t="shared" ref="AR80:AR85" si="270">SUM(AP80:AQ80)</f>
        <v>0</v>
      </c>
      <c r="AS80" s="469">
        <f t="shared" ref="AS80:AS85" si="271">I80+AG80</f>
        <v>1681333</v>
      </c>
      <c r="AT80" s="460">
        <f t="shared" ref="AT80:AT85" si="272">J80+V80</f>
        <v>1238971</v>
      </c>
      <c r="AU80" s="460">
        <f t="shared" ref="AU80:AU85" si="273">Z80</f>
        <v>0</v>
      </c>
      <c r="AV80" s="460">
        <f t="shared" ref="AV80:AW85" si="274">K80+AB80</f>
        <v>418772</v>
      </c>
      <c r="AW80" s="460">
        <f t="shared" si="274"/>
        <v>12390</v>
      </c>
      <c r="AX80" s="460">
        <f t="shared" ref="AX80:AX85" si="275">M80+AF80</f>
        <v>11200</v>
      </c>
      <c r="AY80" s="461">
        <f t="shared" ref="AY80:AY85" si="276">N80+AR80</f>
        <v>2.4</v>
      </c>
      <c r="AZ80" s="461">
        <f t="shared" ref="AZ80:BA85" si="277">O80+AP80</f>
        <v>2</v>
      </c>
      <c r="BA80" s="463">
        <f t="shared" si="277"/>
        <v>0.4</v>
      </c>
    </row>
    <row r="81" spans="1:53" ht="12.95" customHeight="1" x14ac:dyDescent="0.25">
      <c r="A81" s="299">
        <v>16</v>
      </c>
      <c r="B81" s="220">
        <v>5482</v>
      </c>
      <c r="C81" s="220">
        <v>600098982</v>
      </c>
      <c r="D81" s="220">
        <v>71006923</v>
      </c>
      <c r="E81" s="397" t="s">
        <v>500</v>
      </c>
      <c r="F81" s="220">
        <v>3117</v>
      </c>
      <c r="G81" s="397" t="s">
        <v>325</v>
      </c>
      <c r="H81" s="304" t="s">
        <v>277</v>
      </c>
      <c r="I81" s="462">
        <f t="shared" si="256"/>
        <v>4606804</v>
      </c>
      <c r="J81" s="457">
        <v>3364988</v>
      </c>
      <c r="K81" s="457">
        <f t="shared" si="257"/>
        <v>1137366</v>
      </c>
      <c r="L81" s="457">
        <f t="shared" si="258"/>
        <v>33650</v>
      </c>
      <c r="M81" s="457">
        <v>70800</v>
      </c>
      <c r="N81" s="458">
        <f t="shared" si="259"/>
        <v>5.8953999999999995</v>
      </c>
      <c r="O81" s="459">
        <v>4.5453999999999999</v>
      </c>
      <c r="P81" s="646">
        <v>1.3499999999999999</v>
      </c>
      <c r="Q81" s="469">
        <f t="shared" si="260"/>
        <v>0</v>
      </c>
      <c r="R81" s="460">
        <v>0</v>
      </c>
      <c r="S81" s="673">
        <v>0</v>
      </c>
      <c r="T81" s="460">
        <v>0</v>
      </c>
      <c r="U81" s="460">
        <v>0</v>
      </c>
      <c r="V81" s="460">
        <f t="shared" si="261"/>
        <v>0</v>
      </c>
      <c r="W81" s="460">
        <v>0</v>
      </c>
      <c r="X81" s="460">
        <v>0</v>
      </c>
      <c r="Y81" s="460">
        <v>0</v>
      </c>
      <c r="Z81" s="460">
        <f t="shared" si="262"/>
        <v>0</v>
      </c>
      <c r="AA81" s="460">
        <f t="shared" si="263"/>
        <v>0</v>
      </c>
      <c r="AB81" s="69">
        <f t="shared" si="264"/>
        <v>0</v>
      </c>
      <c r="AC81" s="69">
        <f t="shared" si="265"/>
        <v>0</v>
      </c>
      <c r="AD81" s="460">
        <v>0</v>
      </c>
      <c r="AE81" s="460">
        <v>0</v>
      </c>
      <c r="AF81" s="460">
        <f t="shared" si="266"/>
        <v>0</v>
      </c>
      <c r="AG81" s="460">
        <f t="shared" si="267"/>
        <v>0</v>
      </c>
      <c r="AH81" s="461">
        <v>0</v>
      </c>
      <c r="AI81" s="461">
        <v>0</v>
      </c>
      <c r="AJ81" s="461">
        <v>0</v>
      </c>
      <c r="AK81" s="461">
        <v>0</v>
      </c>
      <c r="AL81" s="674">
        <v>0</v>
      </c>
      <c r="AM81" s="461">
        <v>0</v>
      </c>
      <c r="AN81" s="461">
        <v>0</v>
      </c>
      <c r="AO81" s="461">
        <v>0</v>
      </c>
      <c r="AP81" s="461">
        <f t="shared" si="268"/>
        <v>0</v>
      </c>
      <c r="AQ81" s="461">
        <f t="shared" si="269"/>
        <v>0</v>
      </c>
      <c r="AR81" s="463">
        <f t="shared" si="270"/>
        <v>0</v>
      </c>
      <c r="AS81" s="469">
        <f t="shared" si="271"/>
        <v>4606804</v>
      </c>
      <c r="AT81" s="460">
        <f t="shared" si="272"/>
        <v>3364988</v>
      </c>
      <c r="AU81" s="460">
        <f t="shared" si="273"/>
        <v>0</v>
      </c>
      <c r="AV81" s="460">
        <f t="shared" si="274"/>
        <v>1137366</v>
      </c>
      <c r="AW81" s="460">
        <f t="shared" si="274"/>
        <v>33650</v>
      </c>
      <c r="AX81" s="460">
        <f t="shared" si="275"/>
        <v>70800</v>
      </c>
      <c r="AY81" s="461">
        <f t="shared" si="276"/>
        <v>5.8953999999999995</v>
      </c>
      <c r="AZ81" s="461">
        <f t="shared" si="277"/>
        <v>4.5453999999999999</v>
      </c>
      <c r="BA81" s="463">
        <f t="shared" si="277"/>
        <v>1.3499999999999999</v>
      </c>
    </row>
    <row r="82" spans="1:53" ht="12.95" customHeight="1" x14ac:dyDescent="0.25">
      <c r="A82" s="299">
        <v>16</v>
      </c>
      <c r="B82" s="220">
        <v>5482</v>
      </c>
      <c r="C82" s="220">
        <v>600098982</v>
      </c>
      <c r="D82" s="220">
        <v>71006923</v>
      </c>
      <c r="E82" s="397" t="s">
        <v>500</v>
      </c>
      <c r="F82" s="220">
        <v>3117</v>
      </c>
      <c r="G82" s="342" t="s">
        <v>308</v>
      </c>
      <c r="H82" s="304" t="s">
        <v>278</v>
      </c>
      <c r="I82" s="462">
        <f t="shared" si="256"/>
        <v>0</v>
      </c>
      <c r="J82" s="457">
        <v>0</v>
      </c>
      <c r="K82" s="457">
        <f t="shared" si="257"/>
        <v>0</v>
      </c>
      <c r="L82" s="457">
        <f t="shared" si="258"/>
        <v>0</v>
      </c>
      <c r="M82" s="457">
        <v>0</v>
      </c>
      <c r="N82" s="458">
        <f t="shared" si="259"/>
        <v>0</v>
      </c>
      <c r="O82" s="459">
        <v>0</v>
      </c>
      <c r="P82" s="646">
        <v>0</v>
      </c>
      <c r="Q82" s="469">
        <f t="shared" si="260"/>
        <v>0</v>
      </c>
      <c r="R82" s="460">
        <v>0</v>
      </c>
      <c r="S82" s="673">
        <v>0</v>
      </c>
      <c r="T82" s="460">
        <v>0</v>
      </c>
      <c r="U82" s="460">
        <v>0</v>
      </c>
      <c r="V82" s="460">
        <f t="shared" si="261"/>
        <v>0</v>
      </c>
      <c r="W82" s="460">
        <v>0</v>
      </c>
      <c r="X82" s="460">
        <v>0</v>
      </c>
      <c r="Y82" s="460">
        <v>0</v>
      </c>
      <c r="Z82" s="460">
        <f t="shared" si="262"/>
        <v>0</v>
      </c>
      <c r="AA82" s="460">
        <f t="shared" si="263"/>
        <v>0</v>
      </c>
      <c r="AB82" s="69">
        <f t="shared" si="264"/>
        <v>0</v>
      </c>
      <c r="AC82" s="69">
        <f t="shared" si="265"/>
        <v>0</v>
      </c>
      <c r="AD82" s="460">
        <v>0</v>
      </c>
      <c r="AE82" s="460">
        <v>0</v>
      </c>
      <c r="AF82" s="460">
        <f t="shared" si="266"/>
        <v>0</v>
      </c>
      <c r="AG82" s="460">
        <f t="shared" si="267"/>
        <v>0</v>
      </c>
      <c r="AH82" s="461">
        <v>0</v>
      </c>
      <c r="AI82" s="461">
        <v>0</v>
      </c>
      <c r="AJ82" s="461">
        <v>0</v>
      </c>
      <c r="AK82" s="461">
        <v>0</v>
      </c>
      <c r="AL82" s="674">
        <v>0</v>
      </c>
      <c r="AM82" s="461">
        <v>0</v>
      </c>
      <c r="AN82" s="461">
        <v>0</v>
      </c>
      <c r="AO82" s="461">
        <v>0</v>
      </c>
      <c r="AP82" s="461">
        <f t="shared" si="268"/>
        <v>0</v>
      </c>
      <c r="AQ82" s="461">
        <f t="shared" si="269"/>
        <v>0</v>
      </c>
      <c r="AR82" s="463">
        <f t="shared" si="270"/>
        <v>0</v>
      </c>
      <c r="AS82" s="469">
        <f t="shared" si="271"/>
        <v>0</v>
      </c>
      <c r="AT82" s="460">
        <f t="shared" si="272"/>
        <v>0</v>
      </c>
      <c r="AU82" s="460">
        <f t="shared" si="273"/>
        <v>0</v>
      </c>
      <c r="AV82" s="460">
        <f t="shared" si="274"/>
        <v>0</v>
      </c>
      <c r="AW82" s="460">
        <f t="shared" si="274"/>
        <v>0</v>
      </c>
      <c r="AX82" s="460">
        <f t="shared" si="275"/>
        <v>0</v>
      </c>
      <c r="AY82" s="461">
        <f t="shared" si="276"/>
        <v>0</v>
      </c>
      <c r="AZ82" s="461">
        <f t="shared" si="277"/>
        <v>0</v>
      </c>
      <c r="BA82" s="463">
        <f t="shared" si="277"/>
        <v>0</v>
      </c>
    </row>
    <row r="83" spans="1:53" ht="12.95" customHeight="1" x14ac:dyDescent="0.25">
      <c r="A83" s="299">
        <v>16</v>
      </c>
      <c r="B83" s="401">
        <v>5482</v>
      </c>
      <c r="C83" s="401">
        <v>600098982</v>
      </c>
      <c r="D83" s="401">
        <v>71006923</v>
      </c>
      <c r="E83" s="397" t="s">
        <v>500</v>
      </c>
      <c r="F83" s="220">
        <v>3141</v>
      </c>
      <c r="G83" s="398" t="s">
        <v>311</v>
      </c>
      <c r="H83" s="304" t="s">
        <v>278</v>
      </c>
      <c r="I83" s="462">
        <f t="shared" si="256"/>
        <v>912018</v>
      </c>
      <c r="J83" s="457">
        <v>673640</v>
      </c>
      <c r="K83" s="457">
        <f t="shared" si="257"/>
        <v>227690</v>
      </c>
      <c r="L83" s="457">
        <f t="shared" si="258"/>
        <v>6736</v>
      </c>
      <c r="M83" s="457">
        <v>3952</v>
      </c>
      <c r="N83" s="458">
        <f t="shared" si="259"/>
        <v>2.16</v>
      </c>
      <c r="O83" s="459">
        <v>0</v>
      </c>
      <c r="P83" s="646">
        <v>2.16</v>
      </c>
      <c r="Q83" s="469">
        <f t="shared" si="260"/>
        <v>0</v>
      </c>
      <c r="R83" s="460">
        <v>0</v>
      </c>
      <c r="S83" s="673">
        <v>0</v>
      </c>
      <c r="T83" s="460">
        <v>0</v>
      </c>
      <c r="U83" s="460">
        <v>0</v>
      </c>
      <c r="V83" s="460">
        <f t="shared" si="261"/>
        <v>0</v>
      </c>
      <c r="W83" s="460">
        <v>0</v>
      </c>
      <c r="X83" s="460">
        <v>0</v>
      </c>
      <c r="Y83" s="460">
        <v>0</v>
      </c>
      <c r="Z83" s="460">
        <f t="shared" si="262"/>
        <v>0</v>
      </c>
      <c r="AA83" s="460">
        <f t="shared" si="263"/>
        <v>0</v>
      </c>
      <c r="AB83" s="69">
        <f t="shared" si="264"/>
        <v>0</v>
      </c>
      <c r="AC83" s="69">
        <f t="shared" si="265"/>
        <v>0</v>
      </c>
      <c r="AD83" s="460">
        <v>0</v>
      </c>
      <c r="AE83" s="460">
        <v>0</v>
      </c>
      <c r="AF83" s="460">
        <f t="shared" si="266"/>
        <v>0</v>
      </c>
      <c r="AG83" s="460">
        <f t="shared" si="267"/>
        <v>0</v>
      </c>
      <c r="AH83" s="461">
        <v>0</v>
      </c>
      <c r="AI83" s="461">
        <v>0</v>
      </c>
      <c r="AJ83" s="461">
        <v>0</v>
      </c>
      <c r="AK83" s="461">
        <v>0</v>
      </c>
      <c r="AL83" s="674">
        <v>0</v>
      </c>
      <c r="AM83" s="461">
        <v>0</v>
      </c>
      <c r="AN83" s="461">
        <v>0</v>
      </c>
      <c r="AO83" s="461">
        <v>0</v>
      </c>
      <c r="AP83" s="461">
        <f t="shared" si="268"/>
        <v>0</v>
      </c>
      <c r="AQ83" s="461">
        <f t="shared" si="269"/>
        <v>0</v>
      </c>
      <c r="AR83" s="463">
        <f t="shared" si="270"/>
        <v>0</v>
      </c>
      <c r="AS83" s="469">
        <f t="shared" si="271"/>
        <v>912018</v>
      </c>
      <c r="AT83" s="460">
        <f t="shared" si="272"/>
        <v>673640</v>
      </c>
      <c r="AU83" s="460">
        <f t="shared" si="273"/>
        <v>0</v>
      </c>
      <c r="AV83" s="460">
        <f t="shared" si="274"/>
        <v>227690</v>
      </c>
      <c r="AW83" s="460">
        <f t="shared" si="274"/>
        <v>6736</v>
      </c>
      <c r="AX83" s="460">
        <f t="shared" si="275"/>
        <v>3952</v>
      </c>
      <c r="AY83" s="461">
        <f t="shared" si="276"/>
        <v>2.16</v>
      </c>
      <c r="AZ83" s="461">
        <f t="shared" si="277"/>
        <v>0</v>
      </c>
      <c r="BA83" s="463">
        <f t="shared" si="277"/>
        <v>2.16</v>
      </c>
    </row>
    <row r="84" spans="1:53" ht="12.95" customHeight="1" x14ac:dyDescent="0.25">
      <c r="A84" s="299">
        <v>16</v>
      </c>
      <c r="B84" s="220">
        <v>5482</v>
      </c>
      <c r="C84" s="220">
        <v>600098982</v>
      </c>
      <c r="D84" s="220">
        <v>71006923</v>
      </c>
      <c r="E84" s="397" t="s">
        <v>500</v>
      </c>
      <c r="F84" s="220">
        <v>3143</v>
      </c>
      <c r="G84" s="342" t="s">
        <v>616</v>
      </c>
      <c r="H84" s="304" t="s">
        <v>277</v>
      </c>
      <c r="I84" s="462">
        <f t="shared" si="256"/>
        <v>1046722</v>
      </c>
      <c r="J84" s="457">
        <v>776500</v>
      </c>
      <c r="K84" s="457">
        <f t="shared" si="257"/>
        <v>262457</v>
      </c>
      <c r="L84" s="457">
        <f t="shared" si="258"/>
        <v>7765</v>
      </c>
      <c r="M84" s="457">
        <v>0</v>
      </c>
      <c r="N84" s="458">
        <f t="shared" si="259"/>
        <v>1.7142999999999999</v>
      </c>
      <c r="O84" s="459">
        <v>1.7142999999999999</v>
      </c>
      <c r="P84" s="646">
        <v>0</v>
      </c>
      <c r="Q84" s="469">
        <f t="shared" si="260"/>
        <v>0</v>
      </c>
      <c r="R84" s="460">
        <v>0</v>
      </c>
      <c r="S84" s="673">
        <v>0</v>
      </c>
      <c r="T84" s="460">
        <v>0</v>
      </c>
      <c r="U84" s="460">
        <v>0</v>
      </c>
      <c r="V84" s="460">
        <f t="shared" si="261"/>
        <v>0</v>
      </c>
      <c r="W84" s="460">
        <v>0</v>
      </c>
      <c r="X84" s="460">
        <v>0</v>
      </c>
      <c r="Y84" s="460">
        <v>0</v>
      </c>
      <c r="Z84" s="460">
        <f t="shared" si="262"/>
        <v>0</v>
      </c>
      <c r="AA84" s="460">
        <f t="shared" si="263"/>
        <v>0</v>
      </c>
      <c r="AB84" s="69">
        <f t="shared" si="264"/>
        <v>0</v>
      </c>
      <c r="AC84" s="69">
        <f t="shared" si="265"/>
        <v>0</v>
      </c>
      <c r="AD84" s="460">
        <v>0</v>
      </c>
      <c r="AE84" s="460">
        <v>0</v>
      </c>
      <c r="AF84" s="460">
        <f t="shared" si="266"/>
        <v>0</v>
      </c>
      <c r="AG84" s="460">
        <f t="shared" si="267"/>
        <v>0</v>
      </c>
      <c r="AH84" s="461">
        <v>0</v>
      </c>
      <c r="AI84" s="461">
        <v>0</v>
      </c>
      <c r="AJ84" s="461">
        <v>0</v>
      </c>
      <c r="AK84" s="461">
        <v>0</v>
      </c>
      <c r="AL84" s="674">
        <v>0</v>
      </c>
      <c r="AM84" s="461">
        <v>0</v>
      </c>
      <c r="AN84" s="461">
        <v>0</v>
      </c>
      <c r="AO84" s="461">
        <v>0</v>
      </c>
      <c r="AP84" s="461">
        <f t="shared" si="268"/>
        <v>0</v>
      </c>
      <c r="AQ84" s="461">
        <f t="shared" si="269"/>
        <v>0</v>
      </c>
      <c r="AR84" s="463">
        <f t="shared" si="270"/>
        <v>0</v>
      </c>
      <c r="AS84" s="469">
        <f t="shared" si="271"/>
        <v>1046722</v>
      </c>
      <c r="AT84" s="460">
        <f t="shared" si="272"/>
        <v>776500</v>
      </c>
      <c r="AU84" s="460">
        <f t="shared" si="273"/>
        <v>0</v>
      </c>
      <c r="AV84" s="460">
        <f t="shared" si="274"/>
        <v>262457</v>
      </c>
      <c r="AW84" s="460">
        <f t="shared" si="274"/>
        <v>7765</v>
      </c>
      <c r="AX84" s="460">
        <f t="shared" si="275"/>
        <v>0</v>
      </c>
      <c r="AY84" s="461">
        <f t="shared" si="276"/>
        <v>1.7142999999999999</v>
      </c>
      <c r="AZ84" s="461">
        <f t="shared" si="277"/>
        <v>1.7142999999999999</v>
      </c>
      <c r="BA84" s="463">
        <f t="shared" si="277"/>
        <v>0</v>
      </c>
    </row>
    <row r="85" spans="1:53" ht="12.95" customHeight="1" x14ac:dyDescent="0.25">
      <c r="A85" s="299">
        <v>16</v>
      </c>
      <c r="B85" s="220">
        <v>5482</v>
      </c>
      <c r="C85" s="220">
        <v>600098982</v>
      </c>
      <c r="D85" s="220">
        <v>71006923</v>
      </c>
      <c r="E85" s="397" t="s">
        <v>500</v>
      </c>
      <c r="F85" s="220">
        <v>3143</v>
      </c>
      <c r="G85" s="342" t="s">
        <v>617</v>
      </c>
      <c r="H85" s="304" t="s">
        <v>278</v>
      </c>
      <c r="I85" s="462">
        <f t="shared" si="256"/>
        <v>29321</v>
      </c>
      <c r="J85" s="457">
        <v>20950</v>
      </c>
      <c r="K85" s="457">
        <f t="shared" si="257"/>
        <v>7081</v>
      </c>
      <c r="L85" s="457">
        <f t="shared" si="258"/>
        <v>210</v>
      </c>
      <c r="M85" s="457">
        <v>1080</v>
      </c>
      <c r="N85" s="458">
        <f t="shared" si="259"/>
        <v>0.08</v>
      </c>
      <c r="O85" s="459">
        <v>0</v>
      </c>
      <c r="P85" s="646">
        <v>0.08</v>
      </c>
      <c r="Q85" s="469">
        <f t="shared" si="260"/>
        <v>0</v>
      </c>
      <c r="R85" s="460">
        <v>0</v>
      </c>
      <c r="S85" s="673">
        <v>0</v>
      </c>
      <c r="T85" s="460">
        <v>0</v>
      </c>
      <c r="U85" s="460">
        <v>0</v>
      </c>
      <c r="V85" s="460">
        <f t="shared" si="261"/>
        <v>0</v>
      </c>
      <c r="W85" s="460">
        <v>0</v>
      </c>
      <c r="X85" s="460">
        <v>0</v>
      </c>
      <c r="Y85" s="460">
        <v>0</v>
      </c>
      <c r="Z85" s="460">
        <f t="shared" si="262"/>
        <v>0</v>
      </c>
      <c r="AA85" s="460">
        <f t="shared" si="263"/>
        <v>0</v>
      </c>
      <c r="AB85" s="69">
        <f t="shared" si="264"/>
        <v>0</v>
      </c>
      <c r="AC85" s="69">
        <f t="shared" si="265"/>
        <v>0</v>
      </c>
      <c r="AD85" s="460">
        <v>0</v>
      </c>
      <c r="AE85" s="460">
        <v>0</v>
      </c>
      <c r="AF85" s="460">
        <f t="shared" si="266"/>
        <v>0</v>
      </c>
      <c r="AG85" s="460">
        <f t="shared" si="267"/>
        <v>0</v>
      </c>
      <c r="AH85" s="461">
        <v>0</v>
      </c>
      <c r="AI85" s="461">
        <v>0</v>
      </c>
      <c r="AJ85" s="461">
        <v>0</v>
      </c>
      <c r="AK85" s="461">
        <v>0</v>
      </c>
      <c r="AL85" s="674">
        <v>0</v>
      </c>
      <c r="AM85" s="461">
        <v>0</v>
      </c>
      <c r="AN85" s="461">
        <v>0</v>
      </c>
      <c r="AO85" s="461">
        <v>0</v>
      </c>
      <c r="AP85" s="461">
        <f t="shared" si="268"/>
        <v>0</v>
      </c>
      <c r="AQ85" s="461">
        <f t="shared" si="269"/>
        <v>0</v>
      </c>
      <c r="AR85" s="463">
        <f t="shared" si="270"/>
        <v>0</v>
      </c>
      <c r="AS85" s="469">
        <f t="shared" si="271"/>
        <v>29321</v>
      </c>
      <c r="AT85" s="460">
        <f t="shared" si="272"/>
        <v>20950</v>
      </c>
      <c r="AU85" s="460">
        <f t="shared" si="273"/>
        <v>0</v>
      </c>
      <c r="AV85" s="460">
        <f t="shared" si="274"/>
        <v>7081</v>
      </c>
      <c r="AW85" s="460">
        <f t="shared" si="274"/>
        <v>210</v>
      </c>
      <c r="AX85" s="460">
        <f t="shared" si="275"/>
        <v>1080</v>
      </c>
      <c r="AY85" s="461">
        <f t="shared" si="276"/>
        <v>0.08</v>
      </c>
      <c r="AZ85" s="461">
        <f t="shared" si="277"/>
        <v>0</v>
      </c>
      <c r="BA85" s="463">
        <f t="shared" si="277"/>
        <v>0.08</v>
      </c>
    </row>
    <row r="86" spans="1:53" ht="12.95" customHeight="1" x14ac:dyDescent="0.25">
      <c r="A86" s="221">
        <v>16</v>
      </c>
      <c r="B86" s="46">
        <v>5482</v>
      </c>
      <c r="C86" s="46">
        <v>600098982</v>
      </c>
      <c r="D86" s="46">
        <v>71006923</v>
      </c>
      <c r="E86" s="399" t="s">
        <v>501</v>
      </c>
      <c r="F86" s="46"/>
      <c r="G86" s="399"/>
      <c r="H86" s="186"/>
      <c r="I86" s="536">
        <f t="shared" ref="I86:BA86" si="278">SUM(I80:I85)</f>
        <v>8276198</v>
      </c>
      <c r="J86" s="532">
        <f t="shared" si="278"/>
        <v>6075049</v>
      </c>
      <c r="K86" s="532">
        <f t="shared" si="278"/>
        <v>2053366</v>
      </c>
      <c r="L86" s="532">
        <f t="shared" si="278"/>
        <v>60751</v>
      </c>
      <c r="M86" s="532">
        <f t="shared" si="278"/>
        <v>87032</v>
      </c>
      <c r="N86" s="533">
        <f t="shared" si="278"/>
        <v>12.249699999999999</v>
      </c>
      <c r="O86" s="533">
        <f t="shared" si="278"/>
        <v>8.2597000000000005</v>
      </c>
      <c r="P86" s="298">
        <f t="shared" si="278"/>
        <v>3.99</v>
      </c>
      <c r="Q86" s="538">
        <f t="shared" si="278"/>
        <v>0</v>
      </c>
      <c r="R86" s="532">
        <f t="shared" si="278"/>
        <v>0</v>
      </c>
      <c r="S86" s="532">
        <f t="shared" si="278"/>
        <v>0</v>
      </c>
      <c r="T86" s="532">
        <f t="shared" si="278"/>
        <v>0</v>
      </c>
      <c r="U86" s="532">
        <f t="shared" si="278"/>
        <v>0</v>
      </c>
      <c r="V86" s="532">
        <f t="shared" si="278"/>
        <v>0</v>
      </c>
      <c r="W86" s="532">
        <f t="shared" si="278"/>
        <v>0</v>
      </c>
      <c r="X86" s="532">
        <f t="shared" si="278"/>
        <v>0</v>
      </c>
      <c r="Y86" s="532">
        <f t="shared" si="278"/>
        <v>0</v>
      </c>
      <c r="Z86" s="532">
        <f t="shared" si="278"/>
        <v>0</v>
      </c>
      <c r="AA86" s="532">
        <f t="shared" si="278"/>
        <v>0</v>
      </c>
      <c r="AB86" s="532">
        <f t="shared" si="278"/>
        <v>0</v>
      </c>
      <c r="AC86" s="532">
        <f t="shared" si="278"/>
        <v>0</v>
      </c>
      <c r="AD86" s="532">
        <f t="shared" si="278"/>
        <v>0</v>
      </c>
      <c r="AE86" s="532">
        <f t="shared" si="278"/>
        <v>0</v>
      </c>
      <c r="AF86" s="532">
        <f t="shared" si="278"/>
        <v>0</v>
      </c>
      <c r="AG86" s="532">
        <f t="shared" si="278"/>
        <v>0</v>
      </c>
      <c r="AH86" s="533">
        <f t="shared" si="278"/>
        <v>0</v>
      </c>
      <c r="AI86" s="533">
        <f t="shared" si="278"/>
        <v>0</v>
      </c>
      <c r="AJ86" s="533">
        <f t="shared" si="278"/>
        <v>0</v>
      </c>
      <c r="AK86" s="533">
        <f t="shared" si="278"/>
        <v>0</v>
      </c>
      <c r="AL86" s="533">
        <f t="shared" si="278"/>
        <v>0</v>
      </c>
      <c r="AM86" s="533">
        <f t="shared" si="278"/>
        <v>0</v>
      </c>
      <c r="AN86" s="533">
        <f t="shared" si="278"/>
        <v>0</v>
      </c>
      <c r="AO86" s="533">
        <f t="shared" si="278"/>
        <v>0</v>
      </c>
      <c r="AP86" s="533">
        <f t="shared" si="278"/>
        <v>0</v>
      </c>
      <c r="AQ86" s="533">
        <f t="shared" si="278"/>
        <v>0</v>
      </c>
      <c r="AR86" s="298">
        <f t="shared" si="278"/>
        <v>0</v>
      </c>
      <c r="AS86" s="538">
        <f t="shared" si="278"/>
        <v>8276198</v>
      </c>
      <c r="AT86" s="532">
        <f t="shared" si="278"/>
        <v>6075049</v>
      </c>
      <c r="AU86" s="532">
        <f t="shared" si="278"/>
        <v>0</v>
      </c>
      <c r="AV86" s="532">
        <f t="shared" si="278"/>
        <v>2053366</v>
      </c>
      <c r="AW86" s="532">
        <f t="shared" si="278"/>
        <v>60751</v>
      </c>
      <c r="AX86" s="532">
        <f t="shared" si="278"/>
        <v>87032</v>
      </c>
      <c r="AY86" s="533">
        <f t="shared" si="278"/>
        <v>12.249699999999999</v>
      </c>
      <c r="AZ86" s="533">
        <f t="shared" si="278"/>
        <v>8.2597000000000005</v>
      </c>
      <c r="BA86" s="298">
        <f t="shared" si="278"/>
        <v>3.99</v>
      </c>
    </row>
    <row r="87" spans="1:53" ht="12.95" customHeight="1" x14ac:dyDescent="0.25">
      <c r="A87" s="299">
        <v>17</v>
      </c>
      <c r="B87" s="406">
        <v>3421</v>
      </c>
      <c r="C87" s="406">
        <v>600077985</v>
      </c>
      <c r="D87" s="300">
        <v>72741651</v>
      </c>
      <c r="E87" s="405" t="s">
        <v>502</v>
      </c>
      <c r="F87" s="406">
        <v>3111</v>
      </c>
      <c r="G87" s="398" t="s">
        <v>321</v>
      </c>
      <c r="H87" s="304" t="s">
        <v>277</v>
      </c>
      <c r="I87" s="462">
        <f t="shared" ref="I87:I89" si="279">SUM(J87:M87)</f>
        <v>5917671</v>
      </c>
      <c r="J87" s="457">
        <v>4364445</v>
      </c>
      <c r="K87" s="457">
        <f t="shared" ref="K87:K89" si="280">ROUND(J87*33.8%,0)</f>
        <v>1475182</v>
      </c>
      <c r="L87" s="457">
        <f t="shared" ref="L87:L89" si="281">ROUND(J87*1%,0)</f>
        <v>43644</v>
      </c>
      <c r="M87" s="457">
        <v>34400</v>
      </c>
      <c r="N87" s="458">
        <f t="shared" ref="N87:N89" si="282">O87+P87</f>
        <v>9.6584000000000003</v>
      </c>
      <c r="O87" s="459">
        <v>7.2584</v>
      </c>
      <c r="P87" s="646">
        <v>2.4000000000000004</v>
      </c>
      <c r="Q87" s="469">
        <f t="shared" ref="Q87:Q89" si="283">W87*-1</f>
        <v>-32500</v>
      </c>
      <c r="R87" s="460">
        <v>0</v>
      </c>
      <c r="S87" s="673">
        <v>0</v>
      </c>
      <c r="T87" s="460">
        <v>0</v>
      </c>
      <c r="U87" s="460">
        <v>0</v>
      </c>
      <c r="V87" s="460">
        <f>SUM(Q87:U87)</f>
        <v>-32500</v>
      </c>
      <c r="W87" s="460">
        <v>32500</v>
      </c>
      <c r="X87" s="460">
        <v>0</v>
      </c>
      <c r="Y87" s="460">
        <v>0</v>
      </c>
      <c r="Z87" s="460">
        <f t="shared" ref="Z87:Z89" si="284">SUM(W87:Y87)</f>
        <v>32500</v>
      </c>
      <c r="AA87" s="460">
        <f t="shared" ref="AA87:AA89" si="285">V87+Z87</f>
        <v>0</v>
      </c>
      <c r="AB87" s="69">
        <f t="shared" ref="AB87:AB89" si="286">ROUND((V87+W87+X87)*33.8%,0)</f>
        <v>0</v>
      </c>
      <c r="AC87" s="69">
        <f t="shared" ref="AC87:AC89" si="287">ROUND(V87*1%,0)</f>
        <v>-325</v>
      </c>
      <c r="AD87" s="460">
        <v>0</v>
      </c>
      <c r="AE87" s="460">
        <v>0</v>
      </c>
      <c r="AF87" s="460">
        <f t="shared" ref="AF87:AF89" si="288">SUM(AD87:AE87)</f>
        <v>0</v>
      </c>
      <c r="AG87" s="460">
        <f t="shared" ref="AG87:AG89" si="289">AA87+AB87+AC87+AF87</f>
        <v>-325</v>
      </c>
      <c r="AH87" s="461">
        <v>0</v>
      </c>
      <c r="AI87" s="461">
        <v>0</v>
      </c>
      <c r="AJ87" s="461">
        <v>0</v>
      </c>
      <c r="AK87" s="461">
        <v>0</v>
      </c>
      <c r="AL87" s="674">
        <v>0</v>
      </c>
      <c r="AM87" s="461">
        <v>0</v>
      </c>
      <c r="AN87" s="461">
        <v>0</v>
      </c>
      <c r="AO87" s="461">
        <v>0</v>
      </c>
      <c r="AP87" s="461">
        <f>AH87+AJ87+AK87+AM87+AN87</f>
        <v>0</v>
      </c>
      <c r="AQ87" s="461">
        <f>AI87+AL87+AO87</f>
        <v>0</v>
      </c>
      <c r="AR87" s="463">
        <f t="shared" ref="AR87:AR89" si="290">SUM(AP87:AQ87)</f>
        <v>0</v>
      </c>
      <c r="AS87" s="469">
        <f>I87+AG87</f>
        <v>5917346</v>
      </c>
      <c r="AT87" s="460">
        <f>J87+V87</f>
        <v>4331945</v>
      </c>
      <c r="AU87" s="460">
        <f t="shared" ref="AU87:AU89" si="291">Z87</f>
        <v>32500</v>
      </c>
      <c r="AV87" s="460">
        <f t="shared" ref="AV87:AW89" si="292">K87+AB87</f>
        <v>1475182</v>
      </c>
      <c r="AW87" s="460">
        <f t="shared" si="292"/>
        <v>43319</v>
      </c>
      <c r="AX87" s="460">
        <f>M87+AF87</f>
        <v>34400</v>
      </c>
      <c r="AY87" s="461">
        <f>N87+AR87</f>
        <v>9.6584000000000003</v>
      </c>
      <c r="AZ87" s="461">
        <f t="shared" ref="AZ87:BA89" si="293">O87+AP87</f>
        <v>7.2584</v>
      </c>
      <c r="BA87" s="463">
        <f t="shared" si="293"/>
        <v>2.4000000000000004</v>
      </c>
    </row>
    <row r="88" spans="1:53" ht="12.95" customHeight="1" x14ac:dyDescent="0.25">
      <c r="A88" s="299">
        <v>17</v>
      </c>
      <c r="B88" s="220">
        <v>3421</v>
      </c>
      <c r="C88" s="220">
        <v>600077985</v>
      </c>
      <c r="D88" s="300">
        <v>72741651</v>
      </c>
      <c r="E88" s="219" t="s">
        <v>502</v>
      </c>
      <c r="F88" s="406">
        <v>3111</v>
      </c>
      <c r="G88" s="342" t="s">
        <v>308</v>
      </c>
      <c r="H88" s="304" t="s">
        <v>278</v>
      </c>
      <c r="I88" s="462">
        <f t="shared" si="279"/>
        <v>0</v>
      </c>
      <c r="J88" s="457">
        <v>0</v>
      </c>
      <c r="K88" s="457">
        <f t="shared" si="280"/>
        <v>0</v>
      </c>
      <c r="L88" s="457">
        <f t="shared" si="281"/>
        <v>0</v>
      </c>
      <c r="M88" s="457">
        <v>0</v>
      </c>
      <c r="N88" s="458">
        <f t="shared" si="282"/>
        <v>0</v>
      </c>
      <c r="O88" s="459">
        <v>0</v>
      </c>
      <c r="P88" s="646">
        <v>0</v>
      </c>
      <c r="Q88" s="469">
        <f t="shared" si="283"/>
        <v>0</v>
      </c>
      <c r="R88" s="460">
        <f>346446+317576-317576</f>
        <v>346446</v>
      </c>
      <c r="S88" s="673">
        <v>0</v>
      </c>
      <c r="T88" s="460">
        <v>0</v>
      </c>
      <c r="U88" s="460">
        <v>0</v>
      </c>
      <c r="V88" s="460">
        <f>SUM(Q88:U88)</f>
        <v>346446</v>
      </c>
      <c r="W88" s="460">
        <v>0</v>
      </c>
      <c r="X88" s="460">
        <v>0</v>
      </c>
      <c r="Y88" s="460">
        <v>0</v>
      </c>
      <c r="Z88" s="460">
        <f t="shared" si="284"/>
        <v>0</v>
      </c>
      <c r="AA88" s="460">
        <f t="shared" si="285"/>
        <v>346446</v>
      </c>
      <c r="AB88" s="69">
        <f t="shared" si="286"/>
        <v>117099</v>
      </c>
      <c r="AC88" s="69">
        <f t="shared" si="287"/>
        <v>3464</v>
      </c>
      <c r="AD88" s="460">
        <v>0</v>
      </c>
      <c r="AE88" s="460">
        <v>0</v>
      </c>
      <c r="AF88" s="460">
        <f t="shared" si="288"/>
        <v>0</v>
      </c>
      <c r="AG88" s="460">
        <f t="shared" si="289"/>
        <v>467009</v>
      </c>
      <c r="AH88" s="461">
        <v>0</v>
      </c>
      <c r="AI88" s="461">
        <v>0</v>
      </c>
      <c r="AJ88" s="461">
        <f>1+0.92-0.92</f>
        <v>0.99999999999999989</v>
      </c>
      <c r="AK88" s="461">
        <v>0</v>
      </c>
      <c r="AL88" s="674">
        <v>0</v>
      </c>
      <c r="AM88" s="461">
        <v>0</v>
      </c>
      <c r="AN88" s="461">
        <v>0</v>
      </c>
      <c r="AO88" s="461">
        <v>0</v>
      </c>
      <c r="AP88" s="461">
        <f>AH88+AJ88+AK88+AM88+AN88</f>
        <v>0.99999999999999989</v>
      </c>
      <c r="AQ88" s="461">
        <f>AI88+AL88+AO88</f>
        <v>0</v>
      </c>
      <c r="AR88" s="463">
        <f t="shared" si="290"/>
        <v>0.99999999999999989</v>
      </c>
      <c r="AS88" s="469">
        <f>I88+AG88</f>
        <v>467009</v>
      </c>
      <c r="AT88" s="460">
        <f>J88+V88</f>
        <v>346446</v>
      </c>
      <c r="AU88" s="460">
        <f t="shared" si="291"/>
        <v>0</v>
      </c>
      <c r="AV88" s="460">
        <f t="shared" si="292"/>
        <v>117099</v>
      </c>
      <c r="AW88" s="460">
        <f t="shared" si="292"/>
        <v>3464</v>
      </c>
      <c r="AX88" s="460">
        <f>M88+AF88</f>
        <v>0</v>
      </c>
      <c r="AY88" s="461">
        <f>N88+AR88</f>
        <v>0.99999999999999989</v>
      </c>
      <c r="AZ88" s="461">
        <f t="shared" si="293"/>
        <v>0.99999999999999989</v>
      </c>
      <c r="BA88" s="463">
        <f t="shared" si="293"/>
        <v>0</v>
      </c>
    </row>
    <row r="89" spans="1:53" ht="12.95" customHeight="1" x14ac:dyDescent="0.25">
      <c r="A89" s="299">
        <v>17</v>
      </c>
      <c r="B89" s="220">
        <v>3421</v>
      </c>
      <c r="C89" s="220">
        <v>600077985</v>
      </c>
      <c r="D89" s="300">
        <v>72741651</v>
      </c>
      <c r="E89" s="219" t="s">
        <v>502</v>
      </c>
      <c r="F89" s="220">
        <v>3141</v>
      </c>
      <c r="G89" s="398" t="s">
        <v>311</v>
      </c>
      <c r="H89" s="304" t="s">
        <v>278</v>
      </c>
      <c r="I89" s="462">
        <f t="shared" si="279"/>
        <v>953525</v>
      </c>
      <c r="J89" s="457">
        <v>703968</v>
      </c>
      <c r="K89" s="457">
        <f t="shared" si="280"/>
        <v>237941</v>
      </c>
      <c r="L89" s="457">
        <f t="shared" si="281"/>
        <v>7040</v>
      </c>
      <c r="M89" s="457">
        <v>4576</v>
      </c>
      <c r="N89" s="458">
        <f t="shared" si="282"/>
        <v>2.2599999999999998</v>
      </c>
      <c r="O89" s="459">
        <v>0</v>
      </c>
      <c r="P89" s="646">
        <v>2.2599999999999998</v>
      </c>
      <c r="Q89" s="469">
        <f t="shared" si="283"/>
        <v>0</v>
      </c>
      <c r="R89" s="460">
        <v>0</v>
      </c>
      <c r="S89" s="673">
        <v>0</v>
      </c>
      <c r="T89" s="460">
        <v>0</v>
      </c>
      <c r="U89" s="460">
        <v>0</v>
      </c>
      <c r="V89" s="460">
        <f>SUM(Q89:U89)</f>
        <v>0</v>
      </c>
      <c r="W89" s="460">
        <v>0</v>
      </c>
      <c r="X89" s="460">
        <v>0</v>
      </c>
      <c r="Y89" s="460">
        <v>0</v>
      </c>
      <c r="Z89" s="460">
        <f t="shared" si="284"/>
        <v>0</v>
      </c>
      <c r="AA89" s="460">
        <f t="shared" si="285"/>
        <v>0</v>
      </c>
      <c r="AB89" s="69">
        <f t="shared" si="286"/>
        <v>0</v>
      </c>
      <c r="AC89" s="69">
        <f t="shared" si="287"/>
        <v>0</v>
      </c>
      <c r="AD89" s="460">
        <v>0</v>
      </c>
      <c r="AE89" s="460">
        <v>0</v>
      </c>
      <c r="AF89" s="460">
        <f t="shared" si="288"/>
        <v>0</v>
      </c>
      <c r="AG89" s="460">
        <f t="shared" si="289"/>
        <v>0</v>
      </c>
      <c r="AH89" s="461">
        <v>0</v>
      </c>
      <c r="AI89" s="461">
        <v>0</v>
      </c>
      <c r="AJ89" s="461">
        <v>0</v>
      </c>
      <c r="AK89" s="461">
        <v>0</v>
      </c>
      <c r="AL89" s="674">
        <v>0</v>
      </c>
      <c r="AM89" s="461">
        <v>0</v>
      </c>
      <c r="AN89" s="461">
        <v>0</v>
      </c>
      <c r="AO89" s="461">
        <v>0</v>
      </c>
      <c r="AP89" s="461">
        <f>AH89+AJ89+AK89+AM89+AN89</f>
        <v>0</v>
      </c>
      <c r="AQ89" s="461">
        <f>AI89+AL89+AO89</f>
        <v>0</v>
      </c>
      <c r="AR89" s="463">
        <f t="shared" si="290"/>
        <v>0</v>
      </c>
      <c r="AS89" s="469">
        <f>I89+AG89</f>
        <v>953525</v>
      </c>
      <c r="AT89" s="460">
        <f>J89+V89</f>
        <v>703968</v>
      </c>
      <c r="AU89" s="460">
        <f t="shared" si="291"/>
        <v>0</v>
      </c>
      <c r="AV89" s="460">
        <f t="shared" si="292"/>
        <v>237941</v>
      </c>
      <c r="AW89" s="460">
        <f t="shared" si="292"/>
        <v>7040</v>
      </c>
      <c r="AX89" s="460">
        <f>M89+AF89</f>
        <v>4576</v>
      </c>
      <c r="AY89" s="461">
        <f>N89+AR89</f>
        <v>2.2599999999999998</v>
      </c>
      <c r="AZ89" s="461">
        <f t="shared" si="293"/>
        <v>0</v>
      </c>
      <c r="BA89" s="463">
        <f t="shared" si="293"/>
        <v>2.2599999999999998</v>
      </c>
    </row>
    <row r="90" spans="1:53" ht="12.95" customHeight="1" x14ac:dyDescent="0.25">
      <c r="A90" s="221">
        <v>17</v>
      </c>
      <c r="B90" s="47">
        <v>3421</v>
      </c>
      <c r="C90" s="47">
        <v>600077985</v>
      </c>
      <c r="D90" s="49">
        <v>72741651</v>
      </c>
      <c r="E90" s="399" t="s">
        <v>503</v>
      </c>
      <c r="F90" s="49"/>
      <c r="G90" s="412"/>
      <c r="H90" s="189"/>
      <c r="I90" s="560">
        <f t="shared" ref="I90:P90" si="294">SUM(I87:I89)</f>
        <v>6871196</v>
      </c>
      <c r="J90" s="558">
        <f t="shared" si="294"/>
        <v>5068413</v>
      </c>
      <c r="K90" s="558">
        <f t="shared" si="294"/>
        <v>1713123</v>
      </c>
      <c r="L90" s="558">
        <f t="shared" si="294"/>
        <v>50684</v>
      </c>
      <c r="M90" s="558">
        <f t="shared" si="294"/>
        <v>38976</v>
      </c>
      <c r="N90" s="559">
        <f t="shared" si="294"/>
        <v>11.9184</v>
      </c>
      <c r="O90" s="559">
        <f t="shared" si="294"/>
        <v>7.2584</v>
      </c>
      <c r="P90" s="372">
        <f t="shared" si="294"/>
        <v>4.66</v>
      </c>
      <c r="Q90" s="561">
        <f t="shared" ref="Q90:BA90" si="295">SUM(Q87:Q89)</f>
        <v>-32500</v>
      </c>
      <c r="R90" s="558">
        <f t="shared" si="295"/>
        <v>346446</v>
      </c>
      <c r="S90" s="558">
        <f t="shared" si="295"/>
        <v>0</v>
      </c>
      <c r="T90" s="558">
        <f t="shared" si="295"/>
        <v>0</v>
      </c>
      <c r="U90" s="558">
        <f t="shared" si="295"/>
        <v>0</v>
      </c>
      <c r="V90" s="558">
        <f t="shared" si="295"/>
        <v>313946</v>
      </c>
      <c r="W90" s="558">
        <f t="shared" si="295"/>
        <v>32500</v>
      </c>
      <c r="X90" s="558">
        <f t="shared" si="295"/>
        <v>0</v>
      </c>
      <c r="Y90" s="558">
        <f t="shared" si="295"/>
        <v>0</v>
      </c>
      <c r="Z90" s="558">
        <f t="shared" si="295"/>
        <v>32500</v>
      </c>
      <c r="AA90" s="558">
        <f t="shared" si="295"/>
        <v>346446</v>
      </c>
      <c r="AB90" s="558">
        <f t="shared" si="295"/>
        <v>117099</v>
      </c>
      <c r="AC90" s="558">
        <f t="shared" si="295"/>
        <v>3139</v>
      </c>
      <c r="AD90" s="558">
        <f t="shared" si="295"/>
        <v>0</v>
      </c>
      <c r="AE90" s="558">
        <f t="shared" si="295"/>
        <v>0</v>
      </c>
      <c r="AF90" s="558">
        <f t="shared" si="295"/>
        <v>0</v>
      </c>
      <c r="AG90" s="558">
        <f t="shared" si="295"/>
        <v>466684</v>
      </c>
      <c r="AH90" s="559">
        <f t="shared" si="295"/>
        <v>0</v>
      </c>
      <c r="AI90" s="559">
        <f t="shared" si="295"/>
        <v>0</v>
      </c>
      <c r="AJ90" s="559">
        <f t="shared" si="295"/>
        <v>0.99999999999999989</v>
      </c>
      <c r="AK90" s="559">
        <f t="shared" si="295"/>
        <v>0</v>
      </c>
      <c r="AL90" s="559">
        <f t="shared" si="295"/>
        <v>0</v>
      </c>
      <c r="AM90" s="559">
        <f t="shared" si="295"/>
        <v>0</v>
      </c>
      <c r="AN90" s="559">
        <f t="shared" si="295"/>
        <v>0</v>
      </c>
      <c r="AO90" s="559">
        <f t="shared" si="295"/>
        <v>0</v>
      </c>
      <c r="AP90" s="559">
        <f t="shared" si="295"/>
        <v>0.99999999999999989</v>
      </c>
      <c r="AQ90" s="559">
        <f t="shared" si="295"/>
        <v>0</v>
      </c>
      <c r="AR90" s="372">
        <f t="shared" si="295"/>
        <v>0.99999999999999989</v>
      </c>
      <c r="AS90" s="561">
        <f t="shared" si="295"/>
        <v>7337880</v>
      </c>
      <c r="AT90" s="558">
        <f t="shared" si="295"/>
        <v>5382359</v>
      </c>
      <c r="AU90" s="558">
        <f t="shared" si="295"/>
        <v>32500</v>
      </c>
      <c r="AV90" s="558">
        <f t="shared" si="295"/>
        <v>1830222</v>
      </c>
      <c r="AW90" s="558">
        <f t="shared" si="295"/>
        <v>53823</v>
      </c>
      <c r="AX90" s="558">
        <f t="shared" si="295"/>
        <v>38976</v>
      </c>
      <c r="AY90" s="559">
        <f t="shared" si="295"/>
        <v>12.9184</v>
      </c>
      <c r="AZ90" s="559">
        <f t="shared" si="295"/>
        <v>8.2584</v>
      </c>
      <c r="BA90" s="372">
        <f t="shared" si="295"/>
        <v>4.66</v>
      </c>
    </row>
    <row r="91" spans="1:53" ht="12.95" customHeight="1" x14ac:dyDescent="0.25">
      <c r="A91" s="299">
        <v>18</v>
      </c>
      <c r="B91" s="220">
        <v>3420</v>
      </c>
      <c r="C91" s="220">
        <v>600078442</v>
      </c>
      <c r="D91" s="300">
        <v>72741571</v>
      </c>
      <c r="E91" s="397" t="s">
        <v>504</v>
      </c>
      <c r="F91" s="220">
        <v>3113</v>
      </c>
      <c r="G91" s="397" t="s">
        <v>325</v>
      </c>
      <c r="H91" s="304" t="s">
        <v>277</v>
      </c>
      <c r="I91" s="462">
        <f t="shared" ref="I91:I95" si="296">SUM(J91:M91)</f>
        <v>15061211</v>
      </c>
      <c r="J91" s="457">
        <v>10968298</v>
      </c>
      <c r="K91" s="457">
        <f t="shared" ref="K91:K95" si="297">ROUND(J91*33.8%,0)</f>
        <v>3707285</v>
      </c>
      <c r="L91" s="457">
        <f t="shared" ref="L91:L95" si="298">ROUND(J91*1%,0)</f>
        <v>109683</v>
      </c>
      <c r="M91" s="457">
        <v>275945</v>
      </c>
      <c r="N91" s="458">
        <f t="shared" ref="N91:N95" si="299">O91+P91</f>
        <v>19.304499999999997</v>
      </c>
      <c r="O91" s="459">
        <v>14.954499999999999</v>
      </c>
      <c r="P91" s="646">
        <v>4.3499999999999996</v>
      </c>
      <c r="Q91" s="469">
        <f t="shared" ref="Q91:Q95" si="300">W91*-1</f>
        <v>-32500</v>
      </c>
      <c r="R91" s="460">
        <v>0</v>
      </c>
      <c r="S91" s="673">
        <v>0</v>
      </c>
      <c r="T91" s="460">
        <v>0</v>
      </c>
      <c r="U91" s="460">
        <v>0</v>
      </c>
      <c r="V91" s="460">
        <f>SUM(Q91:U91)</f>
        <v>-32500</v>
      </c>
      <c r="W91" s="460">
        <v>32500</v>
      </c>
      <c r="X91" s="460">
        <v>0</v>
      </c>
      <c r="Y91" s="460">
        <v>0</v>
      </c>
      <c r="Z91" s="460">
        <f t="shared" ref="Z91:Z95" si="301">SUM(W91:Y91)</f>
        <v>32500</v>
      </c>
      <c r="AA91" s="460">
        <f t="shared" ref="AA91:AA95" si="302">V91+Z91</f>
        <v>0</v>
      </c>
      <c r="AB91" s="69">
        <f t="shared" ref="AB91:AB95" si="303">ROUND((V91+W91+X91)*33.8%,0)</f>
        <v>0</v>
      </c>
      <c r="AC91" s="69">
        <f t="shared" ref="AC91:AC95" si="304">ROUND(V91*1%,0)</f>
        <v>-325</v>
      </c>
      <c r="AD91" s="460">
        <v>0</v>
      </c>
      <c r="AE91" s="460">
        <v>0</v>
      </c>
      <c r="AF91" s="460">
        <f t="shared" ref="AF91:AF95" si="305">SUM(AD91:AE91)</f>
        <v>0</v>
      </c>
      <c r="AG91" s="460">
        <f t="shared" ref="AG91:AG95" si="306">AA91+AB91+AC91+AF91</f>
        <v>-325</v>
      </c>
      <c r="AH91" s="461">
        <v>-0.05</v>
      </c>
      <c r="AI91" s="461">
        <v>0</v>
      </c>
      <c r="AJ91" s="461">
        <v>0</v>
      </c>
      <c r="AK91" s="461">
        <v>0</v>
      </c>
      <c r="AL91" s="674">
        <v>0</v>
      </c>
      <c r="AM91" s="461">
        <v>0</v>
      </c>
      <c r="AN91" s="461">
        <v>0</v>
      </c>
      <c r="AO91" s="461">
        <v>0</v>
      </c>
      <c r="AP91" s="461">
        <f>AH91+AJ91+AK91+AM91+AN91</f>
        <v>-0.05</v>
      </c>
      <c r="AQ91" s="461">
        <f>AI91+AL91+AO91</f>
        <v>0</v>
      </c>
      <c r="AR91" s="463">
        <f t="shared" ref="AR91:AR95" si="307">SUM(AP91:AQ91)</f>
        <v>-0.05</v>
      </c>
      <c r="AS91" s="469">
        <f>I91+AG91</f>
        <v>15060886</v>
      </c>
      <c r="AT91" s="460">
        <f>J91+V91</f>
        <v>10935798</v>
      </c>
      <c r="AU91" s="460">
        <f t="shared" ref="AU91:AU95" si="308">Z91</f>
        <v>32500</v>
      </c>
      <c r="AV91" s="460">
        <f t="shared" ref="AV91:AW95" si="309">K91+AB91</f>
        <v>3707285</v>
      </c>
      <c r="AW91" s="460">
        <f t="shared" si="309"/>
        <v>109358</v>
      </c>
      <c r="AX91" s="460">
        <f>M91+AF91</f>
        <v>275945</v>
      </c>
      <c r="AY91" s="461">
        <f>N91+AR91</f>
        <v>19.254499999999997</v>
      </c>
      <c r="AZ91" s="461">
        <f t="shared" ref="AZ91:BA95" si="310">O91+AP91</f>
        <v>14.904499999999999</v>
      </c>
      <c r="BA91" s="463">
        <f t="shared" si="310"/>
        <v>4.3499999999999996</v>
      </c>
    </row>
    <row r="92" spans="1:53" ht="12.95" customHeight="1" x14ac:dyDescent="0.25">
      <c r="A92" s="299">
        <v>18</v>
      </c>
      <c r="B92" s="401">
        <v>3420</v>
      </c>
      <c r="C92" s="401">
        <v>600078442</v>
      </c>
      <c r="D92" s="300">
        <v>72741571</v>
      </c>
      <c r="E92" s="397" t="s">
        <v>504</v>
      </c>
      <c r="F92" s="220">
        <v>3113</v>
      </c>
      <c r="G92" s="342" t="s">
        <v>308</v>
      </c>
      <c r="H92" s="304" t="s">
        <v>278</v>
      </c>
      <c r="I92" s="462">
        <f t="shared" si="296"/>
        <v>0</v>
      </c>
      <c r="J92" s="457">
        <v>0</v>
      </c>
      <c r="K92" s="457">
        <f t="shared" si="297"/>
        <v>0</v>
      </c>
      <c r="L92" s="457">
        <f t="shared" si="298"/>
        <v>0</v>
      </c>
      <c r="M92" s="457">
        <v>0</v>
      </c>
      <c r="N92" s="458">
        <f t="shared" si="299"/>
        <v>0</v>
      </c>
      <c r="O92" s="459">
        <v>0</v>
      </c>
      <c r="P92" s="646">
        <v>0</v>
      </c>
      <c r="Q92" s="469">
        <f t="shared" si="300"/>
        <v>0</v>
      </c>
      <c r="R92" s="460">
        <v>519669</v>
      </c>
      <c r="S92" s="673">
        <v>0</v>
      </c>
      <c r="T92" s="460">
        <v>0</v>
      </c>
      <c r="U92" s="460">
        <v>0</v>
      </c>
      <c r="V92" s="460">
        <f>SUM(Q92:U92)</f>
        <v>519669</v>
      </c>
      <c r="W92" s="460">
        <v>0</v>
      </c>
      <c r="X92" s="460">
        <v>0</v>
      </c>
      <c r="Y92" s="460">
        <v>0</v>
      </c>
      <c r="Z92" s="460">
        <f t="shared" si="301"/>
        <v>0</v>
      </c>
      <c r="AA92" s="460">
        <f t="shared" si="302"/>
        <v>519669</v>
      </c>
      <c r="AB92" s="69">
        <f t="shared" si="303"/>
        <v>175648</v>
      </c>
      <c r="AC92" s="69">
        <f t="shared" si="304"/>
        <v>5197</v>
      </c>
      <c r="AD92" s="460">
        <v>0</v>
      </c>
      <c r="AE92" s="460">
        <v>0</v>
      </c>
      <c r="AF92" s="460">
        <f t="shared" si="305"/>
        <v>0</v>
      </c>
      <c r="AG92" s="460">
        <f t="shared" si="306"/>
        <v>700514</v>
      </c>
      <c r="AH92" s="461">
        <v>0</v>
      </c>
      <c r="AI92" s="461">
        <v>0</v>
      </c>
      <c r="AJ92" s="461">
        <v>1.5</v>
      </c>
      <c r="AK92" s="461">
        <v>0</v>
      </c>
      <c r="AL92" s="674">
        <v>0</v>
      </c>
      <c r="AM92" s="461">
        <v>0</v>
      </c>
      <c r="AN92" s="461">
        <v>0</v>
      </c>
      <c r="AO92" s="461">
        <v>0</v>
      </c>
      <c r="AP92" s="461">
        <f>AH92+AJ92+AK92+AM92+AN92</f>
        <v>1.5</v>
      </c>
      <c r="AQ92" s="461">
        <f>AI92+AL92+AO92</f>
        <v>0</v>
      </c>
      <c r="AR92" s="463">
        <f t="shared" si="307"/>
        <v>1.5</v>
      </c>
      <c r="AS92" s="469">
        <f>I92+AG92</f>
        <v>700514</v>
      </c>
      <c r="AT92" s="460">
        <f>J92+V92</f>
        <v>519669</v>
      </c>
      <c r="AU92" s="460">
        <f t="shared" si="308"/>
        <v>0</v>
      </c>
      <c r="AV92" s="460">
        <f t="shared" si="309"/>
        <v>175648</v>
      </c>
      <c r="AW92" s="460">
        <f t="shared" si="309"/>
        <v>5197</v>
      </c>
      <c r="AX92" s="460">
        <f>M92+AF92</f>
        <v>0</v>
      </c>
      <c r="AY92" s="461">
        <f>N92+AR92</f>
        <v>1.5</v>
      </c>
      <c r="AZ92" s="461">
        <f t="shared" si="310"/>
        <v>1.5</v>
      </c>
      <c r="BA92" s="463">
        <f t="shared" si="310"/>
        <v>0</v>
      </c>
    </row>
    <row r="93" spans="1:53" ht="12.95" customHeight="1" x14ac:dyDescent="0.25">
      <c r="A93" s="299">
        <v>18</v>
      </c>
      <c r="B93" s="220">
        <v>3420</v>
      </c>
      <c r="C93" s="220">
        <v>600078442</v>
      </c>
      <c r="D93" s="300">
        <v>72741571</v>
      </c>
      <c r="E93" s="219" t="s">
        <v>504</v>
      </c>
      <c r="F93" s="220">
        <v>3141</v>
      </c>
      <c r="G93" s="398" t="s">
        <v>311</v>
      </c>
      <c r="H93" s="304" t="s">
        <v>278</v>
      </c>
      <c r="I93" s="462">
        <f t="shared" si="296"/>
        <v>1390409</v>
      </c>
      <c r="J93" s="457">
        <v>1024016</v>
      </c>
      <c r="K93" s="457">
        <f t="shared" si="297"/>
        <v>346117</v>
      </c>
      <c r="L93" s="457">
        <f t="shared" si="298"/>
        <v>10240</v>
      </c>
      <c r="M93" s="457">
        <v>10036</v>
      </c>
      <c r="N93" s="458">
        <f t="shared" si="299"/>
        <v>3.29</v>
      </c>
      <c r="O93" s="459">
        <v>0</v>
      </c>
      <c r="P93" s="646">
        <v>3.29</v>
      </c>
      <c r="Q93" s="469">
        <f t="shared" si="300"/>
        <v>-6500</v>
      </c>
      <c r="R93" s="460">
        <v>0</v>
      </c>
      <c r="S93" s="673">
        <v>0</v>
      </c>
      <c r="T93" s="460">
        <v>0</v>
      </c>
      <c r="U93" s="460">
        <v>0</v>
      </c>
      <c r="V93" s="460">
        <f>SUM(Q93:U93)</f>
        <v>-6500</v>
      </c>
      <c r="W93" s="460">
        <v>6500</v>
      </c>
      <c r="X93" s="460">
        <v>0</v>
      </c>
      <c r="Y93" s="460">
        <v>0</v>
      </c>
      <c r="Z93" s="460">
        <f t="shared" si="301"/>
        <v>6500</v>
      </c>
      <c r="AA93" s="460">
        <f t="shared" si="302"/>
        <v>0</v>
      </c>
      <c r="AB93" s="69">
        <f t="shared" si="303"/>
        <v>0</v>
      </c>
      <c r="AC93" s="69">
        <f t="shared" si="304"/>
        <v>-65</v>
      </c>
      <c r="AD93" s="460">
        <v>0</v>
      </c>
      <c r="AE93" s="460">
        <v>0</v>
      </c>
      <c r="AF93" s="460">
        <f t="shared" si="305"/>
        <v>0</v>
      </c>
      <c r="AG93" s="460">
        <f t="shared" si="306"/>
        <v>-65</v>
      </c>
      <c r="AH93" s="461">
        <v>0</v>
      </c>
      <c r="AI93" s="461">
        <v>0</v>
      </c>
      <c r="AJ93" s="461">
        <v>0</v>
      </c>
      <c r="AK93" s="461">
        <v>0</v>
      </c>
      <c r="AL93" s="674">
        <v>0</v>
      </c>
      <c r="AM93" s="461">
        <v>0</v>
      </c>
      <c r="AN93" s="461">
        <v>0</v>
      </c>
      <c r="AO93" s="461">
        <v>0</v>
      </c>
      <c r="AP93" s="461">
        <f>AH93+AJ93+AK93+AM93+AN93</f>
        <v>0</v>
      </c>
      <c r="AQ93" s="461">
        <f>AI93+AL93+AO93</f>
        <v>0</v>
      </c>
      <c r="AR93" s="463">
        <f t="shared" si="307"/>
        <v>0</v>
      </c>
      <c r="AS93" s="469">
        <f>I93+AG93</f>
        <v>1390344</v>
      </c>
      <c r="AT93" s="460">
        <f>J93+V93</f>
        <v>1017516</v>
      </c>
      <c r="AU93" s="460">
        <f t="shared" si="308"/>
        <v>6500</v>
      </c>
      <c r="AV93" s="460">
        <f t="shared" si="309"/>
        <v>346117</v>
      </c>
      <c r="AW93" s="460">
        <f t="shared" si="309"/>
        <v>10175</v>
      </c>
      <c r="AX93" s="460">
        <f>M93+AF93</f>
        <v>10036</v>
      </c>
      <c r="AY93" s="461">
        <f>N93+AR93</f>
        <v>3.29</v>
      </c>
      <c r="AZ93" s="461">
        <f t="shared" si="310"/>
        <v>0</v>
      </c>
      <c r="BA93" s="463">
        <f t="shared" si="310"/>
        <v>3.29</v>
      </c>
    </row>
    <row r="94" spans="1:53" ht="12.95" customHeight="1" x14ac:dyDescent="0.25">
      <c r="A94" s="299">
        <v>18</v>
      </c>
      <c r="B94" s="401">
        <v>3420</v>
      </c>
      <c r="C94" s="401">
        <v>600078442</v>
      </c>
      <c r="D94" s="300">
        <v>72741571</v>
      </c>
      <c r="E94" s="397" t="s">
        <v>504</v>
      </c>
      <c r="F94" s="220">
        <v>3143</v>
      </c>
      <c r="G94" s="342" t="s">
        <v>616</v>
      </c>
      <c r="H94" s="304" t="s">
        <v>277</v>
      </c>
      <c r="I94" s="462">
        <f t="shared" si="296"/>
        <v>947298</v>
      </c>
      <c r="J94" s="457">
        <v>702744</v>
      </c>
      <c r="K94" s="457">
        <f t="shared" si="297"/>
        <v>237527</v>
      </c>
      <c r="L94" s="457">
        <f t="shared" si="298"/>
        <v>7027</v>
      </c>
      <c r="M94" s="457">
        <v>0</v>
      </c>
      <c r="N94" s="458">
        <f t="shared" si="299"/>
        <v>1.5</v>
      </c>
      <c r="O94" s="459">
        <v>1.5</v>
      </c>
      <c r="P94" s="646">
        <v>0</v>
      </c>
      <c r="Q94" s="469">
        <f t="shared" si="300"/>
        <v>0</v>
      </c>
      <c r="R94" s="460">
        <v>0</v>
      </c>
      <c r="S94" s="673">
        <v>0</v>
      </c>
      <c r="T94" s="460">
        <v>0</v>
      </c>
      <c r="U94" s="460">
        <v>0</v>
      </c>
      <c r="V94" s="460">
        <f>SUM(Q94:U94)</f>
        <v>0</v>
      </c>
      <c r="W94" s="460">
        <v>0</v>
      </c>
      <c r="X94" s="460">
        <v>0</v>
      </c>
      <c r="Y94" s="460">
        <v>0</v>
      </c>
      <c r="Z94" s="460">
        <f t="shared" si="301"/>
        <v>0</v>
      </c>
      <c r="AA94" s="460">
        <f t="shared" si="302"/>
        <v>0</v>
      </c>
      <c r="AB94" s="69">
        <f t="shared" si="303"/>
        <v>0</v>
      </c>
      <c r="AC94" s="69">
        <f t="shared" si="304"/>
        <v>0</v>
      </c>
      <c r="AD94" s="460">
        <v>0</v>
      </c>
      <c r="AE94" s="460">
        <v>0</v>
      </c>
      <c r="AF94" s="460">
        <f t="shared" si="305"/>
        <v>0</v>
      </c>
      <c r="AG94" s="460">
        <f t="shared" si="306"/>
        <v>0</v>
      </c>
      <c r="AH94" s="461">
        <v>0</v>
      </c>
      <c r="AI94" s="461">
        <v>0</v>
      </c>
      <c r="AJ94" s="461">
        <v>0</v>
      </c>
      <c r="AK94" s="461">
        <v>0</v>
      </c>
      <c r="AL94" s="674">
        <v>0</v>
      </c>
      <c r="AM94" s="461">
        <v>0</v>
      </c>
      <c r="AN94" s="461">
        <v>0</v>
      </c>
      <c r="AO94" s="461">
        <v>0</v>
      </c>
      <c r="AP94" s="461">
        <f>AH94+AJ94+AK94+AM94+AN94</f>
        <v>0</v>
      </c>
      <c r="AQ94" s="461">
        <f>AI94+AL94+AO94</f>
        <v>0</v>
      </c>
      <c r="AR94" s="463">
        <f t="shared" si="307"/>
        <v>0</v>
      </c>
      <c r="AS94" s="469">
        <f>I94+AG94</f>
        <v>947298</v>
      </c>
      <c r="AT94" s="460">
        <f>J94+V94</f>
        <v>702744</v>
      </c>
      <c r="AU94" s="460">
        <f t="shared" si="308"/>
        <v>0</v>
      </c>
      <c r="AV94" s="460">
        <f t="shared" si="309"/>
        <v>237527</v>
      </c>
      <c r="AW94" s="460">
        <f t="shared" si="309"/>
        <v>7027</v>
      </c>
      <c r="AX94" s="460">
        <f>M94+AF94</f>
        <v>0</v>
      </c>
      <c r="AY94" s="461">
        <f>N94+AR94</f>
        <v>1.5</v>
      </c>
      <c r="AZ94" s="461">
        <f t="shared" si="310"/>
        <v>1.5</v>
      </c>
      <c r="BA94" s="463">
        <f t="shared" si="310"/>
        <v>0</v>
      </c>
    </row>
    <row r="95" spans="1:53" ht="12.95" customHeight="1" x14ac:dyDescent="0.25">
      <c r="A95" s="299">
        <v>18</v>
      </c>
      <c r="B95" s="401">
        <v>3420</v>
      </c>
      <c r="C95" s="401">
        <v>600078442</v>
      </c>
      <c r="D95" s="300">
        <v>72741571</v>
      </c>
      <c r="E95" s="397" t="s">
        <v>504</v>
      </c>
      <c r="F95" s="220">
        <v>3143</v>
      </c>
      <c r="G95" s="342" t="s">
        <v>617</v>
      </c>
      <c r="H95" s="304" t="s">
        <v>278</v>
      </c>
      <c r="I95" s="462">
        <f t="shared" si="296"/>
        <v>41781</v>
      </c>
      <c r="J95" s="457">
        <v>29853</v>
      </c>
      <c r="K95" s="457">
        <f t="shared" si="297"/>
        <v>10090</v>
      </c>
      <c r="L95" s="457">
        <f t="shared" si="298"/>
        <v>299</v>
      </c>
      <c r="M95" s="457">
        <v>1539</v>
      </c>
      <c r="N95" s="458">
        <f t="shared" si="299"/>
        <v>0.12</v>
      </c>
      <c r="O95" s="459">
        <v>0</v>
      </c>
      <c r="P95" s="646">
        <v>0.12</v>
      </c>
      <c r="Q95" s="469">
        <f t="shared" si="300"/>
        <v>0</v>
      </c>
      <c r="R95" s="460">
        <v>0</v>
      </c>
      <c r="S95" s="673">
        <v>0</v>
      </c>
      <c r="T95" s="460">
        <v>0</v>
      </c>
      <c r="U95" s="460">
        <v>0</v>
      </c>
      <c r="V95" s="460">
        <f>SUM(Q95:U95)</f>
        <v>0</v>
      </c>
      <c r="W95" s="460">
        <v>0</v>
      </c>
      <c r="X95" s="460">
        <v>0</v>
      </c>
      <c r="Y95" s="460">
        <v>0</v>
      </c>
      <c r="Z95" s="460">
        <f t="shared" si="301"/>
        <v>0</v>
      </c>
      <c r="AA95" s="460">
        <f t="shared" si="302"/>
        <v>0</v>
      </c>
      <c r="AB95" s="69">
        <f t="shared" si="303"/>
        <v>0</v>
      </c>
      <c r="AC95" s="69">
        <f t="shared" si="304"/>
        <v>0</v>
      </c>
      <c r="AD95" s="460">
        <v>0</v>
      </c>
      <c r="AE95" s="460">
        <v>0</v>
      </c>
      <c r="AF95" s="460">
        <f t="shared" si="305"/>
        <v>0</v>
      </c>
      <c r="AG95" s="460">
        <f t="shared" si="306"/>
        <v>0</v>
      </c>
      <c r="AH95" s="461">
        <v>0</v>
      </c>
      <c r="AI95" s="461">
        <v>0</v>
      </c>
      <c r="AJ95" s="461">
        <v>0</v>
      </c>
      <c r="AK95" s="461">
        <v>0</v>
      </c>
      <c r="AL95" s="674">
        <v>0</v>
      </c>
      <c r="AM95" s="461">
        <v>0</v>
      </c>
      <c r="AN95" s="461">
        <v>0</v>
      </c>
      <c r="AO95" s="461">
        <v>0</v>
      </c>
      <c r="AP95" s="461">
        <f>AH95+AJ95+AK95+AM95+AN95</f>
        <v>0</v>
      </c>
      <c r="AQ95" s="461">
        <f>AI95+AL95+AO95</f>
        <v>0</v>
      </c>
      <c r="AR95" s="463">
        <f t="shared" si="307"/>
        <v>0</v>
      </c>
      <c r="AS95" s="469">
        <f>I95+AG95</f>
        <v>41781</v>
      </c>
      <c r="AT95" s="460">
        <f>J95+V95</f>
        <v>29853</v>
      </c>
      <c r="AU95" s="460">
        <f t="shared" si="308"/>
        <v>0</v>
      </c>
      <c r="AV95" s="460">
        <f t="shared" si="309"/>
        <v>10090</v>
      </c>
      <c r="AW95" s="460">
        <f t="shared" si="309"/>
        <v>299</v>
      </c>
      <c r="AX95" s="460">
        <f>M95+AF95</f>
        <v>1539</v>
      </c>
      <c r="AY95" s="461">
        <f>N95+AR95</f>
        <v>0.12</v>
      </c>
      <c r="AZ95" s="461">
        <f t="shared" si="310"/>
        <v>0</v>
      </c>
      <c r="BA95" s="463">
        <f t="shared" si="310"/>
        <v>0.12</v>
      </c>
    </row>
    <row r="96" spans="1:53" ht="12.95" customHeight="1" x14ac:dyDescent="0.25">
      <c r="A96" s="221">
        <v>18</v>
      </c>
      <c r="B96" s="47">
        <v>3420</v>
      </c>
      <c r="C96" s="47">
        <v>600078442</v>
      </c>
      <c r="D96" s="47">
        <v>72741571</v>
      </c>
      <c r="E96" s="399" t="s">
        <v>505</v>
      </c>
      <c r="F96" s="46"/>
      <c r="G96" s="399"/>
      <c r="H96" s="186"/>
      <c r="I96" s="536">
        <f t="shared" ref="I96:P96" si="311">SUM(I91:I95)</f>
        <v>17440699</v>
      </c>
      <c r="J96" s="532">
        <f t="shared" si="311"/>
        <v>12724911</v>
      </c>
      <c r="K96" s="532">
        <f t="shared" si="311"/>
        <v>4301019</v>
      </c>
      <c r="L96" s="532">
        <f t="shared" si="311"/>
        <v>127249</v>
      </c>
      <c r="M96" s="532">
        <f t="shared" si="311"/>
        <v>287520</v>
      </c>
      <c r="N96" s="533">
        <f t="shared" si="311"/>
        <v>24.214499999999997</v>
      </c>
      <c r="O96" s="533">
        <f t="shared" si="311"/>
        <v>16.454499999999999</v>
      </c>
      <c r="P96" s="298">
        <f t="shared" si="311"/>
        <v>7.76</v>
      </c>
      <c r="Q96" s="538">
        <f t="shared" ref="Q96:BA96" si="312">SUM(Q91:Q95)</f>
        <v>-39000</v>
      </c>
      <c r="R96" s="532">
        <f t="shared" si="312"/>
        <v>519669</v>
      </c>
      <c r="S96" s="532">
        <f t="shared" si="312"/>
        <v>0</v>
      </c>
      <c r="T96" s="532">
        <f t="shared" si="312"/>
        <v>0</v>
      </c>
      <c r="U96" s="532">
        <f t="shared" si="312"/>
        <v>0</v>
      </c>
      <c r="V96" s="532">
        <f t="shared" si="312"/>
        <v>480669</v>
      </c>
      <c r="W96" s="532">
        <f t="shared" si="312"/>
        <v>39000</v>
      </c>
      <c r="X96" s="532">
        <f t="shared" si="312"/>
        <v>0</v>
      </c>
      <c r="Y96" s="532">
        <f t="shared" si="312"/>
        <v>0</v>
      </c>
      <c r="Z96" s="532">
        <f t="shared" si="312"/>
        <v>39000</v>
      </c>
      <c r="AA96" s="532">
        <f t="shared" si="312"/>
        <v>519669</v>
      </c>
      <c r="AB96" s="532">
        <f t="shared" si="312"/>
        <v>175648</v>
      </c>
      <c r="AC96" s="532">
        <f t="shared" si="312"/>
        <v>4807</v>
      </c>
      <c r="AD96" s="532">
        <f t="shared" si="312"/>
        <v>0</v>
      </c>
      <c r="AE96" s="532">
        <f t="shared" si="312"/>
        <v>0</v>
      </c>
      <c r="AF96" s="532">
        <f t="shared" si="312"/>
        <v>0</v>
      </c>
      <c r="AG96" s="532">
        <f t="shared" si="312"/>
        <v>700124</v>
      </c>
      <c r="AH96" s="533">
        <f t="shared" si="312"/>
        <v>-0.05</v>
      </c>
      <c r="AI96" s="533">
        <f t="shared" si="312"/>
        <v>0</v>
      </c>
      <c r="AJ96" s="533">
        <f t="shared" si="312"/>
        <v>1.5</v>
      </c>
      <c r="AK96" s="533">
        <f t="shared" si="312"/>
        <v>0</v>
      </c>
      <c r="AL96" s="533">
        <f t="shared" si="312"/>
        <v>0</v>
      </c>
      <c r="AM96" s="533">
        <f t="shared" si="312"/>
        <v>0</v>
      </c>
      <c r="AN96" s="533">
        <f t="shared" si="312"/>
        <v>0</v>
      </c>
      <c r="AO96" s="533">
        <f t="shared" si="312"/>
        <v>0</v>
      </c>
      <c r="AP96" s="533">
        <f t="shared" si="312"/>
        <v>1.45</v>
      </c>
      <c r="AQ96" s="533">
        <f t="shared" si="312"/>
        <v>0</v>
      </c>
      <c r="AR96" s="298">
        <f t="shared" si="312"/>
        <v>1.45</v>
      </c>
      <c r="AS96" s="538">
        <f t="shared" si="312"/>
        <v>18140823</v>
      </c>
      <c r="AT96" s="532">
        <f t="shared" si="312"/>
        <v>13205580</v>
      </c>
      <c r="AU96" s="532">
        <f t="shared" si="312"/>
        <v>39000</v>
      </c>
      <c r="AV96" s="532">
        <f t="shared" si="312"/>
        <v>4476667</v>
      </c>
      <c r="AW96" s="532">
        <f t="shared" si="312"/>
        <v>132056</v>
      </c>
      <c r="AX96" s="532">
        <f t="shared" si="312"/>
        <v>287520</v>
      </c>
      <c r="AY96" s="533">
        <f t="shared" si="312"/>
        <v>25.664499999999997</v>
      </c>
      <c r="AZ96" s="533">
        <f t="shared" si="312"/>
        <v>17.904499999999999</v>
      </c>
      <c r="BA96" s="298">
        <f t="shared" si="312"/>
        <v>7.76</v>
      </c>
    </row>
    <row r="97" spans="1:53" ht="12.95" customHeight="1" x14ac:dyDescent="0.25">
      <c r="A97" s="299">
        <v>19</v>
      </c>
      <c r="B97" s="395">
        <v>5493</v>
      </c>
      <c r="C97" s="395">
        <v>691009813</v>
      </c>
      <c r="D97" s="300">
        <v>6181457</v>
      </c>
      <c r="E97" s="396" t="s">
        <v>506</v>
      </c>
      <c r="F97" s="395">
        <v>3111</v>
      </c>
      <c r="G97" s="398" t="s">
        <v>321</v>
      </c>
      <c r="H97" s="304" t="s">
        <v>277</v>
      </c>
      <c r="I97" s="462">
        <f t="shared" ref="I97:I99" si="313">SUM(J97:M97)</f>
        <v>3188786</v>
      </c>
      <c r="J97" s="457">
        <v>2351548</v>
      </c>
      <c r="K97" s="457">
        <f t="shared" ref="K97:K99" si="314">ROUND(J97*33.8%,0)</f>
        <v>794823</v>
      </c>
      <c r="L97" s="457">
        <f t="shared" ref="L97:L99" si="315">ROUND(J97*1%,0)</f>
        <v>23515</v>
      </c>
      <c r="M97" s="457">
        <v>18900</v>
      </c>
      <c r="N97" s="458">
        <f t="shared" ref="N97:N99" si="316">O97+P97</f>
        <v>5.12</v>
      </c>
      <c r="O97" s="459">
        <v>4</v>
      </c>
      <c r="P97" s="646">
        <v>1.1200000000000001</v>
      </c>
      <c r="Q97" s="469">
        <f t="shared" ref="Q97:Q99" si="317">W97*-1</f>
        <v>0</v>
      </c>
      <c r="R97" s="460">
        <v>0</v>
      </c>
      <c r="S97" s="673">
        <v>0</v>
      </c>
      <c r="T97" s="460">
        <v>0</v>
      </c>
      <c r="U97" s="460">
        <v>0</v>
      </c>
      <c r="V97" s="460">
        <f>SUM(Q97:U97)</f>
        <v>0</v>
      </c>
      <c r="W97" s="460">
        <v>0</v>
      </c>
      <c r="X97" s="460">
        <v>0</v>
      </c>
      <c r="Y97" s="460">
        <v>0</v>
      </c>
      <c r="Z97" s="460">
        <f t="shared" ref="Z97:Z99" si="318">SUM(W97:Y97)</f>
        <v>0</v>
      </c>
      <c r="AA97" s="460">
        <f t="shared" ref="AA97:AA99" si="319">V97+Z97</f>
        <v>0</v>
      </c>
      <c r="AB97" s="69">
        <f t="shared" ref="AB97:AB99" si="320">ROUND((V97+W97+X97)*33.8%,0)</f>
        <v>0</v>
      </c>
      <c r="AC97" s="69">
        <f t="shared" ref="AC97:AC99" si="321">ROUND(V97*1%,0)</f>
        <v>0</v>
      </c>
      <c r="AD97" s="460">
        <v>0</v>
      </c>
      <c r="AE97" s="460">
        <v>0</v>
      </c>
      <c r="AF97" s="460">
        <f t="shared" ref="AF97:AF99" si="322">SUM(AD97:AE97)</f>
        <v>0</v>
      </c>
      <c r="AG97" s="460">
        <f t="shared" ref="AG97:AG99" si="323">AA97+AB97+AC97+AF97</f>
        <v>0</v>
      </c>
      <c r="AH97" s="461">
        <v>0</v>
      </c>
      <c r="AI97" s="461">
        <v>0</v>
      </c>
      <c r="AJ97" s="461">
        <v>0</v>
      </c>
      <c r="AK97" s="461">
        <v>0</v>
      </c>
      <c r="AL97" s="674">
        <v>0</v>
      </c>
      <c r="AM97" s="461">
        <v>0</v>
      </c>
      <c r="AN97" s="461">
        <v>0</v>
      </c>
      <c r="AO97" s="461">
        <v>0</v>
      </c>
      <c r="AP97" s="461">
        <f>AH97+AJ97+AK97+AM97+AN97</f>
        <v>0</v>
      </c>
      <c r="AQ97" s="461">
        <f>AI97+AL97+AO97</f>
        <v>0</v>
      </c>
      <c r="AR97" s="463">
        <f t="shared" ref="AR97:AR99" si="324">SUM(AP97:AQ97)</f>
        <v>0</v>
      </c>
      <c r="AS97" s="469">
        <f>I97+AG97</f>
        <v>3188786</v>
      </c>
      <c r="AT97" s="460">
        <f>J97+V97</f>
        <v>2351548</v>
      </c>
      <c r="AU97" s="460">
        <f t="shared" ref="AU97:AU99" si="325">Z97</f>
        <v>0</v>
      </c>
      <c r="AV97" s="460">
        <f t="shared" ref="AV97:AW99" si="326">K97+AB97</f>
        <v>794823</v>
      </c>
      <c r="AW97" s="460">
        <f t="shared" si="326"/>
        <v>23515</v>
      </c>
      <c r="AX97" s="460">
        <f>M97+AF97</f>
        <v>18900</v>
      </c>
      <c r="AY97" s="461">
        <f>N97+AR97</f>
        <v>5.12</v>
      </c>
      <c r="AZ97" s="461">
        <f t="shared" ref="AZ97:BA99" si="327">O97+AP97</f>
        <v>4</v>
      </c>
      <c r="BA97" s="463">
        <f t="shared" si="327"/>
        <v>1.1200000000000001</v>
      </c>
    </row>
    <row r="98" spans="1:53" ht="12.95" customHeight="1" x14ac:dyDescent="0.25">
      <c r="A98" s="299">
        <v>19</v>
      </c>
      <c r="B98" s="395">
        <v>5493</v>
      </c>
      <c r="C98" s="395">
        <v>691009813</v>
      </c>
      <c r="D98" s="300">
        <v>6181457</v>
      </c>
      <c r="E98" s="396" t="s">
        <v>506</v>
      </c>
      <c r="F98" s="395">
        <v>3111</v>
      </c>
      <c r="G98" s="342" t="s">
        <v>308</v>
      </c>
      <c r="H98" s="304" t="s">
        <v>278</v>
      </c>
      <c r="I98" s="462">
        <f t="shared" si="313"/>
        <v>0</v>
      </c>
      <c r="J98" s="457">
        <v>0</v>
      </c>
      <c r="K98" s="457">
        <f t="shared" si="314"/>
        <v>0</v>
      </c>
      <c r="L98" s="457">
        <f t="shared" si="315"/>
        <v>0</v>
      </c>
      <c r="M98" s="457">
        <v>0</v>
      </c>
      <c r="N98" s="458">
        <f t="shared" si="316"/>
        <v>0</v>
      </c>
      <c r="O98" s="459">
        <v>0</v>
      </c>
      <c r="P98" s="646">
        <v>0</v>
      </c>
      <c r="Q98" s="469">
        <f t="shared" si="317"/>
        <v>0</v>
      </c>
      <c r="R98" s="460">
        <v>0</v>
      </c>
      <c r="S98" s="673">
        <v>0</v>
      </c>
      <c r="T98" s="460">
        <v>0</v>
      </c>
      <c r="U98" s="460">
        <v>0</v>
      </c>
      <c r="V98" s="460">
        <f>SUM(Q98:U98)</f>
        <v>0</v>
      </c>
      <c r="W98" s="460">
        <v>0</v>
      </c>
      <c r="X98" s="460">
        <v>0</v>
      </c>
      <c r="Y98" s="460">
        <v>0</v>
      </c>
      <c r="Z98" s="460">
        <f t="shared" si="318"/>
        <v>0</v>
      </c>
      <c r="AA98" s="460">
        <f t="shared" si="319"/>
        <v>0</v>
      </c>
      <c r="AB98" s="69">
        <f t="shared" si="320"/>
        <v>0</v>
      </c>
      <c r="AC98" s="69">
        <f t="shared" si="321"/>
        <v>0</v>
      </c>
      <c r="AD98" s="460">
        <v>0</v>
      </c>
      <c r="AE98" s="460">
        <v>0</v>
      </c>
      <c r="AF98" s="460">
        <f t="shared" si="322"/>
        <v>0</v>
      </c>
      <c r="AG98" s="460">
        <f t="shared" si="323"/>
        <v>0</v>
      </c>
      <c r="AH98" s="461">
        <v>0</v>
      </c>
      <c r="AI98" s="461">
        <v>0</v>
      </c>
      <c r="AJ98" s="461">
        <v>0</v>
      </c>
      <c r="AK98" s="461">
        <v>0</v>
      </c>
      <c r="AL98" s="674">
        <v>0</v>
      </c>
      <c r="AM98" s="461">
        <v>0</v>
      </c>
      <c r="AN98" s="461">
        <v>0</v>
      </c>
      <c r="AO98" s="461">
        <v>0</v>
      </c>
      <c r="AP98" s="461">
        <f>AH98+AJ98+AK98+AM98+AN98</f>
        <v>0</v>
      </c>
      <c r="AQ98" s="461">
        <f>AI98+AL98+AO98</f>
        <v>0</v>
      </c>
      <c r="AR98" s="463">
        <f t="shared" si="324"/>
        <v>0</v>
      </c>
      <c r="AS98" s="469">
        <f>I98+AG98</f>
        <v>0</v>
      </c>
      <c r="AT98" s="460">
        <f>J98+V98</f>
        <v>0</v>
      </c>
      <c r="AU98" s="460">
        <f t="shared" si="325"/>
        <v>0</v>
      </c>
      <c r="AV98" s="460">
        <f t="shared" si="326"/>
        <v>0</v>
      </c>
      <c r="AW98" s="460">
        <f t="shared" si="326"/>
        <v>0</v>
      </c>
      <c r="AX98" s="460">
        <f>M98+AF98</f>
        <v>0</v>
      </c>
      <c r="AY98" s="461">
        <f>N98+AR98</f>
        <v>0</v>
      </c>
      <c r="AZ98" s="461">
        <f t="shared" si="327"/>
        <v>0</v>
      </c>
      <c r="BA98" s="463">
        <f t="shared" si="327"/>
        <v>0</v>
      </c>
    </row>
    <row r="99" spans="1:53" ht="12.95" customHeight="1" x14ac:dyDescent="0.25">
      <c r="A99" s="299">
        <v>19</v>
      </c>
      <c r="B99" s="406">
        <v>5493</v>
      </c>
      <c r="C99" s="406">
        <v>691009813</v>
      </c>
      <c r="D99" s="300">
        <v>6181457</v>
      </c>
      <c r="E99" s="405" t="s">
        <v>506</v>
      </c>
      <c r="F99" s="406">
        <v>3141</v>
      </c>
      <c r="G99" s="398" t="s">
        <v>311</v>
      </c>
      <c r="H99" s="304" t="s">
        <v>278</v>
      </c>
      <c r="I99" s="462">
        <f t="shared" si="313"/>
        <v>206993</v>
      </c>
      <c r="J99" s="457">
        <v>152648</v>
      </c>
      <c r="K99" s="457">
        <f t="shared" si="314"/>
        <v>51595</v>
      </c>
      <c r="L99" s="457">
        <f t="shared" si="315"/>
        <v>1526</v>
      </c>
      <c r="M99" s="457">
        <v>1224</v>
      </c>
      <c r="N99" s="458">
        <f t="shared" si="316"/>
        <v>0.49</v>
      </c>
      <c r="O99" s="459">
        <v>0</v>
      </c>
      <c r="P99" s="646">
        <v>0.49</v>
      </c>
      <c r="Q99" s="469">
        <f t="shared" si="317"/>
        <v>0</v>
      </c>
      <c r="R99" s="460">
        <v>0</v>
      </c>
      <c r="S99" s="673">
        <v>0</v>
      </c>
      <c r="T99" s="460">
        <v>0</v>
      </c>
      <c r="U99" s="460">
        <v>0</v>
      </c>
      <c r="V99" s="460">
        <f>SUM(Q99:U99)</f>
        <v>0</v>
      </c>
      <c r="W99" s="460">
        <v>0</v>
      </c>
      <c r="X99" s="460">
        <v>0</v>
      </c>
      <c r="Y99" s="460">
        <v>0</v>
      </c>
      <c r="Z99" s="460">
        <f t="shared" si="318"/>
        <v>0</v>
      </c>
      <c r="AA99" s="460">
        <f t="shared" si="319"/>
        <v>0</v>
      </c>
      <c r="AB99" s="69">
        <f t="shared" si="320"/>
        <v>0</v>
      </c>
      <c r="AC99" s="69">
        <f t="shared" si="321"/>
        <v>0</v>
      </c>
      <c r="AD99" s="460">
        <v>0</v>
      </c>
      <c r="AE99" s="460">
        <v>0</v>
      </c>
      <c r="AF99" s="460">
        <f t="shared" si="322"/>
        <v>0</v>
      </c>
      <c r="AG99" s="460">
        <f t="shared" si="323"/>
        <v>0</v>
      </c>
      <c r="AH99" s="461">
        <v>0</v>
      </c>
      <c r="AI99" s="461">
        <v>0</v>
      </c>
      <c r="AJ99" s="461">
        <v>0</v>
      </c>
      <c r="AK99" s="461">
        <v>0</v>
      </c>
      <c r="AL99" s="674">
        <v>0</v>
      </c>
      <c r="AM99" s="461">
        <v>0</v>
      </c>
      <c r="AN99" s="461">
        <v>0</v>
      </c>
      <c r="AO99" s="461">
        <v>0</v>
      </c>
      <c r="AP99" s="461">
        <f>AH99+AJ99+AK99+AM99+AN99</f>
        <v>0</v>
      </c>
      <c r="AQ99" s="461">
        <f>AI99+AL99+AO99</f>
        <v>0</v>
      </c>
      <c r="AR99" s="463">
        <f t="shared" si="324"/>
        <v>0</v>
      </c>
      <c r="AS99" s="469">
        <f>I99+AG99</f>
        <v>206993</v>
      </c>
      <c r="AT99" s="460">
        <f>J99+V99</f>
        <v>152648</v>
      </c>
      <c r="AU99" s="460">
        <f t="shared" si="325"/>
        <v>0</v>
      </c>
      <c r="AV99" s="460">
        <f t="shared" si="326"/>
        <v>51595</v>
      </c>
      <c r="AW99" s="460">
        <f t="shared" si="326"/>
        <v>1526</v>
      </c>
      <c r="AX99" s="460">
        <f>M99+AF99</f>
        <v>1224</v>
      </c>
      <c r="AY99" s="461">
        <f>N99+AR99</f>
        <v>0.49</v>
      </c>
      <c r="AZ99" s="461">
        <f t="shared" si="327"/>
        <v>0</v>
      </c>
      <c r="BA99" s="463">
        <f t="shared" si="327"/>
        <v>0.49</v>
      </c>
    </row>
    <row r="100" spans="1:53" ht="12.95" customHeight="1" x14ac:dyDescent="0.25">
      <c r="A100" s="221">
        <v>19</v>
      </c>
      <c r="B100" s="48">
        <v>5493</v>
      </c>
      <c r="C100" s="48">
        <v>691009813</v>
      </c>
      <c r="D100" s="48">
        <v>6181457</v>
      </c>
      <c r="E100" s="411" t="s">
        <v>507</v>
      </c>
      <c r="F100" s="48"/>
      <c r="G100" s="411"/>
      <c r="H100" s="188"/>
      <c r="I100" s="536">
        <f t="shared" ref="I100:P100" si="328">SUM(I97:I99)</f>
        <v>3395779</v>
      </c>
      <c r="J100" s="532">
        <f t="shared" si="328"/>
        <v>2504196</v>
      </c>
      <c r="K100" s="532">
        <f t="shared" si="328"/>
        <v>846418</v>
      </c>
      <c r="L100" s="532">
        <f t="shared" si="328"/>
        <v>25041</v>
      </c>
      <c r="M100" s="532">
        <f t="shared" si="328"/>
        <v>20124</v>
      </c>
      <c r="N100" s="533">
        <f t="shared" si="328"/>
        <v>5.61</v>
      </c>
      <c r="O100" s="533">
        <f t="shared" si="328"/>
        <v>4</v>
      </c>
      <c r="P100" s="298">
        <f t="shared" si="328"/>
        <v>1.61</v>
      </c>
      <c r="Q100" s="538">
        <f t="shared" ref="Q100:BA100" si="329">SUM(Q97:Q99)</f>
        <v>0</v>
      </c>
      <c r="R100" s="532">
        <f t="shared" si="329"/>
        <v>0</v>
      </c>
      <c r="S100" s="532">
        <f t="shared" si="329"/>
        <v>0</v>
      </c>
      <c r="T100" s="532">
        <f t="shared" si="329"/>
        <v>0</v>
      </c>
      <c r="U100" s="532">
        <f t="shared" si="329"/>
        <v>0</v>
      </c>
      <c r="V100" s="532">
        <f t="shared" si="329"/>
        <v>0</v>
      </c>
      <c r="W100" s="532">
        <f t="shared" si="329"/>
        <v>0</v>
      </c>
      <c r="X100" s="532">
        <f t="shared" si="329"/>
        <v>0</v>
      </c>
      <c r="Y100" s="532">
        <f t="shared" si="329"/>
        <v>0</v>
      </c>
      <c r="Z100" s="532">
        <f t="shared" si="329"/>
        <v>0</v>
      </c>
      <c r="AA100" s="532">
        <f t="shared" si="329"/>
        <v>0</v>
      </c>
      <c r="AB100" s="532">
        <f t="shared" si="329"/>
        <v>0</v>
      </c>
      <c r="AC100" s="532">
        <f t="shared" si="329"/>
        <v>0</v>
      </c>
      <c r="AD100" s="532">
        <f t="shared" si="329"/>
        <v>0</v>
      </c>
      <c r="AE100" s="532">
        <f t="shared" si="329"/>
        <v>0</v>
      </c>
      <c r="AF100" s="532">
        <f t="shared" si="329"/>
        <v>0</v>
      </c>
      <c r="AG100" s="532">
        <f t="shared" si="329"/>
        <v>0</v>
      </c>
      <c r="AH100" s="533">
        <f t="shared" si="329"/>
        <v>0</v>
      </c>
      <c r="AI100" s="533">
        <f t="shared" si="329"/>
        <v>0</v>
      </c>
      <c r="AJ100" s="533">
        <f t="shared" si="329"/>
        <v>0</v>
      </c>
      <c r="AK100" s="533">
        <f t="shared" si="329"/>
        <v>0</v>
      </c>
      <c r="AL100" s="533">
        <f t="shared" si="329"/>
        <v>0</v>
      </c>
      <c r="AM100" s="533">
        <f t="shared" si="329"/>
        <v>0</v>
      </c>
      <c r="AN100" s="533">
        <f t="shared" si="329"/>
        <v>0</v>
      </c>
      <c r="AO100" s="533">
        <f t="shared" si="329"/>
        <v>0</v>
      </c>
      <c r="AP100" s="533">
        <f t="shared" si="329"/>
        <v>0</v>
      </c>
      <c r="AQ100" s="533">
        <f t="shared" si="329"/>
        <v>0</v>
      </c>
      <c r="AR100" s="298">
        <f t="shared" si="329"/>
        <v>0</v>
      </c>
      <c r="AS100" s="538">
        <f t="shared" si="329"/>
        <v>3395779</v>
      </c>
      <c r="AT100" s="532">
        <f t="shared" si="329"/>
        <v>2504196</v>
      </c>
      <c r="AU100" s="532">
        <f t="shared" si="329"/>
        <v>0</v>
      </c>
      <c r="AV100" s="532">
        <f t="shared" si="329"/>
        <v>846418</v>
      </c>
      <c r="AW100" s="532">
        <f t="shared" si="329"/>
        <v>25041</v>
      </c>
      <c r="AX100" s="532">
        <f t="shared" si="329"/>
        <v>20124</v>
      </c>
      <c r="AY100" s="533">
        <f t="shared" si="329"/>
        <v>5.61</v>
      </c>
      <c r="AZ100" s="533">
        <f t="shared" si="329"/>
        <v>4</v>
      </c>
      <c r="BA100" s="298">
        <f t="shared" si="329"/>
        <v>1.61</v>
      </c>
    </row>
    <row r="101" spans="1:53" ht="12.95" customHeight="1" x14ac:dyDescent="0.25">
      <c r="A101" s="299">
        <v>20</v>
      </c>
      <c r="B101" s="220">
        <v>2463</v>
      </c>
      <c r="C101" s="220">
        <v>600080056</v>
      </c>
      <c r="D101" s="300">
        <v>70982066</v>
      </c>
      <c r="E101" s="397" t="s">
        <v>508</v>
      </c>
      <c r="F101" s="220">
        <v>3113</v>
      </c>
      <c r="G101" s="397" t="s">
        <v>325</v>
      </c>
      <c r="H101" s="304" t="s">
        <v>277</v>
      </c>
      <c r="I101" s="462">
        <f t="shared" ref="I101:I105" si="330">SUM(J101:M101)</f>
        <v>9028664</v>
      </c>
      <c r="J101" s="457">
        <v>6588950</v>
      </c>
      <c r="K101" s="457">
        <f t="shared" ref="K101:K105" si="331">ROUND(J101*33.8%,0)</f>
        <v>2227065</v>
      </c>
      <c r="L101" s="457">
        <f>ROUND(J101*1%,0)-1</f>
        <v>65889</v>
      </c>
      <c r="M101" s="457">
        <v>146760</v>
      </c>
      <c r="N101" s="458">
        <f t="shared" ref="N101:N105" si="332">O101+P101</f>
        <v>11.616299999999999</v>
      </c>
      <c r="O101" s="459">
        <v>9.0962999999999994</v>
      </c>
      <c r="P101" s="646">
        <v>2.52</v>
      </c>
      <c r="Q101" s="469">
        <f t="shared" ref="Q101:Q105" si="333">W101*-1</f>
        <v>-7150</v>
      </c>
      <c r="R101" s="460">
        <v>0</v>
      </c>
      <c r="S101" s="673">
        <v>0</v>
      </c>
      <c r="T101" s="460">
        <v>0</v>
      </c>
      <c r="U101" s="460">
        <v>0</v>
      </c>
      <c r="V101" s="460">
        <f>SUM(Q101:U101)</f>
        <v>-7150</v>
      </c>
      <c r="W101" s="460">
        <v>7150</v>
      </c>
      <c r="X101" s="460">
        <v>0</v>
      </c>
      <c r="Y101" s="460">
        <v>0</v>
      </c>
      <c r="Z101" s="460">
        <f t="shared" ref="Z101:Z105" si="334">SUM(W101:Y101)</f>
        <v>7150</v>
      </c>
      <c r="AA101" s="460">
        <f t="shared" ref="AA101:AA105" si="335">V101+Z101</f>
        <v>0</v>
      </c>
      <c r="AB101" s="69">
        <f t="shared" ref="AB101:AB105" si="336">ROUND((V101+W101+X101)*33.8%,0)</f>
        <v>0</v>
      </c>
      <c r="AC101" s="69">
        <f t="shared" ref="AC101:AC105" si="337">ROUND(V101*1%,0)</f>
        <v>-72</v>
      </c>
      <c r="AD101" s="460">
        <v>0</v>
      </c>
      <c r="AE101" s="460">
        <v>0</v>
      </c>
      <c r="AF101" s="460">
        <f t="shared" ref="AF101:AF105" si="338">SUM(AD101:AE101)</f>
        <v>0</v>
      </c>
      <c r="AG101" s="460">
        <f t="shared" ref="AG101:AG105" si="339">AA101+AB101+AC101+AF101</f>
        <v>-72</v>
      </c>
      <c r="AH101" s="461">
        <v>0</v>
      </c>
      <c r="AI101" s="461">
        <v>-0.02</v>
      </c>
      <c r="AJ101" s="461">
        <v>0</v>
      </c>
      <c r="AK101" s="461">
        <v>0</v>
      </c>
      <c r="AL101" s="674">
        <v>0</v>
      </c>
      <c r="AM101" s="461">
        <v>0</v>
      </c>
      <c r="AN101" s="461">
        <v>0</v>
      </c>
      <c r="AO101" s="461">
        <v>0</v>
      </c>
      <c r="AP101" s="461">
        <f>AH101+AJ101+AK101+AM101+AN101</f>
        <v>0</v>
      </c>
      <c r="AQ101" s="461">
        <f>AI101+AL101+AO101</f>
        <v>-0.02</v>
      </c>
      <c r="AR101" s="463">
        <f t="shared" ref="AR101:AR105" si="340">SUM(AP101:AQ101)</f>
        <v>-0.02</v>
      </c>
      <c r="AS101" s="469">
        <f>I101+AG101</f>
        <v>9028592</v>
      </c>
      <c r="AT101" s="460">
        <f>J101+V101</f>
        <v>6581800</v>
      </c>
      <c r="AU101" s="460">
        <f t="shared" ref="AU101:AU105" si="341">Z101</f>
        <v>7150</v>
      </c>
      <c r="AV101" s="460">
        <f t="shared" ref="AV101:AW105" si="342">K101+AB101</f>
        <v>2227065</v>
      </c>
      <c r="AW101" s="460">
        <f t="shared" si="342"/>
        <v>65817</v>
      </c>
      <c r="AX101" s="460">
        <f>M101+AF101</f>
        <v>146760</v>
      </c>
      <c r="AY101" s="461">
        <f>N101+AR101</f>
        <v>11.596299999999999</v>
      </c>
      <c r="AZ101" s="461">
        <f t="shared" ref="AZ101:BA105" si="343">O101+AP101</f>
        <v>9.0962999999999994</v>
      </c>
      <c r="BA101" s="463">
        <f t="shared" si="343"/>
        <v>2.5</v>
      </c>
    </row>
    <row r="102" spans="1:53" ht="12.95" customHeight="1" x14ac:dyDescent="0.25">
      <c r="A102" s="299">
        <v>20</v>
      </c>
      <c r="B102" s="401">
        <v>2463</v>
      </c>
      <c r="C102" s="401">
        <v>600080056</v>
      </c>
      <c r="D102" s="300">
        <v>70982066</v>
      </c>
      <c r="E102" s="397" t="s">
        <v>508</v>
      </c>
      <c r="F102" s="220">
        <v>3113</v>
      </c>
      <c r="G102" s="342" t="s">
        <v>308</v>
      </c>
      <c r="H102" s="304" t="s">
        <v>278</v>
      </c>
      <c r="I102" s="462">
        <f t="shared" si="330"/>
        <v>0</v>
      </c>
      <c r="J102" s="457">
        <v>0</v>
      </c>
      <c r="K102" s="457">
        <f t="shared" si="331"/>
        <v>0</v>
      </c>
      <c r="L102" s="457">
        <f t="shared" ref="L102:L105" si="344">ROUND(J102*1%,0)</f>
        <v>0</v>
      </c>
      <c r="M102" s="457">
        <v>0</v>
      </c>
      <c r="N102" s="458">
        <f t="shared" si="332"/>
        <v>0</v>
      </c>
      <c r="O102" s="459">
        <v>0</v>
      </c>
      <c r="P102" s="646">
        <v>0</v>
      </c>
      <c r="Q102" s="469">
        <f t="shared" si="333"/>
        <v>0</v>
      </c>
      <c r="R102" s="460">
        <v>779505</v>
      </c>
      <c r="S102" s="673">
        <v>0</v>
      </c>
      <c r="T102" s="460">
        <v>0</v>
      </c>
      <c r="U102" s="460">
        <v>0</v>
      </c>
      <c r="V102" s="460">
        <f>SUM(Q102:U102)</f>
        <v>779505</v>
      </c>
      <c r="W102" s="460">
        <v>0</v>
      </c>
      <c r="X102" s="460">
        <v>0</v>
      </c>
      <c r="Y102" s="460">
        <v>0</v>
      </c>
      <c r="Z102" s="460">
        <f t="shared" si="334"/>
        <v>0</v>
      </c>
      <c r="AA102" s="460">
        <f t="shared" si="335"/>
        <v>779505</v>
      </c>
      <c r="AB102" s="69">
        <f t="shared" si="336"/>
        <v>263473</v>
      </c>
      <c r="AC102" s="69">
        <f t="shared" si="337"/>
        <v>7795</v>
      </c>
      <c r="AD102" s="460">
        <v>0</v>
      </c>
      <c r="AE102" s="460">
        <v>0</v>
      </c>
      <c r="AF102" s="460">
        <f t="shared" si="338"/>
        <v>0</v>
      </c>
      <c r="AG102" s="460">
        <f t="shared" si="339"/>
        <v>1050773</v>
      </c>
      <c r="AH102" s="461">
        <v>0</v>
      </c>
      <c r="AI102" s="461">
        <v>0</v>
      </c>
      <c r="AJ102" s="461">
        <v>2.25</v>
      </c>
      <c r="AK102" s="461">
        <v>0</v>
      </c>
      <c r="AL102" s="674">
        <v>0</v>
      </c>
      <c r="AM102" s="461">
        <v>0</v>
      </c>
      <c r="AN102" s="461">
        <v>0</v>
      </c>
      <c r="AO102" s="461">
        <v>0</v>
      </c>
      <c r="AP102" s="461">
        <f>AH102+AJ102+AK102+AM102+AN102</f>
        <v>2.25</v>
      </c>
      <c r="AQ102" s="461">
        <f>AI102+AL102+AO102</f>
        <v>0</v>
      </c>
      <c r="AR102" s="463">
        <f t="shared" si="340"/>
        <v>2.25</v>
      </c>
      <c r="AS102" s="469">
        <f>I102+AG102</f>
        <v>1050773</v>
      </c>
      <c r="AT102" s="460">
        <f>J102+V102</f>
        <v>779505</v>
      </c>
      <c r="AU102" s="460">
        <f t="shared" si="341"/>
        <v>0</v>
      </c>
      <c r="AV102" s="460">
        <f t="shared" si="342"/>
        <v>263473</v>
      </c>
      <c r="AW102" s="460">
        <f t="shared" si="342"/>
        <v>7795</v>
      </c>
      <c r="AX102" s="460">
        <f>M102+AF102</f>
        <v>0</v>
      </c>
      <c r="AY102" s="461">
        <f>N102+AR102</f>
        <v>2.25</v>
      </c>
      <c r="AZ102" s="461">
        <f t="shared" si="343"/>
        <v>2.25</v>
      </c>
      <c r="BA102" s="463">
        <f t="shared" si="343"/>
        <v>0</v>
      </c>
    </row>
    <row r="103" spans="1:53" ht="12.95" customHeight="1" x14ac:dyDescent="0.25">
      <c r="A103" s="299">
        <v>20</v>
      </c>
      <c r="B103" s="220">
        <v>2463</v>
      </c>
      <c r="C103" s="220">
        <v>600080056</v>
      </c>
      <c r="D103" s="300">
        <v>70982066</v>
      </c>
      <c r="E103" s="397" t="s">
        <v>508</v>
      </c>
      <c r="F103" s="220">
        <v>3141</v>
      </c>
      <c r="G103" s="398" t="s">
        <v>311</v>
      </c>
      <c r="H103" s="304" t="s">
        <v>278</v>
      </c>
      <c r="I103" s="462">
        <f t="shared" si="330"/>
        <v>865425</v>
      </c>
      <c r="J103" s="457">
        <v>637956</v>
      </c>
      <c r="K103" s="457">
        <f t="shared" si="331"/>
        <v>215629</v>
      </c>
      <c r="L103" s="457">
        <f t="shared" si="344"/>
        <v>6380</v>
      </c>
      <c r="M103" s="457">
        <v>5460</v>
      </c>
      <c r="N103" s="458">
        <f t="shared" si="332"/>
        <v>2.0499999999999998</v>
      </c>
      <c r="O103" s="459">
        <v>0</v>
      </c>
      <c r="P103" s="646">
        <v>2.0499999999999998</v>
      </c>
      <c r="Q103" s="469">
        <f t="shared" si="333"/>
        <v>0</v>
      </c>
      <c r="R103" s="460">
        <v>0</v>
      </c>
      <c r="S103" s="673">
        <v>0</v>
      </c>
      <c r="T103" s="460">
        <v>0</v>
      </c>
      <c r="U103" s="460">
        <v>0</v>
      </c>
      <c r="V103" s="460">
        <f>SUM(Q103:U103)</f>
        <v>0</v>
      </c>
      <c r="W103" s="460">
        <v>0</v>
      </c>
      <c r="X103" s="460">
        <v>0</v>
      </c>
      <c r="Y103" s="460">
        <v>0</v>
      </c>
      <c r="Z103" s="460">
        <f t="shared" si="334"/>
        <v>0</v>
      </c>
      <c r="AA103" s="460">
        <f t="shared" si="335"/>
        <v>0</v>
      </c>
      <c r="AB103" s="69">
        <f t="shared" si="336"/>
        <v>0</v>
      </c>
      <c r="AC103" s="69">
        <f t="shared" si="337"/>
        <v>0</v>
      </c>
      <c r="AD103" s="460">
        <v>0</v>
      </c>
      <c r="AE103" s="460">
        <v>0</v>
      </c>
      <c r="AF103" s="460">
        <f t="shared" si="338"/>
        <v>0</v>
      </c>
      <c r="AG103" s="460">
        <f t="shared" si="339"/>
        <v>0</v>
      </c>
      <c r="AH103" s="461">
        <v>0</v>
      </c>
      <c r="AI103" s="461">
        <v>0</v>
      </c>
      <c r="AJ103" s="461">
        <v>0</v>
      </c>
      <c r="AK103" s="461">
        <v>0</v>
      </c>
      <c r="AL103" s="674">
        <v>0</v>
      </c>
      <c r="AM103" s="461">
        <v>0</v>
      </c>
      <c r="AN103" s="461">
        <v>0</v>
      </c>
      <c r="AO103" s="461">
        <v>0</v>
      </c>
      <c r="AP103" s="461">
        <f>AH103+AJ103+AK103+AM103+AN103</f>
        <v>0</v>
      </c>
      <c r="AQ103" s="461">
        <f>AI103+AL103+AO103</f>
        <v>0</v>
      </c>
      <c r="AR103" s="463">
        <f t="shared" si="340"/>
        <v>0</v>
      </c>
      <c r="AS103" s="469">
        <f>I103+AG103</f>
        <v>865425</v>
      </c>
      <c r="AT103" s="460">
        <f>J103+V103</f>
        <v>637956</v>
      </c>
      <c r="AU103" s="460">
        <f t="shared" si="341"/>
        <v>0</v>
      </c>
      <c r="AV103" s="460">
        <f t="shared" si="342"/>
        <v>215629</v>
      </c>
      <c r="AW103" s="460">
        <f t="shared" si="342"/>
        <v>6380</v>
      </c>
      <c r="AX103" s="460">
        <f>M103+AF103</f>
        <v>5460</v>
      </c>
      <c r="AY103" s="461">
        <f>N103+AR103</f>
        <v>2.0499999999999998</v>
      </c>
      <c r="AZ103" s="461">
        <f t="shared" si="343"/>
        <v>0</v>
      </c>
      <c r="BA103" s="463">
        <f t="shared" si="343"/>
        <v>2.0499999999999998</v>
      </c>
    </row>
    <row r="104" spans="1:53" ht="12.95" customHeight="1" x14ac:dyDescent="0.25">
      <c r="A104" s="299">
        <v>20</v>
      </c>
      <c r="B104" s="401">
        <v>2463</v>
      </c>
      <c r="C104" s="401">
        <v>600080056</v>
      </c>
      <c r="D104" s="300">
        <v>70982066</v>
      </c>
      <c r="E104" s="397" t="s">
        <v>508</v>
      </c>
      <c r="F104" s="220">
        <v>3143</v>
      </c>
      <c r="G104" s="342" t="s">
        <v>616</v>
      </c>
      <c r="H104" s="304" t="s">
        <v>277</v>
      </c>
      <c r="I104" s="462">
        <f t="shared" si="330"/>
        <v>894391</v>
      </c>
      <c r="J104" s="457">
        <v>663495</v>
      </c>
      <c r="K104" s="457">
        <f t="shared" si="331"/>
        <v>224261</v>
      </c>
      <c r="L104" s="457">
        <f t="shared" si="344"/>
        <v>6635</v>
      </c>
      <c r="M104" s="457">
        <v>0</v>
      </c>
      <c r="N104" s="458">
        <f t="shared" si="332"/>
        <v>1.3933</v>
      </c>
      <c r="O104" s="459">
        <v>1.3933</v>
      </c>
      <c r="P104" s="646">
        <v>0</v>
      </c>
      <c r="Q104" s="469">
        <f t="shared" si="333"/>
        <v>0</v>
      </c>
      <c r="R104" s="460">
        <v>0</v>
      </c>
      <c r="S104" s="673">
        <v>0</v>
      </c>
      <c r="T104" s="460">
        <v>0</v>
      </c>
      <c r="U104" s="460">
        <v>0</v>
      </c>
      <c r="V104" s="460">
        <f>SUM(Q104:U104)</f>
        <v>0</v>
      </c>
      <c r="W104" s="460">
        <v>0</v>
      </c>
      <c r="X104" s="460">
        <v>0</v>
      </c>
      <c r="Y104" s="460">
        <v>0</v>
      </c>
      <c r="Z104" s="460">
        <f t="shared" si="334"/>
        <v>0</v>
      </c>
      <c r="AA104" s="460">
        <f t="shared" si="335"/>
        <v>0</v>
      </c>
      <c r="AB104" s="69">
        <f t="shared" si="336"/>
        <v>0</v>
      </c>
      <c r="AC104" s="69">
        <f t="shared" si="337"/>
        <v>0</v>
      </c>
      <c r="AD104" s="460">
        <v>0</v>
      </c>
      <c r="AE104" s="460">
        <v>0</v>
      </c>
      <c r="AF104" s="460">
        <f t="shared" si="338"/>
        <v>0</v>
      </c>
      <c r="AG104" s="460">
        <f t="shared" si="339"/>
        <v>0</v>
      </c>
      <c r="AH104" s="461">
        <v>0</v>
      </c>
      <c r="AI104" s="461">
        <v>0</v>
      </c>
      <c r="AJ104" s="461">
        <v>0</v>
      </c>
      <c r="AK104" s="461">
        <v>0</v>
      </c>
      <c r="AL104" s="674">
        <v>0</v>
      </c>
      <c r="AM104" s="461">
        <v>0</v>
      </c>
      <c r="AN104" s="461">
        <v>0</v>
      </c>
      <c r="AO104" s="461">
        <v>0</v>
      </c>
      <c r="AP104" s="461">
        <f>AH104+AJ104+AK104+AM104+AN104</f>
        <v>0</v>
      </c>
      <c r="AQ104" s="461">
        <f>AI104+AL104+AO104</f>
        <v>0</v>
      </c>
      <c r="AR104" s="463">
        <f t="shared" si="340"/>
        <v>0</v>
      </c>
      <c r="AS104" s="469">
        <f>I104+AG104</f>
        <v>894391</v>
      </c>
      <c r="AT104" s="460">
        <f>J104+V104</f>
        <v>663495</v>
      </c>
      <c r="AU104" s="460">
        <f t="shared" si="341"/>
        <v>0</v>
      </c>
      <c r="AV104" s="460">
        <f t="shared" si="342"/>
        <v>224261</v>
      </c>
      <c r="AW104" s="460">
        <f t="shared" si="342"/>
        <v>6635</v>
      </c>
      <c r="AX104" s="460">
        <f>M104+AF104</f>
        <v>0</v>
      </c>
      <c r="AY104" s="461">
        <f>N104+AR104</f>
        <v>1.3933</v>
      </c>
      <c r="AZ104" s="461">
        <f t="shared" si="343"/>
        <v>1.3933</v>
      </c>
      <c r="BA104" s="463">
        <f t="shared" si="343"/>
        <v>0</v>
      </c>
    </row>
    <row r="105" spans="1:53" ht="12.95" customHeight="1" x14ac:dyDescent="0.25">
      <c r="A105" s="299">
        <v>20</v>
      </c>
      <c r="B105" s="401">
        <v>2463</v>
      </c>
      <c r="C105" s="401">
        <v>600080056</v>
      </c>
      <c r="D105" s="300">
        <v>70982066</v>
      </c>
      <c r="E105" s="397" t="s">
        <v>508</v>
      </c>
      <c r="F105" s="220">
        <v>3143</v>
      </c>
      <c r="G105" s="342" t="s">
        <v>617</v>
      </c>
      <c r="H105" s="304" t="s">
        <v>278</v>
      </c>
      <c r="I105" s="462">
        <f t="shared" si="330"/>
        <v>28587</v>
      </c>
      <c r="J105" s="457">
        <v>20426</v>
      </c>
      <c r="K105" s="457">
        <f t="shared" si="331"/>
        <v>6904</v>
      </c>
      <c r="L105" s="457">
        <f t="shared" si="344"/>
        <v>204</v>
      </c>
      <c r="M105" s="457">
        <v>1053</v>
      </c>
      <c r="N105" s="458">
        <f t="shared" si="332"/>
        <v>0.08</v>
      </c>
      <c r="O105" s="459">
        <v>0</v>
      </c>
      <c r="P105" s="646">
        <v>0.08</v>
      </c>
      <c r="Q105" s="469">
        <f t="shared" si="333"/>
        <v>0</v>
      </c>
      <c r="R105" s="460">
        <v>0</v>
      </c>
      <c r="S105" s="673">
        <v>0</v>
      </c>
      <c r="T105" s="460">
        <v>0</v>
      </c>
      <c r="U105" s="460">
        <v>0</v>
      </c>
      <c r="V105" s="460">
        <f>SUM(Q105:U105)</f>
        <v>0</v>
      </c>
      <c r="W105" s="460">
        <v>0</v>
      </c>
      <c r="X105" s="460">
        <v>0</v>
      </c>
      <c r="Y105" s="460">
        <v>0</v>
      </c>
      <c r="Z105" s="460">
        <f t="shared" si="334"/>
        <v>0</v>
      </c>
      <c r="AA105" s="460">
        <f t="shared" si="335"/>
        <v>0</v>
      </c>
      <c r="AB105" s="69">
        <f t="shared" si="336"/>
        <v>0</v>
      </c>
      <c r="AC105" s="69">
        <f t="shared" si="337"/>
        <v>0</v>
      </c>
      <c r="AD105" s="460">
        <v>0</v>
      </c>
      <c r="AE105" s="460">
        <v>0</v>
      </c>
      <c r="AF105" s="460">
        <f t="shared" si="338"/>
        <v>0</v>
      </c>
      <c r="AG105" s="460">
        <f t="shared" si="339"/>
        <v>0</v>
      </c>
      <c r="AH105" s="461">
        <v>0</v>
      </c>
      <c r="AI105" s="461">
        <v>0</v>
      </c>
      <c r="AJ105" s="461">
        <v>0</v>
      </c>
      <c r="AK105" s="461">
        <v>0</v>
      </c>
      <c r="AL105" s="674">
        <v>0</v>
      </c>
      <c r="AM105" s="461">
        <v>0</v>
      </c>
      <c r="AN105" s="461">
        <v>0</v>
      </c>
      <c r="AO105" s="461">
        <v>0</v>
      </c>
      <c r="AP105" s="461">
        <f>AH105+AJ105+AK105+AM105+AN105</f>
        <v>0</v>
      </c>
      <c r="AQ105" s="461">
        <f>AI105+AL105+AO105</f>
        <v>0</v>
      </c>
      <c r="AR105" s="463">
        <f t="shared" si="340"/>
        <v>0</v>
      </c>
      <c r="AS105" s="469">
        <f>I105+AG105</f>
        <v>28587</v>
      </c>
      <c r="AT105" s="460">
        <f>J105+V105</f>
        <v>20426</v>
      </c>
      <c r="AU105" s="460">
        <f t="shared" si="341"/>
        <v>0</v>
      </c>
      <c r="AV105" s="460">
        <f t="shared" si="342"/>
        <v>6904</v>
      </c>
      <c r="AW105" s="460">
        <f t="shared" si="342"/>
        <v>204</v>
      </c>
      <c r="AX105" s="460">
        <f>M105+AF105</f>
        <v>1053</v>
      </c>
      <c r="AY105" s="461">
        <f>N105+AR105</f>
        <v>0.08</v>
      </c>
      <c r="AZ105" s="461">
        <f t="shared" si="343"/>
        <v>0</v>
      </c>
      <c r="BA105" s="463">
        <f t="shared" si="343"/>
        <v>0.08</v>
      </c>
    </row>
    <row r="106" spans="1:53" ht="12.75" customHeight="1" x14ac:dyDescent="0.25">
      <c r="A106" s="221">
        <v>20</v>
      </c>
      <c r="B106" s="47">
        <v>2463</v>
      </c>
      <c r="C106" s="47">
        <v>600080056</v>
      </c>
      <c r="D106" s="47">
        <v>70982066</v>
      </c>
      <c r="E106" s="399" t="s">
        <v>509</v>
      </c>
      <c r="F106" s="49"/>
      <c r="G106" s="412"/>
      <c r="H106" s="189"/>
      <c r="I106" s="560">
        <f t="shared" ref="I106:P106" si="345">SUM(I101:I105)</f>
        <v>10817067</v>
      </c>
      <c r="J106" s="558">
        <f t="shared" si="345"/>
        <v>7910827</v>
      </c>
      <c r="K106" s="558">
        <f t="shared" si="345"/>
        <v>2673859</v>
      </c>
      <c r="L106" s="558">
        <f t="shared" si="345"/>
        <v>79108</v>
      </c>
      <c r="M106" s="558">
        <f t="shared" si="345"/>
        <v>153273</v>
      </c>
      <c r="N106" s="559">
        <f t="shared" si="345"/>
        <v>15.1396</v>
      </c>
      <c r="O106" s="559">
        <f t="shared" si="345"/>
        <v>10.489599999999999</v>
      </c>
      <c r="P106" s="372">
        <f t="shared" si="345"/>
        <v>4.6500000000000004</v>
      </c>
      <c r="Q106" s="561">
        <f t="shared" ref="Q106:BA106" si="346">SUM(Q101:Q105)</f>
        <v>-7150</v>
      </c>
      <c r="R106" s="558">
        <f t="shared" si="346"/>
        <v>779505</v>
      </c>
      <c r="S106" s="558">
        <f t="shared" si="346"/>
        <v>0</v>
      </c>
      <c r="T106" s="558">
        <f t="shared" si="346"/>
        <v>0</v>
      </c>
      <c r="U106" s="558">
        <f t="shared" si="346"/>
        <v>0</v>
      </c>
      <c r="V106" s="558">
        <f t="shared" si="346"/>
        <v>772355</v>
      </c>
      <c r="W106" s="558">
        <f t="shared" si="346"/>
        <v>7150</v>
      </c>
      <c r="X106" s="558">
        <f t="shared" si="346"/>
        <v>0</v>
      </c>
      <c r="Y106" s="558">
        <f t="shared" si="346"/>
        <v>0</v>
      </c>
      <c r="Z106" s="558">
        <f t="shared" si="346"/>
        <v>7150</v>
      </c>
      <c r="AA106" s="558">
        <f t="shared" si="346"/>
        <v>779505</v>
      </c>
      <c r="AB106" s="558">
        <f t="shared" si="346"/>
        <v>263473</v>
      </c>
      <c r="AC106" s="558">
        <f t="shared" si="346"/>
        <v>7723</v>
      </c>
      <c r="AD106" s="558">
        <f t="shared" si="346"/>
        <v>0</v>
      </c>
      <c r="AE106" s="558">
        <f t="shared" si="346"/>
        <v>0</v>
      </c>
      <c r="AF106" s="558">
        <f t="shared" si="346"/>
        <v>0</v>
      </c>
      <c r="AG106" s="558">
        <f t="shared" si="346"/>
        <v>1050701</v>
      </c>
      <c r="AH106" s="559">
        <f t="shared" si="346"/>
        <v>0</v>
      </c>
      <c r="AI106" s="559">
        <f t="shared" si="346"/>
        <v>-0.02</v>
      </c>
      <c r="AJ106" s="559">
        <f t="shared" si="346"/>
        <v>2.25</v>
      </c>
      <c r="AK106" s="559">
        <f t="shared" si="346"/>
        <v>0</v>
      </c>
      <c r="AL106" s="559">
        <f t="shared" si="346"/>
        <v>0</v>
      </c>
      <c r="AM106" s="559">
        <f t="shared" si="346"/>
        <v>0</v>
      </c>
      <c r="AN106" s="559">
        <f t="shared" si="346"/>
        <v>0</v>
      </c>
      <c r="AO106" s="559">
        <f t="shared" si="346"/>
        <v>0</v>
      </c>
      <c r="AP106" s="559">
        <f t="shared" si="346"/>
        <v>2.25</v>
      </c>
      <c r="AQ106" s="559">
        <f t="shared" si="346"/>
        <v>-0.02</v>
      </c>
      <c r="AR106" s="372">
        <f t="shared" si="346"/>
        <v>2.23</v>
      </c>
      <c r="AS106" s="561">
        <f t="shared" si="346"/>
        <v>11867768</v>
      </c>
      <c r="AT106" s="558">
        <f t="shared" si="346"/>
        <v>8683182</v>
      </c>
      <c r="AU106" s="558">
        <f t="shared" si="346"/>
        <v>7150</v>
      </c>
      <c r="AV106" s="558">
        <f t="shared" si="346"/>
        <v>2937332</v>
      </c>
      <c r="AW106" s="558">
        <f t="shared" si="346"/>
        <v>86831</v>
      </c>
      <c r="AX106" s="558">
        <f t="shared" si="346"/>
        <v>153273</v>
      </c>
      <c r="AY106" s="559">
        <f t="shared" si="346"/>
        <v>17.369599999999998</v>
      </c>
      <c r="AZ106" s="559">
        <f t="shared" si="346"/>
        <v>12.739599999999999</v>
      </c>
      <c r="BA106" s="372">
        <f t="shared" si="346"/>
        <v>4.63</v>
      </c>
    </row>
    <row r="107" spans="1:53" ht="12.95" customHeight="1" x14ac:dyDescent="0.25">
      <c r="A107" s="299">
        <v>21</v>
      </c>
      <c r="B107" s="220">
        <v>3427</v>
      </c>
      <c r="C107" s="220">
        <v>650023340</v>
      </c>
      <c r="D107" s="300">
        <v>70982988</v>
      </c>
      <c r="E107" s="219" t="s">
        <v>510</v>
      </c>
      <c r="F107" s="220">
        <v>3111</v>
      </c>
      <c r="G107" s="398" t="s">
        <v>321</v>
      </c>
      <c r="H107" s="304" t="s">
        <v>277</v>
      </c>
      <c r="I107" s="462">
        <f t="shared" ref="I107:I112" si="347">SUM(J107:M107)</f>
        <v>3122808</v>
      </c>
      <c r="J107" s="457">
        <v>2303270</v>
      </c>
      <c r="K107" s="457">
        <f t="shared" ref="K107:K112" si="348">ROUND(J107*33.8%,0)</f>
        <v>778505</v>
      </c>
      <c r="L107" s="457">
        <f t="shared" ref="L107:L112" si="349">ROUND(J107*1%,0)</f>
        <v>23033</v>
      </c>
      <c r="M107" s="457">
        <v>18000</v>
      </c>
      <c r="N107" s="458">
        <f t="shared" ref="N107:N112" si="350">O107+P107</f>
        <v>4.6708999999999996</v>
      </c>
      <c r="O107" s="459">
        <v>3.8708999999999998</v>
      </c>
      <c r="P107" s="646">
        <v>0.8</v>
      </c>
      <c r="Q107" s="469">
        <f t="shared" ref="Q107:Q112" si="351">W107*-1</f>
        <v>0</v>
      </c>
      <c r="R107" s="460">
        <v>0</v>
      </c>
      <c r="S107" s="673">
        <v>0</v>
      </c>
      <c r="T107" s="460">
        <v>0</v>
      </c>
      <c r="U107" s="460">
        <v>0</v>
      </c>
      <c r="V107" s="460">
        <f t="shared" ref="V107:V112" si="352">SUM(Q107:U107)</f>
        <v>0</v>
      </c>
      <c r="W107" s="460">
        <v>0</v>
      </c>
      <c r="X107" s="460">
        <v>0</v>
      </c>
      <c r="Y107" s="460">
        <v>0</v>
      </c>
      <c r="Z107" s="460">
        <f t="shared" ref="Z107:Z112" si="353">SUM(W107:Y107)</f>
        <v>0</v>
      </c>
      <c r="AA107" s="460">
        <f t="shared" ref="AA107:AA112" si="354">V107+Z107</f>
        <v>0</v>
      </c>
      <c r="AB107" s="69">
        <f t="shared" ref="AB107:AB112" si="355">ROUND((V107+W107+X107)*33.8%,0)</f>
        <v>0</v>
      </c>
      <c r="AC107" s="69">
        <f t="shared" ref="AC107:AC112" si="356">ROUND(V107*1%,0)</f>
        <v>0</v>
      </c>
      <c r="AD107" s="460">
        <v>0</v>
      </c>
      <c r="AE107" s="460">
        <v>0</v>
      </c>
      <c r="AF107" s="460">
        <f t="shared" ref="AF107:AF112" si="357">SUM(AD107:AE107)</f>
        <v>0</v>
      </c>
      <c r="AG107" s="460">
        <f t="shared" ref="AG107:AG112" si="358">AA107+AB107+AC107+AF107</f>
        <v>0</v>
      </c>
      <c r="AH107" s="461">
        <v>0</v>
      </c>
      <c r="AI107" s="461">
        <v>0</v>
      </c>
      <c r="AJ107" s="461">
        <v>0</v>
      </c>
      <c r="AK107" s="461">
        <v>0</v>
      </c>
      <c r="AL107" s="674">
        <v>0</v>
      </c>
      <c r="AM107" s="461">
        <v>0</v>
      </c>
      <c r="AN107" s="461">
        <v>0</v>
      </c>
      <c r="AO107" s="461">
        <v>0</v>
      </c>
      <c r="AP107" s="461">
        <f t="shared" ref="AP107:AP112" si="359">AH107+AJ107+AK107+AM107+AN107</f>
        <v>0</v>
      </c>
      <c r="AQ107" s="461">
        <f t="shared" ref="AQ107:AQ112" si="360">AI107+AL107+AO107</f>
        <v>0</v>
      </c>
      <c r="AR107" s="463">
        <f t="shared" ref="AR107:AR112" si="361">SUM(AP107:AQ107)</f>
        <v>0</v>
      </c>
      <c r="AS107" s="469">
        <f t="shared" ref="AS107:AS112" si="362">I107+AG107</f>
        <v>3122808</v>
      </c>
      <c r="AT107" s="460">
        <f t="shared" ref="AT107:AT112" si="363">J107+V107</f>
        <v>2303270</v>
      </c>
      <c r="AU107" s="460">
        <f t="shared" ref="AU107:AU112" si="364">Z107</f>
        <v>0</v>
      </c>
      <c r="AV107" s="460">
        <f t="shared" ref="AV107:AW112" si="365">K107+AB107</f>
        <v>778505</v>
      </c>
      <c r="AW107" s="460">
        <f t="shared" si="365"/>
        <v>23033</v>
      </c>
      <c r="AX107" s="460">
        <f t="shared" ref="AX107:AX112" si="366">M107+AF107</f>
        <v>18000</v>
      </c>
      <c r="AY107" s="461">
        <f t="shared" ref="AY107:AY112" si="367">N107+AR107</f>
        <v>4.6708999999999996</v>
      </c>
      <c r="AZ107" s="461">
        <f t="shared" ref="AZ107:BA112" si="368">O107+AP107</f>
        <v>3.8708999999999998</v>
      </c>
      <c r="BA107" s="463">
        <f t="shared" si="368"/>
        <v>0.8</v>
      </c>
    </row>
    <row r="108" spans="1:53" ht="12.95" customHeight="1" x14ac:dyDescent="0.25">
      <c r="A108" s="299">
        <v>21</v>
      </c>
      <c r="B108" s="220">
        <v>3427</v>
      </c>
      <c r="C108" s="220">
        <v>650023340</v>
      </c>
      <c r="D108" s="300">
        <v>70982988</v>
      </c>
      <c r="E108" s="397" t="s">
        <v>510</v>
      </c>
      <c r="F108" s="220">
        <v>3113</v>
      </c>
      <c r="G108" s="397" t="s">
        <v>325</v>
      </c>
      <c r="H108" s="304" t="s">
        <v>277</v>
      </c>
      <c r="I108" s="462">
        <f t="shared" si="347"/>
        <v>12849537</v>
      </c>
      <c r="J108" s="457">
        <v>9379801</v>
      </c>
      <c r="K108" s="457">
        <f t="shared" si="348"/>
        <v>3170373</v>
      </c>
      <c r="L108" s="457">
        <f t="shared" si="349"/>
        <v>93798</v>
      </c>
      <c r="M108" s="457">
        <v>205565</v>
      </c>
      <c r="N108" s="458">
        <f t="shared" si="350"/>
        <v>17.441600000000001</v>
      </c>
      <c r="O108" s="459">
        <v>13.1816</v>
      </c>
      <c r="P108" s="646">
        <v>4.26</v>
      </c>
      <c r="Q108" s="469">
        <f t="shared" si="351"/>
        <v>-5200</v>
      </c>
      <c r="R108" s="460">
        <v>0</v>
      </c>
      <c r="S108" s="673">
        <v>0</v>
      </c>
      <c r="T108" s="460">
        <v>0</v>
      </c>
      <c r="U108" s="460">
        <v>0</v>
      </c>
      <c r="V108" s="460">
        <f t="shared" si="352"/>
        <v>-5200</v>
      </c>
      <c r="W108" s="460">
        <v>5200</v>
      </c>
      <c r="X108" s="460">
        <v>0</v>
      </c>
      <c r="Y108" s="460">
        <v>0</v>
      </c>
      <c r="Z108" s="460">
        <f t="shared" si="353"/>
        <v>5200</v>
      </c>
      <c r="AA108" s="460">
        <f t="shared" si="354"/>
        <v>0</v>
      </c>
      <c r="AB108" s="69">
        <f t="shared" si="355"/>
        <v>0</v>
      </c>
      <c r="AC108" s="69">
        <f t="shared" si="356"/>
        <v>-52</v>
      </c>
      <c r="AD108" s="460">
        <v>0</v>
      </c>
      <c r="AE108" s="460">
        <v>0</v>
      </c>
      <c r="AF108" s="460">
        <f t="shared" si="357"/>
        <v>0</v>
      </c>
      <c r="AG108" s="460">
        <f t="shared" si="358"/>
        <v>-52</v>
      </c>
      <c r="AH108" s="461">
        <v>0</v>
      </c>
      <c r="AI108" s="461">
        <v>-0.02</v>
      </c>
      <c r="AJ108" s="461">
        <v>0</v>
      </c>
      <c r="AK108" s="461">
        <v>0</v>
      </c>
      <c r="AL108" s="674">
        <v>0</v>
      </c>
      <c r="AM108" s="461">
        <v>0</v>
      </c>
      <c r="AN108" s="461">
        <v>0</v>
      </c>
      <c r="AO108" s="461">
        <v>0</v>
      </c>
      <c r="AP108" s="461">
        <f t="shared" si="359"/>
        <v>0</v>
      </c>
      <c r="AQ108" s="461">
        <f t="shared" si="360"/>
        <v>-0.02</v>
      </c>
      <c r="AR108" s="463">
        <f t="shared" si="361"/>
        <v>-0.02</v>
      </c>
      <c r="AS108" s="469">
        <f t="shared" si="362"/>
        <v>12849485</v>
      </c>
      <c r="AT108" s="460">
        <f t="shared" si="363"/>
        <v>9374601</v>
      </c>
      <c r="AU108" s="460">
        <f t="shared" si="364"/>
        <v>5200</v>
      </c>
      <c r="AV108" s="460">
        <f t="shared" si="365"/>
        <v>3170373</v>
      </c>
      <c r="AW108" s="460">
        <f t="shared" si="365"/>
        <v>93746</v>
      </c>
      <c r="AX108" s="460">
        <f t="shared" si="366"/>
        <v>205565</v>
      </c>
      <c r="AY108" s="461">
        <f t="shared" si="367"/>
        <v>17.421600000000002</v>
      </c>
      <c r="AZ108" s="461">
        <f t="shared" si="368"/>
        <v>13.1816</v>
      </c>
      <c r="BA108" s="463">
        <f t="shared" si="368"/>
        <v>4.24</v>
      </c>
    </row>
    <row r="109" spans="1:53" ht="12.95" customHeight="1" x14ac:dyDescent="0.25">
      <c r="A109" s="299">
        <v>21</v>
      </c>
      <c r="B109" s="220">
        <v>3427</v>
      </c>
      <c r="C109" s="220">
        <v>650023340</v>
      </c>
      <c r="D109" s="300">
        <v>70982988</v>
      </c>
      <c r="E109" s="397" t="s">
        <v>510</v>
      </c>
      <c r="F109" s="220">
        <v>3113</v>
      </c>
      <c r="G109" s="342" t="s">
        <v>308</v>
      </c>
      <c r="H109" s="304" t="s">
        <v>278</v>
      </c>
      <c r="I109" s="462">
        <f t="shared" si="347"/>
        <v>0</v>
      </c>
      <c r="J109" s="457">
        <v>0</v>
      </c>
      <c r="K109" s="457">
        <f t="shared" si="348"/>
        <v>0</v>
      </c>
      <c r="L109" s="457">
        <f t="shared" si="349"/>
        <v>0</v>
      </c>
      <c r="M109" s="457">
        <v>0</v>
      </c>
      <c r="N109" s="458">
        <f t="shared" si="350"/>
        <v>0</v>
      </c>
      <c r="O109" s="459">
        <v>0</v>
      </c>
      <c r="P109" s="646">
        <v>0</v>
      </c>
      <c r="Q109" s="469">
        <f t="shared" si="351"/>
        <v>0</v>
      </c>
      <c r="R109" s="460">
        <f>1393569+21208</f>
        <v>1414777</v>
      </c>
      <c r="S109" s="673">
        <v>0</v>
      </c>
      <c r="T109" s="460">
        <v>0</v>
      </c>
      <c r="U109" s="460">
        <v>0</v>
      </c>
      <c r="V109" s="460">
        <f t="shared" si="352"/>
        <v>1414777</v>
      </c>
      <c r="W109" s="460">
        <v>0</v>
      </c>
      <c r="X109" s="460">
        <v>0</v>
      </c>
      <c r="Y109" s="460">
        <v>0</v>
      </c>
      <c r="Z109" s="460">
        <f t="shared" si="353"/>
        <v>0</v>
      </c>
      <c r="AA109" s="460">
        <f t="shared" si="354"/>
        <v>1414777</v>
      </c>
      <c r="AB109" s="69">
        <f t="shared" si="355"/>
        <v>478195</v>
      </c>
      <c r="AC109" s="69">
        <f t="shared" si="356"/>
        <v>14148</v>
      </c>
      <c r="AD109" s="460">
        <v>65050</v>
      </c>
      <c r="AE109" s="460">
        <v>0</v>
      </c>
      <c r="AF109" s="460">
        <f t="shared" si="357"/>
        <v>65050</v>
      </c>
      <c r="AG109" s="460">
        <f t="shared" si="358"/>
        <v>1972170</v>
      </c>
      <c r="AH109" s="461">
        <v>0</v>
      </c>
      <c r="AI109" s="461">
        <v>0</v>
      </c>
      <c r="AJ109" s="461">
        <f>3.99+0.05</f>
        <v>4.04</v>
      </c>
      <c r="AK109" s="461">
        <v>0</v>
      </c>
      <c r="AL109" s="674">
        <v>0</v>
      </c>
      <c r="AM109" s="461">
        <v>0</v>
      </c>
      <c r="AN109" s="461">
        <v>0</v>
      </c>
      <c r="AO109" s="461">
        <v>0</v>
      </c>
      <c r="AP109" s="461">
        <f t="shared" si="359"/>
        <v>4.04</v>
      </c>
      <c r="AQ109" s="461">
        <f t="shared" si="360"/>
        <v>0</v>
      </c>
      <c r="AR109" s="463">
        <f t="shared" si="361"/>
        <v>4.04</v>
      </c>
      <c r="AS109" s="469">
        <f t="shared" si="362"/>
        <v>1972170</v>
      </c>
      <c r="AT109" s="460">
        <f t="shared" si="363"/>
        <v>1414777</v>
      </c>
      <c r="AU109" s="460">
        <f t="shared" si="364"/>
        <v>0</v>
      </c>
      <c r="AV109" s="460">
        <f t="shared" si="365"/>
        <v>478195</v>
      </c>
      <c r="AW109" s="460">
        <f t="shared" si="365"/>
        <v>14148</v>
      </c>
      <c r="AX109" s="460">
        <f t="shared" si="366"/>
        <v>65050</v>
      </c>
      <c r="AY109" s="461">
        <f t="shared" si="367"/>
        <v>4.04</v>
      </c>
      <c r="AZ109" s="461">
        <f t="shared" si="368"/>
        <v>4.04</v>
      </c>
      <c r="BA109" s="463">
        <f t="shared" si="368"/>
        <v>0</v>
      </c>
    </row>
    <row r="110" spans="1:53" ht="12.95" customHeight="1" x14ac:dyDescent="0.25">
      <c r="A110" s="299">
        <v>21</v>
      </c>
      <c r="B110" s="220">
        <v>3427</v>
      </c>
      <c r="C110" s="220">
        <v>650023340</v>
      </c>
      <c r="D110" s="300">
        <v>70982988</v>
      </c>
      <c r="E110" s="396" t="s">
        <v>510</v>
      </c>
      <c r="F110" s="407">
        <v>3141</v>
      </c>
      <c r="G110" s="398" t="s">
        <v>311</v>
      </c>
      <c r="H110" s="304" t="s">
        <v>278</v>
      </c>
      <c r="I110" s="462">
        <f t="shared" si="347"/>
        <v>1724239</v>
      </c>
      <c r="J110" s="457">
        <f>1095395+175785</f>
        <v>1271180</v>
      </c>
      <c r="K110" s="457">
        <f t="shared" si="348"/>
        <v>429659</v>
      </c>
      <c r="L110" s="457">
        <f t="shared" si="349"/>
        <v>12712</v>
      </c>
      <c r="M110" s="457">
        <f>9192+1496</f>
        <v>10688</v>
      </c>
      <c r="N110" s="458">
        <f t="shared" si="350"/>
        <v>4.08</v>
      </c>
      <c r="O110" s="459">
        <v>0</v>
      </c>
      <c r="P110" s="646">
        <f>3.52+0.56</f>
        <v>4.08</v>
      </c>
      <c r="Q110" s="469">
        <f t="shared" si="351"/>
        <v>0</v>
      </c>
      <c r="R110" s="460">
        <v>0</v>
      </c>
      <c r="S110" s="673">
        <v>0</v>
      </c>
      <c r="T110" s="460">
        <v>0</v>
      </c>
      <c r="U110" s="460">
        <v>0</v>
      </c>
      <c r="V110" s="460">
        <f t="shared" si="352"/>
        <v>0</v>
      </c>
      <c r="W110" s="460">
        <v>0</v>
      </c>
      <c r="X110" s="460">
        <v>0</v>
      </c>
      <c r="Y110" s="460">
        <v>0</v>
      </c>
      <c r="Z110" s="460">
        <f t="shared" si="353"/>
        <v>0</v>
      </c>
      <c r="AA110" s="460">
        <f t="shared" si="354"/>
        <v>0</v>
      </c>
      <c r="AB110" s="69">
        <f t="shared" si="355"/>
        <v>0</v>
      </c>
      <c r="AC110" s="69">
        <f t="shared" si="356"/>
        <v>0</v>
      </c>
      <c r="AD110" s="460">
        <v>0</v>
      </c>
      <c r="AE110" s="460">
        <v>0</v>
      </c>
      <c r="AF110" s="460">
        <f t="shared" si="357"/>
        <v>0</v>
      </c>
      <c r="AG110" s="460">
        <f t="shared" si="358"/>
        <v>0</v>
      </c>
      <c r="AH110" s="461">
        <v>0</v>
      </c>
      <c r="AI110" s="461">
        <v>0</v>
      </c>
      <c r="AJ110" s="461">
        <v>0</v>
      </c>
      <c r="AK110" s="461">
        <v>0</v>
      </c>
      <c r="AL110" s="674">
        <v>0</v>
      </c>
      <c r="AM110" s="461">
        <v>0</v>
      </c>
      <c r="AN110" s="461">
        <v>0</v>
      </c>
      <c r="AO110" s="461">
        <v>0</v>
      </c>
      <c r="AP110" s="461">
        <f t="shared" si="359"/>
        <v>0</v>
      </c>
      <c r="AQ110" s="461">
        <f t="shared" si="360"/>
        <v>0</v>
      </c>
      <c r="AR110" s="463">
        <f t="shared" si="361"/>
        <v>0</v>
      </c>
      <c r="AS110" s="469">
        <f t="shared" si="362"/>
        <v>1724239</v>
      </c>
      <c r="AT110" s="460">
        <f t="shared" si="363"/>
        <v>1271180</v>
      </c>
      <c r="AU110" s="460">
        <f t="shared" si="364"/>
        <v>0</v>
      </c>
      <c r="AV110" s="460">
        <f t="shared" si="365"/>
        <v>429659</v>
      </c>
      <c r="AW110" s="460">
        <f t="shared" si="365"/>
        <v>12712</v>
      </c>
      <c r="AX110" s="460">
        <f t="shared" si="366"/>
        <v>10688</v>
      </c>
      <c r="AY110" s="461">
        <f t="shared" si="367"/>
        <v>4.08</v>
      </c>
      <c r="AZ110" s="461">
        <f t="shared" si="368"/>
        <v>0</v>
      </c>
      <c r="BA110" s="463">
        <f t="shared" si="368"/>
        <v>4.08</v>
      </c>
    </row>
    <row r="111" spans="1:53" ht="12.95" customHeight="1" x14ac:dyDescent="0.25">
      <c r="A111" s="299">
        <v>21</v>
      </c>
      <c r="B111" s="220">
        <v>3427</v>
      </c>
      <c r="C111" s="220">
        <v>650023340</v>
      </c>
      <c r="D111" s="300">
        <v>70982988</v>
      </c>
      <c r="E111" s="397" t="s">
        <v>510</v>
      </c>
      <c r="F111" s="220">
        <v>3143</v>
      </c>
      <c r="G111" s="342" t="s">
        <v>616</v>
      </c>
      <c r="H111" s="304" t="s">
        <v>277</v>
      </c>
      <c r="I111" s="462">
        <f t="shared" si="347"/>
        <v>1308019</v>
      </c>
      <c r="J111" s="457">
        <v>970341</v>
      </c>
      <c r="K111" s="457">
        <f t="shared" si="348"/>
        <v>327975</v>
      </c>
      <c r="L111" s="457">
        <f t="shared" si="349"/>
        <v>9703</v>
      </c>
      <c r="M111" s="457">
        <v>0</v>
      </c>
      <c r="N111" s="458">
        <f t="shared" si="350"/>
        <v>2.0535999999999999</v>
      </c>
      <c r="O111" s="459">
        <v>2.0535999999999999</v>
      </c>
      <c r="P111" s="646">
        <v>0</v>
      </c>
      <c r="Q111" s="469">
        <f t="shared" si="351"/>
        <v>0</v>
      </c>
      <c r="R111" s="460">
        <v>0</v>
      </c>
      <c r="S111" s="673">
        <v>0</v>
      </c>
      <c r="T111" s="460">
        <v>0</v>
      </c>
      <c r="U111" s="460">
        <v>0</v>
      </c>
      <c r="V111" s="460">
        <f t="shared" si="352"/>
        <v>0</v>
      </c>
      <c r="W111" s="460">
        <v>0</v>
      </c>
      <c r="X111" s="460">
        <v>0</v>
      </c>
      <c r="Y111" s="460">
        <v>0</v>
      </c>
      <c r="Z111" s="460">
        <f t="shared" si="353"/>
        <v>0</v>
      </c>
      <c r="AA111" s="460">
        <f t="shared" si="354"/>
        <v>0</v>
      </c>
      <c r="AB111" s="69">
        <f t="shared" si="355"/>
        <v>0</v>
      </c>
      <c r="AC111" s="69">
        <f t="shared" si="356"/>
        <v>0</v>
      </c>
      <c r="AD111" s="460">
        <v>0</v>
      </c>
      <c r="AE111" s="460">
        <v>0</v>
      </c>
      <c r="AF111" s="460">
        <f t="shared" si="357"/>
        <v>0</v>
      </c>
      <c r="AG111" s="460">
        <f t="shared" si="358"/>
        <v>0</v>
      </c>
      <c r="AH111" s="461">
        <v>0</v>
      </c>
      <c r="AI111" s="461">
        <v>0</v>
      </c>
      <c r="AJ111" s="461">
        <v>0</v>
      </c>
      <c r="AK111" s="461">
        <v>0</v>
      </c>
      <c r="AL111" s="674">
        <v>0</v>
      </c>
      <c r="AM111" s="461">
        <v>0</v>
      </c>
      <c r="AN111" s="461">
        <v>0</v>
      </c>
      <c r="AO111" s="461">
        <v>0</v>
      </c>
      <c r="AP111" s="461">
        <f t="shared" si="359"/>
        <v>0</v>
      </c>
      <c r="AQ111" s="461">
        <f t="shared" si="360"/>
        <v>0</v>
      </c>
      <c r="AR111" s="463">
        <f t="shared" si="361"/>
        <v>0</v>
      </c>
      <c r="AS111" s="469">
        <f t="shared" si="362"/>
        <v>1308019</v>
      </c>
      <c r="AT111" s="460">
        <f t="shared" si="363"/>
        <v>970341</v>
      </c>
      <c r="AU111" s="460">
        <f t="shared" si="364"/>
        <v>0</v>
      </c>
      <c r="AV111" s="460">
        <f t="shared" si="365"/>
        <v>327975</v>
      </c>
      <c r="AW111" s="460">
        <f t="shared" si="365"/>
        <v>9703</v>
      </c>
      <c r="AX111" s="460">
        <f t="shared" si="366"/>
        <v>0</v>
      </c>
      <c r="AY111" s="461">
        <f t="shared" si="367"/>
        <v>2.0535999999999999</v>
      </c>
      <c r="AZ111" s="461">
        <f t="shared" si="368"/>
        <v>2.0535999999999999</v>
      </c>
      <c r="BA111" s="463">
        <f t="shared" si="368"/>
        <v>0</v>
      </c>
    </row>
    <row r="112" spans="1:53" ht="12.95" customHeight="1" x14ac:dyDescent="0.25">
      <c r="A112" s="299">
        <v>21</v>
      </c>
      <c r="B112" s="220">
        <v>3427</v>
      </c>
      <c r="C112" s="220">
        <v>650023340</v>
      </c>
      <c r="D112" s="300">
        <v>70982988</v>
      </c>
      <c r="E112" s="397" t="s">
        <v>510</v>
      </c>
      <c r="F112" s="220">
        <v>3143</v>
      </c>
      <c r="G112" s="342" t="s">
        <v>617</v>
      </c>
      <c r="H112" s="304" t="s">
        <v>278</v>
      </c>
      <c r="I112" s="462">
        <f t="shared" si="347"/>
        <v>32252</v>
      </c>
      <c r="J112" s="457">
        <v>23045</v>
      </c>
      <c r="K112" s="457">
        <f t="shared" si="348"/>
        <v>7789</v>
      </c>
      <c r="L112" s="457">
        <f t="shared" si="349"/>
        <v>230</v>
      </c>
      <c r="M112" s="457">
        <v>1188</v>
      </c>
      <c r="N112" s="458">
        <f t="shared" si="350"/>
        <v>0.09</v>
      </c>
      <c r="O112" s="459">
        <v>0</v>
      </c>
      <c r="P112" s="646">
        <v>0.09</v>
      </c>
      <c r="Q112" s="469">
        <f t="shared" si="351"/>
        <v>0</v>
      </c>
      <c r="R112" s="460">
        <v>0</v>
      </c>
      <c r="S112" s="673">
        <v>0</v>
      </c>
      <c r="T112" s="460">
        <v>0</v>
      </c>
      <c r="U112" s="460">
        <v>0</v>
      </c>
      <c r="V112" s="460">
        <f t="shared" si="352"/>
        <v>0</v>
      </c>
      <c r="W112" s="460">
        <v>0</v>
      </c>
      <c r="X112" s="460">
        <v>0</v>
      </c>
      <c r="Y112" s="460">
        <v>0</v>
      </c>
      <c r="Z112" s="460">
        <f t="shared" si="353"/>
        <v>0</v>
      </c>
      <c r="AA112" s="460">
        <f t="shared" si="354"/>
        <v>0</v>
      </c>
      <c r="AB112" s="69">
        <f t="shared" si="355"/>
        <v>0</v>
      </c>
      <c r="AC112" s="69">
        <f t="shared" si="356"/>
        <v>0</v>
      </c>
      <c r="AD112" s="460">
        <v>0</v>
      </c>
      <c r="AE112" s="460">
        <v>0</v>
      </c>
      <c r="AF112" s="460">
        <f t="shared" si="357"/>
        <v>0</v>
      </c>
      <c r="AG112" s="460">
        <f t="shared" si="358"/>
        <v>0</v>
      </c>
      <c r="AH112" s="461">
        <v>0</v>
      </c>
      <c r="AI112" s="461">
        <v>0</v>
      </c>
      <c r="AJ112" s="461">
        <v>0</v>
      </c>
      <c r="AK112" s="461">
        <v>0</v>
      </c>
      <c r="AL112" s="674">
        <v>0</v>
      </c>
      <c r="AM112" s="461">
        <v>0</v>
      </c>
      <c r="AN112" s="461">
        <v>0</v>
      </c>
      <c r="AO112" s="461">
        <v>0</v>
      </c>
      <c r="AP112" s="461">
        <f t="shared" si="359"/>
        <v>0</v>
      </c>
      <c r="AQ112" s="461">
        <f t="shared" si="360"/>
        <v>0</v>
      </c>
      <c r="AR112" s="463">
        <f t="shared" si="361"/>
        <v>0</v>
      </c>
      <c r="AS112" s="469">
        <f t="shared" si="362"/>
        <v>32252</v>
      </c>
      <c r="AT112" s="460">
        <f t="shared" si="363"/>
        <v>23045</v>
      </c>
      <c r="AU112" s="460">
        <f t="shared" si="364"/>
        <v>0</v>
      </c>
      <c r="AV112" s="460">
        <f t="shared" si="365"/>
        <v>7789</v>
      </c>
      <c r="AW112" s="460">
        <f t="shared" si="365"/>
        <v>230</v>
      </c>
      <c r="AX112" s="460">
        <f t="shared" si="366"/>
        <v>1188</v>
      </c>
      <c r="AY112" s="461">
        <f t="shared" si="367"/>
        <v>0.09</v>
      </c>
      <c r="AZ112" s="461">
        <f t="shared" si="368"/>
        <v>0</v>
      </c>
      <c r="BA112" s="463">
        <f t="shared" si="368"/>
        <v>0.09</v>
      </c>
    </row>
    <row r="113" spans="1:53" ht="12.95" customHeight="1" x14ac:dyDescent="0.25">
      <c r="A113" s="221">
        <v>21</v>
      </c>
      <c r="B113" s="47">
        <v>3427</v>
      </c>
      <c r="C113" s="47">
        <v>650023340</v>
      </c>
      <c r="D113" s="47">
        <v>70982988</v>
      </c>
      <c r="E113" s="399" t="s">
        <v>511</v>
      </c>
      <c r="F113" s="46"/>
      <c r="G113" s="399"/>
      <c r="H113" s="186"/>
      <c r="I113" s="576">
        <f t="shared" ref="I113:P113" si="369">SUM(I107:I112)</f>
        <v>19036855</v>
      </c>
      <c r="J113" s="573">
        <f t="shared" si="369"/>
        <v>13947637</v>
      </c>
      <c r="K113" s="573">
        <f t="shared" si="369"/>
        <v>4714301</v>
      </c>
      <c r="L113" s="573">
        <f t="shared" si="369"/>
        <v>139476</v>
      </c>
      <c r="M113" s="573">
        <f t="shared" si="369"/>
        <v>235441</v>
      </c>
      <c r="N113" s="574">
        <f t="shared" si="369"/>
        <v>28.336100000000002</v>
      </c>
      <c r="O113" s="574">
        <f t="shared" si="369"/>
        <v>19.106099999999998</v>
      </c>
      <c r="P113" s="404">
        <f t="shared" si="369"/>
        <v>9.23</v>
      </c>
      <c r="Q113" s="578">
        <f t="shared" ref="Q113:BA113" si="370">SUM(Q107:Q112)</f>
        <v>-5200</v>
      </c>
      <c r="R113" s="573">
        <f t="shared" si="370"/>
        <v>1414777</v>
      </c>
      <c r="S113" s="573">
        <f t="shared" si="370"/>
        <v>0</v>
      </c>
      <c r="T113" s="573">
        <f t="shared" si="370"/>
        <v>0</v>
      </c>
      <c r="U113" s="573">
        <f t="shared" si="370"/>
        <v>0</v>
      </c>
      <c r="V113" s="573">
        <f t="shared" si="370"/>
        <v>1409577</v>
      </c>
      <c r="W113" s="573">
        <f t="shared" si="370"/>
        <v>5200</v>
      </c>
      <c r="X113" s="573">
        <f t="shared" si="370"/>
        <v>0</v>
      </c>
      <c r="Y113" s="573">
        <f t="shared" si="370"/>
        <v>0</v>
      </c>
      <c r="Z113" s="573">
        <f t="shared" si="370"/>
        <v>5200</v>
      </c>
      <c r="AA113" s="573">
        <f t="shared" si="370"/>
        <v>1414777</v>
      </c>
      <c r="AB113" s="573">
        <f t="shared" si="370"/>
        <v>478195</v>
      </c>
      <c r="AC113" s="573">
        <f t="shared" si="370"/>
        <v>14096</v>
      </c>
      <c r="AD113" s="573">
        <f t="shared" si="370"/>
        <v>65050</v>
      </c>
      <c r="AE113" s="573">
        <f t="shared" si="370"/>
        <v>0</v>
      </c>
      <c r="AF113" s="573">
        <f t="shared" si="370"/>
        <v>65050</v>
      </c>
      <c r="AG113" s="573">
        <f t="shared" si="370"/>
        <v>1972118</v>
      </c>
      <c r="AH113" s="574">
        <f t="shared" si="370"/>
        <v>0</v>
      </c>
      <c r="AI113" s="574">
        <f t="shared" si="370"/>
        <v>-0.02</v>
      </c>
      <c r="AJ113" s="574">
        <f t="shared" si="370"/>
        <v>4.04</v>
      </c>
      <c r="AK113" s="574">
        <f t="shared" si="370"/>
        <v>0</v>
      </c>
      <c r="AL113" s="574">
        <f t="shared" si="370"/>
        <v>0</v>
      </c>
      <c r="AM113" s="574">
        <f t="shared" si="370"/>
        <v>0</v>
      </c>
      <c r="AN113" s="574">
        <f t="shared" si="370"/>
        <v>0</v>
      </c>
      <c r="AO113" s="574">
        <f t="shared" si="370"/>
        <v>0</v>
      </c>
      <c r="AP113" s="574">
        <f t="shared" si="370"/>
        <v>4.04</v>
      </c>
      <c r="AQ113" s="574">
        <f t="shared" si="370"/>
        <v>-0.02</v>
      </c>
      <c r="AR113" s="404">
        <f t="shared" si="370"/>
        <v>4.0200000000000005</v>
      </c>
      <c r="AS113" s="578">
        <f t="shared" si="370"/>
        <v>21008973</v>
      </c>
      <c r="AT113" s="573">
        <f t="shared" si="370"/>
        <v>15357214</v>
      </c>
      <c r="AU113" s="573">
        <f t="shared" si="370"/>
        <v>5200</v>
      </c>
      <c r="AV113" s="573">
        <f t="shared" si="370"/>
        <v>5192496</v>
      </c>
      <c r="AW113" s="573">
        <f t="shared" si="370"/>
        <v>153572</v>
      </c>
      <c r="AX113" s="573">
        <f t="shared" si="370"/>
        <v>300491</v>
      </c>
      <c r="AY113" s="574">
        <f t="shared" si="370"/>
        <v>32.356100000000005</v>
      </c>
      <c r="AZ113" s="574">
        <f t="shared" si="370"/>
        <v>23.146099999999997</v>
      </c>
      <c r="BA113" s="404">
        <f t="shared" si="370"/>
        <v>9.2100000000000009</v>
      </c>
    </row>
    <row r="114" spans="1:53" ht="12.95" customHeight="1" x14ac:dyDescent="0.25">
      <c r="A114" s="299">
        <v>22</v>
      </c>
      <c r="B114" s="220">
        <v>5484</v>
      </c>
      <c r="C114" s="220">
        <v>600098532</v>
      </c>
      <c r="D114" s="300">
        <v>72743255</v>
      </c>
      <c r="E114" s="397" t="s">
        <v>512</v>
      </c>
      <c r="F114" s="220">
        <v>3111</v>
      </c>
      <c r="G114" s="398" t="s">
        <v>321</v>
      </c>
      <c r="H114" s="304" t="s">
        <v>277</v>
      </c>
      <c r="I114" s="462">
        <f t="shared" ref="I114:I115" si="371">SUM(J114:M114)</f>
        <v>6630944</v>
      </c>
      <c r="J114" s="457">
        <v>4890759</v>
      </c>
      <c r="K114" s="457">
        <f t="shared" ref="K114:K115" si="372">ROUND(J114*33.8%,0)</f>
        <v>1653077</v>
      </c>
      <c r="L114" s="457">
        <f t="shared" ref="L114:L115" si="373">ROUND(J114*1%,0)</f>
        <v>48908</v>
      </c>
      <c r="M114" s="457">
        <v>38200</v>
      </c>
      <c r="N114" s="458">
        <f t="shared" ref="N114:N115" si="374">O114+P114</f>
        <v>10.24</v>
      </c>
      <c r="O114" s="459">
        <v>8</v>
      </c>
      <c r="P114" s="646">
        <v>2.2400000000000002</v>
      </c>
      <c r="Q114" s="469">
        <f t="shared" ref="Q114:Q115" si="375">W114*-1</f>
        <v>0</v>
      </c>
      <c r="R114" s="460">
        <v>0</v>
      </c>
      <c r="S114" s="673">
        <v>0</v>
      </c>
      <c r="T114" s="460">
        <v>0</v>
      </c>
      <c r="U114" s="460">
        <v>0</v>
      </c>
      <c r="V114" s="460">
        <f>SUM(Q114:U114)</f>
        <v>0</v>
      </c>
      <c r="W114" s="460">
        <v>0</v>
      </c>
      <c r="X114" s="460">
        <v>0</v>
      </c>
      <c r="Y114" s="460">
        <v>0</v>
      </c>
      <c r="Z114" s="460">
        <f t="shared" ref="Z114:Z115" si="376">SUM(W114:Y114)</f>
        <v>0</v>
      </c>
      <c r="AA114" s="460">
        <f t="shared" ref="AA114:AA115" si="377">V114+Z114</f>
        <v>0</v>
      </c>
      <c r="AB114" s="69">
        <f t="shared" ref="AB114:AB115" si="378">ROUND((V114+W114+X114)*33.8%,0)</f>
        <v>0</v>
      </c>
      <c r="AC114" s="69">
        <f t="shared" ref="AC114:AC115" si="379">ROUND(V114*1%,0)</f>
        <v>0</v>
      </c>
      <c r="AD114" s="460">
        <v>0</v>
      </c>
      <c r="AE114" s="460">
        <v>0</v>
      </c>
      <c r="AF114" s="460">
        <f t="shared" ref="AF114:AF115" si="380">SUM(AD114:AE114)</f>
        <v>0</v>
      </c>
      <c r="AG114" s="460">
        <f t="shared" ref="AG114:AG115" si="381">AA114+AB114+AC114+AF114</f>
        <v>0</v>
      </c>
      <c r="AH114" s="461">
        <v>0</v>
      </c>
      <c r="AI114" s="461">
        <v>0</v>
      </c>
      <c r="AJ114" s="461">
        <v>0</v>
      </c>
      <c r="AK114" s="461">
        <v>0</v>
      </c>
      <c r="AL114" s="674">
        <v>0</v>
      </c>
      <c r="AM114" s="461">
        <v>0</v>
      </c>
      <c r="AN114" s="461">
        <v>0</v>
      </c>
      <c r="AO114" s="461">
        <v>0</v>
      </c>
      <c r="AP114" s="461">
        <f>AH114+AJ114+AK114+AM114+AN114</f>
        <v>0</v>
      </c>
      <c r="AQ114" s="461">
        <f>AI114+AL114+AO114</f>
        <v>0</v>
      </c>
      <c r="AR114" s="463">
        <f t="shared" ref="AR114:AR115" si="382">SUM(AP114:AQ114)</f>
        <v>0</v>
      </c>
      <c r="AS114" s="469">
        <f>I114+AG114</f>
        <v>6630944</v>
      </c>
      <c r="AT114" s="460">
        <f>J114+V114</f>
        <v>4890759</v>
      </c>
      <c r="AU114" s="460">
        <f t="shared" ref="AU114:AU115" si="383">Z114</f>
        <v>0</v>
      </c>
      <c r="AV114" s="460">
        <f>K114+AB114</f>
        <v>1653077</v>
      </c>
      <c r="AW114" s="460">
        <f>L114+AC114</f>
        <v>48908</v>
      </c>
      <c r="AX114" s="460">
        <f>M114+AF114</f>
        <v>38200</v>
      </c>
      <c r="AY114" s="461">
        <f>N114+AR114</f>
        <v>10.24</v>
      </c>
      <c r="AZ114" s="461">
        <f>O114+AP114</f>
        <v>8</v>
      </c>
      <c r="BA114" s="463">
        <f>P114+AQ114</f>
        <v>2.2400000000000002</v>
      </c>
    </row>
    <row r="115" spans="1:53" ht="12.95" customHeight="1" x14ac:dyDescent="0.25">
      <c r="A115" s="299">
        <v>22</v>
      </c>
      <c r="B115" s="220">
        <v>5484</v>
      </c>
      <c r="C115" s="220">
        <v>600098532</v>
      </c>
      <c r="D115" s="300">
        <v>72743255</v>
      </c>
      <c r="E115" s="397" t="s">
        <v>512</v>
      </c>
      <c r="F115" s="220">
        <v>3141</v>
      </c>
      <c r="G115" s="398" t="s">
        <v>311</v>
      </c>
      <c r="H115" s="304" t="s">
        <v>278</v>
      </c>
      <c r="I115" s="462">
        <f t="shared" si="371"/>
        <v>1269217</v>
      </c>
      <c r="J115" s="457">
        <v>936671</v>
      </c>
      <c r="K115" s="457">
        <f t="shared" si="372"/>
        <v>316595</v>
      </c>
      <c r="L115" s="457">
        <f t="shared" si="373"/>
        <v>9367</v>
      </c>
      <c r="M115" s="457">
        <v>6584</v>
      </c>
      <c r="N115" s="458">
        <f t="shared" si="374"/>
        <v>3.01</v>
      </c>
      <c r="O115" s="459">
        <v>0</v>
      </c>
      <c r="P115" s="646">
        <v>3.01</v>
      </c>
      <c r="Q115" s="469">
        <f t="shared" si="375"/>
        <v>0</v>
      </c>
      <c r="R115" s="460">
        <v>0</v>
      </c>
      <c r="S115" s="673">
        <v>0</v>
      </c>
      <c r="T115" s="460">
        <v>0</v>
      </c>
      <c r="U115" s="460">
        <v>0</v>
      </c>
      <c r="V115" s="460">
        <f>SUM(Q115:U115)</f>
        <v>0</v>
      </c>
      <c r="W115" s="460">
        <v>0</v>
      </c>
      <c r="X115" s="460">
        <v>0</v>
      </c>
      <c r="Y115" s="460">
        <v>0</v>
      </c>
      <c r="Z115" s="460">
        <f t="shared" si="376"/>
        <v>0</v>
      </c>
      <c r="AA115" s="460">
        <f t="shared" si="377"/>
        <v>0</v>
      </c>
      <c r="AB115" s="69">
        <f t="shared" si="378"/>
        <v>0</v>
      </c>
      <c r="AC115" s="69">
        <f t="shared" si="379"/>
        <v>0</v>
      </c>
      <c r="AD115" s="460">
        <v>0</v>
      </c>
      <c r="AE115" s="460">
        <v>0</v>
      </c>
      <c r="AF115" s="460">
        <f t="shared" si="380"/>
        <v>0</v>
      </c>
      <c r="AG115" s="460">
        <f t="shared" si="381"/>
        <v>0</v>
      </c>
      <c r="AH115" s="461">
        <v>0</v>
      </c>
      <c r="AI115" s="461">
        <v>0</v>
      </c>
      <c r="AJ115" s="461">
        <v>0</v>
      </c>
      <c r="AK115" s="461">
        <v>0</v>
      </c>
      <c r="AL115" s="674">
        <v>0</v>
      </c>
      <c r="AM115" s="461">
        <v>0</v>
      </c>
      <c r="AN115" s="461">
        <v>0</v>
      </c>
      <c r="AO115" s="461">
        <v>0</v>
      </c>
      <c r="AP115" s="461">
        <f>AH115+AJ115+AK115+AM115+AN115</f>
        <v>0</v>
      </c>
      <c r="AQ115" s="461">
        <f>AI115+AL115+AO115</f>
        <v>0</v>
      </c>
      <c r="AR115" s="463">
        <f t="shared" si="382"/>
        <v>0</v>
      </c>
      <c r="AS115" s="469">
        <f>I115+AG115</f>
        <v>1269217</v>
      </c>
      <c r="AT115" s="460">
        <f>J115+V115</f>
        <v>936671</v>
      </c>
      <c r="AU115" s="460">
        <f t="shared" si="383"/>
        <v>0</v>
      </c>
      <c r="AV115" s="460">
        <f>K115+AB115</f>
        <v>316595</v>
      </c>
      <c r="AW115" s="460">
        <f>L115+AC115</f>
        <v>9367</v>
      </c>
      <c r="AX115" s="460">
        <f>M115+AF115</f>
        <v>6584</v>
      </c>
      <c r="AY115" s="461">
        <f>N115+AR115</f>
        <v>3.01</v>
      </c>
      <c r="AZ115" s="461">
        <f>O115+AP115</f>
        <v>0</v>
      </c>
      <c r="BA115" s="463">
        <f>P115+AQ115</f>
        <v>3.01</v>
      </c>
    </row>
    <row r="116" spans="1:53" ht="12.95" customHeight="1" x14ac:dyDescent="0.25">
      <c r="A116" s="221">
        <v>22</v>
      </c>
      <c r="B116" s="46">
        <v>5484</v>
      </c>
      <c r="C116" s="46">
        <v>600098532</v>
      </c>
      <c r="D116" s="46">
        <v>72743255</v>
      </c>
      <c r="E116" s="399" t="s">
        <v>513</v>
      </c>
      <c r="F116" s="46"/>
      <c r="G116" s="399"/>
      <c r="H116" s="186"/>
      <c r="I116" s="536">
        <f t="shared" ref="I116:P116" si="384">SUM(I114:I115)</f>
        <v>7900161</v>
      </c>
      <c r="J116" s="532">
        <f t="shared" si="384"/>
        <v>5827430</v>
      </c>
      <c r="K116" s="532">
        <f t="shared" si="384"/>
        <v>1969672</v>
      </c>
      <c r="L116" s="532">
        <f t="shared" si="384"/>
        <v>58275</v>
      </c>
      <c r="M116" s="532">
        <f t="shared" si="384"/>
        <v>44784</v>
      </c>
      <c r="N116" s="533">
        <f t="shared" si="384"/>
        <v>13.25</v>
      </c>
      <c r="O116" s="533">
        <f t="shared" si="384"/>
        <v>8</v>
      </c>
      <c r="P116" s="298">
        <f t="shared" si="384"/>
        <v>5.25</v>
      </c>
      <c r="Q116" s="538">
        <f t="shared" ref="Q116:BA116" si="385">SUM(Q114:Q115)</f>
        <v>0</v>
      </c>
      <c r="R116" s="532">
        <f t="shared" si="385"/>
        <v>0</v>
      </c>
      <c r="S116" s="532">
        <f t="shared" si="385"/>
        <v>0</v>
      </c>
      <c r="T116" s="532">
        <f t="shared" si="385"/>
        <v>0</v>
      </c>
      <c r="U116" s="532">
        <f t="shared" si="385"/>
        <v>0</v>
      </c>
      <c r="V116" s="532">
        <f t="shared" si="385"/>
        <v>0</v>
      </c>
      <c r="W116" s="532">
        <f t="shared" si="385"/>
        <v>0</v>
      </c>
      <c r="X116" s="532">
        <f t="shared" si="385"/>
        <v>0</v>
      </c>
      <c r="Y116" s="532">
        <f t="shared" si="385"/>
        <v>0</v>
      </c>
      <c r="Z116" s="532">
        <f t="shared" si="385"/>
        <v>0</v>
      </c>
      <c r="AA116" s="532">
        <f t="shared" si="385"/>
        <v>0</v>
      </c>
      <c r="AB116" s="532">
        <f t="shared" si="385"/>
        <v>0</v>
      </c>
      <c r="AC116" s="532">
        <f t="shared" si="385"/>
        <v>0</v>
      </c>
      <c r="AD116" s="532">
        <f t="shared" si="385"/>
        <v>0</v>
      </c>
      <c r="AE116" s="532">
        <f t="shared" si="385"/>
        <v>0</v>
      </c>
      <c r="AF116" s="532">
        <f t="shared" si="385"/>
        <v>0</v>
      </c>
      <c r="AG116" s="532">
        <f t="shared" si="385"/>
        <v>0</v>
      </c>
      <c r="AH116" s="533">
        <f t="shared" si="385"/>
        <v>0</v>
      </c>
      <c r="AI116" s="533">
        <f t="shared" si="385"/>
        <v>0</v>
      </c>
      <c r="AJ116" s="533">
        <f t="shared" si="385"/>
        <v>0</v>
      </c>
      <c r="AK116" s="533">
        <f t="shared" si="385"/>
        <v>0</v>
      </c>
      <c r="AL116" s="533">
        <f t="shared" si="385"/>
        <v>0</v>
      </c>
      <c r="AM116" s="533">
        <f t="shared" si="385"/>
        <v>0</v>
      </c>
      <c r="AN116" s="533">
        <f t="shared" si="385"/>
        <v>0</v>
      </c>
      <c r="AO116" s="533">
        <f t="shared" si="385"/>
        <v>0</v>
      </c>
      <c r="AP116" s="533">
        <f t="shared" si="385"/>
        <v>0</v>
      </c>
      <c r="AQ116" s="533">
        <f t="shared" si="385"/>
        <v>0</v>
      </c>
      <c r="AR116" s="298">
        <f t="shared" si="385"/>
        <v>0</v>
      </c>
      <c r="AS116" s="538">
        <f t="shared" si="385"/>
        <v>7900161</v>
      </c>
      <c r="AT116" s="532">
        <f t="shared" si="385"/>
        <v>5827430</v>
      </c>
      <c r="AU116" s="532">
        <f t="shared" si="385"/>
        <v>0</v>
      </c>
      <c r="AV116" s="532">
        <f t="shared" si="385"/>
        <v>1969672</v>
      </c>
      <c r="AW116" s="532">
        <f t="shared" si="385"/>
        <v>58275</v>
      </c>
      <c r="AX116" s="532">
        <f t="shared" si="385"/>
        <v>44784</v>
      </c>
      <c r="AY116" s="533">
        <f t="shared" si="385"/>
        <v>13.25</v>
      </c>
      <c r="AZ116" s="533">
        <f t="shared" si="385"/>
        <v>8</v>
      </c>
      <c r="BA116" s="298">
        <f t="shared" si="385"/>
        <v>5.25</v>
      </c>
    </row>
    <row r="117" spans="1:53" ht="12.95" customHeight="1" x14ac:dyDescent="0.25">
      <c r="A117" s="299">
        <v>23</v>
      </c>
      <c r="B117" s="220">
        <v>5485</v>
      </c>
      <c r="C117" s="220">
        <v>600099300</v>
      </c>
      <c r="D117" s="300">
        <v>72743174</v>
      </c>
      <c r="E117" s="397" t="s">
        <v>514</v>
      </c>
      <c r="F117" s="220">
        <v>3117</v>
      </c>
      <c r="G117" s="397" t="s">
        <v>325</v>
      </c>
      <c r="H117" s="304" t="s">
        <v>277</v>
      </c>
      <c r="I117" s="462">
        <f t="shared" ref="I117:I121" si="386">SUM(J117:M117)</f>
        <v>5995464</v>
      </c>
      <c r="J117" s="457">
        <v>4357949</v>
      </c>
      <c r="K117" s="457">
        <f>ROUND(J117*33.8%,0)-1</f>
        <v>1472986</v>
      </c>
      <c r="L117" s="457">
        <f t="shared" ref="L117:L121" si="387">ROUND(J117*1%,0)</f>
        <v>43579</v>
      </c>
      <c r="M117" s="457">
        <v>120950</v>
      </c>
      <c r="N117" s="458">
        <f t="shared" ref="N117:N121" si="388">O117+P117</f>
        <v>8.1999999999999993</v>
      </c>
      <c r="O117" s="459">
        <v>6.1</v>
      </c>
      <c r="P117" s="646">
        <v>2.1</v>
      </c>
      <c r="Q117" s="469">
        <f t="shared" ref="Q117:Q121" si="389">W117*-1</f>
        <v>-3250</v>
      </c>
      <c r="R117" s="460">
        <v>0</v>
      </c>
      <c r="S117" s="673">
        <v>0</v>
      </c>
      <c r="T117" s="460">
        <v>0</v>
      </c>
      <c r="U117" s="460">
        <v>0</v>
      </c>
      <c r="V117" s="460">
        <f>SUM(Q117:U117)</f>
        <v>-3250</v>
      </c>
      <c r="W117" s="460">
        <v>3250</v>
      </c>
      <c r="X117" s="460">
        <v>0</v>
      </c>
      <c r="Y117" s="460">
        <v>0</v>
      </c>
      <c r="Z117" s="460">
        <f t="shared" ref="Z117:Z121" si="390">SUM(W117:Y117)</f>
        <v>3250</v>
      </c>
      <c r="AA117" s="460">
        <f t="shared" ref="AA117:AA121" si="391">V117+Z117</f>
        <v>0</v>
      </c>
      <c r="AB117" s="69">
        <f t="shared" ref="AB117:AB121" si="392">ROUND((V117+W117+X117)*33.8%,0)</f>
        <v>0</v>
      </c>
      <c r="AC117" s="69">
        <f t="shared" ref="AC117:AC121" si="393">ROUND(V117*1%,0)</f>
        <v>-33</v>
      </c>
      <c r="AD117" s="460">
        <v>0</v>
      </c>
      <c r="AE117" s="460">
        <v>0</v>
      </c>
      <c r="AF117" s="460">
        <f t="shared" ref="AF117:AF121" si="394">SUM(AD117:AE117)</f>
        <v>0</v>
      </c>
      <c r="AG117" s="460">
        <f t="shared" ref="AG117:AG121" si="395">AA117+AB117+AC117+AF117</f>
        <v>-33</v>
      </c>
      <c r="AH117" s="461">
        <v>0</v>
      </c>
      <c r="AI117" s="461">
        <v>0</v>
      </c>
      <c r="AJ117" s="461">
        <v>0</v>
      </c>
      <c r="AK117" s="461">
        <v>0</v>
      </c>
      <c r="AL117" s="674">
        <v>0</v>
      </c>
      <c r="AM117" s="461">
        <v>0</v>
      </c>
      <c r="AN117" s="461">
        <v>0</v>
      </c>
      <c r="AO117" s="461">
        <v>0</v>
      </c>
      <c r="AP117" s="461">
        <f>AH117+AJ117+AK117+AM117+AN117</f>
        <v>0</v>
      </c>
      <c r="AQ117" s="461">
        <f>AI117+AL117+AO117</f>
        <v>0</v>
      </c>
      <c r="AR117" s="463">
        <f t="shared" ref="AR117:AR121" si="396">SUM(AP117:AQ117)</f>
        <v>0</v>
      </c>
      <c r="AS117" s="469">
        <f>I117+AG117</f>
        <v>5995431</v>
      </c>
      <c r="AT117" s="460">
        <f>J117+V117</f>
        <v>4354699</v>
      </c>
      <c r="AU117" s="460">
        <f t="shared" ref="AU117:AU121" si="397">Z117</f>
        <v>3250</v>
      </c>
      <c r="AV117" s="460">
        <f t="shared" ref="AV117:AW121" si="398">K117+AB117</f>
        <v>1472986</v>
      </c>
      <c r="AW117" s="460">
        <f t="shared" si="398"/>
        <v>43546</v>
      </c>
      <c r="AX117" s="460">
        <f>M117+AF117</f>
        <v>120950</v>
      </c>
      <c r="AY117" s="461">
        <f>N117+AR117</f>
        <v>8.1999999999999993</v>
      </c>
      <c r="AZ117" s="461">
        <f t="shared" ref="AZ117:BA121" si="399">O117+AP117</f>
        <v>6.1</v>
      </c>
      <c r="BA117" s="463">
        <f t="shared" si="399"/>
        <v>2.1</v>
      </c>
    </row>
    <row r="118" spans="1:53" ht="12.95" customHeight="1" x14ac:dyDescent="0.25">
      <c r="A118" s="299">
        <v>23</v>
      </c>
      <c r="B118" s="220">
        <v>5485</v>
      </c>
      <c r="C118" s="220">
        <v>600099300</v>
      </c>
      <c r="D118" s="300">
        <v>72743174</v>
      </c>
      <c r="E118" s="396" t="s">
        <v>514</v>
      </c>
      <c r="F118" s="220">
        <v>3117</v>
      </c>
      <c r="G118" s="342" t="s">
        <v>308</v>
      </c>
      <c r="H118" s="304" t="s">
        <v>278</v>
      </c>
      <c r="I118" s="462">
        <f t="shared" si="386"/>
        <v>0</v>
      </c>
      <c r="J118" s="457">
        <v>0</v>
      </c>
      <c r="K118" s="457">
        <f t="shared" ref="K118:K121" si="400">ROUND(J118*33.8%,0)</f>
        <v>0</v>
      </c>
      <c r="L118" s="457">
        <f t="shared" si="387"/>
        <v>0</v>
      </c>
      <c r="M118" s="457">
        <v>0</v>
      </c>
      <c r="N118" s="458">
        <f t="shared" si="388"/>
        <v>0</v>
      </c>
      <c r="O118" s="459">
        <v>0</v>
      </c>
      <c r="P118" s="646">
        <v>0</v>
      </c>
      <c r="Q118" s="469">
        <f t="shared" si="389"/>
        <v>0</v>
      </c>
      <c r="R118" s="460">
        <f>352379+21208</f>
        <v>373587</v>
      </c>
      <c r="S118" s="673">
        <v>0</v>
      </c>
      <c r="T118" s="460">
        <v>0</v>
      </c>
      <c r="U118" s="460">
        <v>0</v>
      </c>
      <c r="V118" s="460">
        <f>SUM(Q118:U118)</f>
        <v>373587</v>
      </c>
      <c r="W118" s="460">
        <v>0</v>
      </c>
      <c r="X118" s="460">
        <v>0</v>
      </c>
      <c r="Y118" s="460">
        <v>0</v>
      </c>
      <c r="Z118" s="460">
        <f t="shared" si="390"/>
        <v>0</v>
      </c>
      <c r="AA118" s="460">
        <f t="shared" si="391"/>
        <v>373587</v>
      </c>
      <c r="AB118" s="69">
        <f t="shared" si="392"/>
        <v>126272</v>
      </c>
      <c r="AC118" s="69">
        <f t="shared" si="393"/>
        <v>3736</v>
      </c>
      <c r="AD118" s="460">
        <v>0</v>
      </c>
      <c r="AE118" s="460">
        <v>0</v>
      </c>
      <c r="AF118" s="460">
        <f t="shared" si="394"/>
        <v>0</v>
      </c>
      <c r="AG118" s="460">
        <f t="shared" si="395"/>
        <v>503595</v>
      </c>
      <c r="AH118" s="461">
        <v>0</v>
      </c>
      <c r="AI118" s="461">
        <v>0</v>
      </c>
      <c r="AJ118" s="461">
        <f>0.95+0.05</f>
        <v>1</v>
      </c>
      <c r="AK118" s="461">
        <v>0</v>
      </c>
      <c r="AL118" s="674">
        <v>0</v>
      </c>
      <c r="AM118" s="461">
        <v>0</v>
      </c>
      <c r="AN118" s="461">
        <v>0</v>
      </c>
      <c r="AO118" s="461">
        <v>0</v>
      </c>
      <c r="AP118" s="461">
        <f>AH118+AJ118+AK118+AM118+AN118</f>
        <v>1</v>
      </c>
      <c r="AQ118" s="461">
        <f>AI118+AL118+AO118</f>
        <v>0</v>
      </c>
      <c r="AR118" s="463">
        <f t="shared" si="396"/>
        <v>1</v>
      </c>
      <c r="AS118" s="469">
        <f>I118+AG118</f>
        <v>503595</v>
      </c>
      <c r="AT118" s="460">
        <f>J118+V118</f>
        <v>373587</v>
      </c>
      <c r="AU118" s="460">
        <f t="shared" si="397"/>
        <v>0</v>
      </c>
      <c r="AV118" s="460">
        <f t="shared" si="398"/>
        <v>126272</v>
      </c>
      <c r="AW118" s="460">
        <f t="shared" si="398"/>
        <v>3736</v>
      </c>
      <c r="AX118" s="460">
        <f>M118+AF118</f>
        <v>0</v>
      </c>
      <c r="AY118" s="461">
        <f>N118+AR118</f>
        <v>1</v>
      </c>
      <c r="AZ118" s="461">
        <f t="shared" si="399"/>
        <v>1</v>
      </c>
      <c r="BA118" s="463">
        <f t="shared" si="399"/>
        <v>0</v>
      </c>
    </row>
    <row r="119" spans="1:53" ht="12.95" customHeight="1" x14ac:dyDescent="0.25">
      <c r="A119" s="299">
        <v>23</v>
      </c>
      <c r="B119" s="220">
        <v>5485</v>
      </c>
      <c r="C119" s="220">
        <v>600099300</v>
      </c>
      <c r="D119" s="300">
        <v>72743174</v>
      </c>
      <c r="E119" s="397" t="s">
        <v>514</v>
      </c>
      <c r="F119" s="220">
        <v>3141</v>
      </c>
      <c r="G119" s="398" t="s">
        <v>311</v>
      </c>
      <c r="H119" s="304" t="s">
        <v>278</v>
      </c>
      <c r="I119" s="462">
        <f t="shared" si="386"/>
        <v>287855</v>
      </c>
      <c r="J119" s="457">
        <v>211474</v>
      </c>
      <c r="K119" s="457">
        <f t="shared" si="400"/>
        <v>71478</v>
      </c>
      <c r="L119" s="457">
        <f t="shared" si="387"/>
        <v>2115</v>
      </c>
      <c r="M119" s="457">
        <v>2788</v>
      </c>
      <c r="N119" s="458">
        <f t="shared" si="388"/>
        <v>0.68</v>
      </c>
      <c r="O119" s="459">
        <v>0</v>
      </c>
      <c r="P119" s="646">
        <v>0.68</v>
      </c>
      <c r="Q119" s="469">
        <f t="shared" si="389"/>
        <v>-3250</v>
      </c>
      <c r="R119" s="460">
        <v>0</v>
      </c>
      <c r="S119" s="673">
        <v>0</v>
      </c>
      <c r="T119" s="460">
        <v>0</v>
      </c>
      <c r="U119" s="460">
        <v>0</v>
      </c>
      <c r="V119" s="460">
        <f>SUM(Q119:U119)</f>
        <v>-3250</v>
      </c>
      <c r="W119" s="460">
        <v>3250</v>
      </c>
      <c r="X119" s="460">
        <v>0</v>
      </c>
      <c r="Y119" s="460">
        <v>0</v>
      </c>
      <c r="Z119" s="460">
        <f t="shared" si="390"/>
        <v>3250</v>
      </c>
      <c r="AA119" s="460">
        <f t="shared" si="391"/>
        <v>0</v>
      </c>
      <c r="AB119" s="69">
        <f t="shared" si="392"/>
        <v>0</v>
      </c>
      <c r="AC119" s="69">
        <f t="shared" si="393"/>
        <v>-33</v>
      </c>
      <c r="AD119" s="460">
        <v>0</v>
      </c>
      <c r="AE119" s="460">
        <v>0</v>
      </c>
      <c r="AF119" s="460">
        <f t="shared" si="394"/>
        <v>0</v>
      </c>
      <c r="AG119" s="460">
        <f t="shared" si="395"/>
        <v>-33</v>
      </c>
      <c r="AH119" s="461">
        <v>0</v>
      </c>
      <c r="AI119" s="461">
        <v>0</v>
      </c>
      <c r="AJ119" s="461">
        <v>0</v>
      </c>
      <c r="AK119" s="461">
        <v>0</v>
      </c>
      <c r="AL119" s="674">
        <v>0</v>
      </c>
      <c r="AM119" s="461">
        <v>0</v>
      </c>
      <c r="AN119" s="461">
        <v>0</v>
      </c>
      <c r="AO119" s="461">
        <v>0</v>
      </c>
      <c r="AP119" s="461">
        <f>AH119+AJ119+AK119+AM119+AN119</f>
        <v>0</v>
      </c>
      <c r="AQ119" s="461">
        <f>AI119+AL119+AO119</f>
        <v>0</v>
      </c>
      <c r="AR119" s="463">
        <f t="shared" si="396"/>
        <v>0</v>
      </c>
      <c r="AS119" s="469">
        <f>I119+AG119</f>
        <v>287822</v>
      </c>
      <c r="AT119" s="460">
        <f>J119+V119</f>
        <v>208224</v>
      </c>
      <c r="AU119" s="460">
        <f t="shared" si="397"/>
        <v>3250</v>
      </c>
      <c r="AV119" s="460">
        <f t="shared" si="398"/>
        <v>71478</v>
      </c>
      <c r="AW119" s="460">
        <f t="shared" si="398"/>
        <v>2082</v>
      </c>
      <c r="AX119" s="460">
        <f>M119+AF119</f>
        <v>2788</v>
      </c>
      <c r="AY119" s="461">
        <f>N119+AR119</f>
        <v>0.68</v>
      </c>
      <c r="AZ119" s="461">
        <f t="shared" si="399"/>
        <v>0</v>
      </c>
      <c r="BA119" s="463">
        <f t="shared" si="399"/>
        <v>0.68</v>
      </c>
    </row>
    <row r="120" spans="1:53" ht="12.95" customHeight="1" x14ac:dyDescent="0.25">
      <c r="A120" s="299">
        <v>23</v>
      </c>
      <c r="B120" s="220">
        <v>5485</v>
      </c>
      <c r="C120" s="220">
        <v>600099300</v>
      </c>
      <c r="D120" s="300">
        <v>72743174</v>
      </c>
      <c r="E120" s="396" t="s">
        <v>514</v>
      </c>
      <c r="F120" s="407">
        <v>3143</v>
      </c>
      <c r="G120" s="342" t="s">
        <v>616</v>
      </c>
      <c r="H120" s="304" t="s">
        <v>277</v>
      </c>
      <c r="I120" s="462">
        <f t="shared" si="386"/>
        <v>914725</v>
      </c>
      <c r="J120" s="457">
        <v>678579</v>
      </c>
      <c r="K120" s="457">
        <f t="shared" si="400"/>
        <v>229360</v>
      </c>
      <c r="L120" s="457">
        <f t="shared" si="387"/>
        <v>6786</v>
      </c>
      <c r="M120" s="457">
        <v>0</v>
      </c>
      <c r="N120" s="458">
        <f t="shared" si="388"/>
        <v>1.4</v>
      </c>
      <c r="O120" s="459">
        <v>1.4</v>
      </c>
      <c r="P120" s="646">
        <v>0</v>
      </c>
      <c r="Q120" s="469">
        <f t="shared" si="389"/>
        <v>0</v>
      </c>
      <c r="R120" s="460">
        <v>0</v>
      </c>
      <c r="S120" s="673">
        <v>0</v>
      </c>
      <c r="T120" s="460">
        <v>0</v>
      </c>
      <c r="U120" s="460">
        <v>0</v>
      </c>
      <c r="V120" s="460">
        <f>SUM(Q120:U120)</f>
        <v>0</v>
      </c>
      <c r="W120" s="460">
        <v>0</v>
      </c>
      <c r="X120" s="460">
        <v>0</v>
      </c>
      <c r="Y120" s="460">
        <v>0</v>
      </c>
      <c r="Z120" s="460">
        <f t="shared" si="390"/>
        <v>0</v>
      </c>
      <c r="AA120" s="460">
        <f t="shared" si="391"/>
        <v>0</v>
      </c>
      <c r="AB120" s="69">
        <f t="shared" si="392"/>
        <v>0</v>
      </c>
      <c r="AC120" s="69">
        <f t="shared" si="393"/>
        <v>0</v>
      </c>
      <c r="AD120" s="460">
        <v>0</v>
      </c>
      <c r="AE120" s="460">
        <v>0</v>
      </c>
      <c r="AF120" s="460">
        <f t="shared" si="394"/>
        <v>0</v>
      </c>
      <c r="AG120" s="460">
        <f t="shared" si="395"/>
        <v>0</v>
      </c>
      <c r="AH120" s="461">
        <v>0</v>
      </c>
      <c r="AI120" s="461">
        <v>0</v>
      </c>
      <c r="AJ120" s="461">
        <v>0</v>
      </c>
      <c r="AK120" s="461">
        <v>0</v>
      </c>
      <c r="AL120" s="674">
        <v>0</v>
      </c>
      <c r="AM120" s="461">
        <v>0</v>
      </c>
      <c r="AN120" s="461">
        <v>0</v>
      </c>
      <c r="AO120" s="461">
        <v>0</v>
      </c>
      <c r="AP120" s="461">
        <f>AH120+AJ120+AK120+AM120+AN120</f>
        <v>0</v>
      </c>
      <c r="AQ120" s="461">
        <f>AI120+AL120+AO120</f>
        <v>0</v>
      </c>
      <c r="AR120" s="463">
        <f t="shared" si="396"/>
        <v>0</v>
      </c>
      <c r="AS120" s="469">
        <f>I120+AG120</f>
        <v>914725</v>
      </c>
      <c r="AT120" s="460">
        <f>J120+V120</f>
        <v>678579</v>
      </c>
      <c r="AU120" s="460">
        <f t="shared" si="397"/>
        <v>0</v>
      </c>
      <c r="AV120" s="460">
        <f t="shared" si="398"/>
        <v>229360</v>
      </c>
      <c r="AW120" s="460">
        <f t="shared" si="398"/>
        <v>6786</v>
      </c>
      <c r="AX120" s="460">
        <f>M120+AF120</f>
        <v>0</v>
      </c>
      <c r="AY120" s="461">
        <f>N120+AR120</f>
        <v>1.4</v>
      </c>
      <c r="AZ120" s="461">
        <f t="shared" si="399"/>
        <v>1.4</v>
      </c>
      <c r="BA120" s="463">
        <f t="shared" si="399"/>
        <v>0</v>
      </c>
    </row>
    <row r="121" spans="1:53" ht="12.95" customHeight="1" x14ac:dyDescent="0.25">
      <c r="A121" s="299">
        <v>23</v>
      </c>
      <c r="B121" s="220">
        <v>5485</v>
      </c>
      <c r="C121" s="220">
        <v>600099300</v>
      </c>
      <c r="D121" s="300">
        <v>72743174</v>
      </c>
      <c r="E121" s="396" t="s">
        <v>514</v>
      </c>
      <c r="F121" s="407">
        <v>3143</v>
      </c>
      <c r="G121" s="342" t="s">
        <v>617</v>
      </c>
      <c r="H121" s="304" t="s">
        <v>278</v>
      </c>
      <c r="I121" s="462">
        <f t="shared" si="386"/>
        <v>43979</v>
      </c>
      <c r="J121" s="457">
        <v>31424</v>
      </c>
      <c r="K121" s="457">
        <f t="shared" si="400"/>
        <v>10621</v>
      </c>
      <c r="L121" s="457">
        <f t="shared" si="387"/>
        <v>314</v>
      </c>
      <c r="M121" s="457">
        <v>1620</v>
      </c>
      <c r="N121" s="458">
        <f t="shared" si="388"/>
        <v>0.13</v>
      </c>
      <c r="O121" s="459">
        <v>0</v>
      </c>
      <c r="P121" s="646">
        <v>0.13</v>
      </c>
      <c r="Q121" s="469">
        <f t="shared" si="389"/>
        <v>0</v>
      </c>
      <c r="R121" s="460">
        <v>0</v>
      </c>
      <c r="S121" s="673">
        <v>0</v>
      </c>
      <c r="T121" s="460">
        <v>0</v>
      </c>
      <c r="U121" s="460">
        <v>0</v>
      </c>
      <c r="V121" s="460">
        <f>SUM(Q121:U121)</f>
        <v>0</v>
      </c>
      <c r="W121" s="460">
        <v>0</v>
      </c>
      <c r="X121" s="460">
        <v>0</v>
      </c>
      <c r="Y121" s="460">
        <v>0</v>
      </c>
      <c r="Z121" s="460">
        <f t="shared" si="390"/>
        <v>0</v>
      </c>
      <c r="AA121" s="460">
        <f t="shared" si="391"/>
        <v>0</v>
      </c>
      <c r="AB121" s="69">
        <f t="shared" si="392"/>
        <v>0</v>
      </c>
      <c r="AC121" s="69">
        <f t="shared" si="393"/>
        <v>0</v>
      </c>
      <c r="AD121" s="460">
        <v>0</v>
      </c>
      <c r="AE121" s="460">
        <v>0</v>
      </c>
      <c r="AF121" s="460">
        <f t="shared" si="394"/>
        <v>0</v>
      </c>
      <c r="AG121" s="460">
        <f t="shared" si="395"/>
        <v>0</v>
      </c>
      <c r="AH121" s="461">
        <v>0</v>
      </c>
      <c r="AI121" s="461">
        <v>0</v>
      </c>
      <c r="AJ121" s="461">
        <v>0</v>
      </c>
      <c r="AK121" s="461">
        <v>0</v>
      </c>
      <c r="AL121" s="674">
        <v>0</v>
      </c>
      <c r="AM121" s="461">
        <v>0</v>
      </c>
      <c r="AN121" s="461">
        <v>0</v>
      </c>
      <c r="AO121" s="461">
        <v>0</v>
      </c>
      <c r="AP121" s="461">
        <f>AH121+AJ121+AK121+AM121+AN121</f>
        <v>0</v>
      </c>
      <c r="AQ121" s="461">
        <f>AI121+AL121+AO121</f>
        <v>0</v>
      </c>
      <c r="AR121" s="463">
        <f t="shared" si="396"/>
        <v>0</v>
      </c>
      <c r="AS121" s="469">
        <f>I121+AG121</f>
        <v>43979</v>
      </c>
      <c r="AT121" s="460">
        <f>J121+V121</f>
        <v>31424</v>
      </c>
      <c r="AU121" s="460">
        <f t="shared" si="397"/>
        <v>0</v>
      </c>
      <c r="AV121" s="460">
        <f t="shared" si="398"/>
        <v>10621</v>
      </c>
      <c r="AW121" s="460">
        <f t="shared" si="398"/>
        <v>314</v>
      </c>
      <c r="AX121" s="460">
        <f>M121+AF121</f>
        <v>1620</v>
      </c>
      <c r="AY121" s="461">
        <f>N121+AR121</f>
        <v>0.13</v>
      </c>
      <c r="AZ121" s="461">
        <f t="shared" si="399"/>
        <v>0</v>
      </c>
      <c r="BA121" s="463">
        <f t="shared" si="399"/>
        <v>0.13</v>
      </c>
    </row>
    <row r="122" spans="1:53" ht="12.95" customHeight="1" x14ac:dyDescent="0.25">
      <c r="A122" s="221">
        <v>23</v>
      </c>
      <c r="B122" s="47">
        <v>5485</v>
      </c>
      <c r="C122" s="47">
        <v>600099300</v>
      </c>
      <c r="D122" s="47">
        <v>72743174</v>
      </c>
      <c r="E122" s="408" t="s">
        <v>515</v>
      </c>
      <c r="F122" s="413"/>
      <c r="G122" s="412"/>
      <c r="H122" s="189"/>
      <c r="I122" s="536">
        <f t="shared" ref="I122:P122" si="401">SUM(I117:I121)</f>
        <v>7242023</v>
      </c>
      <c r="J122" s="532">
        <f t="shared" si="401"/>
        <v>5279426</v>
      </c>
      <c r="K122" s="532">
        <f t="shared" si="401"/>
        <v>1784445</v>
      </c>
      <c r="L122" s="532">
        <f t="shared" si="401"/>
        <v>52794</v>
      </c>
      <c r="M122" s="532">
        <f t="shared" si="401"/>
        <v>125358</v>
      </c>
      <c r="N122" s="533">
        <f t="shared" si="401"/>
        <v>10.41</v>
      </c>
      <c r="O122" s="533">
        <f t="shared" si="401"/>
        <v>7.5</v>
      </c>
      <c r="P122" s="298">
        <f t="shared" si="401"/>
        <v>2.91</v>
      </c>
      <c r="Q122" s="538">
        <f t="shared" ref="Q122:BA122" si="402">SUM(Q117:Q121)</f>
        <v>-6500</v>
      </c>
      <c r="R122" s="532">
        <f t="shared" si="402"/>
        <v>373587</v>
      </c>
      <c r="S122" s="532">
        <f t="shared" si="402"/>
        <v>0</v>
      </c>
      <c r="T122" s="532">
        <f t="shared" si="402"/>
        <v>0</v>
      </c>
      <c r="U122" s="532">
        <f t="shared" si="402"/>
        <v>0</v>
      </c>
      <c r="V122" s="532">
        <f t="shared" si="402"/>
        <v>367087</v>
      </c>
      <c r="W122" s="532">
        <f t="shared" si="402"/>
        <v>6500</v>
      </c>
      <c r="X122" s="532">
        <f t="shared" si="402"/>
        <v>0</v>
      </c>
      <c r="Y122" s="532">
        <f t="shared" si="402"/>
        <v>0</v>
      </c>
      <c r="Z122" s="532">
        <f t="shared" si="402"/>
        <v>6500</v>
      </c>
      <c r="AA122" s="532">
        <f t="shared" si="402"/>
        <v>373587</v>
      </c>
      <c r="AB122" s="532">
        <f t="shared" si="402"/>
        <v>126272</v>
      </c>
      <c r="AC122" s="532">
        <f t="shared" si="402"/>
        <v>3670</v>
      </c>
      <c r="AD122" s="532">
        <f t="shared" si="402"/>
        <v>0</v>
      </c>
      <c r="AE122" s="532">
        <f t="shared" si="402"/>
        <v>0</v>
      </c>
      <c r="AF122" s="532">
        <f t="shared" si="402"/>
        <v>0</v>
      </c>
      <c r="AG122" s="532">
        <f t="shared" si="402"/>
        <v>503529</v>
      </c>
      <c r="AH122" s="533">
        <f t="shared" si="402"/>
        <v>0</v>
      </c>
      <c r="AI122" s="533">
        <f t="shared" si="402"/>
        <v>0</v>
      </c>
      <c r="AJ122" s="533">
        <f t="shared" si="402"/>
        <v>1</v>
      </c>
      <c r="AK122" s="533">
        <f t="shared" si="402"/>
        <v>0</v>
      </c>
      <c r="AL122" s="533">
        <f t="shared" si="402"/>
        <v>0</v>
      </c>
      <c r="AM122" s="533">
        <f t="shared" si="402"/>
        <v>0</v>
      </c>
      <c r="AN122" s="533">
        <f t="shared" si="402"/>
        <v>0</v>
      </c>
      <c r="AO122" s="533">
        <f t="shared" si="402"/>
        <v>0</v>
      </c>
      <c r="AP122" s="533">
        <f t="shared" si="402"/>
        <v>1</v>
      </c>
      <c r="AQ122" s="533">
        <f t="shared" si="402"/>
        <v>0</v>
      </c>
      <c r="AR122" s="298">
        <f t="shared" si="402"/>
        <v>1</v>
      </c>
      <c r="AS122" s="538">
        <f t="shared" si="402"/>
        <v>7745552</v>
      </c>
      <c r="AT122" s="532">
        <f t="shared" si="402"/>
        <v>5646513</v>
      </c>
      <c r="AU122" s="532">
        <f t="shared" si="402"/>
        <v>6500</v>
      </c>
      <c r="AV122" s="532">
        <f t="shared" si="402"/>
        <v>1910717</v>
      </c>
      <c r="AW122" s="532">
        <f t="shared" si="402"/>
        <v>56464</v>
      </c>
      <c r="AX122" s="532">
        <f t="shared" si="402"/>
        <v>125358</v>
      </c>
      <c r="AY122" s="533">
        <f t="shared" si="402"/>
        <v>11.41</v>
      </c>
      <c r="AZ122" s="533">
        <f t="shared" si="402"/>
        <v>8.5</v>
      </c>
      <c r="BA122" s="298">
        <f t="shared" si="402"/>
        <v>2.91</v>
      </c>
    </row>
    <row r="123" spans="1:53" ht="12.95" customHeight="1" x14ac:dyDescent="0.25">
      <c r="A123" s="299">
        <v>24</v>
      </c>
      <c r="B123" s="220">
        <v>5434</v>
      </c>
      <c r="C123" s="220">
        <v>600098923</v>
      </c>
      <c r="D123" s="300">
        <v>70695318</v>
      </c>
      <c r="E123" s="397" t="s">
        <v>516</v>
      </c>
      <c r="F123" s="220">
        <v>3111</v>
      </c>
      <c r="G123" s="398" t="s">
        <v>321</v>
      </c>
      <c r="H123" s="304" t="s">
        <v>277</v>
      </c>
      <c r="I123" s="462">
        <f t="shared" ref="I123:I125" si="403">SUM(J123:M123)</f>
        <v>3325650</v>
      </c>
      <c r="J123" s="457">
        <v>2451298</v>
      </c>
      <c r="K123" s="457">
        <f t="shared" ref="K123:K125" si="404">ROUND(J123*33.8%,0)</f>
        <v>828539</v>
      </c>
      <c r="L123" s="457">
        <f t="shared" ref="L123:L125" si="405">ROUND(J123*1%,0)</f>
        <v>24513</v>
      </c>
      <c r="M123" s="457">
        <v>21300</v>
      </c>
      <c r="N123" s="458">
        <f t="shared" ref="N123:N125" si="406">O123+P123</f>
        <v>5.2</v>
      </c>
      <c r="O123" s="459">
        <v>4</v>
      </c>
      <c r="P123" s="646">
        <v>1.2000000000000002</v>
      </c>
      <c r="Q123" s="469">
        <f t="shared" ref="Q123:Q125" si="407">W123*-1</f>
        <v>0</v>
      </c>
      <c r="R123" s="460">
        <v>0</v>
      </c>
      <c r="S123" s="673">
        <v>0</v>
      </c>
      <c r="T123" s="460">
        <v>0</v>
      </c>
      <c r="U123" s="460">
        <v>0</v>
      </c>
      <c r="V123" s="460">
        <f>SUM(Q123:U123)</f>
        <v>0</v>
      </c>
      <c r="W123" s="460">
        <v>0</v>
      </c>
      <c r="X123" s="460">
        <v>0</v>
      </c>
      <c r="Y123" s="460">
        <v>0</v>
      </c>
      <c r="Z123" s="460">
        <f t="shared" ref="Z123:Z125" si="408">SUM(W123:Y123)</f>
        <v>0</v>
      </c>
      <c r="AA123" s="460">
        <f t="shared" ref="AA123:AA125" si="409">V123+Z123</f>
        <v>0</v>
      </c>
      <c r="AB123" s="69">
        <f t="shared" ref="AB123:AB125" si="410">ROUND((V123+W123+X123)*33.8%,0)</f>
        <v>0</v>
      </c>
      <c r="AC123" s="69">
        <f t="shared" ref="AC123:AC125" si="411">ROUND(V123*1%,0)</f>
        <v>0</v>
      </c>
      <c r="AD123" s="460">
        <v>0</v>
      </c>
      <c r="AE123" s="460">
        <v>0</v>
      </c>
      <c r="AF123" s="460">
        <f t="shared" ref="AF123:AF125" si="412">SUM(AD123:AE123)</f>
        <v>0</v>
      </c>
      <c r="AG123" s="460">
        <f t="shared" ref="AG123:AG125" si="413">AA123+AB123+AC123+AF123</f>
        <v>0</v>
      </c>
      <c r="AH123" s="461">
        <v>0</v>
      </c>
      <c r="AI123" s="461">
        <v>0</v>
      </c>
      <c r="AJ123" s="461">
        <v>0</v>
      </c>
      <c r="AK123" s="461">
        <v>0</v>
      </c>
      <c r="AL123" s="674">
        <v>0</v>
      </c>
      <c r="AM123" s="461">
        <v>0</v>
      </c>
      <c r="AN123" s="461">
        <v>0</v>
      </c>
      <c r="AO123" s="461">
        <v>0</v>
      </c>
      <c r="AP123" s="461">
        <f>AH123+AJ123+AK123+AM123+AN123</f>
        <v>0</v>
      </c>
      <c r="AQ123" s="461">
        <f>AI123+AL123+AO123</f>
        <v>0</v>
      </c>
      <c r="AR123" s="463">
        <f t="shared" ref="AR123:AR125" si="414">SUM(AP123:AQ123)</f>
        <v>0</v>
      </c>
      <c r="AS123" s="469">
        <f>I123+AG123</f>
        <v>3325650</v>
      </c>
      <c r="AT123" s="460">
        <f>J123+V123</f>
        <v>2451298</v>
      </c>
      <c r="AU123" s="460">
        <f t="shared" ref="AU123:AU125" si="415">Z123</f>
        <v>0</v>
      </c>
      <c r="AV123" s="460">
        <f t="shared" ref="AV123:AW125" si="416">K123+AB123</f>
        <v>828539</v>
      </c>
      <c r="AW123" s="460">
        <f t="shared" si="416"/>
        <v>24513</v>
      </c>
      <c r="AX123" s="460">
        <f>M123+AF123</f>
        <v>21300</v>
      </c>
      <c r="AY123" s="461">
        <f>N123+AR123</f>
        <v>5.2</v>
      </c>
      <c r="AZ123" s="461">
        <f t="shared" ref="AZ123:BA125" si="417">O123+AP123</f>
        <v>4</v>
      </c>
      <c r="BA123" s="463">
        <f t="shared" si="417"/>
        <v>1.2000000000000002</v>
      </c>
    </row>
    <row r="124" spans="1:53" ht="12.95" customHeight="1" x14ac:dyDescent="0.25">
      <c r="A124" s="299">
        <v>24</v>
      </c>
      <c r="B124" s="220">
        <v>5434</v>
      </c>
      <c r="C124" s="220">
        <v>600098923</v>
      </c>
      <c r="D124" s="300">
        <v>70695318</v>
      </c>
      <c r="E124" s="396" t="s">
        <v>516</v>
      </c>
      <c r="F124" s="220">
        <v>3111</v>
      </c>
      <c r="G124" s="342" t="s">
        <v>308</v>
      </c>
      <c r="H124" s="304" t="s">
        <v>278</v>
      </c>
      <c r="I124" s="462">
        <f t="shared" si="403"/>
        <v>0</v>
      </c>
      <c r="J124" s="457">
        <v>0</v>
      </c>
      <c r="K124" s="457">
        <f t="shared" si="404"/>
        <v>0</v>
      </c>
      <c r="L124" s="457">
        <f t="shared" si="405"/>
        <v>0</v>
      </c>
      <c r="M124" s="457">
        <v>0</v>
      </c>
      <c r="N124" s="458">
        <f t="shared" si="406"/>
        <v>0</v>
      </c>
      <c r="O124" s="459">
        <v>0</v>
      </c>
      <c r="P124" s="646">
        <v>0</v>
      </c>
      <c r="Q124" s="469">
        <f t="shared" si="407"/>
        <v>0</v>
      </c>
      <c r="R124" s="460">
        <v>346447</v>
      </c>
      <c r="S124" s="673">
        <v>0</v>
      </c>
      <c r="T124" s="460">
        <v>0</v>
      </c>
      <c r="U124" s="460">
        <v>0</v>
      </c>
      <c r="V124" s="460">
        <f>SUM(Q124:U124)</f>
        <v>346447</v>
      </c>
      <c r="W124" s="460">
        <v>0</v>
      </c>
      <c r="X124" s="460">
        <v>0</v>
      </c>
      <c r="Y124" s="460">
        <v>0</v>
      </c>
      <c r="Z124" s="460">
        <f t="shared" si="408"/>
        <v>0</v>
      </c>
      <c r="AA124" s="460">
        <f t="shared" si="409"/>
        <v>346447</v>
      </c>
      <c r="AB124" s="69">
        <f t="shared" si="410"/>
        <v>117099</v>
      </c>
      <c r="AC124" s="69">
        <f t="shared" si="411"/>
        <v>3464</v>
      </c>
      <c r="AD124" s="460">
        <v>0</v>
      </c>
      <c r="AE124" s="460">
        <v>0</v>
      </c>
      <c r="AF124" s="460">
        <f t="shared" si="412"/>
        <v>0</v>
      </c>
      <c r="AG124" s="460">
        <f t="shared" si="413"/>
        <v>467010</v>
      </c>
      <c r="AH124" s="461">
        <v>0</v>
      </c>
      <c r="AI124" s="461">
        <v>0</v>
      </c>
      <c r="AJ124" s="461">
        <v>1</v>
      </c>
      <c r="AK124" s="461">
        <v>0</v>
      </c>
      <c r="AL124" s="674">
        <v>0</v>
      </c>
      <c r="AM124" s="461">
        <v>0</v>
      </c>
      <c r="AN124" s="461">
        <v>0</v>
      </c>
      <c r="AO124" s="461">
        <v>0</v>
      </c>
      <c r="AP124" s="461">
        <f>AH124+AJ124+AK124+AM124+AN124</f>
        <v>1</v>
      </c>
      <c r="AQ124" s="461">
        <f>AI124+AL124+AO124</f>
        <v>0</v>
      </c>
      <c r="AR124" s="463">
        <f t="shared" si="414"/>
        <v>1</v>
      </c>
      <c r="AS124" s="469">
        <f>I124+AG124</f>
        <v>467010</v>
      </c>
      <c r="AT124" s="460">
        <f>J124+V124</f>
        <v>346447</v>
      </c>
      <c r="AU124" s="460">
        <f t="shared" si="415"/>
        <v>0</v>
      </c>
      <c r="AV124" s="460">
        <f t="shared" si="416"/>
        <v>117099</v>
      </c>
      <c r="AW124" s="460">
        <f t="shared" si="416"/>
        <v>3464</v>
      </c>
      <c r="AX124" s="460">
        <f>M124+AF124</f>
        <v>0</v>
      </c>
      <c r="AY124" s="461">
        <f>N124+AR124</f>
        <v>1</v>
      </c>
      <c r="AZ124" s="461">
        <f t="shared" si="417"/>
        <v>1</v>
      </c>
      <c r="BA124" s="463">
        <f t="shared" si="417"/>
        <v>0</v>
      </c>
    </row>
    <row r="125" spans="1:53" ht="12.75" customHeight="1" x14ac:dyDescent="0.25">
      <c r="A125" s="299">
        <v>24</v>
      </c>
      <c r="B125" s="220">
        <v>5434</v>
      </c>
      <c r="C125" s="220">
        <v>600098923</v>
      </c>
      <c r="D125" s="300">
        <v>70695318</v>
      </c>
      <c r="E125" s="396" t="s">
        <v>516</v>
      </c>
      <c r="F125" s="407">
        <v>3141</v>
      </c>
      <c r="G125" s="398" t="s">
        <v>311</v>
      </c>
      <c r="H125" s="304" t="s">
        <v>278</v>
      </c>
      <c r="I125" s="462">
        <f t="shared" si="403"/>
        <v>575733</v>
      </c>
      <c r="J125" s="457">
        <v>425481</v>
      </c>
      <c r="K125" s="457">
        <f t="shared" si="404"/>
        <v>143813</v>
      </c>
      <c r="L125" s="457">
        <f t="shared" si="405"/>
        <v>4255</v>
      </c>
      <c r="M125" s="457">
        <v>2184</v>
      </c>
      <c r="N125" s="458">
        <f t="shared" si="406"/>
        <v>1.37</v>
      </c>
      <c r="O125" s="459">
        <v>0</v>
      </c>
      <c r="P125" s="646">
        <v>1.37</v>
      </c>
      <c r="Q125" s="469">
        <f t="shared" si="407"/>
        <v>0</v>
      </c>
      <c r="R125" s="460">
        <v>0</v>
      </c>
      <c r="S125" s="673">
        <v>0</v>
      </c>
      <c r="T125" s="460">
        <v>0</v>
      </c>
      <c r="U125" s="460">
        <v>0</v>
      </c>
      <c r="V125" s="460">
        <f>SUM(Q125:U125)</f>
        <v>0</v>
      </c>
      <c r="W125" s="460">
        <v>0</v>
      </c>
      <c r="X125" s="460">
        <v>0</v>
      </c>
      <c r="Y125" s="460">
        <v>0</v>
      </c>
      <c r="Z125" s="460">
        <f t="shared" si="408"/>
        <v>0</v>
      </c>
      <c r="AA125" s="460">
        <f t="shared" si="409"/>
        <v>0</v>
      </c>
      <c r="AB125" s="69">
        <f t="shared" si="410"/>
        <v>0</v>
      </c>
      <c r="AC125" s="69">
        <f t="shared" si="411"/>
        <v>0</v>
      </c>
      <c r="AD125" s="460">
        <v>0</v>
      </c>
      <c r="AE125" s="460">
        <v>0</v>
      </c>
      <c r="AF125" s="460">
        <f t="shared" si="412"/>
        <v>0</v>
      </c>
      <c r="AG125" s="460">
        <f t="shared" si="413"/>
        <v>0</v>
      </c>
      <c r="AH125" s="461">
        <v>0</v>
      </c>
      <c r="AI125" s="461">
        <v>0</v>
      </c>
      <c r="AJ125" s="461">
        <v>0</v>
      </c>
      <c r="AK125" s="461">
        <v>0</v>
      </c>
      <c r="AL125" s="674">
        <v>0</v>
      </c>
      <c r="AM125" s="461">
        <v>0</v>
      </c>
      <c r="AN125" s="461">
        <v>0</v>
      </c>
      <c r="AO125" s="461">
        <v>0</v>
      </c>
      <c r="AP125" s="461">
        <f>AH125+AJ125+AK125+AM125+AN125</f>
        <v>0</v>
      </c>
      <c r="AQ125" s="461">
        <f>AI125+AL125+AO125</f>
        <v>0</v>
      </c>
      <c r="AR125" s="463">
        <f t="shared" si="414"/>
        <v>0</v>
      </c>
      <c r="AS125" s="469">
        <f>I125+AG125</f>
        <v>575733</v>
      </c>
      <c r="AT125" s="460">
        <f>J125+V125</f>
        <v>425481</v>
      </c>
      <c r="AU125" s="460">
        <f t="shared" si="415"/>
        <v>0</v>
      </c>
      <c r="AV125" s="460">
        <f t="shared" si="416"/>
        <v>143813</v>
      </c>
      <c r="AW125" s="460">
        <f t="shared" si="416"/>
        <v>4255</v>
      </c>
      <c r="AX125" s="460">
        <f>M125+AF125</f>
        <v>2184</v>
      </c>
      <c r="AY125" s="461">
        <f>N125+AR125</f>
        <v>1.37</v>
      </c>
      <c r="AZ125" s="461">
        <f t="shared" si="417"/>
        <v>0</v>
      </c>
      <c r="BA125" s="463">
        <f t="shared" si="417"/>
        <v>1.37</v>
      </c>
    </row>
    <row r="126" spans="1:53" ht="12.75" customHeight="1" x14ac:dyDescent="0.25">
      <c r="A126" s="221">
        <v>24</v>
      </c>
      <c r="B126" s="47">
        <v>5434</v>
      </c>
      <c r="C126" s="47">
        <v>600098923</v>
      </c>
      <c r="D126" s="47">
        <v>70695318</v>
      </c>
      <c r="E126" s="408" t="s">
        <v>517</v>
      </c>
      <c r="F126" s="409"/>
      <c r="G126" s="408"/>
      <c r="H126" s="410"/>
      <c r="I126" s="536">
        <f t="shared" ref="I126:P126" si="418">SUM(I123:I125)</f>
        <v>3901383</v>
      </c>
      <c r="J126" s="532">
        <f t="shared" si="418"/>
        <v>2876779</v>
      </c>
      <c r="K126" s="532">
        <f t="shared" si="418"/>
        <v>972352</v>
      </c>
      <c r="L126" s="532">
        <f t="shared" si="418"/>
        <v>28768</v>
      </c>
      <c r="M126" s="532">
        <f t="shared" si="418"/>
        <v>23484</v>
      </c>
      <c r="N126" s="533">
        <f t="shared" si="418"/>
        <v>6.57</v>
      </c>
      <c r="O126" s="533">
        <f t="shared" si="418"/>
        <v>4</v>
      </c>
      <c r="P126" s="298">
        <f t="shared" si="418"/>
        <v>2.5700000000000003</v>
      </c>
      <c r="Q126" s="538">
        <f t="shared" ref="Q126:BA126" si="419">SUM(Q123:Q125)</f>
        <v>0</v>
      </c>
      <c r="R126" s="532">
        <f t="shared" si="419"/>
        <v>346447</v>
      </c>
      <c r="S126" s="532">
        <f t="shared" si="419"/>
        <v>0</v>
      </c>
      <c r="T126" s="532">
        <f t="shared" si="419"/>
        <v>0</v>
      </c>
      <c r="U126" s="532">
        <f t="shared" si="419"/>
        <v>0</v>
      </c>
      <c r="V126" s="532">
        <f t="shared" si="419"/>
        <v>346447</v>
      </c>
      <c r="W126" s="532">
        <f t="shared" si="419"/>
        <v>0</v>
      </c>
      <c r="X126" s="532">
        <f t="shared" si="419"/>
        <v>0</v>
      </c>
      <c r="Y126" s="532">
        <f t="shared" si="419"/>
        <v>0</v>
      </c>
      <c r="Z126" s="532">
        <f t="shared" si="419"/>
        <v>0</v>
      </c>
      <c r="AA126" s="532">
        <f t="shared" si="419"/>
        <v>346447</v>
      </c>
      <c r="AB126" s="532">
        <f t="shared" si="419"/>
        <v>117099</v>
      </c>
      <c r="AC126" s="532">
        <f t="shared" si="419"/>
        <v>3464</v>
      </c>
      <c r="AD126" s="532">
        <f t="shared" si="419"/>
        <v>0</v>
      </c>
      <c r="AE126" s="532">
        <f t="shared" si="419"/>
        <v>0</v>
      </c>
      <c r="AF126" s="532">
        <f t="shared" si="419"/>
        <v>0</v>
      </c>
      <c r="AG126" s="532">
        <f t="shared" si="419"/>
        <v>467010</v>
      </c>
      <c r="AH126" s="533">
        <f t="shared" si="419"/>
        <v>0</v>
      </c>
      <c r="AI126" s="533">
        <f t="shared" si="419"/>
        <v>0</v>
      </c>
      <c r="AJ126" s="533">
        <f t="shared" si="419"/>
        <v>1</v>
      </c>
      <c r="AK126" s="533">
        <f t="shared" si="419"/>
        <v>0</v>
      </c>
      <c r="AL126" s="533">
        <f t="shared" si="419"/>
        <v>0</v>
      </c>
      <c r="AM126" s="533">
        <f t="shared" si="419"/>
        <v>0</v>
      </c>
      <c r="AN126" s="533">
        <f t="shared" si="419"/>
        <v>0</v>
      </c>
      <c r="AO126" s="533">
        <f t="shared" si="419"/>
        <v>0</v>
      </c>
      <c r="AP126" s="533">
        <f t="shared" si="419"/>
        <v>1</v>
      </c>
      <c r="AQ126" s="533">
        <f t="shared" si="419"/>
        <v>0</v>
      </c>
      <c r="AR126" s="298">
        <f t="shared" si="419"/>
        <v>1</v>
      </c>
      <c r="AS126" s="538">
        <f t="shared" si="419"/>
        <v>4368393</v>
      </c>
      <c r="AT126" s="532">
        <f t="shared" si="419"/>
        <v>3223226</v>
      </c>
      <c r="AU126" s="532">
        <f t="shared" si="419"/>
        <v>0</v>
      </c>
      <c r="AV126" s="532">
        <f t="shared" si="419"/>
        <v>1089451</v>
      </c>
      <c r="AW126" s="532">
        <f t="shared" si="419"/>
        <v>32232</v>
      </c>
      <c r="AX126" s="532">
        <f t="shared" si="419"/>
        <v>23484</v>
      </c>
      <c r="AY126" s="533">
        <f t="shared" si="419"/>
        <v>7.57</v>
      </c>
      <c r="AZ126" s="533">
        <f t="shared" si="419"/>
        <v>5</v>
      </c>
      <c r="BA126" s="298">
        <f t="shared" si="419"/>
        <v>2.5700000000000003</v>
      </c>
    </row>
    <row r="127" spans="1:53" ht="12.95" customHeight="1" x14ac:dyDescent="0.25">
      <c r="A127" s="299">
        <v>25</v>
      </c>
      <c r="B127" s="220">
        <v>5433</v>
      </c>
      <c r="C127" s="220">
        <v>600099253</v>
      </c>
      <c r="D127" s="300">
        <v>70695300</v>
      </c>
      <c r="E127" s="219" t="s">
        <v>518</v>
      </c>
      <c r="F127" s="220">
        <v>3117</v>
      </c>
      <c r="G127" s="397" t="s">
        <v>325</v>
      </c>
      <c r="H127" s="304" t="s">
        <v>277</v>
      </c>
      <c r="I127" s="462">
        <f t="shared" ref="I127:I131" si="420">SUM(J127:M127)</f>
        <v>3337448</v>
      </c>
      <c r="J127" s="457">
        <v>2436404</v>
      </c>
      <c r="K127" s="457">
        <f t="shared" ref="K127:K131" si="421">ROUND(J127*33.8%,0)</f>
        <v>823505</v>
      </c>
      <c r="L127" s="457">
        <f t="shared" ref="L127:L131" si="422">ROUND(J127*1%,0)</f>
        <v>24364</v>
      </c>
      <c r="M127" s="457">
        <v>53175</v>
      </c>
      <c r="N127" s="458">
        <f t="shared" ref="N127:N131" si="423">O127+P127</f>
        <v>4.2770000000000001</v>
      </c>
      <c r="O127" s="459">
        <v>3.4091</v>
      </c>
      <c r="P127" s="646">
        <v>0.8679</v>
      </c>
      <c r="Q127" s="469">
        <f t="shared" ref="Q127:Q131" si="424">W127*-1</f>
        <v>0</v>
      </c>
      <c r="R127" s="460">
        <v>0</v>
      </c>
      <c r="S127" s="673">
        <v>0</v>
      </c>
      <c r="T127" s="460">
        <v>0</v>
      </c>
      <c r="U127" s="460">
        <v>0</v>
      </c>
      <c r="V127" s="460">
        <f>SUM(Q127:U127)</f>
        <v>0</v>
      </c>
      <c r="W127" s="460">
        <v>0</v>
      </c>
      <c r="X127" s="460">
        <v>0</v>
      </c>
      <c r="Y127" s="460">
        <v>0</v>
      </c>
      <c r="Z127" s="460">
        <f t="shared" ref="Z127:Z131" si="425">SUM(W127:Y127)</f>
        <v>0</v>
      </c>
      <c r="AA127" s="460">
        <f t="shared" ref="AA127:AA131" si="426">V127+Z127</f>
        <v>0</v>
      </c>
      <c r="AB127" s="69">
        <f t="shared" ref="AB127:AB131" si="427">ROUND((V127+W127+X127)*33.8%,0)</f>
        <v>0</v>
      </c>
      <c r="AC127" s="69">
        <f t="shared" ref="AC127:AC131" si="428">ROUND(V127*1%,0)</f>
        <v>0</v>
      </c>
      <c r="AD127" s="460">
        <v>0</v>
      </c>
      <c r="AE127" s="460">
        <v>0</v>
      </c>
      <c r="AF127" s="460">
        <f t="shared" ref="AF127:AF131" si="429">SUM(AD127:AE127)</f>
        <v>0</v>
      </c>
      <c r="AG127" s="460">
        <f t="shared" ref="AG127:AG131" si="430">AA127+AB127+AC127+AF127</f>
        <v>0</v>
      </c>
      <c r="AH127" s="461">
        <v>0</v>
      </c>
      <c r="AI127" s="461">
        <v>0</v>
      </c>
      <c r="AJ127" s="461">
        <v>0</v>
      </c>
      <c r="AK127" s="461">
        <v>0</v>
      </c>
      <c r="AL127" s="674">
        <v>0</v>
      </c>
      <c r="AM127" s="461">
        <v>0</v>
      </c>
      <c r="AN127" s="461">
        <v>0</v>
      </c>
      <c r="AO127" s="461">
        <v>0</v>
      </c>
      <c r="AP127" s="461">
        <f>AH127+AJ127+AK127+AM127+AN127</f>
        <v>0</v>
      </c>
      <c r="AQ127" s="461">
        <f>AI127+AL127+AO127</f>
        <v>0</v>
      </c>
      <c r="AR127" s="463">
        <f t="shared" ref="AR127:AR131" si="431">SUM(AP127:AQ127)</f>
        <v>0</v>
      </c>
      <c r="AS127" s="469">
        <f>I127+AG127</f>
        <v>3337448</v>
      </c>
      <c r="AT127" s="460">
        <f>J127+V127</f>
        <v>2436404</v>
      </c>
      <c r="AU127" s="460">
        <f t="shared" ref="AU127:AU131" si="432">Z127</f>
        <v>0</v>
      </c>
      <c r="AV127" s="460">
        <f t="shared" ref="AV127:AW131" si="433">K127+AB127</f>
        <v>823505</v>
      </c>
      <c r="AW127" s="460">
        <f t="shared" si="433"/>
        <v>24364</v>
      </c>
      <c r="AX127" s="460">
        <f>M127+AF127</f>
        <v>53175</v>
      </c>
      <c r="AY127" s="461">
        <f>N127+AR127</f>
        <v>4.2770000000000001</v>
      </c>
      <c r="AZ127" s="461">
        <f t="shared" ref="AZ127:BA131" si="434">O127+AP127</f>
        <v>3.4091</v>
      </c>
      <c r="BA127" s="463">
        <f t="shared" si="434"/>
        <v>0.8679</v>
      </c>
    </row>
    <row r="128" spans="1:53" ht="12.95" customHeight="1" x14ac:dyDescent="0.25">
      <c r="A128" s="299">
        <v>25</v>
      </c>
      <c r="B128" s="220">
        <v>5433</v>
      </c>
      <c r="C128" s="220">
        <v>600099253</v>
      </c>
      <c r="D128" s="300">
        <v>70695300</v>
      </c>
      <c r="E128" s="396" t="s">
        <v>518</v>
      </c>
      <c r="F128" s="220">
        <v>3117</v>
      </c>
      <c r="G128" s="342" t="s">
        <v>308</v>
      </c>
      <c r="H128" s="304" t="s">
        <v>278</v>
      </c>
      <c r="I128" s="462">
        <f t="shared" si="420"/>
        <v>0</v>
      </c>
      <c r="J128" s="457">
        <v>0</v>
      </c>
      <c r="K128" s="457">
        <f t="shared" si="421"/>
        <v>0</v>
      </c>
      <c r="L128" s="457">
        <f t="shared" si="422"/>
        <v>0</v>
      </c>
      <c r="M128" s="457">
        <v>0</v>
      </c>
      <c r="N128" s="458">
        <f t="shared" si="423"/>
        <v>0</v>
      </c>
      <c r="O128" s="459">
        <v>0</v>
      </c>
      <c r="P128" s="646">
        <v>0</v>
      </c>
      <c r="Q128" s="469">
        <f t="shared" si="424"/>
        <v>0</v>
      </c>
      <c r="R128" s="460">
        <v>0</v>
      </c>
      <c r="S128" s="673">
        <v>0</v>
      </c>
      <c r="T128" s="460">
        <v>0</v>
      </c>
      <c r="U128" s="460">
        <v>0</v>
      </c>
      <c r="V128" s="460">
        <f>SUM(Q128:U128)</f>
        <v>0</v>
      </c>
      <c r="W128" s="460">
        <v>0</v>
      </c>
      <c r="X128" s="460">
        <v>0</v>
      </c>
      <c r="Y128" s="460">
        <v>0</v>
      </c>
      <c r="Z128" s="460">
        <f t="shared" si="425"/>
        <v>0</v>
      </c>
      <c r="AA128" s="460">
        <f t="shared" si="426"/>
        <v>0</v>
      </c>
      <c r="AB128" s="69">
        <f t="shared" si="427"/>
        <v>0</v>
      </c>
      <c r="AC128" s="69">
        <f t="shared" si="428"/>
        <v>0</v>
      </c>
      <c r="AD128" s="460">
        <v>0</v>
      </c>
      <c r="AE128" s="460">
        <v>0</v>
      </c>
      <c r="AF128" s="460">
        <f t="shared" si="429"/>
        <v>0</v>
      </c>
      <c r="AG128" s="460">
        <f t="shared" si="430"/>
        <v>0</v>
      </c>
      <c r="AH128" s="461">
        <v>0</v>
      </c>
      <c r="AI128" s="461">
        <v>0</v>
      </c>
      <c r="AJ128" s="461">
        <v>0</v>
      </c>
      <c r="AK128" s="461">
        <v>0</v>
      </c>
      <c r="AL128" s="674">
        <v>0</v>
      </c>
      <c r="AM128" s="461">
        <v>0</v>
      </c>
      <c r="AN128" s="461">
        <v>0</v>
      </c>
      <c r="AO128" s="461">
        <v>0</v>
      </c>
      <c r="AP128" s="461">
        <f>AH128+AJ128+AK128+AM128+AN128</f>
        <v>0</v>
      </c>
      <c r="AQ128" s="461">
        <f>AI128+AL128+AO128</f>
        <v>0</v>
      </c>
      <c r="AR128" s="463">
        <f t="shared" si="431"/>
        <v>0</v>
      </c>
      <c r="AS128" s="469">
        <f>I128+AG128</f>
        <v>0</v>
      </c>
      <c r="AT128" s="460">
        <f>J128+V128</f>
        <v>0</v>
      </c>
      <c r="AU128" s="460">
        <f t="shared" si="432"/>
        <v>0</v>
      </c>
      <c r="AV128" s="460">
        <f t="shared" si="433"/>
        <v>0</v>
      </c>
      <c r="AW128" s="460">
        <f t="shared" si="433"/>
        <v>0</v>
      </c>
      <c r="AX128" s="460">
        <f>M128+AF128</f>
        <v>0</v>
      </c>
      <c r="AY128" s="461">
        <f>N128+AR128</f>
        <v>0</v>
      </c>
      <c r="AZ128" s="461">
        <f t="shared" si="434"/>
        <v>0</v>
      </c>
      <c r="BA128" s="463">
        <f t="shared" si="434"/>
        <v>0</v>
      </c>
    </row>
    <row r="129" spans="1:53" ht="12.95" customHeight="1" x14ac:dyDescent="0.25">
      <c r="A129" s="299">
        <v>25</v>
      </c>
      <c r="B129" s="220">
        <v>5433</v>
      </c>
      <c r="C129" s="220">
        <v>600099253</v>
      </c>
      <c r="D129" s="300">
        <v>70695300</v>
      </c>
      <c r="E129" s="397" t="s">
        <v>518</v>
      </c>
      <c r="F129" s="220">
        <v>3141</v>
      </c>
      <c r="G129" s="398" t="s">
        <v>311</v>
      </c>
      <c r="H129" s="304" t="s">
        <v>278</v>
      </c>
      <c r="I129" s="462">
        <f t="shared" si="420"/>
        <v>370020</v>
      </c>
      <c r="J129" s="457">
        <v>273223</v>
      </c>
      <c r="K129" s="457">
        <f t="shared" si="421"/>
        <v>92349</v>
      </c>
      <c r="L129" s="457">
        <f t="shared" si="422"/>
        <v>2732</v>
      </c>
      <c r="M129" s="457">
        <v>1716</v>
      </c>
      <c r="N129" s="458">
        <f t="shared" si="423"/>
        <v>0.88</v>
      </c>
      <c r="O129" s="459">
        <v>0</v>
      </c>
      <c r="P129" s="646">
        <v>0.88</v>
      </c>
      <c r="Q129" s="469">
        <f t="shared" si="424"/>
        <v>0</v>
      </c>
      <c r="R129" s="460">
        <v>0</v>
      </c>
      <c r="S129" s="673">
        <v>0</v>
      </c>
      <c r="T129" s="460">
        <v>0</v>
      </c>
      <c r="U129" s="460">
        <v>0</v>
      </c>
      <c r="V129" s="460">
        <f>SUM(Q129:U129)</f>
        <v>0</v>
      </c>
      <c r="W129" s="460">
        <v>0</v>
      </c>
      <c r="X129" s="460">
        <v>0</v>
      </c>
      <c r="Y129" s="460">
        <v>0</v>
      </c>
      <c r="Z129" s="460">
        <f t="shared" si="425"/>
        <v>0</v>
      </c>
      <c r="AA129" s="460">
        <f t="shared" si="426"/>
        <v>0</v>
      </c>
      <c r="AB129" s="69">
        <f t="shared" si="427"/>
        <v>0</v>
      </c>
      <c r="AC129" s="69">
        <f t="shared" si="428"/>
        <v>0</v>
      </c>
      <c r="AD129" s="460">
        <v>0</v>
      </c>
      <c r="AE129" s="460">
        <v>0</v>
      </c>
      <c r="AF129" s="460">
        <f t="shared" si="429"/>
        <v>0</v>
      </c>
      <c r="AG129" s="460">
        <f t="shared" si="430"/>
        <v>0</v>
      </c>
      <c r="AH129" s="461">
        <v>0</v>
      </c>
      <c r="AI129" s="461">
        <v>0</v>
      </c>
      <c r="AJ129" s="461">
        <v>0</v>
      </c>
      <c r="AK129" s="461">
        <v>0</v>
      </c>
      <c r="AL129" s="674">
        <v>0</v>
      </c>
      <c r="AM129" s="461">
        <v>0</v>
      </c>
      <c r="AN129" s="461">
        <v>0</v>
      </c>
      <c r="AO129" s="461">
        <v>0</v>
      </c>
      <c r="AP129" s="461">
        <f>AH129+AJ129+AK129+AM129+AN129</f>
        <v>0</v>
      </c>
      <c r="AQ129" s="461">
        <f>AI129+AL129+AO129</f>
        <v>0</v>
      </c>
      <c r="AR129" s="463">
        <f t="shared" si="431"/>
        <v>0</v>
      </c>
      <c r="AS129" s="469">
        <f>I129+AG129</f>
        <v>370020</v>
      </c>
      <c r="AT129" s="460">
        <f>J129+V129</f>
        <v>273223</v>
      </c>
      <c r="AU129" s="460">
        <f t="shared" si="432"/>
        <v>0</v>
      </c>
      <c r="AV129" s="460">
        <f t="shared" si="433"/>
        <v>92349</v>
      </c>
      <c r="AW129" s="460">
        <f t="shared" si="433"/>
        <v>2732</v>
      </c>
      <c r="AX129" s="460">
        <f>M129+AF129</f>
        <v>1716</v>
      </c>
      <c r="AY129" s="461">
        <f>N129+AR129</f>
        <v>0.88</v>
      </c>
      <c r="AZ129" s="461">
        <f t="shared" si="434"/>
        <v>0</v>
      </c>
      <c r="BA129" s="463">
        <f t="shared" si="434"/>
        <v>0.88</v>
      </c>
    </row>
    <row r="130" spans="1:53" ht="12.95" customHeight="1" x14ac:dyDescent="0.25">
      <c r="A130" s="299">
        <v>25</v>
      </c>
      <c r="B130" s="220">
        <v>5433</v>
      </c>
      <c r="C130" s="220">
        <v>600099253</v>
      </c>
      <c r="D130" s="300">
        <v>70695300</v>
      </c>
      <c r="E130" s="396" t="s">
        <v>518</v>
      </c>
      <c r="F130" s="407">
        <v>3143</v>
      </c>
      <c r="G130" s="342" t="s">
        <v>616</v>
      </c>
      <c r="H130" s="304" t="s">
        <v>277</v>
      </c>
      <c r="I130" s="462">
        <f t="shared" si="420"/>
        <v>630470</v>
      </c>
      <c r="J130" s="457">
        <v>467708</v>
      </c>
      <c r="K130" s="457">
        <f t="shared" si="421"/>
        <v>158085</v>
      </c>
      <c r="L130" s="457">
        <f t="shared" si="422"/>
        <v>4677</v>
      </c>
      <c r="M130" s="457">
        <v>0</v>
      </c>
      <c r="N130" s="458">
        <f t="shared" si="423"/>
        <v>1</v>
      </c>
      <c r="O130" s="459">
        <v>1</v>
      </c>
      <c r="P130" s="646">
        <v>0</v>
      </c>
      <c r="Q130" s="469">
        <f t="shared" si="424"/>
        <v>0</v>
      </c>
      <c r="R130" s="460">
        <v>0</v>
      </c>
      <c r="S130" s="673">
        <v>0</v>
      </c>
      <c r="T130" s="460">
        <v>0</v>
      </c>
      <c r="U130" s="460">
        <v>0</v>
      </c>
      <c r="V130" s="460">
        <f>SUM(Q130:U130)</f>
        <v>0</v>
      </c>
      <c r="W130" s="460">
        <v>0</v>
      </c>
      <c r="X130" s="460">
        <v>0</v>
      </c>
      <c r="Y130" s="460">
        <v>0</v>
      </c>
      <c r="Z130" s="460">
        <f t="shared" si="425"/>
        <v>0</v>
      </c>
      <c r="AA130" s="460">
        <f t="shared" si="426"/>
        <v>0</v>
      </c>
      <c r="AB130" s="69">
        <f t="shared" si="427"/>
        <v>0</v>
      </c>
      <c r="AC130" s="69">
        <f t="shared" si="428"/>
        <v>0</v>
      </c>
      <c r="AD130" s="460">
        <v>0</v>
      </c>
      <c r="AE130" s="460">
        <v>0</v>
      </c>
      <c r="AF130" s="460">
        <f t="shared" si="429"/>
        <v>0</v>
      </c>
      <c r="AG130" s="460">
        <f t="shared" si="430"/>
        <v>0</v>
      </c>
      <c r="AH130" s="461">
        <v>0</v>
      </c>
      <c r="AI130" s="461">
        <v>0</v>
      </c>
      <c r="AJ130" s="461">
        <v>0</v>
      </c>
      <c r="AK130" s="461">
        <v>0</v>
      </c>
      <c r="AL130" s="674">
        <v>0</v>
      </c>
      <c r="AM130" s="461">
        <v>0</v>
      </c>
      <c r="AN130" s="461">
        <v>0</v>
      </c>
      <c r="AO130" s="461">
        <v>0</v>
      </c>
      <c r="AP130" s="461">
        <f>AH130+AJ130+AK130+AM130+AN130</f>
        <v>0</v>
      </c>
      <c r="AQ130" s="461">
        <f>AI130+AL130+AO130</f>
        <v>0</v>
      </c>
      <c r="AR130" s="463">
        <f t="shared" si="431"/>
        <v>0</v>
      </c>
      <c r="AS130" s="469">
        <f>I130+AG130</f>
        <v>630470</v>
      </c>
      <c r="AT130" s="460">
        <f>J130+V130</f>
        <v>467708</v>
      </c>
      <c r="AU130" s="460">
        <f t="shared" si="432"/>
        <v>0</v>
      </c>
      <c r="AV130" s="460">
        <f t="shared" si="433"/>
        <v>158085</v>
      </c>
      <c r="AW130" s="460">
        <f t="shared" si="433"/>
        <v>4677</v>
      </c>
      <c r="AX130" s="460">
        <f>M130+AF130</f>
        <v>0</v>
      </c>
      <c r="AY130" s="461">
        <f>N130+AR130</f>
        <v>1</v>
      </c>
      <c r="AZ130" s="461">
        <f t="shared" si="434"/>
        <v>1</v>
      </c>
      <c r="BA130" s="463">
        <f t="shared" si="434"/>
        <v>0</v>
      </c>
    </row>
    <row r="131" spans="1:53" ht="12.95" customHeight="1" x14ac:dyDescent="0.25">
      <c r="A131" s="299">
        <v>25</v>
      </c>
      <c r="B131" s="220">
        <v>5433</v>
      </c>
      <c r="C131" s="220">
        <v>600099253</v>
      </c>
      <c r="D131" s="300">
        <v>70695300</v>
      </c>
      <c r="E131" s="396" t="s">
        <v>518</v>
      </c>
      <c r="F131" s="407">
        <v>3143</v>
      </c>
      <c r="G131" s="342" t="s">
        <v>617</v>
      </c>
      <c r="H131" s="304" t="s">
        <v>278</v>
      </c>
      <c r="I131" s="462">
        <f t="shared" si="420"/>
        <v>19058</v>
      </c>
      <c r="J131" s="457">
        <v>13617</v>
      </c>
      <c r="K131" s="457">
        <f t="shared" si="421"/>
        <v>4603</v>
      </c>
      <c r="L131" s="457">
        <f t="shared" si="422"/>
        <v>136</v>
      </c>
      <c r="M131" s="457">
        <v>702</v>
      </c>
      <c r="N131" s="458">
        <f t="shared" si="423"/>
        <v>0.05</v>
      </c>
      <c r="O131" s="459">
        <v>0</v>
      </c>
      <c r="P131" s="646">
        <v>0.05</v>
      </c>
      <c r="Q131" s="469">
        <f t="shared" si="424"/>
        <v>0</v>
      </c>
      <c r="R131" s="460">
        <v>0</v>
      </c>
      <c r="S131" s="673">
        <v>0</v>
      </c>
      <c r="T131" s="460">
        <v>0</v>
      </c>
      <c r="U131" s="460">
        <v>0</v>
      </c>
      <c r="V131" s="460">
        <f>SUM(Q131:U131)</f>
        <v>0</v>
      </c>
      <c r="W131" s="460">
        <v>0</v>
      </c>
      <c r="X131" s="460">
        <v>0</v>
      </c>
      <c r="Y131" s="460">
        <v>0</v>
      </c>
      <c r="Z131" s="460">
        <f t="shared" si="425"/>
        <v>0</v>
      </c>
      <c r="AA131" s="460">
        <f t="shared" si="426"/>
        <v>0</v>
      </c>
      <c r="AB131" s="69">
        <f t="shared" si="427"/>
        <v>0</v>
      </c>
      <c r="AC131" s="69">
        <f t="shared" si="428"/>
        <v>0</v>
      </c>
      <c r="AD131" s="460">
        <v>0</v>
      </c>
      <c r="AE131" s="460">
        <v>0</v>
      </c>
      <c r="AF131" s="460">
        <f t="shared" si="429"/>
        <v>0</v>
      </c>
      <c r="AG131" s="460">
        <f t="shared" si="430"/>
        <v>0</v>
      </c>
      <c r="AH131" s="461">
        <v>0</v>
      </c>
      <c r="AI131" s="461">
        <v>0</v>
      </c>
      <c r="AJ131" s="461">
        <v>0</v>
      </c>
      <c r="AK131" s="461">
        <v>0</v>
      </c>
      <c r="AL131" s="674">
        <v>0</v>
      </c>
      <c r="AM131" s="461">
        <v>0</v>
      </c>
      <c r="AN131" s="461">
        <v>0</v>
      </c>
      <c r="AO131" s="461">
        <v>0</v>
      </c>
      <c r="AP131" s="461">
        <f>AH131+AJ131+AK131+AM131+AN131</f>
        <v>0</v>
      </c>
      <c r="AQ131" s="461">
        <f>AI131+AL131+AO131</f>
        <v>0</v>
      </c>
      <c r="AR131" s="463">
        <f t="shared" si="431"/>
        <v>0</v>
      </c>
      <c r="AS131" s="469">
        <f>I131+AG131</f>
        <v>19058</v>
      </c>
      <c r="AT131" s="460">
        <f>J131+V131</f>
        <v>13617</v>
      </c>
      <c r="AU131" s="460">
        <f t="shared" si="432"/>
        <v>0</v>
      </c>
      <c r="AV131" s="460">
        <f t="shared" si="433"/>
        <v>4603</v>
      </c>
      <c r="AW131" s="460">
        <f t="shared" si="433"/>
        <v>136</v>
      </c>
      <c r="AX131" s="460">
        <f>M131+AF131</f>
        <v>702</v>
      </c>
      <c r="AY131" s="461">
        <f>N131+AR131</f>
        <v>0.05</v>
      </c>
      <c r="AZ131" s="461">
        <f t="shared" si="434"/>
        <v>0</v>
      </c>
      <c r="BA131" s="463">
        <f t="shared" si="434"/>
        <v>0.05</v>
      </c>
    </row>
    <row r="132" spans="1:53" ht="12.95" customHeight="1" x14ac:dyDescent="0.25">
      <c r="A132" s="221">
        <v>25</v>
      </c>
      <c r="B132" s="46">
        <v>5433</v>
      </c>
      <c r="C132" s="46">
        <v>600099253</v>
      </c>
      <c r="D132" s="46">
        <v>70695300</v>
      </c>
      <c r="E132" s="408" t="s">
        <v>519</v>
      </c>
      <c r="F132" s="409"/>
      <c r="G132" s="408"/>
      <c r="H132" s="410"/>
      <c r="I132" s="536">
        <f t="shared" ref="I132:P132" si="435">SUM(I127:I131)</f>
        <v>4356996</v>
      </c>
      <c r="J132" s="532">
        <f t="shared" si="435"/>
        <v>3190952</v>
      </c>
      <c r="K132" s="532">
        <f t="shared" si="435"/>
        <v>1078542</v>
      </c>
      <c r="L132" s="532">
        <f t="shared" si="435"/>
        <v>31909</v>
      </c>
      <c r="M132" s="532">
        <f t="shared" si="435"/>
        <v>55593</v>
      </c>
      <c r="N132" s="533">
        <f t="shared" si="435"/>
        <v>6.2069999999999999</v>
      </c>
      <c r="O132" s="533">
        <f t="shared" si="435"/>
        <v>4.4091000000000005</v>
      </c>
      <c r="P132" s="298">
        <f t="shared" si="435"/>
        <v>1.7979000000000001</v>
      </c>
      <c r="Q132" s="538">
        <f t="shared" ref="Q132:BA132" si="436">SUM(Q127:Q131)</f>
        <v>0</v>
      </c>
      <c r="R132" s="532">
        <f t="shared" si="436"/>
        <v>0</v>
      </c>
      <c r="S132" s="532">
        <f t="shared" si="436"/>
        <v>0</v>
      </c>
      <c r="T132" s="532">
        <f t="shared" si="436"/>
        <v>0</v>
      </c>
      <c r="U132" s="532">
        <f t="shared" si="436"/>
        <v>0</v>
      </c>
      <c r="V132" s="532">
        <f t="shared" si="436"/>
        <v>0</v>
      </c>
      <c r="W132" s="532">
        <f t="shared" si="436"/>
        <v>0</v>
      </c>
      <c r="X132" s="532">
        <f t="shared" si="436"/>
        <v>0</v>
      </c>
      <c r="Y132" s="532">
        <f t="shared" si="436"/>
        <v>0</v>
      </c>
      <c r="Z132" s="532">
        <f t="shared" si="436"/>
        <v>0</v>
      </c>
      <c r="AA132" s="532">
        <f t="shared" si="436"/>
        <v>0</v>
      </c>
      <c r="AB132" s="532">
        <f t="shared" si="436"/>
        <v>0</v>
      </c>
      <c r="AC132" s="532">
        <f t="shared" si="436"/>
        <v>0</v>
      </c>
      <c r="AD132" s="532">
        <f t="shared" si="436"/>
        <v>0</v>
      </c>
      <c r="AE132" s="532">
        <f t="shared" si="436"/>
        <v>0</v>
      </c>
      <c r="AF132" s="532">
        <f t="shared" si="436"/>
        <v>0</v>
      </c>
      <c r="AG132" s="532">
        <f t="shared" si="436"/>
        <v>0</v>
      </c>
      <c r="AH132" s="533">
        <f t="shared" si="436"/>
        <v>0</v>
      </c>
      <c r="AI132" s="533">
        <f t="shared" si="436"/>
        <v>0</v>
      </c>
      <c r="AJ132" s="533">
        <f t="shared" si="436"/>
        <v>0</v>
      </c>
      <c r="AK132" s="533">
        <f t="shared" si="436"/>
        <v>0</v>
      </c>
      <c r="AL132" s="533">
        <f t="shared" si="436"/>
        <v>0</v>
      </c>
      <c r="AM132" s="533">
        <f t="shared" si="436"/>
        <v>0</v>
      </c>
      <c r="AN132" s="533">
        <f t="shared" si="436"/>
        <v>0</v>
      </c>
      <c r="AO132" s="533">
        <f t="shared" si="436"/>
        <v>0</v>
      </c>
      <c r="AP132" s="533">
        <f t="shared" si="436"/>
        <v>0</v>
      </c>
      <c r="AQ132" s="533">
        <f t="shared" si="436"/>
        <v>0</v>
      </c>
      <c r="AR132" s="298">
        <f t="shared" si="436"/>
        <v>0</v>
      </c>
      <c r="AS132" s="538">
        <f t="shared" si="436"/>
        <v>4356996</v>
      </c>
      <c r="AT132" s="532">
        <f t="shared" si="436"/>
        <v>3190952</v>
      </c>
      <c r="AU132" s="532">
        <f t="shared" si="436"/>
        <v>0</v>
      </c>
      <c r="AV132" s="532">
        <f t="shared" si="436"/>
        <v>1078542</v>
      </c>
      <c r="AW132" s="532">
        <f t="shared" si="436"/>
        <v>31909</v>
      </c>
      <c r="AX132" s="532">
        <f t="shared" si="436"/>
        <v>55593</v>
      </c>
      <c r="AY132" s="533">
        <f t="shared" si="436"/>
        <v>6.2069999999999999</v>
      </c>
      <c r="AZ132" s="533">
        <f t="shared" si="436"/>
        <v>4.4091000000000005</v>
      </c>
      <c r="BA132" s="298">
        <f t="shared" si="436"/>
        <v>1.7979000000000001</v>
      </c>
    </row>
    <row r="133" spans="1:53" ht="12.95" customHeight="1" x14ac:dyDescent="0.25">
      <c r="A133" s="299">
        <v>26</v>
      </c>
      <c r="B133" s="220">
        <v>5486</v>
      </c>
      <c r="C133" s="220">
        <v>600098711</v>
      </c>
      <c r="D133" s="300">
        <v>72744022</v>
      </c>
      <c r="E133" s="397" t="s">
        <v>520</v>
      </c>
      <c r="F133" s="220">
        <v>3111</v>
      </c>
      <c r="G133" s="398" t="s">
        <v>321</v>
      </c>
      <c r="H133" s="304" t="s">
        <v>277</v>
      </c>
      <c r="I133" s="462">
        <f t="shared" ref="I133:I134" si="437">SUM(J133:M133)</f>
        <v>1995411</v>
      </c>
      <c r="J133" s="457">
        <v>1473153</v>
      </c>
      <c r="K133" s="457">
        <f t="shared" ref="K133:K134" si="438">ROUND(J133*33.8%,0)</f>
        <v>497926</v>
      </c>
      <c r="L133" s="457">
        <f t="shared" ref="L133:L134" si="439">ROUND(J133*1%,0)</f>
        <v>14732</v>
      </c>
      <c r="M133" s="457">
        <v>9600</v>
      </c>
      <c r="N133" s="458">
        <f t="shared" ref="N133:N134" si="440">O133+P133</f>
        <v>2.8902999999999999</v>
      </c>
      <c r="O133" s="459">
        <v>2.2902999999999998</v>
      </c>
      <c r="P133" s="646">
        <v>0.60000000000000009</v>
      </c>
      <c r="Q133" s="469">
        <f t="shared" ref="Q133:Q134" si="441">W133*-1</f>
        <v>0</v>
      </c>
      <c r="R133" s="460">
        <v>0</v>
      </c>
      <c r="S133" s="673">
        <v>0</v>
      </c>
      <c r="T133" s="460">
        <v>0</v>
      </c>
      <c r="U133" s="460">
        <v>0</v>
      </c>
      <c r="V133" s="460">
        <f>SUM(Q133:U133)</f>
        <v>0</v>
      </c>
      <c r="W133" s="460">
        <v>0</v>
      </c>
      <c r="X133" s="460">
        <v>0</v>
      </c>
      <c r="Y133" s="460">
        <v>0</v>
      </c>
      <c r="Z133" s="460">
        <f t="shared" ref="Z133:Z134" si="442">SUM(W133:Y133)</f>
        <v>0</v>
      </c>
      <c r="AA133" s="460">
        <f t="shared" ref="AA133:AA134" si="443">V133+Z133</f>
        <v>0</v>
      </c>
      <c r="AB133" s="69">
        <f t="shared" ref="AB133:AB134" si="444">ROUND((V133+W133+X133)*33.8%,0)</f>
        <v>0</v>
      </c>
      <c r="AC133" s="69">
        <f t="shared" ref="AC133:AC134" si="445">ROUND(V133*1%,0)</f>
        <v>0</v>
      </c>
      <c r="AD133" s="460">
        <v>0</v>
      </c>
      <c r="AE133" s="460">
        <v>0</v>
      </c>
      <c r="AF133" s="460">
        <f t="shared" ref="AF133:AF134" si="446">SUM(AD133:AE133)</f>
        <v>0</v>
      </c>
      <c r="AG133" s="460">
        <f t="shared" ref="AG133:AG134" si="447">AA133+AB133+AC133+AF133</f>
        <v>0</v>
      </c>
      <c r="AH133" s="461">
        <v>0</v>
      </c>
      <c r="AI133" s="461">
        <v>0</v>
      </c>
      <c r="AJ133" s="461">
        <v>0</v>
      </c>
      <c r="AK133" s="461">
        <v>0</v>
      </c>
      <c r="AL133" s="674">
        <v>0</v>
      </c>
      <c r="AM133" s="461">
        <v>0</v>
      </c>
      <c r="AN133" s="461">
        <v>0</v>
      </c>
      <c r="AO133" s="461">
        <v>0</v>
      </c>
      <c r="AP133" s="461">
        <f>AH133+AJ133+AK133+AM133+AN133</f>
        <v>0</v>
      </c>
      <c r="AQ133" s="461">
        <f>AI133+AL133+AO133</f>
        <v>0</v>
      </c>
      <c r="AR133" s="463">
        <f t="shared" ref="AR133:AR134" si="448">SUM(AP133:AQ133)</f>
        <v>0</v>
      </c>
      <c r="AS133" s="469">
        <f>I133+AG133</f>
        <v>1995411</v>
      </c>
      <c r="AT133" s="460">
        <f>J133+V133</f>
        <v>1473153</v>
      </c>
      <c r="AU133" s="460">
        <f t="shared" ref="AU133:AU134" si="449">Z133</f>
        <v>0</v>
      </c>
      <c r="AV133" s="460">
        <f>K133+AB133</f>
        <v>497926</v>
      </c>
      <c r="AW133" s="460">
        <f>L133+AC133</f>
        <v>14732</v>
      </c>
      <c r="AX133" s="460">
        <f>M133+AF133</f>
        <v>9600</v>
      </c>
      <c r="AY133" s="461">
        <f>N133+AR133</f>
        <v>2.8902999999999999</v>
      </c>
      <c r="AZ133" s="461">
        <f>O133+AP133</f>
        <v>2.2902999999999998</v>
      </c>
      <c r="BA133" s="463">
        <f>P133+AQ133</f>
        <v>0.60000000000000009</v>
      </c>
    </row>
    <row r="134" spans="1:53" ht="12.95" customHeight="1" x14ac:dyDescent="0.25">
      <c r="A134" s="299">
        <v>26</v>
      </c>
      <c r="B134" s="220">
        <v>5486</v>
      </c>
      <c r="C134" s="220">
        <v>600098711</v>
      </c>
      <c r="D134" s="300">
        <v>72744022</v>
      </c>
      <c r="E134" s="397" t="s">
        <v>520</v>
      </c>
      <c r="F134" s="220">
        <v>3141</v>
      </c>
      <c r="G134" s="398" t="s">
        <v>311</v>
      </c>
      <c r="H134" s="304" t="s">
        <v>278</v>
      </c>
      <c r="I134" s="462">
        <f t="shared" si="437"/>
        <v>382208</v>
      </c>
      <c r="J134" s="457">
        <v>282611</v>
      </c>
      <c r="K134" s="457">
        <f t="shared" si="438"/>
        <v>95523</v>
      </c>
      <c r="L134" s="457">
        <f t="shared" si="439"/>
        <v>2826</v>
      </c>
      <c r="M134" s="457">
        <v>1248</v>
      </c>
      <c r="N134" s="458">
        <f t="shared" si="440"/>
        <v>0.91</v>
      </c>
      <c r="O134" s="459">
        <v>0</v>
      </c>
      <c r="P134" s="646">
        <v>0.91</v>
      </c>
      <c r="Q134" s="469">
        <f t="shared" si="441"/>
        <v>0</v>
      </c>
      <c r="R134" s="460">
        <v>0</v>
      </c>
      <c r="S134" s="673">
        <v>0</v>
      </c>
      <c r="T134" s="460">
        <v>0</v>
      </c>
      <c r="U134" s="460">
        <v>0</v>
      </c>
      <c r="V134" s="460">
        <f>SUM(Q134:U134)</f>
        <v>0</v>
      </c>
      <c r="W134" s="460">
        <v>0</v>
      </c>
      <c r="X134" s="460">
        <v>0</v>
      </c>
      <c r="Y134" s="460">
        <v>0</v>
      </c>
      <c r="Z134" s="460">
        <f t="shared" si="442"/>
        <v>0</v>
      </c>
      <c r="AA134" s="460">
        <f t="shared" si="443"/>
        <v>0</v>
      </c>
      <c r="AB134" s="69">
        <f t="shared" si="444"/>
        <v>0</v>
      </c>
      <c r="AC134" s="69">
        <f t="shared" si="445"/>
        <v>0</v>
      </c>
      <c r="AD134" s="460">
        <v>0</v>
      </c>
      <c r="AE134" s="460">
        <v>0</v>
      </c>
      <c r="AF134" s="460">
        <f t="shared" si="446"/>
        <v>0</v>
      </c>
      <c r="AG134" s="460">
        <f t="shared" si="447"/>
        <v>0</v>
      </c>
      <c r="AH134" s="461">
        <v>0</v>
      </c>
      <c r="AI134" s="461">
        <v>0</v>
      </c>
      <c r="AJ134" s="461">
        <v>0</v>
      </c>
      <c r="AK134" s="461">
        <v>0</v>
      </c>
      <c r="AL134" s="674">
        <v>0</v>
      </c>
      <c r="AM134" s="461">
        <v>0</v>
      </c>
      <c r="AN134" s="461">
        <v>0</v>
      </c>
      <c r="AO134" s="461">
        <v>0</v>
      </c>
      <c r="AP134" s="461">
        <f>AH134+AJ134+AK134+AM134+AN134</f>
        <v>0</v>
      </c>
      <c r="AQ134" s="461">
        <f>AI134+AL134+AO134</f>
        <v>0</v>
      </c>
      <c r="AR134" s="463">
        <f t="shared" si="448"/>
        <v>0</v>
      </c>
      <c r="AS134" s="469">
        <f>I134+AG134</f>
        <v>382208</v>
      </c>
      <c r="AT134" s="460">
        <f>J134+V134</f>
        <v>282611</v>
      </c>
      <c r="AU134" s="460">
        <f t="shared" si="449"/>
        <v>0</v>
      </c>
      <c r="AV134" s="460">
        <f>K134+AB134</f>
        <v>95523</v>
      </c>
      <c r="AW134" s="460">
        <f>L134+AC134</f>
        <v>2826</v>
      </c>
      <c r="AX134" s="460">
        <f>M134+AF134</f>
        <v>1248</v>
      </c>
      <c r="AY134" s="461">
        <f>N134+AR134</f>
        <v>0.91</v>
      </c>
      <c r="AZ134" s="461">
        <f>O134+AP134</f>
        <v>0</v>
      </c>
      <c r="BA134" s="463">
        <f>P134+AQ134</f>
        <v>0.91</v>
      </c>
    </row>
    <row r="135" spans="1:53" ht="12.95" customHeight="1" x14ac:dyDescent="0.25">
      <c r="A135" s="221">
        <v>26</v>
      </c>
      <c r="B135" s="46">
        <v>5486</v>
      </c>
      <c r="C135" s="46">
        <v>600098711</v>
      </c>
      <c r="D135" s="46">
        <v>72744022</v>
      </c>
      <c r="E135" s="399" t="s">
        <v>521</v>
      </c>
      <c r="F135" s="46"/>
      <c r="G135" s="399"/>
      <c r="H135" s="186"/>
      <c r="I135" s="576">
        <f t="shared" ref="I135:P135" si="450">SUM(I133:I134)</f>
        <v>2377619</v>
      </c>
      <c r="J135" s="573">
        <f t="shared" si="450"/>
        <v>1755764</v>
      </c>
      <c r="K135" s="573">
        <f t="shared" si="450"/>
        <v>593449</v>
      </c>
      <c r="L135" s="573">
        <f t="shared" si="450"/>
        <v>17558</v>
      </c>
      <c r="M135" s="573">
        <f t="shared" si="450"/>
        <v>10848</v>
      </c>
      <c r="N135" s="574">
        <f t="shared" si="450"/>
        <v>3.8003</v>
      </c>
      <c r="O135" s="574">
        <f t="shared" si="450"/>
        <v>2.2902999999999998</v>
      </c>
      <c r="P135" s="404">
        <f t="shared" si="450"/>
        <v>1.5100000000000002</v>
      </c>
      <c r="Q135" s="578">
        <f t="shared" ref="Q135:BA135" si="451">SUM(Q133:Q134)</f>
        <v>0</v>
      </c>
      <c r="R135" s="573">
        <f t="shared" si="451"/>
        <v>0</v>
      </c>
      <c r="S135" s="573">
        <f t="shared" si="451"/>
        <v>0</v>
      </c>
      <c r="T135" s="573">
        <f t="shared" si="451"/>
        <v>0</v>
      </c>
      <c r="U135" s="573">
        <f t="shared" si="451"/>
        <v>0</v>
      </c>
      <c r="V135" s="573">
        <f t="shared" si="451"/>
        <v>0</v>
      </c>
      <c r="W135" s="573">
        <f t="shared" si="451"/>
        <v>0</v>
      </c>
      <c r="X135" s="573">
        <f t="shared" si="451"/>
        <v>0</v>
      </c>
      <c r="Y135" s="573">
        <f t="shared" si="451"/>
        <v>0</v>
      </c>
      <c r="Z135" s="573">
        <f t="shared" si="451"/>
        <v>0</v>
      </c>
      <c r="AA135" s="573">
        <f t="shared" si="451"/>
        <v>0</v>
      </c>
      <c r="AB135" s="573">
        <f t="shared" si="451"/>
        <v>0</v>
      </c>
      <c r="AC135" s="573">
        <f t="shared" si="451"/>
        <v>0</v>
      </c>
      <c r="AD135" s="573">
        <f t="shared" si="451"/>
        <v>0</v>
      </c>
      <c r="AE135" s="573">
        <f t="shared" si="451"/>
        <v>0</v>
      </c>
      <c r="AF135" s="573">
        <f t="shared" si="451"/>
        <v>0</v>
      </c>
      <c r="AG135" s="573">
        <f t="shared" si="451"/>
        <v>0</v>
      </c>
      <c r="AH135" s="574">
        <f t="shared" si="451"/>
        <v>0</v>
      </c>
      <c r="AI135" s="574">
        <f t="shared" si="451"/>
        <v>0</v>
      </c>
      <c r="AJ135" s="574">
        <f t="shared" si="451"/>
        <v>0</v>
      </c>
      <c r="AK135" s="574">
        <f t="shared" si="451"/>
        <v>0</v>
      </c>
      <c r="AL135" s="574">
        <f t="shared" si="451"/>
        <v>0</v>
      </c>
      <c r="AM135" s="574">
        <f t="shared" si="451"/>
        <v>0</v>
      </c>
      <c r="AN135" s="574">
        <f t="shared" si="451"/>
        <v>0</v>
      </c>
      <c r="AO135" s="574">
        <f t="shared" si="451"/>
        <v>0</v>
      </c>
      <c r="AP135" s="574">
        <f t="shared" si="451"/>
        <v>0</v>
      </c>
      <c r="AQ135" s="574">
        <f t="shared" si="451"/>
        <v>0</v>
      </c>
      <c r="AR135" s="404">
        <f t="shared" si="451"/>
        <v>0</v>
      </c>
      <c r="AS135" s="578">
        <f t="shared" si="451"/>
        <v>2377619</v>
      </c>
      <c r="AT135" s="573">
        <f t="shared" si="451"/>
        <v>1755764</v>
      </c>
      <c r="AU135" s="573">
        <f t="shared" si="451"/>
        <v>0</v>
      </c>
      <c r="AV135" s="573">
        <f t="shared" si="451"/>
        <v>593449</v>
      </c>
      <c r="AW135" s="573">
        <f t="shared" si="451"/>
        <v>17558</v>
      </c>
      <c r="AX135" s="573">
        <f t="shared" si="451"/>
        <v>10848</v>
      </c>
      <c r="AY135" s="574">
        <f t="shared" si="451"/>
        <v>3.8003</v>
      </c>
      <c r="AZ135" s="574">
        <f t="shared" si="451"/>
        <v>2.2902999999999998</v>
      </c>
      <c r="BA135" s="404">
        <f t="shared" si="451"/>
        <v>1.5100000000000002</v>
      </c>
    </row>
    <row r="136" spans="1:53" ht="12.95" customHeight="1" x14ac:dyDescent="0.25">
      <c r="A136" s="299">
        <v>27</v>
      </c>
      <c r="B136" s="401">
        <v>2440</v>
      </c>
      <c r="C136" s="401">
        <v>600079392</v>
      </c>
      <c r="D136" s="300">
        <v>70981183</v>
      </c>
      <c r="E136" s="397" t="s">
        <v>522</v>
      </c>
      <c r="F136" s="220">
        <v>3111</v>
      </c>
      <c r="G136" s="398" t="s">
        <v>321</v>
      </c>
      <c r="H136" s="304" t="s">
        <v>277</v>
      </c>
      <c r="I136" s="462">
        <f t="shared" ref="I136:I137" si="452">SUM(J136:M136)</f>
        <v>2431753</v>
      </c>
      <c r="J136" s="457">
        <v>1794475</v>
      </c>
      <c r="K136" s="457">
        <f t="shared" ref="K136:K137" si="453">ROUND(J136*33.8%,0)</f>
        <v>606533</v>
      </c>
      <c r="L136" s="457">
        <f t="shared" ref="L136:L137" si="454">ROUND(J136*1%,0)</f>
        <v>17945</v>
      </c>
      <c r="M136" s="457">
        <v>12800</v>
      </c>
      <c r="N136" s="458">
        <f t="shared" ref="N136:N137" si="455">O136+P136</f>
        <v>4.12</v>
      </c>
      <c r="O136" s="459">
        <v>3</v>
      </c>
      <c r="P136" s="646">
        <v>1.1200000000000001</v>
      </c>
      <c r="Q136" s="469">
        <f t="shared" ref="Q136:Q137" si="456">W136*-1</f>
        <v>-74100</v>
      </c>
      <c r="R136" s="460">
        <v>0</v>
      </c>
      <c r="S136" s="673">
        <v>0</v>
      </c>
      <c r="T136" s="460">
        <v>0</v>
      </c>
      <c r="U136" s="460">
        <v>0</v>
      </c>
      <c r="V136" s="460">
        <f>SUM(Q136:U136)</f>
        <v>-74100</v>
      </c>
      <c r="W136" s="460">
        <v>74100</v>
      </c>
      <c r="X136" s="460">
        <v>0</v>
      </c>
      <c r="Y136" s="460">
        <v>0</v>
      </c>
      <c r="Z136" s="460">
        <f t="shared" ref="Z136:Z137" si="457">SUM(W136:Y136)</f>
        <v>74100</v>
      </c>
      <c r="AA136" s="460">
        <f t="shared" ref="AA136:AA137" si="458">V136+Z136</f>
        <v>0</v>
      </c>
      <c r="AB136" s="69">
        <f t="shared" ref="AB136:AB137" si="459">ROUND((V136+W136+X136)*33.8%,0)</f>
        <v>0</v>
      </c>
      <c r="AC136" s="69">
        <f t="shared" ref="AC136:AC137" si="460">ROUND(V136*1%,0)</f>
        <v>-741</v>
      </c>
      <c r="AD136" s="460">
        <v>0</v>
      </c>
      <c r="AE136" s="460">
        <v>0</v>
      </c>
      <c r="AF136" s="460">
        <f t="shared" ref="AF136:AF137" si="461">SUM(AD136:AE136)</f>
        <v>0</v>
      </c>
      <c r="AG136" s="460">
        <f t="shared" ref="AG136:AG137" si="462">AA136+AB136+AC136+AF136</f>
        <v>-741</v>
      </c>
      <c r="AH136" s="461">
        <v>0</v>
      </c>
      <c r="AI136" s="461">
        <v>-0.26</v>
      </c>
      <c r="AJ136" s="461">
        <v>0</v>
      </c>
      <c r="AK136" s="461">
        <v>0</v>
      </c>
      <c r="AL136" s="674">
        <v>0</v>
      </c>
      <c r="AM136" s="461">
        <v>0</v>
      </c>
      <c r="AN136" s="461">
        <v>0</v>
      </c>
      <c r="AO136" s="461">
        <v>0</v>
      </c>
      <c r="AP136" s="461">
        <f>AH136+AJ136+AK136+AM136+AN136</f>
        <v>0</v>
      </c>
      <c r="AQ136" s="461">
        <f>AI136+AL136+AO136</f>
        <v>-0.26</v>
      </c>
      <c r="AR136" s="463">
        <f t="shared" ref="AR136:AR137" si="463">SUM(AP136:AQ136)</f>
        <v>-0.26</v>
      </c>
      <c r="AS136" s="469">
        <f>I136+AG136</f>
        <v>2431012</v>
      </c>
      <c r="AT136" s="460">
        <f>J136+V136</f>
        <v>1720375</v>
      </c>
      <c r="AU136" s="460">
        <f t="shared" ref="AU136:AU137" si="464">Z136</f>
        <v>74100</v>
      </c>
      <c r="AV136" s="460">
        <f>K136+AB136</f>
        <v>606533</v>
      </c>
      <c r="AW136" s="460">
        <f>L136+AC136</f>
        <v>17204</v>
      </c>
      <c r="AX136" s="460">
        <f>M136+AF136</f>
        <v>12800</v>
      </c>
      <c r="AY136" s="461">
        <f>N136+AR136</f>
        <v>3.8600000000000003</v>
      </c>
      <c r="AZ136" s="461">
        <f>O136+AP136</f>
        <v>3</v>
      </c>
      <c r="BA136" s="463">
        <f>P136+AQ136</f>
        <v>0.8600000000000001</v>
      </c>
    </row>
    <row r="137" spans="1:53" ht="12.95" customHeight="1" x14ac:dyDescent="0.25">
      <c r="A137" s="299">
        <v>27</v>
      </c>
      <c r="B137" s="220">
        <v>2440</v>
      </c>
      <c r="C137" s="220">
        <v>600079392</v>
      </c>
      <c r="D137" s="300">
        <v>70981183</v>
      </c>
      <c r="E137" s="397" t="s">
        <v>522</v>
      </c>
      <c r="F137" s="220">
        <v>3141</v>
      </c>
      <c r="G137" s="398" t="s">
        <v>311</v>
      </c>
      <c r="H137" s="304" t="s">
        <v>278</v>
      </c>
      <c r="I137" s="462">
        <f t="shared" si="452"/>
        <v>474158</v>
      </c>
      <c r="J137" s="457">
        <v>350515</v>
      </c>
      <c r="K137" s="457">
        <f t="shared" si="453"/>
        <v>118474</v>
      </c>
      <c r="L137" s="457">
        <f t="shared" si="454"/>
        <v>3505</v>
      </c>
      <c r="M137" s="457">
        <v>1664</v>
      </c>
      <c r="N137" s="458">
        <f t="shared" si="455"/>
        <v>1.1299999999999999</v>
      </c>
      <c r="O137" s="459">
        <v>0</v>
      </c>
      <c r="P137" s="646">
        <v>1.1299999999999999</v>
      </c>
      <c r="Q137" s="469">
        <f t="shared" si="456"/>
        <v>0</v>
      </c>
      <c r="R137" s="460">
        <v>0</v>
      </c>
      <c r="S137" s="673">
        <v>0</v>
      </c>
      <c r="T137" s="460">
        <v>0</v>
      </c>
      <c r="U137" s="460">
        <v>0</v>
      </c>
      <c r="V137" s="460">
        <f>SUM(Q137:U137)</f>
        <v>0</v>
      </c>
      <c r="W137" s="460">
        <v>0</v>
      </c>
      <c r="X137" s="460">
        <v>0</v>
      </c>
      <c r="Y137" s="460">
        <v>0</v>
      </c>
      <c r="Z137" s="460">
        <f t="shared" si="457"/>
        <v>0</v>
      </c>
      <c r="AA137" s="460">
        <f t="shared" si="458"/>
        <v>0</v>
      </c>
      <c r="AB137" s="69">
        <f t="shared" si="459"/>
        <v>0</v>
      </c>
      <c r="AC137" s="69">
        <f t="shared" si="460"/>
        <v>0</v>
      </c>
      <c r="AD137" s="460">
        <v>0</v>
      </c>
      <c r="AE137" s="460">
        <v>0</v>
      </c>
      <c r="AF137" s="460">
        <f t="shared" si="461"/>
        <v>0</v>
      </c>
      <c r="AG137" s="460">
        <f t="shared" si="462"/>
        <v>0</v>
      </c>
      <c r="AH137" s="461">
        <v>0</v>
      </c>
      <c r="AI137" s="461">
        <v>0</v>
      </c>
      <c r="AJ137" s="461">
        <v>0</v>
      </c>
      <c r="AK137" s="461">
        <v>0</v>
      </c>
      <c r="AL137" s="674">
        <v>0</v>
      </c>
      <c r="AM137" s="461">
        <v>0</v>
      </c>
      <c r="AN137" s="461">
        <v>0</v>
      </c>
      <c r="AO137" s="461">
        <v>0</v>
      </c>
      <c r="AP137" s="461">
        <f>AH137+AJ137+AK137+AM137+AN137</f>
        <v>0</v>
      </c>
      <c r="AQ137" s="461">
        <f>AI137+AL137+AO137</f>
        <v>0</v>
      </c>
      <c r="AR137" s="463">
        <f t="shared" si="463"/>
        <v>0</v>
      </c>
      <c r="AS137" s="469">
        <f>I137+AG137</f>
        <v>474158</v>
      </c>
      <c r="AT137" s="460">
        <f>J137+V137</f>
        <v>350515</v>
      </c>
      <c r="AU137" s="460">
        <f t="shared" si="464"/>
        <v>0</v>
      </c>
      <c r="AV137" s="460">
        <f>K137+AB137</f>
        <v>118474</v>
      </c>
      <c r="AW137" s="460">
        <f>L137+AC137</f>
        <v>3505</v>
      </c>
      <c r="AX137" s="460">
        <f>M137+AF137</f>
        <v>1664</v>
      </c>
      <c r="AY137" s="461">
        <f>N137+AR137</f>
        <v>1.1299999999999999</v>
      </c>
      <c r="AZ137" s="461">
        <f>O137+AP137</f>
        <v>0</v>
      </c>
      <c r="BA137" s="463">
        <f>P137+AQ137</f>
        <v>1.1299999999999999</v>
      </c>
    </row>
    <row r="138" spans="1:53" ht="12.95" customHeight="1" x14ac:dyDescent="0.25">
      <c r="A138" s="221">
        <v>27</v>
      </c>
      <c r="B138" s="46">
        <v>2440</v>
      </c>
      <c r="C138" s="46">
        <v>600079392</v>
      </c>
      <c r="D138" s="46">
        <v>70981183</v>
      </c>
      <c r="E138" s="399" t="s">
        <v>523</v>
      </c>
      <c r="F138" s="46"/>
      <c r="G138" s="399"/>
      <c r="H138" s="186"/>
      <c r="I138" s="576">
        <f t="shared" ref="I138:P138" si="465">SUM(I136:I137)</f>
        <v>2905911</v>
      </c>
      <c r="J138" s="573">
        <f t="shared" si="465"/>
        <v>2144990</v>
      </c>
      <c r="K138" s="573">
        <f t="shared" si="465"/>
        <v>725007</v>
      </c>
      <c r="L138" s="573">
        <f t="shared" si="465"/>
        <v>21450</v>
      </c>
      <c r="M138" s="573">
        <f t="shared" si="465"/>
        <v>14464</v>
      </c>
      <c r="N138" s="574">
        <f t="shared" si="465"/>
        <v>5.25</v>
      </c>
      <c r="O138" s="574">
        <f t="shared" si="465"/>
        <v>3</v>
      </c>
      <c r="P138" s="404">
        <f t="shared" si="465"/>
        <v>2.25</v>
      </c>
      <c r="Q138" s="578">
        <f t="shared" ref="Q138:BA138" si="466">SUM(Q136:Q137)</f>
        <v>-74100</v>
      </c>
      <c r="R138" s="573">
        <f t="shared" si="466"/>
        <v>0</v>
      </c>
      <c r="S138" s="573">
        <f t="shared" si="466"/>
        <v>0</v>
      </c>
      <c r="T138" s="573">
        <f t="shared" si="466"/>
        <v>0</v>
      </c>
      <c r="U138" s="573">
        <f t="shared" si="466"/>
        <v>0</v>
      </c>
      <c r="V138" s="573">
        <f t="shared" si="466"/>
        <v>-74100</v>
      </c>
      <c r="W138" s="573">
        <f t="shared" si="466"/>
        <v>74100</v>
      </c>
      <c r="X138" s="573">
        <f t="shared" si="466"/>
        <v>0</v>
      </c>
      <c r="Y138" s="573">
        <f t="shared" si="466"/>
        <v>0</v>
      </c>
      <c r="Z138" s="573">
        <f t="shared" si="466"/>
        <v>74100</v>
      </c>
      <c r="AA138" s="573">
        <f t="shared" si="466"/>
        <v>0</v>
      </c>
      <c r="AB138" s="573">
        <f t="shared" si="466"/>
        <v>0</v>
      </c>
      <c r="AC138" s="573">
        <f t="shared" si="466"/>
        <v>-741</v>
      </c>
      <c r="AD138" s="573">
        <f t="shared" si="466"/>
        <v>0</v>
      </c>
      <c r="AE138" s="573">
        <f t="shared" si="466"/>
        <v>0</v>
      </c>
      <c r="AF138" s="573">
        <f t="shared" si="466"/>
        <v>0</v>
      </c>
      <c r="AG138" s="573">
        <f t="shared" si="466"/>
        <v>-741</v>
      </c>
      <c r="AH138" s="574">
        <f t="shared" si="466"/>
        <v>0</v>
      </c>
      <c r="AI138" s="574">
        <f t="shared" si="466"/>
        <v>-0.26</v>
      </c>
      <c r="AJ138" s="574">
        <f t="shared" si="466"/>
        <v>0</v>
      </c>
      <c r="AK138" s="574">
        <f t="shared" si="466"/>
        <v>0</v>
      </c>
      <c r="AL138" s="574">
        <f t="shared" si="466"/>
        <v>0</v>
      </c>
      <c r="AM138" s="574">
        <f t="shared" si="466"/>
        <v>0</v>
      </c>
      <c r="AN138" s="574">
        <f t="shared" si="466"/>
        <v>0</v>
      </c>
      <c r="AO138" s="574">
        <f t="shared" si="466"/>
        <v>0</v>
      </c>
      <c r="AP138" s="574">
        <f t="shared" si="466"/>
        <v>0</v>
      </c>
      <c r="AQ138" s="574">
        <f t="shared" si="466"/>
        <v>-0.26</v>
      </c>
      <c r="AR138" s="404">
        <f t="shared" si="466"/>
        <v>-0.26</v>
      </c>
      <c r="AS138" s="578">
        <f t="shared" si="466"/>
        <v>2905170</v>
      </c>
      <c r="AT138" s="573">
        <f t="shared" si="466"/>
        <v>2070890</v>
      </c>
      <c r="AU138" s="573">
        <f t="shared" si="466"/>
        <v>74100</v>
      </c>
      <c r="AV138" s="573">
        <f t="shared" si="466"/>
        <v>725007</v>
      </c>
      <c r="AW138" s="573">
        <f t="shared" si="466"/>
        <v>20709</v>
      </c>
      <c r="AX138" s="573">
        <f t="shared" si="466"/>
        <v>14464</v>
      </c>
      <c r="AY138" s="574">
        <f t="shared" si="466"/>
        <v>4.99</v>
      </c>
      <c r="AZ138" s="574">
        <f t="shared" si="466"/>
        <v>3</v>
      </c>
      <c r="BA138" s="404">
        <f t="shared" si="466"/>
        <v>1.99</v>
      </c>
    </row>
    <row r="139" spans="1:53" ht="12.95" customHeight="1" x14ac:dyDescent="0.25">
      <c r="A139" s="299">
        <v>28</v>
      </c>
      <c r="B139" s="395">
        <v>2303</v>
      </c>
      <c r="C139" s="395">
        <v>600080048</v>
      </c>
      <c r="D139" s="300">
        <v>72743689</v>
      </c>
      <c r="E139" s="396" t="s">
        <v>524</v>
      </c>
      <c r="F139" s="395">
        <v>3111</v>
      </c>
      <c r="G139" s="398" t="s">
        <v>321</v>
      </c>
      <c r="H139" s="304" t="s">
        <v>277</v>
      </c>
      <c r="I139" s="462">
        <f t="shared" ref="I139:I144" si="467">SUM(J139:M139)</f>
        <v>3218810</v>
      </c>
      <c r="J139" s="457">
        <v>2374785</v>
      </c>
      <c r="K139" s="457">
        <f t="shared" ref="K139:K144" si="468">ROUND(J139*33.8%,0)</f>
        <v>802677</v>
      </c>
      <c r="L139" s="457">
        <f t="shared" ref="L139:L144" si="469">ROUND(J139*1%,0)</f>
        <v>23748</v>
      </c>
      <c r="M139" s="457">
        <v>17600</v>
      </c>
      <c r="N139" s="458">
        <f t="shared" ref="N139:N144" si="470">O139+P139</f>
        <v>4.7</v>
      </c>
      <c r="O139" s="459">
        <v>3.9</v>
      </c>
      <c r="P139" s="646">
        <v>0.8</v>
      </c>
      <c r="Q139" s="469">
        <f t="shared" ref="Q139:Q144" si="471">W139*-1</f>
        <v>-32500</v>
      </c>
      <c r="R139" s="460">
        <v>0</v>
      </c>
      <c r="S139" s="673">
        <v>0</v>
      </c>
      <c r="T139" s="460">
        <v>0</v>
      </c>
      <c r="U139" s="460">
        <v>0</v>
      </c>
      <c r="V139" s="460">
        <f t="shared" ref="V139:V144" si="472">SUM(Q139:U139)</f>
        <v>-32500</v>
      </c>
      <c r="W139" s="460">
        <v>32500</v>
      </c>
      <c r="X139" s="460">
        <v>0</v>
      </c>
      <c r="Y139" s="460">
        <v>0</v>
      </c>
      <c r="Z139" s="460">
        <f t="shared" ref="Z139:Z144" si="473">SUM(W139:Y139)</f>
        <v>32500</v>
      </c>
      <c r="AA139" s="460">
        <f t="shared" ref="AA139:AA144" si="474">V139+Z139</f>
        <v>0</v>
      </c>
      <c r="AB139" s="69">
        <f t="shared" ref="AB139:AB144" si="475">ROUND((V139+W139+X139)*33.8%,0)</f>
        <v>0</v>
      </c>
      <c r="AC139" s="69">
        <f t="shared" ref="AC139:AC144" si="476">ROUND(V139*1%,0)</f>
        <v>-325</v>
      </c>
      <c r="AD139" s="460">
        <v>0</v>
      </c>
      <c r="AE139" s="460">
        <v>0</v>
      </c>
      <c r="AF139" s="460">
        <f t="shared" ref="AF139:AF144" si="477">SUM(AD139:AE139)</f>
        <v>0</v>
      </c>
      <c r="AG139" s="460">
        <f t="shared" ref="AG139:AG144" si="478">AA139+AB139+AC139+AF139</f>
        <v>-325</v>
      </c>
      <c r="AH139" s="461">
        <v>0</v>
      </c>
      <c r="AI139" s="461">
        <v>0</v>
      </c>
      <c r="AJ139" s="461">
        <v>0</v>
      </c>
      <c r="AK139" s="461">
        <v>0</v>
      </c>
      <c r="AL139" s="674">
        <v>0</v>
      </c>
      <c r="AM139" s="461">
        <v>0</v>
      </c>
      <c r="AN139" s="461">
        <v>0</v>
      </c>
      <c r="AO139" s="461">
        <v>0</v>
      </c>
      <c r="AP139" s="461">
        <f t="shared" ref="AP139:AP144" si="479">AH139+AJ139+AK139+AM139+AN139</f>
        <v>0</v>
      </c>
      <c r="AQ139" s="461">
        <f t="shared" ref="AQ139:AQ144" si="480">AI139+AL139+AO139</f>
        <v>0</v>
      </c>
      <c r="AR139" s="463">
        <f t="shared" ref="AR139:AR144" si="481">SUM(AP139:AQ139)</f>
        <v>0</v>
      </c>
      <c r="AS139" s="469">
        <f t="shared" ref="AS139:AS144" si="482">I139+AG139</f>
        <v>3218485</v>
      </c>
      <c r="AT139" s="460">
        <f t="shared" ref="AT139:AT144" si="483">J139+V139</f>
        <v>2342285</v>
      </c>
      <c r="AU139" s="460">
        <f t="shared" ref="AU139:AU144" si="484">Z139</f>
        <v>32500</v>
      </c>
      <c r="AV139" s="460">
        <f t="shared" ref="AV139:AW144" si="485">K139+AB139</f>
        <v>802677</v>
      </c>
      <c r="AW139" s="460">
        <f t="shared" si="485"/>
        <v>23423</v>
      </c>
      <c r="AX139" s="460">
        <f t="shared" ref="AX139:AX144" si="486">M139+AF139</f>
        <v>17600</v>
      </c>
      <c r="AY139" s="461">
        <f t="shared" ref="AY139:AY144" si="487">N139+AR139</f>
        <v>4.7</v>
      </c>
      <c r="AZ139" s="461">
        <f t="shared" ref="AZ139:BA144" si="488">O139+AP139</f>
        <v>3.9</v>
      </c>
      <c r="BA139" s="463">
        <f t="shared" si="488"/>
        <v>0.8</v>
      </c>
    </row>
    <row r="140" spans="1:53" ht="12.95" customHeight="1" x14ac:dyDescent="0.25">
      <c r="A140" s="299">
        <v>28</v>
      </c>
      <c r="B140" s="401">
        <v>2303</v>
      </c>
      <c r="C140" s="401">
        <v>600080048</v>
      </c>
      <c r="D140" s="300">
        <v>72743689</v>
      </c>
      <c r="E140" s="219" t="s">
        <v>524</v>
      </c>
      <c r="F140" s="401">
        <v>3117</v>
      </c>
      <c r="G140" s="397" t="s">
        <v>325</v>
      </c>
      <c r="H140" s="304" t="s">
        <v>277</v>
      </c>
      <c r="I140" s="462">
        <f t="shared" si="467"/>
        <v>3922373</v>
      </c>
      <c r="J140" s="457">
        <v>2862721</v>
      </c>
      <c r="K140" s="457">
        <f t="shared" si="468"/>
        <v>967600</v>
      </c>
      <c r="L140" s="457">
        <f t="shared" si="469"/>
        <v>28627</v>
      </c>
      <c r="M140" s="457">
        <v>63425</v>
      </c>
      <c r="N140" s="458">
        <f t="shared" si="470"/>
        <v>5.6563999999999997</v>
      </c>
      <c r="O140" s="459">
        <v>3.8163999999999998</v>
      </c>
      <c r="P140" s="646">
        <v>1.8399999999999999</v>
      </c>
      <c r="Q140" s="469">
        <f t="shared" si="471"/>
        <v>0</v>
      </c>
      <c r="R140" s="460">
        <v>0</v>
      </c>
      <c r="S140" s="673">
        <v>0</v>
      </c>
      <c r="T140" s="460">
        <v>0</v>
      </c>
      <c r="U140" s="460">
        <v>0</v>
      </c>
      <c r="V140" s="460">
        <f t="shared" si="472"/>
        <v>0</v>
      </c>
      <c r="W140" s="460">
        <v>0</v>
      </c>
      <c r="X140" s="460">
        <v>0</v>
      </c>
      <c r="Y140" s="460">
        <v>0</v>
      </c>
      <c r="Z140" s="460">
        <f t="shared" si="473"/>
        <v>0</v>
      </c>
      <c r="AA140" s="460">
        <f t="shared" si="474"/>
        <v>0</v>
      </c>
      <c r="AB140" s="69">
        <f t="shared" si="475"/>
        <v>0</v>
      </c>
      <c r="AC140" s="69">
        <f t="shared" si="476"/>
        <v>0</v>
      </c>
      <c r="AD140" s="460">
        <v>0</v>
      </c>
      <c r="AE140" s="460">
        <v>0</v>
      </c>
      <c r="AF140" s="460">
        <f t="shared" si="477"/>
        <v>0</v>
      </c>
      <c r="AG140" s="460">
        <f t="shared" si="478"/>
        <v>0</v>
      </c>
      <c r="AH140" s="461">
        <v>0</v>
      </c>
      <c r="AI140" s="461">
        <v>0</v>
      </c>
      <c r="AJ140" s="461">
        <v>0</v>
      </c>
      <c r="AK140" s="461">
        <v>0</v>
      </c>
      <c r="AL140" s="674">
        <v>0</v>
      </c>
      <c r="AM140" s="461">
        <v>0</v>
      </c>
      <c r="AN140" s="461">
        <v>0</v>
      </c>
      <c r="AO140" s="461">
        <v>0</v>
      </c>
      <c r="AP140" s="461">
        <f t="shared" si="479"/>
        <v>0</v>
      </c>
      <c r="AQ140" s="461">
        <f t="shared" si="480"/>
        <v>0</v>
      </c>
      <c r="AR140" s="463">
        <f t="shared" si="481"/>
        <v>0</v>
      </c>
      <c r="AS140" s="469">
        <f t="shared" si="482"/>
        <v>3922373</v>
      </c>
      <c r="AT140" s="460">
        <f t="shared" si="483"/>
        <v>2862721</v>
      </c>
      <c r="AU140" s="460">
        <f t="shared" si="484"/>
        <v>0</v>
      </c>
      <c r="AV140" s="460">
        <f t="shared" si="485"/>
        <v>967600</v>
      </c>
      <c r="AW140" s="460">
        <f t="shared" si="485"/>
        <v>28627</v>
      </c>
      <c r="AX140" s="460">
        <f t="shared" si="486"/>
        <v>63425</v>
      </c>
      <c r="AY140" s="461">
        <f t="shared" si="487"/>
        <v>5.6563999999999997</v>
      </c>
      <c r="AZ140" s="461">
        <f t="shared" si="488"/>
        <v>3.8163999999999998</v>
      </c>
      <c r="BA140" s="463">
        <f t="shared" si="488"/>
        <v>1.8399999999999999</v>
      </c>
    </row>
    <row r="141" spans="1:53" ht="12.95" customHeight="1" x14ac:dyDescent="0.25">
      <c r="A141" s="299">
        <v>28</v>
      </c>
      <c r="B141" s="220">
        <v>2303</v>
      </c>
      <c r="C141" s="220">
        <v>600080048</v>
      </c>
      <c r="D141" s="300">
        <v>72743689</v>
      </c>
      <c r="E141" s="396" t="s">
        <v>524</v>
      </c>
      <c r="F141" s="401">
        <v>3117</v>
      </c>
      <c r="G141" s="342" t="s">
        <v>308</v>
      </c>
      <c r="H141" s="304" t="s">
        <v>278</v>
      </c>
      <c r="I141" s="462">
        <f t="shared" si="467"/>
        <v>0</v>
      </c>
      <c r="J141" s="457">
        <v>0</v>
      </c>
      <c r="K141" s="457">
        <f t="shared" si="468"/>
        <v>0</v>
      </c>
      <c r="L141" s="457">
        <f t="shared" si="469"/>
        <v>0</v>
      </c>
      <c r="M141" s="457">
        <v>0</v>
      </c>
      <c r="N141" s="458">
        <f t="shared" si="470"/>
        <v>0</v>
      </c>
      <c r="O141" s="459">
        <v>0</v>
      </c>
      <c r="P141" s="646">
        <v>0</v>
      </c>
      <c r="Q141" s="469">
        <f t="shared" si="471"/>
        <v>0</v>
      </c>
      <c r="R141" s="460">
        <v>134733</v>
      </c>
      <c r="S141" s="673">
        <v>0</v>
      </c>
      <c r="T141" s="460">
        <v>0</v>
      </c>
      <c r="U141" s="460">
        <v>0</v>
      </c>
      <c r="V141" s="460">
        <f t="shared" si="472"/>
        <v>134733</v>
      </c>
      <c r="W141" s="460">
        <v>0</v>
      </c>
      <c r="X141" s="460">
        <v>0</v>
      </c>
      <c r="Y141" s="460">
        <v>0</v>
      </c>
      <c r="Z141" s="460">
        <f t="shared" si="473"/>
        <v>0</v>
      </c>
      <c r="AA141" s="460">
        <f t="shared" si="474"/>
        <v>134733</v>
      </c>
      <c r="AB141" s="69">
        <f t="shared" si="475"/>
        <v>45540</v>
      </c>
      <c r="AC141" s="69">
        <f t="shared" si="476"/>
        <v>1347</v>
      </c>
      <c r="AD141" s="460">
        <v>0</v>
      </c>
      <c r="AE141" s="460">
        <v>0</v>
      </c>
      <c r="AF141" s="460">
        <f t="shared" si="477"/>
        <v>0</v>
      </c>
      <c r="AG141" s="460">
        <f t="shared" si="478"/>
        <v>181620</v>
      </c>
      <c r="AH141" s="461">
        <v>0</v>
      </c>
      <c r="AI141" s="461">
        <v>0</v>
      </c>
      <c r="AJ141" s="461">
        <v>0.39</v>
      </c>
      <c r="AK141" s="461">
        <v>0</v>
      </c>
      <c r="AL141" s="674">
        <v>0</v>
      </c>
      <c r="AM141" s="461">
        <v>0</v>
      </c>
      <c r="AN141" s="461">
        <v>0</v>
      </c>
      <c r="AO141" s="461">
        <v>0</v>
      </c>
      <c r="AP141" s="461">
        <f t="shared" si="479"/>
        <v>0.39</v>
      </c>
      <c r="AQ141" s="461">
        <f t="shared" si="480"/>
        <v>0</v>
      </c>
      <c r="AR141" s="463">
        <f t="shared" si="481"/>
        <v>0.39</v>
      </c>
      <c r="AS141" s="469">
        <f t="shared" si="482"/>
        <v>181620</v>
      </c>
      <c r="AT141" s="460">
        <f t="shared" si="483"/>
        <v>134733</v>
      </c>
      <c r="AU141" s="460">
        <f t="shared" si="484"/>
        <v>0</v>
      </c>
      <c r="AV141" s="460">
        <f t="shared" si="485"/>
        <v>45540</v>
      </c>
      <c r="AW141" s="460">
        <f t="shared" si="485"/>
        <v>1347</v>
      </c>
      <c r="AX141" s="460">
        <f t="shared" si="486"/>
        <v>0</v>
      </c>
      <c r="AY141" s="461">
        <f t="shared" si="487"/>
        <v>0.39</v>
      </c>
      <c r="AZ141" s="461">
        <f t="shared" si="488"/>
        <v>0.39</v>
      </c>
      <c r="BA141" s="463">
        <f t="shared" si="488"/>
        <v>0</v>
      </c>
    </row>
    <row r="142" spans="1:53" ht="12.95" customHeight="1" x14ac:dyDescent="0.25">
      <c r="A142" s="299">
        <v>28</v>
      </c>
      <c r="B142" s="220">
        <v>2303</v>
      </c>
      <c r="C142" s="220">
        <v>600080048</v>
      </c>
      <c r="D142" s="300">
        <v>72743689</v>
      </c>
      <c r="E142" s="397" t="s">
        <v>524</v>
      </c>
      <c r="F142" s="220">
        <v>3141</v>
      </c>
      <c r="G142" s="398" t="s">
        <v>311</v>
      </c>
      <c r="H142" s="304" t="s">
        <v>278</v>
      </c>
      <c r="I142" s="462">
        <f t="shared" si="467"/>
        <v>1040442</v>
      </c>
      <c r="J142" s="457">
        <v>768485</v>
      </c>
      <c r="K142" s="457">
        <f t="shared" si="468"/>
        <v>259748</v>
      </c>
      <c r="L142" s="457">
        <f t="shared" si="469"/>
        <v>7685</v>
      </c>
      <c r="M142" s="457">
        <v>4524</v>
      </c>
      <c r="N142" s="458">
        <f t="shared" si="470"/>
        <v>2.4700000000000002</v>
      </c>
      <c r="O142" s="459">
        <v>0</v>
      </c>
      <c r="P142" s="646">
        <v>2.4700000000000002</v>
      </c>
      <c r="Q142" s="469">
        <f t="shared" si="471"/>
        <v>-48750</v>
      </c>
      <c r="R142" s="460">
        <v>0</v>
      </c>
      <c r="S142" s="673">
        <v>0</v>
      </c>
      <c r="T142" s="460">
        <v>0</v>
      </c>
      <c r="U142" s="460">
        <v>0</v>
      </c>
      <c r="V142" s="460">
        <f t="shared" si="472"/>
        <v>-48750</v>
      </c>
      <c r="W142" s="460">
        <v>48750</v>
      </c>
      <c r="X142" s="460">
        <v>0</v>
      </c>
      <c r="Y142" s="460">
        <v>0</v>
      </c>
      <c r="Z142" s="460">
        <f t="shared" si="473"/>
        <v>48750</v>
      </c>
      <c r="AA142" s="460">
        <f t="shared" si="474"/>
        <v>0</v>
      </c>
      <c r="AB142" s="69">
        <f t="shared" si="475"/>
        <v>0</v>
      </c>
      <c r="AC142" s="69">
        <f t="shared" si="476"/>
        <v>-488</v>
      </c>
      <c r="AD142" s="460">
        <v>0</v>
      </c>
      <c r="AE142" s="460">
        <v>0</v>
      </c>
      <c r="AF142" s="460">
        <f t="shared" si="477"/>
        <v>0</v>
      </c>
      <c r="AG142" s="460">
        <f t="shared" si="478"/>
        <v>-488</v>
      </c>
      <c r="AH142" s="461">
        <v>0</v>
      </c>
      <c r="AI142" s="461">
        <v>-0.16</v>
      </c>
      <c r="AJ142" s="461">
        <v>0</v>
      </c>
      <c r="AK142" s="461">
        <v>0</v>
      </c>
      <c r="AL142" s="674">
        <v>0</v>
      </c>
      <c r="AM142" s="461">
        <v>0</v>
      </c>
      <c r="AN142" s="461">
        <v>0</v>
      </c>
      <c r="AO142" s="461">
        <v>0</v>
      </c>
      <c r="AP142" s="461">
        <f t="shared" si="479"/>
        <v>0</v>
      </c>
      <c r="AQ142" s="461">
        <f t="shared" si="480"/>
        <v>-0.16</v>
      </c>
      <c r="AR142" s="463">
        <f t="shared" si="481"/>
        <v>-0.16</v>
      </c>
      <c r="AS142" s="469">
        <f t="shared" si="482"/>
        <v>1039954</v>
      </c>
      <c r="AT142" s="460">
        <f t="shared" si="483"/>
        <v>719735</v>
      </c>
      <c r="AU142" s="460">
        <f t="shared" si="484"/>
        <v>48750</v>
      </c>
      <c r="AV142" s="460">
        <f t="shared" si="485"/>
        <v>259748</v>
      </c>
      <c r="AW142" s="460">
        <f t="shared" si="485"/>
        <v>7197</v>
      </c>
      <c r="AX142" s="460">
        <f t="shared" si="486"/>
        <v>4524</v>
      </c>
      <c r="AY142" s="461">
        <f t="shared" si="487"/>
        <v>2.31</v>
      </c>
      <c r="AZ142" s="461">
        <f t="shared" si="488"/>
        <v>0</v>
      </c>
      <c r="BA142" s="463">
        <f t="shared" si="488"/>
        <v>2.31</v>
      </c>
    </row>
    <row r="143" spans="1:53" ht="12.95" customHeight="1" x14ac:dyDescent="0.25">
      <c r="A143" s="299">
        <v>28</v>
      </c>
      <c r="B143" s="220">
        <v>2303</v>
      </c>
      <c r="C143" s="220">
        <v>600080048</v>
      </c>
      <c r="D143" s="300">
        <v>72743689</v>
      </c>
      <c r="E143" s="396" t="s">
        <v>524</v>
      </c>
      <c r="F143" s="407">
        <v>3143</v>
      </c>
      <c r="G143" s="342" t="s">
        <v>616</v>
      </c>
      <c r="H143" s="304" t="s">
        <v>277</v>
      </c>
      <c r="I143" s="462">
        <f t="shared" si="467"/>
        <v>613425</v>
      </c>
      <c r="J143" s="457">
        <v>455063</v>
      </c>
      <c r="K143" s="457">
        <f t="shared" si="468"/>
        <v>153811</v>
      </c>
      <c r="L143" s="457">
        <f t="shared" si="469"/>
        <v>4551</v>
      </c>
      <c r="M143" s="457">
        <v>0</v>
      </c>
      <c r="N143" s="458">
        <f t="shared" si="470"/>
        <v>0.86</v>
      </c>
      <c r="O143" s="459">
        <v>0.86</v>
      </c>
      <c r="P143" s="646">
        <v>0</v>
      </c>
      <c r="Q143" s="469">
        <f t="shared" si="471"/>
        <v>0</v>
      </c>
      <c r="R143" s="460">
        <v>0</v>
      </c>
      <c r="S143" s="673">
        <v>0</v>
      </c>
      <c r="T143" s="460">
        <v>0</v>
      </c>
      <c r="U143" s="460">
        <v>0</v>
      </c>
      <c r="V143" s="460">
        <f t="shared" si="472"/>
        <v>0</v>
      </c>
      <c r="W143" s="460">
        <v>0</v>
      </c>
      <c r="X143" s="460">
        <v>0</v>
      </c>
      <c r="Y143" s="460">
        <v>0</v>
      </c>
      <c r="Z143" s="460">
        <f t="shared" si="473"/>
        <v>0</v>
      </c>
      <c r="AA143" s="460">
        <f t="shared" si="474"/>
        <v>0</v>
      </c>
      <c r="AB143" s="69">
        <f t="shared" si="475"/>
        <v>0</v>
      </c>
      <c r="AC143" s="69">
        <f t="shared" si="476"/>
        <v>0</v>
      </c>
      <c r="AD143" s="460">
        <v>0</v>
      </c>
      <c r="AE143" s="460">
        <v>0</v>
      </c>
      <c r="AF143" s="460">
        <f t="shared" si="477"/>
        <v>0</v>
      </c>
      <c r="AG143" s="460">
        <f t="shared" si="478"/>
        <v>0</v>
      </c>
      <c r="AH143" s="461">
        <v>0</v>
      </c>
      <c r="AI143" s="461">
        <v>0</v>
      </c>
      <c r="AJ143" s="461">
        <v>0</v>
      </c>
      <c r="AK143" s="461">
        <v>0</v>
      </c>
      <c r="AL143" s="674">
        <v>0</v>
      </c>
      <c r="AM143" s="461">
        <v>0</v>
      </c>
      <c r="AN143" s="461">
        <v>0</v>
      </c>
      <c r="AO143" s="461">
        <v>0</v>
      </c>
      <c r="AP143" s="461">
        <f t="shared" si="479"/>
        <v>0</v>
      </c>
      <c r="AQ143" s="461">
        <f t="shared" si="480"/>
        <v>0</v>
      </c>
      <c r="AR143" s="463">
        <f t="shared" si="481"/>
        <v>0</v>
      </c>
      <c r="AS143" s="469">
        <f t="shared" si="482"/>
        <v>613425</v>
      </c>
      <c r="AT143" s="460">
        <f t="shared" si="483"/>
        <v>455063</v>
      </c>
      <c r="AU143" s="460">
        <f t="shared" si="484"/>
        <v>0</v>
      </c>
      <c r="AV143" s="460">
        <f t="shared" si="485"/>
        <v>153811</v>
      </c>
      <c r="AW143" s="460">
        <f t="shared" si="485"/>
        <v>4551</v>
      </c>
      <c r="AX143" s="460">
        <f t="shared" si="486"/>
        <v>0</v>
      </c>
      <c r="AY143" s="461">
        <f t="shared" si="487"/>
        <v>0.86</v>
      </c>
      <c r="AZ143" s="461">
        <f t="shared" si="488"/>
        <v>0.86</v>
      </c>
      <c r="BA143" s="463">
        <f t="shared" si="488"/>
        <v>0</v>
      </c>
    </row>
    <row r="144" spans="1:53" ht="12.95" customHeight="1" x14ac:dyDescent="0.25">
      <c r="A144" s="299">
        <v>28</v>
      </c>
      <c r="B144" s="220">
        <v>2303</v>
      </c>
      <c r="C144" s="220">
        <v>600080048</v>
      </c>
      <c r="D144" s="300">
        <v>72743689</v>
      </c>
      <c r="E144" s="396" t="s">
        <v>524</v>
      </c>
      <c r="F144" s="407">
        <v>3143</v>
      </c>
      <c r="G144" s="342" t="s">
        <v>617</v>
      </c>
      <c r="H144" s="304" t="s">
        <v>278</v>
      </c>
      <c r="I144" s="462">
        <f t="shared" si="467"/>
        <v>21990</v>
      </c>
      <c r="J144" s="457">
        <v>15712</v>
      </c>
      <c r="K144" s="457">
        <f t="shared" si="468"/>
        <v>5311</v>
      </c>
      <c r="L144" s="457">
        <f t="shared" si="469"/>
        <v>157</v>
      </c>
      <c r="M144" s="457">
        <v>810</v>
      </c>
      <c r="N144" s="458">
        <f t="shared" si="470"/>
        <v>0.06</v>
      </c>
      <c r="O144" s="459">
        <v>0</v>
      </c>
      <c r="P144" s="646">
        <v>0.06</v>
      </c>
      <c r="Q144" s="469">
        <f t="shared" si="471"/>
        <v>0</v>
      </c>
      <c r="R144" s="460">
        <v>0</v>
      </c>
      <c r="S144" s="673">
        <v>0</v>
      </c>
      <c r="T144" s="460">
        <v>0</v>
      </c>
      <c r="U144" s="460">
        <v>0</v>
      </c>
      <c r="V144" s="460">
        <f t="shared" si="472"/>
        <v>0</v>
      </c>
      <c r="W144" s="460">
        <v>0</v>
      </c>
      <c r="X144" s="460">
        <v>0</v>
      </c>
      <c r="Y144" s="460">
        <v>0</v>
      </c>
      <c r="Z144" s="460">
        <f t="shared" si="473"/>
        <v>0</v>
      </c>
      <c r="AA144" s="460">
        <f t="shared" si="474"/>
        <v>0</v>
      </c>
      <c r="AB144" s="69">
        <f t="shared" si="475"/>
        <v>0</v>
      </c>
      <c r="AC144" s="69">
        <f t="shared" si="476"/>
        <v>0</v>
      </c>
      <c r="AD144" s="460">
        <v>0</v>
      </c>
      <c r="AE144" s="460">
        <v>0</v>
      </c>
      <c r="AF144" s="460">
        <f t="shared" si="477"/>
        <v>0</v>
      </c>
      <c r="AG144" s="460">
        <f t="shared" si="478"/>
        <v>0</v>
      </c>
      <c r="AH144" s="461">
        <v>0</v>
      </c>
      <c r="AI144" s="461">
        <v>0</v>
      </c>
      <c r="AJ144" s="461">
        <v>0</v>
      </c>
      <c r="AK144" s="461">
        <v>0</v>
      </c>
      <c r="AL144" s="674">
        <v>0</v>
      </c>
      <c r="AM144" s="461">
        <v>0</v>
      </c>
      <c r="AN144" s="461">
        <v>0</v>
      </c>
      <c r="AO144" s="461">
        <v>0</v>
      </c>
      <c r="AP144" s="461">
        <f t="shared" si="479"/>
        <v>0</v>
      </c>
      <c r="AQ144" s="461">
        <f t="shared" si="480"/>
        <v>0</v>
      </c>
      <c r="AR144" s="463">
        <f t="shared" si="481"/>
        <v>0</v>
      </c>
      <c r="AS144" s="469">
        <f t="shared" si="482"/>
        <v>21990</v>
      </c>
      <c r="AT144" s="460">
        <f t="shared" si="483"/>
        <v>15712</v>
      </c>
      <c r="AU144" s="460">
        <f t="shared" si="484"/>
        <v>0</v>
      </c>
      <c r="AV144" s="460">
        <f t="shared" si="485"/>
        <v>5311</v>
      </c>
      <c r="AW144" s="460">
        <f t="shared" si="485"/>
        <v>157</v>
      </c>
      <c r="AX144" s="460">
        <f t="shared" si="486"/>
        <v>810</v>
      </c>
      <c r="AY144" s="461">
        <f t="shared" si="487"/>
        <v>0.06</v>
      </c>
      <c r="AZ144" s="461">
        <f t="shared" si="488"/>
        <v>0</v>
      </c>
      <c r="BA144" s="463">
        <f t="shared" si="488"/>
        <v>0.06</v>
      </c>
    </row>
    <row r="145" spans="1:53" ht="12.95" customHeight="1" x14ac:dyDescent="0.25">
      <c r="A145" s="221">
        <v>28</v>
      </c>
      <c r="B145" s="46">
        <v>2303</v>
      </c>
      <c r="C145" s="46">
        <v>600080048</v>
      </c>
      <c r="D145" s="46">
        <v>72743689</v>
      </c>
      <c r="E145" s="408" t="s">
        <v>525</v>
      </c>
      <c r="F145" s="409"/>
      <c r="G145" s="408"/>
      <c r="H145" s="410"/>
      <c r="I145" s="576">
        <f t="shared" ref="I145:BA145" si="489">SUM(I139:I144)</f>
        <v>8817040</v>
      </c>
      <c r="J145" s="573">
        <f t="shared" si="489"/>
        <v>6476766</v>
      </c>
      <c r="K145" s="573">
        <f t="shared" si="489"/>
        <v>2189147</v>
      </c>
      <c r="L145" s="573">
        <f t="shared" si="489"/>
        <v>64768</v>
      </c>
      <c r="M145" s="573">
        <f t="shared" si="489"/>
        <v>86359</v>
      </c>
      <c r="N145" s="574">
        <f t="shared" si="489"/>
        <v>13.746400000000001</v>
      </c>
      <c r="O145" s="574">
        <f t="shared" si="489"/>
        <v>8.5763999999999996</v>
      </c>
      <c r="P145" s="404">
        <f t="shared" si="489"/>
        <v>5.169999999999999</v>
      </c>
      <c r="Q145" s="578">
        <f t="shared" si="489"/>
        <v>-81250</v>
      </c>
      <c r="R145" s="573">
        <f t="shared" si="489"/>
        <v>134733</v>
      </c>
      <c r="S145" s="573">
        <f t="shared" si="489"/>
        <v>0</v>
      </c>
      <c r="T145" s="573">
        <f t="shared" si="489"/>
        <v>0</v>
      </c>
      <c r="U145" s="573">
        <f t="shared" si="489"/>
        <v>0</v>
      </c>
      <c r="V145" s="573">
        <f t="shared" si="489"/>
        <v>53483</v>
      </c>
      <c r="W145" s="573">
        <f t="shared" si="489"/>
        <v>81250</v>
      </c>
      <c r="X145" s="573">
        <f t="shared" si="489"/>
        <v>0</v>
      </c>
      <c r="Y145" s="573">
        <f t="shared" si="489"/>
        <v>0</v>
      </c>
      <c r="Z145" s="573">
        <f t="shared" si="489"/>
        <v>81250</v>
      </c>
      <c r="AA145" s="573">
        <f t="shared" si="489"/>
        <v>134733</v>
      </c>
      <c r="AB145" s="573">
        <f t="shared" si="489"/>
        <v>45540</v>
      </c>
      <c r="AC145" s="573">
        <f t="shared" si="489"/>
        <v>534</v>
      </c>
      <c r="AD145" s="573">
        <f t="shared" si="489"/>
        <v>0</v>
      </c>
      <c r="AE145" s="573">
        <f t="shared" si="489"/>
        <v>0</v>
      </c>
      <c r="AF145" s="573">
        <f t="shared" si="489"/>
        <v>0</v>
      </c>
      <c r="AG145" s="573">
        <f t="shared" si="489"/>
        <v>180807</v>
      </c>
      <c r="AH145" s="574">
        <f t="shared" si="489"/>
        <v>0</v>
      </c>
      <c r="AI145" s="574">
        <f t="shared" si="489"/>
        <v>-0.16</v>
      </c>
      <c r="AJ145" s="574">
        <f t="shared" si="489"/>
        <v>0.39</v>
      </c>
      <c r="AK145" s="574">
        <f t="shared" si="489"/>
        <v>0</v>
      </c>
      <c r="AL145" s="574">
        <f t="shared" si="489"/>
        <v>0</v>
      </c>
      <c r="AM145" s="574">
        <f t="shared" si="489"/>
        <v>0</v>
      </c>
      <c r="AN145" s="574">
        <f t="shared" si="489"/>
        <v>0</v>
      </c>
      <c r="AO145" s="574">
        <f t="shared" si="489"/>
        <v>0</v>
      </c>
      <c r="AP145" s="574">
        <f t="shared" si="489"/>
        <v>0.39</v>
      </c>
      <c r="AQ145" s="574">
        <f t="shared" si="489"/>
        <v>-0.16</v>
      </c>
      <c r="AR145" s="404">
        <f t="shared" si="489"/>
        <v>0.23</v>
      </c>
      <c r="AS145" s="578">
        <f t="shared" si="489"/>
        <v>8997847</v>
      </c>
      <c r="AT145" s="573">
        <f t="shared" si="489"/>
        <v>6530249</v>
      </c>
      <c r="AU145" s="573">
        <f t="shared" si="489"/>
        <v>81250</v>
      </c>
      <c r="AV145" s="573">
        <f t="shared" si="489"/>
        <v>2234687</v>
      </c>
      <c r="AW145" s="573">
        <f t="shared" si="489"/>
        <v>65302</v>
      </c>
      <c r="AX145" s="573">
        <f t="shared" si="489"/>
        <v>86359</v>
      </c>
      <c r="AY145" s="574">
        <f t="shared" si="489"/>
        <v>13.976400000000002</v>
      </c>
      <c r="AZ145" s="574">
        <f t="shared" si="489"/>
        <v>8.9664000000000001</v>
      </c>
      <c r="BA145" s="404">
        <f t="shared" si="489"/>
        <v>5.0099999999999989</v>
      </c>
    </row>
    <row r="146" spans="1:53" ht="12.95" customHeight="1" x14ac:dyDescent="0.25">
      <c r="A146" s="299">
        <v>29</v>
      </c>
      <c r="B146" s="220">
        <v>5437</v>
      </c>
      <c r="C146" s="220">
        <v>600098931</v>
      </c>
      <c r="D146" s="300">
        <v>72742135</v>
      </c>
      <c r="E146" s="397" t="s">
        <v>526</v>
      </c>
      <c r="F146" s="220">
        <v>3111</v>
      </c>
      <c r="G146" s="398" t="s">
        <v>321</v>
      </c>
      <c r="H146" s="304" t="s">
        <v>277</v>
      </c>
      <c r="I146" s="462">
        <f t="shared" ref="I146:I147" si="490">SUM(J146:M146)</f>
        <v>5111004</v>
      </c>
      <c r="J146" s="457">
        <v>3773742</v>
      </c>
      <c r="K146" s="457">
        <f t="shared" ref="K146:K147" si="491">ROUND(J146*33.8%,0)</f>
        <v>1275525</v>
      </c>
      <c r="L146" s="457">
        <f t="shared" ref="L146:L147" si="492">ROUND(J146*1%,0)</f>
        <v>37737</v>
      </c>
      <c r="M146" s="457">
        <v>24000</v>
      </c>
      <c r="N146" s="458">
        <f t="shared" ref="N146:N147" si="493">O146+P146</f>
        <v>7.92</v>
      </c>
      <c r="O146" s="459">
        <v>6.24</v>
      </c>
      <c r="P146" s="646">
        <v>1.6800000000000002</v>
      </c>
      <c r="Q146" s="469">
        <f t="shared" ref="Q146:Q147" si="494">W146*-1</f>
        <v>0</v>
      </c>
      <c r="R146" s="460">
        <v>0</v>
      </c>
      <c r="S146" s="673">
        <v>0</v>
      </c>
      <c r="T146" s="460">
        <v>0</v>
      </c>
      <c r="U146" s="460">
        <v>0</v>
      </c>
      <c r="V146" s="460">
        <f>SUM(Q146:U146)</f>
        <v>0</v>
      </c>
      <c r="W146" s="460">
        <v>0</v>
      </c>
      <c r="X146" s="460">
        <v>0</v>
      </c>
      <c r="Y146" s="460">
        <v>0</v>
      </c>
      <c r="Z146" s="460">
        <f t="shared" ref="Z146:Z147" si="495">SUM(W146:Y146)</f>
        <v>0</v>
      </c>
      <c r="AA146" s="460">
        <f t="shared" ref="AA146:AA147" si="496">V146+Z146</f>
        <v>0</v>
      </c>
      <c r="AB146" s="69">
        <f t="shared" ref="AB146:AB147" si="497">ROUND((V146+W146+X146)*33.8%,0)</f>
        <v>0</v>
      </c>
      <c r="AC146" s="69">
        <f t="shared" ref="AC146:AC147" si="498">ROUND(V146*1%,0)</f>
        <v>0</v>
      </c>
      <c r="AD146" s="460">
        <v>0</v>
      </c>
      <c r="AE146" s="460">
        <v>0</v>
      </c>
      <c r="AF146" s="460">
        <f t="shared" ref="AF146:AF147" si="499">SUM(AD146:AE146)</f>
        <v>0</v>
      </c>
      <c r="AG146" s="460">
        <f t="shared" ref="AG146:AG147" si="500">AA146+AB146+AC146+AF146</f>
        <v>0</v>
      </c>
      <c r="AH146" s="461">
        <v>0</v>
      </c>
      <c r="AI146" s="461">
        <v>0</v>
      </c>
      <c r="AJ146" s="461">
        <v>0</v>
      </c>
      <c r="AK146" s="461">
        <v>0</v>
      </c>
      <c r="AL146" s="674">
        <v>0</v>
      </c>
      <c r="AM146" s="461">
        <v>0</v>
      </c>
      <c r="AN146" s="461">
        <v>0</v>
      </c>
      <c r="AO146" s="461">
        <v>0</v>
      </c>
      <c r="AP146" s="461">
        <f>AH146+AJ146+AK146+AM146+AN146</f>
        <v>0</v>
      </c>
      <c r="AQ146" s="461">
        <f>AI146+AL146+AO146</f>
        <v>0</v>
      </c>
      <c r="AR146" s="463">
        <f t="shared" ref="AR146:AR147" si="501">SUM(AP146:AQ146)</f>
        <v>0</v>
      </c>
      <c r="AS146" s="469">
        <f>I146+AG146</f>
        <v>5111004</v>
      </c>
      <c r="AT146" s="460">
        <f>J146+V146</f>
        <v>3773742</v>
      </c>
      <c r="AU146" s="460">
        <f t="shared" ref="AU146:AU147" si="502">Z146</f>
        <v>0</v>
      </c>
      <c r="AV146" s="460">
        <f>K146+AB146</f>
        <v>1275525</v>
      </c>
      <c r="AW146" s="460">
        <f>L146+AC146</f>
        <v>37737</v>
      </c>
      <c r="AX146" s="460">
        <f>M146+AF146</f>
        <v>24000</v>
      </c>
      <c r="AY146" s="461">
        <f>N146+AR146</f>
        <v>7.92</v>
      </c>
      <c r="AZ146" s="461">
        <f>O146+AP146</f>
        <v>6.24</v>
      </c>
      <c r="BA146" s="463">
        <f>P146+AQ146</f>
        <v>1.6800000000000002</v>
      </c>
    </row>
    <row r="147" spans="1:53" ht="12.95" customHeight="1" x14ac:dyDescent="0.25">
      <c r="A147" s="299">
        <v>29</v>
      </c>
      <c r="B147" s="220">
        <v>5437</v>
      </c>
      <c r="C147" s="220">
        <v>600098931</v>
      </c>
      <c r="D147" s="300">
        <v>72742135</v>
      </c>
      <c r="E147" s="397" t="s">
        <v>526</v>
      </c>
      <c r="F147" s="220">
        <v>3141</v>
      </c>
      <c r="G147" s="398" t="s">
        <v>311</v>
      </c>
      <c r="H147" s="304" t="s">
        <v>278</v>
      </c>
      <c r="I147" s="462">
        <f t="shared" si="490"/>
        <v>1260375</v>
      </c>
      <c r="J147" s="457">
        <v>930599</v>
      </c>
      <c r="K147" s="457">
        <f t="shared" si="491"/>
        <v>314542</v>
      </c>
      <c r="L147" s="457">
        <f t="shared" si="492"/>
        <v>9306</v>
      </c>
      <c r="M147" s="457">
        <v>5928</v>
      </c>
      <c r="N147" s="458">
        <f t="shared" si="493"/>
        <v>2.99</v>
      </c>
      <c r="O147" s="459">
        <v>0</v>
      </c>
      <c r="P147" s="646">
        <v>2.99</v>
      </c>
      <c r="Q147" s="469">
        <f t="shared" si="494"/>
        <v>0</v>
      </c>
      <c r="R147" s="460">
        <v>0</v>
      </c>
      <c r="S147" s="673">
        <v>0</v>
      </c>
      <c r="T147" s="460">
        <v>0</v>
      </c>
      <c r="U147" s="460">
        <v>0</v>
      </c>
      <c r="V147" s="460">
        <f>SUM(Q147:U147)</f>
        <v>0</v>
      </c>
      <c r="W147" s="460">
        <v>0</v>
      </c>
      <c r="X147" s="460">
        <v>0</v>
      </c>
      <c r="Y147" s="460">
        <v>0</v>
      </c>
      <c r="Z147" s="460">
        <f t="shared" si="495"/>
        <v>0</v>
      </c>
      <c r="AA147" s="460">
        <f t="shared" si="496"/>
        <v>0</v>
      </c>
      <c r="AB147" s="69">
        <f t="shared" si="497"/>
        <v>0</v>
      </c>
      <c r="AC147" s="69">
        <f t="shared" si="498"/>
        <v>0</v>
      </c>
      <c r="AD147" s="460">
        <v>0</v>
      </c>
      <c r="AE147" s="460">
        <v>0</v>
      </c>
      <c r="AF147" s="460">
        <f t="shared" si="499"/>
        <v>0</v>
      </c>
      <c r="AG147" s="460">
        <f t="shared" si="500"/>
        <v>0</v>
      </c>
      <c r="AH147" s="461">
        <v>0</v>
      </c>
      <c r="AI147" s="461">
        <v>0</v>
      </c>
      <c r="AJ147" s="461">
        <v>0</v>
      </c>
      <c r="AK147" s="461">
        <v>0</v>
      </c>
      <c r="AL147" s="674">
        <v>0</v>
      </c>
      <c r="AM147" s="461">
        <v>0</v>
      </c>
      <c r="AN147" s="461">
        <v>0</v>
      </c>
      <c r="AO147" s="461">
        <v>0</v>
      </c>
      <c r="AP147" s="461">
        <f>AH147+AJ147+AK147+AM147+AN147</f>
        <v>0</v>
      </c>
      <c r="AQ147" s="461">
        <f>AI147+AL147+AO147</f>
        <v>0</v>
      </c>
      <c r="AR147" s="463">
        <f t="shared" si="501"/>
        <v>0</v>
      </c>
      <c r="AS147" s="469">
        <f>I147+AG147</f>
        <v>1260375</v>
      </c>
      <c r="AT147" s="460">
        <f>J147+V147</f>
        <v>930599</v>
      </c>
      <c r="AU147" s="460">
        <f t="shared" si="502"/>
        <v>0</v>
      </c>
      <c r="AV147" s="460">
        <f>K147+AB147</f>
        <v>314542</v>
      </c>
      <c r="AW147" s="460">
        <f>L147+AC147</f>
        <v>9306</v>
      </c>
      <c r="AX147" s="460">
        <f>M147+AF147</f>
        <v>5928</v>
      </c>
      <c r="AY147" s="461">
        <f>N147+AR147</f>
        <v>2.99</v>
      </c>
      <c r="AZ147" s="461">
        <f>O147+AP147</f>
        <v>0</v>
      </c>
      <c r="BA147" s="463">
        <f>P147+AQ147</f>
        <v>2.99</v>
      </c>
    </row>
    <row r="148" spans="1:53" ht="12.95" customHeight="1" x14ac:dyDescent="0.25">
      <c r="A148" s="221">
        <v>29</v>
      </c>
      <c r="B148" s="46">
        <v>5437</v>
      </c>
      <c r="C148" s="46">
        <v>600098931</v>
      </c>
      <c r="D148" s="46">
        <v>72742135</v>
      </c>
      <c r="E148" s="399" t="s">
        <v>527</v>
      </c>
      <c r="F148" s="46"/>
      <c r="G148" s="399"/>
      <c r="H148" s="186"/>
      <c r="I148" s="576">
        <f t="shared" ref="I148:P148" si="503">SUM(I146:I147)</f>
        <v>6371379</v>
      </c>
      <c r="J148" s="573">
        <f t="shared" si="503"/>
        <v>4704341</v>
      </c>
      <c r="K148" s="573">
        <f t="shared" si="503"/>
        <v>1590067</v>
      </c>
      <c r="L148" s="573">
        <f t="shared" si="503"/>
        <v>47043</v>
      </c>
      <c r="M148" s="573">
        <f t="shared" si="503"/>
        <v>29928</v>
      </c>
      <c r="N148" s="574">
        <f t="shared" si="503"/>
        <v>10.91</v>
      </c>
      <c r="O148" s="574">
        <f t="shared" si="503"/>
        <v>6.24</v>
      </c>
      <c r="P148" s="404">
        <f t="shared" si="503"/>
        <v>4.67</v>
      </c>
      <c r="Q148" s="578">
        <f t="shared" ref="Q148:BA148" si="504">SUM(Q146:Q147)</f>
        <v>0</v>
      </c>
      <c r="R148" s="573">
        <f t="shared" si="504"/>
        <v>0</v>
      </c>
      <c r="S148" s="573">
        <f t="shared" si="504"/>
        <v>0</v>
      </c>
      <c r="T148" s="573">
        <f t="shared" si="504"/>
        <v>0</v>
      </c>
      <c r="U148" s="573">
        <f t="shared" si="504"/>
        <v>0</v>
      </c>
      <c r="V148" s="573">
        <f t="shared" si="504"/>
        <v>0</v>
      </c>
      <c r="W148" s="573">
        <f t="shared" si="504"/>
        <v>0</v>
      </c>
      <c r="X148" s="573">
        <f t="shared" si="504"/>
        <v>0</v>
      </c>
      <c r="Y148" s="573">
        <f t="shared" si="504"/>
        <v>0</v>
      </c>
      <c r="Z148" s="573">
        <f t="shared" si="504"/>
        <v>0</v>
      </c>
      <c r="AA148" s="573">
        <f t="shared" si="504"/>
        <v>0</v>
      </c>
      <c r="AB148" s="573">
        <f t="shared" si="504"/>
        <v>0</v>
      </c>
      <c r="AC148" s="573">
        <f t="shared" si="504"/>
        <v>0</v>
      </c>
      <c r="AD148" s="573">
        <f t="shared" si="504"/>
        <v>0</v>
      </c>
      <c r="AE148" s="573">
        <f t="shared" si="504"/>
        <v>0</v>
      </c>
      <c r="AF148" s="573">
        <f t="shared" si="504"/>
        <v>0</v>
      </c>
      <c r="AG148" s="573">
        <f t="shared" si="504"/>
        <v>0</v>
      </c>
      <c r="AH148" s="574">
        <f t="shared" si="504"/>
        <v>0</v>
      </c>
      <c r="AI148" s="574">
        <f t="shared" si="504"/>
        <v>0</v>
      </c>
      <c r="AJ148" s="574">
        <f t="shared" si="504"/>
        <v>0</v>
      </c>
      <c r="AK148" s="574">
        <f t="shared" si="504"/>
        <v>0</v>
      </c>
      <c r="AL148" s="574">
        <f t="shared" si="504"/>
        <v>0</v>
      </c>
      <c r="AM148" s="574">
        <f t="shared" si="504"/>
        <v>0</v>
      </c>
      <c r="AN148" s="574">
        <f t="shared" si="504"/>
        <v>0</v>
      </c>
      <c r="AO148" s="574">
        <f t="shared" si="504"/>
        <v>0</v>
      </c>
      <c r="AP148" s="574">
        <f t="shared" si="504"/>
        <v>0</v>
      </c>
      <c r="AQ148" s="574">
        <f t="shared" si="504"/>
        <v>0</v>
      </c>
      <c r="AR148" s="404">
        <f t="shared" si="504"/>
        <v>0</v>
      </c>
      <c r="AS148" s="578">
        <f t="shared" si="504"/>
        <v>6371379</v>
      </c>
      <c r="AT148" s="573">
        <f t="shared" si="504"/>
        <v>4704341</v>
      </c>
      <c r="AU148" s="573">
        <f t="shared" si="504"/>
        <v>0</v>
      </c>
      <c r="AV148" s="573">
        <f t="shared" si="504"/>
        <v>1590067</v>
      </c>
      <c r="AW148" s="573">
        <f t="shared" si="504"/>
        <v>47043</v>
      </c>
      <c r="AX148" s="573">
        <f t="shared" si="504"/>
        <v>29928</v>
      </c>
      <c r="AY148" s="574">
        <f t="shared" si="504"/>
        <v>10.91</v>
      </c>
      <c r="AZ148" s="574">
        <f t="shared" si="504"/>
        <v>6.24</v>
      </c>
      <c r="BA148" s="404">
        <f t="shared" si="504"/>
        <v>4.67</v>
      </c>
    </row>
    <row r="149" spans="1:53" ht="12.95" customHeight="1" x14ac:dyDescent="0.25">
      <c r="A149" s="299">
        <v>30</v>
      </c>
      <c r="B149" s="401">
        <v>5438</v>
      </c>
      <c r="C149" s="401">
        <v>600099032</v>
      </c>
      <c r="D149" s="300">
        <v>72742054</v>
      </c>
      <c r="E149" s="219" t="s">
        <v>528</v>
      </c>
      <c r="F149" s="220">
        <v>3117</v>
      </c>
      <c r="G149" s="397" t="s">
        <v>325</v>
      </c>
      <c r="H149" s="304" t="s">
        <v>277</v>
      </c>
      <c r="I149" s="462">
        <f t="shared" ref="I149:I152" si="505">SUM(J149:M149)</f>
        <v>4144695</v>
      </c>
      <c r="J149" s="457">
        <v>3011235</v>
      </c>
      <c r="K149" s="457">
        <f t="shared" ref="K149:K152" si="506">ROUND(J149*33.8%,0)</f>
        <v>1017797</v>
      </c>
      <c r="L149" s="457">
        <f>ROUND(J149*1%,0)+1</f>
        <v>30113</v>
      </c>
      <c r="M149" s="457">
        <v>85550</v>
      </c>
      <c r="N149" s="458">
        <f t="shared" ref="N149:N152" si="507">O149+P149</f>
        <v>5.0401999999999996</v>
      </c>
      <c r="O149" s="459">
        <v>3.7801999999999998</v>
      </c>
      <c r="P149" s="646">
        <v>1.26</v>
      </c>
      <c r="Q149" s="469">
        <f t="shared" ref="Q149:Q152" si="508">W149*-1</f>
        <v>0</v>
      </c>
      <c r="R149" s="460">
        <v>0</v>
      </c>
      <c r="S149" s="673">
        <v>0</v>
      </c>
      <c r="T149" s="460">
        <v>0</v>
      </c>
      <c r="U149" s="460">
        <v>0</v>
      </c>
      <c r="V149" s="460">
        <f>SUM(Q149:U149)</f>
        <v>0</v>
      </c>
      <c r="W149" s="460">
        <v>0</v>
      </c>
      <c r="X149" s="460">
        <v>0</v>
      </c>
      <c r="Y149" s="460">
        <v>0</v>
      </c>
      <c r="Z149" s="460">
        <f t="shared" ref="Z149:Z152" si="509">SUM(W149:Y149)</f>
        <v>0</v>
      </c>
      <c r="AA149" s="460">
        <f t="shared" ref="AA149:AA152" si="510">V149+Z149</f>
        <v>0</v>
      </c>
      <c r="AB149" s="69">
        <f t="shared" ref="AB149:AB152" si="511">ROUND((V149+W149+X149)*33.8%,0)</f>
        <v>0</v>
      </c>
      <c r="AC149" s="69">
        <f t="shared" ref="AC149:AC152" si="512">ROUND(V149*1%,0)</f>
        <v>0</v>
      </c>
      <c r="AD149" s="460">
        <v>0</v>
      </c>
      <c r="AE149" s="460">
        <v>0</v>
      </c>
      <c r="AF149" s="460">
        <f t="shared" ref="AF149:AF152" si="513">SUM(AD149:AE149)</f>
        <v>0</v>
      </c>
      <c r="AG149" s="460">
        <f t="shared" ref="AG149:AG152" si="514">AA149+AB149+AC149+AF149</f>
        <v>0</v>
      </c>
      <c r="AH149" s="461">
        <v>0</v>
      </c>
      <c r="AI149" s="461">
        <v>0</v>
      </c>
      <c r="AJ149" s="461">
        <v>0</v>
      </c>
      <c r="AK149" s="461">
        <v>0</v>
      </c>
      <c r="AL149" s="674">
        <v>0</v>
      </c>
      <c r="AM149" s="461">
        <v>0</v>
      </c>
      <c r="AN149" s="461">
        <v>0</v>
      </c>
      <c r="AO149" s="461">
        <v>0</v>
      </c>
      <c r="AP149" s="461">
        <f>AH149+AJ149+AK149+AM149+AN149</f>
        <v>0</v>
      </c>
      <c r="AQ149" s="461">
        <f>AI149+AL149+AO149</f>
        <v>0</v>
      </c>
      <c r="AR149" s="463">
        <f t="shared" ref="AR149:AR152" si="515">SUM(AP149:AQ149)</f>
        <v>0</v>
      </c>
      <c r="AS149" s="469">
        <f>I149+AG149</f>
        <v>4144695</v>
      </c>
      <c r="AT149" s="460">
        <f>J149+V149</f>
        <v>3011235</v>
      </c>
      <c r="AU149" s="460">
        <f t="shared" ref="AU149:AU152" si="516">Z149</f>
        <v>0</v>
      </c>
      <c r="AV149" s="460">
        <f t="shared" ref="AV149:AW152" si="517">K149+AB149</f>
        <v>1017797</v>
      </c>
      <c r="AW149" s="460">
        <f t="shared" si="517"/>
        <v>30113</v>
      </c>
      <c r="AX149" s="460">
        <f>M149+AF149</f>
        <v>85550</v>
      </c>
      <c r="AY149" s="461">
        <f>N149+AR149</f>
        <v>5.0401999999999996</v>
      </c>
      <c r="AZ149" s="461">
        <f t="shared" ref="AZ149:BA152" si="518">O149+AP149</f>
        <v>3.7801999999999998</v>
      </c>
      <c r="BA149" s="463">
        <f t="shared" si="518"/>
        <v>1.26</v>
      </c>
    </row>
    <row r="150" spans="1:53" ht="12.95" customHeight="1" x14ac:dyDescent="0.25">
      <c r="A150" s="299">
        <v>30</v>
      </c>
      <c r="B150" s="220">
        <v>5438</v>
      </c>
      <c r="C150" s="220">
        <v>600099032</v>
      </c>
      <c r="D150" s="300">
        <v>72742054</v>
      </c>
      <c r="E150" s="396" t="s">
        <v>528</v>
      </c>
      <c r="F150" s="220">
        <v>3117</v>
      </c>
      <c r="G150" s="342" t="s">
        <v>308</v>
      </c>
      <c r="H150" s="304" t="s">
        <v>278</v>
      </c>
      <c r="I150" s="462">
        <f t="shared" si="505"/>
        <v>0</v>
      </c>
      <c r="J150" s="457">
        <v>0</v>
      </c>
      <c r="K150" s="457">
        <f t="shared" si="506"/>
        <v>0</v>
      </c>
      <c r="L150" s="457">
        <f t="shared" ref="L150:L152" si="519">ROUND(J150*1%,0)</f>
        <v>0</v>
      </c>
      <c r="M150" s="457">
        <v>0</v>
      </c>
      <c r="N150" s="458">
        <f t="shared" si="507"/>
        <v>0</v>
      </c>
      <c r="O150" s="459">
        <v>0</v>
      </c>
      <c r="P150" s="646">
        <v>0</v>
      </c>
      <c r="Q150" s="469">
        <f t="shared" si="508"/>
        <v>0</v>
      </c>
      <c r="R150" s="460">
        <v>307956</v>
      </c>
      <c r="S150" s="673">
        <v>0</v>
      </c>
      <c r="T150" s="460">
        <v>0</v>
      </c>
      <c r="U150" s="460">
        <v>0</v>
      </c>
      <c r="V150" s="460">
        <f>SUM(Q150:U150)</f>
        <v>307956</v>
      </c>
      <c r="W150" s="460">
        <v>0</v>
      </c>
      <c r="X150" s="460">
        <v>0</v>
      </c>
      <c r="Y150" s="460">
        <v>0</v>
      </c>
      <c r="Z150" s="460">
        <f t="shared" si="509"/>
        <v>0</v>
      </c>
      <c r="AA150" s="460">
        <f t="shared" si="510"/>
        <v>307956</v>
      </c>
      <c r="AB150" s="69">
        <f t="shared" si="511"/>
        <v>104089</v>
      </c>
      <c r="AC150" s="69">
        <f t="shared" si="512"/>
        <v>3080</v>
      </c>
      <c r="AD150" s="460">
        <v>0</v>
      </c>
      <c r="AE150" s="460">
        <v>0</v>
      </c>
      <c r="AF150" s="460">
        <f t="shared" si="513"/>
        <v>0</v>
      </c>
      <c r="AG150" s="460">
        <f t="shared" si="514"/>
        <v>415125</v>
      </c>
      <c r="AH150" s="461">
        <v>0</v>
      </c>
      <c r="AI150" s="461">
        <v>0</v>
      </c>
      <c r="AJ150" s="461">
        <v>0.89</v>
      </c>
      <c r="AK150" s="461">
        <v>0</v>
      </c>
      <c r="AL150" s="674">
        <v>0</v>
      </c>
      <c r="AM150" s="461">
        <v>0</v>
      </c>
      <c r="AN150" s="461">
        <v>0</v>
      </c>
      <c r="AO150" s="461">
        <v>0</v>
      </c>
      <c r="AP150" s="461">
        <f>AH150+AJ150+AK150+AM150+AN150</f>
        <v>0.89</v>
      </c>
      <c r="AQ150" s="461">
        <f>AI150+AL150+AO150</f>
        <v>0</v>
      </c>
      <c r="AR150" s="463">
        <f t="shared" si="515"/>
        <v>0.89</v>
      </c>
      <c r="AS150" s="469">
        <f>I150+AG150</f>
        <v>415125</v>
      </c>
      <c r="AT150" s="460">
        <f>J150+V150</f>
        <v>307956</v>
      </c>
      <c r="AU150" s="460">
        <f t="shared" si="516"/>
        <v>0</v>
      </c>
      <c r="AV150" s="460">
        <f t="shared" si="517"/>
        <v>104089</v>
      </c>
      <c r="AW150" s="460">
        <f t="shared" si="517"/>
        <v>3080</v>
      </c>
      <c r="AX150" s="460">
        <f>M150+AF150</f>
        <v>0</v>
      </c>
      <c r="AY150" s="461">
        <f>N150+AR150</f>
        <v>0.89</v>
      </c>
      <c r="AZ150" s="461">
        <f t="shared" si="518"/>
        <v>0.89</v>
      </c>
      <c r="BA150" s="463">
        <f t="shared" si="518"/>
        <v>0</v>
      </c>
    </row>
    <row r="151" spans="1:53" ht="12.95" customHeight="1" x14ac:dyDescent="0.25">
      <c r="A151" s="299">
        <v>30</v>
      </c>
      <c r="B151" s="220">
        <v>5438</v>
      </c>
      <c r="C151" s="220">
        <v>600099032</v>
      </c>
      <c r="D151" s="300">
        <v>72742054</v>
      </c>
      <c r="E151" s="396" t="s">
        <v>528</v>
      </c>
      <c r="F151" s="407">
        <v>3143</v>
      </c>
      <c r="G151" s="342" t="s">
        <v>616</v>
      </c>
      <c r="H151" s="304" t="s">
        <v>277</v>
      </c>
      <c r="I151" s="462">
        <f t="shared" si="505"/>
        <v>704249</v>
      </c>
      <c r="J151" s="457">
        <v>522440</v>
      </c>
      <c r="K151" s="457">
        <f t="shared" si="506"/>
        <v>176585</v>
      </c>
      <c r="L151" s="457">
        <f t="shared" si="519"/>
        <v>5224</v>
      </c>
      <c r="M151" s="457">
        <v>0</v>
      </c>
      <c r="N151" s="458">
        <f t="shared" si="507"/>
        <v>1.1547000000000001</v>
      </c>
      <c r="O151" s="459">
        <v>1.1547000000000001</v>
      </c>
      <c r="P151" s="646">
        <v>0</v>
      </c>
      <c r="Q151" s="469">
        <f t="shared" si="508"/>
        <v>0</v>
      </c>
      <c r="R151" s="460">
        <v>0</v>
      </c>
      <c r="S151" s="673">
        <v>0</v>
      </c>
      <c r="T151" s="460">
        <v>0</v>
      </c>
      <c r="U151" s="460">
        <v>0</v>
      </c>
      <c r="V151" s="460">
        <f>SUM(Q151:U151)</f>
        <v>0</v>
      </c>
      <c r="W151" s="460">
        <v>0</v>
      </c>
      <c r="X151" s="460">
        <v>0</v>
      </c>
      <c r="Y151" s="460">
        <v>0</v>
      </c>
      <c r="Z151" s="460">
        <f t="shared" si="509"/>
        <v>0</v>
      </c>
      <c r="AA151" s="460">
        <f t="shared" si="510"/>
        <v>0</v>
      </c>
      <c r="AB151" s="69">
        <f t="shared" si="511"/>
        <v>0</v>
      </c>
      <c r="AC151" s="69">
        <f t="shared" si="512"/>
        <v>0</v>
      </c>
      <c r="AD151" s="460">
        <v>0</v>
      </c>
      <c r="AE151" s="460">
        <v>0</v>
      </c>
      <c r="AF151" s="460">
        <f t="shared" si="513"/>
        <v>0</v>
      </c>
      <c r="AG151" s="460">
        <f t="shared" si="514"/>
        <v>0</v>
      </c>
      <c r="AH151" s="461">
        <v>0</v>
      </c>
      <c r="AI151" s="461">
        <v>0</v>
      </c>
      <c r="AJ151" s="461">
        <v>0</v>
      </c>
      <c r="AK151" s="461">
        <v>0</v>
      </c>
      <c r="AL151" s="674">
        <v>0</v>
      </c>
      <c r="AM151" s="461">
        <v>0</v>
      </c>
      <c r="AN151" s="461">
        <v>0</v>
      </c>
      <c r="AO151" s="461">
        <v>0</v>
      </c>
      <c r="AP151" s="461">
        <f>AH151+AJ151+AK151+AM151+AN151</f>
        <v>0</v>
      </c>
      <c r="AQ151" s="461">
        <f>AI151+AL151+AO151</f>
        <v>0</v>
      </c>
      <c r="AR151" s="463">
        <f t="shared" si="515"/>
        <v>0</v>
      </c>
      <c r="AS151" s="469">
        <f>I151+AG151</f>
        <v>704249</v>
      </c>
      <c r="AT151" s="460">
        <f>J151+V151</f>
        <v>522440</v>
      </c>
      <c r="AU151" s="460">
        <f t="shared" si="516"/>
        <v>0</v>
      </c>
      <c r="AV151" s="460">
        <f t="shared" si="517"/>
        <v>176585</v>
      </c>
      <c r="AW151" s="460">
        <f t="shared" si="517"/>
        <v>5224</v>
      </c>
      <c r="AX151" s="460">
        <f>M151+AF151</f>
        <v>0</v>
      </c>
      <c r="AY151" s="461">
        <f>N151+AR151</f>
        <v>1.1547000000000001</v>
      </c>
      <c r="AZ151" s="461">
        <f t="shared" si="518"/>
        <v>1.1547000000000001</v>
      </c>
      <c r="BA151" s="463">
        <f t="shared" si="518"/>
        <v>0</v>
      </c>
    </row>
    <row r="152" spans="1:53" ht="12.95" customHeight="1" x14ac:dyDescent="0.25">
      <c r="A152" s="299">
        <v>30</v>
      </c>
      <c r="B152" s="220">
        <v>5438</v>
      </c>
      <c r="C152" s="220">
        <v>600099032</v>
      </c>
      <c r="D152" s="300">
        <v>72742054</v>
      </c>
      <c r="E152" s="396" t="s">
        <v>528</v>
      </c>
      <c r="F152" s="407">
        <v>3143</v>
      </c>
      <c r="G152" s="342" t="s">
        <v>617</v>
      </c>
      <c r="H152" s="304" t="s">
        <v>278</v>
      </c>
      <c r="I152" s="462">
        <f t="shared" si="505"/>
        <v>14661</v>
      </c>
      <c r="J152" s="457">
        <v>10475</v>
      </c>
      <c r="K152" s="457">
        <f t="shared" si="506"/>
        <v>3541</v>
      </c>
      <c r="L152" s="457">
        <f t="shared" si="519"/>
        <v>105</v>
      </c>
      <c r="M152" s="457">
        <v>540</v>
      </c>
      <c r="N152" s="458">
        <f t="shared" si="507"/>
        <v>0.04</v>
      </c>
      <c r="O152" s="459">
        <v>0</v>
      </c>
      <c r="P152" s="646">
        <v>0.04</v>
      </c>
      <c r="Q152" s="469">
        <f t="shared" si="508"/>
        <v>0</v>
      </c>
      <c r="R152" s="460">
        <v>0</v>
      </c>
      <c r="S152" s="673">
        <v>0</v>
      </c>
      <c r="T152" s="460">
        <v>0</v>
      </c>
      <c r="U152" s="460">
        <v>0</v>
      </c>
      <c r="V152" s="460">
        <f>SUM(Q152:U152)</f>
        <v>0</v>
      </c>
      <c r="W152" s="460">
        <v>0</v>
      </c>
      <c r="X152" s="460">
        <v>0</v>
      </c>
      <c r="Y152" s="460">
        <v>0</v>
      </c>
      <c r="Z152" s="460">
        <f t="shared" si="509"/>
        <v>0</v>
      </c>
      <c r="AA152" s="460">
        <f t="shared" si="510"/>
        <v>0</v>
      </c>
      <c r="AB152" s="69">
        <f t="shared" si="511"/>
        <v>0</v>
      </c>
      <c r="AC152" s="69">
        <f t="shared" si="512"/>
        <v>0</v>
      </c>
      <c r="AD152" s="460">
        <v>0</v>
      </c>
      <c r="AE152" s="460">
        <v>0</v>
      </c>
      <c r="AF152" s="460">
        <f t="shared" si="513"/>
        <v>0</v>
      </c>
      <c r="AG152" s="460">
        <f t="shared" si="514"/>
        <v>0</v>
      </c>
      <c r="AH152" s="461">
        <v>0</v>
      </c>
      <c r="AI152" s="461">
        <v>0</v>
      </c>
      <c r="AJ152" s="461">
        <v>0</v>
      </c>
      <c r="AK152" s="461">
        <v>0</v>
      </c>
      <c r="AL152" s="674">
        <v>0</v>
      </c>
      <c r="AM152" s="461">
        <v>0</v>
      </c>
      <c r="AN152" s="461">
        <v>0</v>
      </c>
      <c r="AO152" s="461">
        <v>0</v>
      </c>
      <c r="AP152" s="461">
        <f>AH152+AJ152+AK152+AM152+AN152</f>
        <v>0</v>
      </c>
      <c r="AQ152" s="461">
        <f>AI152+AL152+AO152</f>
        <v>0</v>
      </c>
      <c r="AR152" s="463">
        <f t="shared" si="515"/>
        <v>0</v>
      </c>
      <c r="AS152" s="469">
        <f>I152+AG152</f>
        <v>14661</v>
      </c>
      <c r="AT152" s="460">
        <f>J152+V152</f>
        <v>10475</v>
      </c>
      <c r="AU152" s="460">
        <f t="shared" si="516"/>
        <v>0</v>
      </c>
      <c r="AV152" s="460">
        <f t="shared" si="517"/>
        <v>3541</v>
      </c>
      <c r="AW152" s="460">
        <f t="shared" si="517"/>
        <v>105</v>
      </c>
      <c r="AX152" s="460">
        <f>M152+AF152</f>
        <v>540</v>
      </c>
      <c r="AY152" s="461">
        <f>N152+AR152</f>
        <v>0.04</v>
      </c>
      <c r="AZ152" s="461">
        <f t="shared" si="518"/>
        <v>0</v>
      </c>
      <c r="BA152" s="463">
        <f t="shared" si="518"/>
        <v>0.04</v>
      </c>
    </row>
    <row r="153" spans="1:53" ht="12.95" customHeight="1" x14ac:dyDescent="0.25">
      <c r="A153" s="221">
        <v>30</v>
      </c>
      <c r="B153" s="46">
        <v>5438</v>
      </c>
      <c r="C153" s="46">
        <v>600099032</v>
      </c>
      <c r="D153" s="46">
        <v>72742054</v>
      </c>
      <c r="E153" s="408" t="s">
        <v>529</v>
      </c>
      <c r="F153" s="409"/>
      <c r="G153" s="408"/>
      <c r="H153" s="410"/>
      <c r="I153" s="576">
        <f t="shared" ref="I153:P153" si="520">SUM(I149:I152)</f>
        <v>4863605</v>
      </c>
      <c r="J153" s="573">
        <f t="shared" si="520"/>
        <v>3544150</v>
      </c>
      <c r="K153" s="573">
        <f t="shared" si="520"/>
        <v>1197923</v>
      </c>
      <c r="L153" s="573">
        <f t="shared" si="520"/>
        <v>35442</v>
      </c>
      <c r="M153" s="573">
        <f t="shared" si="520"/>
        <v>86090</v>
      </c>
      <c r="N153" s="574">
        <f t="shared" si="520"/>
        <v>6.2348999999999997</v>
      </c>
      <c r="O153" s="574">
        <f t="shared" si="520"/>
        <v>4.9348999999999998</v>
      </c>
      <c r="P153" s="404">
        <f t="shared" si="520"/>
        <v>1.3</v>
      </c>
      <c r="Q153" s="578">
        <f t="shared" ref="Q153:BA153" si="521">SUM(Q149:Q152)</f>
        <v>0</v>
      </c>
      <c r="R153" s="573">
        <f t="shared" si="521"/>
        <v>307956</v>
      </c>
      <c r="S153" s="573">
        <f t="shared" si="521"/>
        <v>0</v>
      </c>
      <c r="T153" s="573">
        <f t="shared" si="521"/>
        <v>0</v>
      </c>
      <c r="U153" s="573">
        <f t="shared" si="521"/>
        <v>0</v>
      </c>
      <c r="V153" s="573">
        <f t="shared" si="521"/>
        <v>307956</v>
      </c>
      <c r="W153" s="573">
        <f t="shared" si="521"/>
        <v>0</v>
      </c>
      <c r="X153" s="573">
        <f t="shared" si="521"/>
        <v>0</v>
      </c>
      <c r="Y153" s="573">
        <f t="shared" si="521"/>
        <v>0</v>
      </c>
      <c r="Z153" s="573">
        <f t="shared" si="521"/>
        <v>0</v>
      </c>
      <c r="AA153" s="573">
        <f t="shared" si="521"/>
        <v>307956</v>
      </c>
      <c r="AB153" s="573">
        <f t="shared" si="521"/>
        <v>104089</v>
      </c>
      <c r="AC153" s="573">
        <f t="shared" si="521"/>
        <v>3080</v>
      </c>
      <c r="AD153" s="573">
        <f t="shared" si="521"/>
        <v>0</v>
      </c>
      <c r="AE153" s="573">
        <f t="shared" si="521"/>
        <v>0</v>
      </c>
      <c r="AF153" s="573">
        <f t="shared" si="521"/>
        <v>0</v>
      </c>
      <c r="AG153" s="573">
        <f t="shared" si="521"/>
        <v>415125</v>
      </c>
      <c r="AH153" s="574">
        <f t="shared" si="521"/>
        <v>0</v>
      </c>
      <c r="AI153" s="574">
        <f t="shared" si="521"/>
        <v>0</v>
      </c>
      <c r="AJ153" s="574">
        <f t="shared" si="521"/>
        <v>0.89</v>
      </c>
      <c r="AK153" s="574">
        <f t="shared" si="521"/>
        <v>0</v>
      </c>
      <c r="AL153" s="574">
        <f t="shared" si="521"/>
        <v>0</v>
      </c>
      <c r="AM153" s="574">
        <f t="shared" si="521"/>
        <v>0</v>
      </c>
      <c r="AN153" s="574">
        <f t="shared" si="521"/>
        <v>0</v>
      </c>
      <c r="AO153" s="574">
        <f t="shared" si="521"/>
        <v>0</v>
      </c>
      <c r="AP153" s="574">
        <f t="shared" si="521"/>
        <v>0.89</v>
      </c>
      <c r="AQ153" s="574">
        <f t="shared" si="521"/>
        <v>0</v>
      </c>
      <c r="AR153" s="404">
        <f t="shared" si="521"/>
        <v>0.89</v>
      </c>
      <c r="AS153" s="578">
        <f t="shared" si="521"/>
        <v>5278730</v>
      </c>
      <c r="AT153" s="573">
        <f t="shared" si="521"/>
        <v>3852106</v>
      </c>
      <c r="AU153" s="573">
        <f t="shared" si="521"/>
        <v>0</v>
      </c>
      <c r="AV153" s="573">
        <f t="shared" si="521"/>
        <v>1302012</v>
      </c>
      <c r="AW153" s="573">
        <f t="shared" si="521"/>
        <v>38522</v>
      </c>
      <c r="AX153" s="573">
        <f t="shared" si="521"/>
        <v>86090</v>
      </c>
      <c r="AY153" s="574">
        <f t="shared" si="521"/>
        <v>7.1248999999999993</v>
      </c>
      <c r="AZ153" s="574">
        <f t="shared" si="521"/>
        <v>5.8248999999999995</v>
      </c>
      <c r="BA153" s="404">
        <f t="shared" si="521"/>
        <v>1.3</v>
      </c>
    </row>
    <row r="154" spans="1:53" ht="12.95" customHeight="1" x14ac:dyDescent="0.25">
      <c r="A154" s="299">
        <v>31</v>
      </c>
      <c r="B154" s="220">
        <v>2441</v>
      </c>
      <c r="C154" s="220">
        <v>600079406</v>
      </c>
      <c r="D154" s="300">
        <v>70695920</v>
      </c>
      <c r="E154" s="397" t="s">
        <v>530</v>
      </c>
      <c r="F154" s="220">
        <v>3111</v>
      </c>
      <c r="G154" s="398" t="s">
        <v>321</v>
      </c>
      <c r="H154" s="304" t="s">
        <v>277</v>
      </c>
      <c r="I154" s="462">
        <f t="shared" ref="I154:I155" si="522">SUM(J154:M154)</f>
        <v>3545531</v>
      </c>
      <c r="J154" s="457">
        <v>2616269</v>
      </c>
      <c r="K154" s="457">
        <f t="shared" ref="K154:K155" si="523">ROUND(J154*33.8%,0)</f>
        <v>884299</v>
      </c>
      <c r="L154" s="457">
        <f t="shared" ref="L154:L155" si="524">ROUND(J154*1%,0)</f>
        <v>26163</v>
      </c>
      <c r="M154" s="457">
        <v>18800</v>
      </c>
      <c r="N154" s="458">
        <f t="shared" ref="N154:N155" si="525">O154+P154</f>
        <v>5.2</v>
      </c>
      <c r="O154" s="459">
        <v>4</v>
      </c>
      <c r="P154" s="646">
        <v>1.2000000000000002</v>
      </c>
      <c r="Q154" s="469">
        <f t="shared" ref="Q154:Q155" si="526">W154*-1</f>
        <v>0</v>
      </c>
      <c r="R154" s="460">
        <v>0</v>
      </c>
      <c r="S154" s="673">
        <v>0</v>
      </c>
      <c r="T154" s="460">
        <v>0</v>
      </c>
      <c r="U154" s="460">
        <v>0</v>
      </c>
      <c r="V154" s="460">
        <f>SUM(Q154:U154)</f>
        <v>0</v>
      </c>
      <c r="W154" s="460">
        <v>0</v>
      </c>
      <c r="X154" s="460">
        <v>0</v>
      </c>
      <c r="Y154" s="460">
        <v>0</v>
      </c>
      <c r="Z154" s="460">
        <f t="shared" ref="Z154:Z155" si="527">SUM(W154:Y154)</f>
        <v>0</v>
      </c>
      <c r="AA154" s="460">
        <f t="shared" ref="AA154:AA155" si="528">V154+Z154</f>
        <v>0</v>
      </c>
      <c r="AB154" s="69">
        <f t="shared" ref="AB154:AB155" si="529">ROUND((V154+W154+X154)*33.8%,0)</f>
        <v>0</v>
      </c>
      <c r="AC154" s="69">
        <f t="shared" ref="AC154:AC155" si="530">ROUND(V154*1%,0)</f>
        <v>0</v>
      </c>
      <c r="AD154" s="460">
        <v>0</v>
      </c>
      <c r="AE154" s="460">
        <v>0</v>
      </c>
      <c r="AF154" s="460">
        <f t="shared" ref="AF154:AF155" si="531">SUM(AD154:AE154)</f>
        <v>0</v>
      </c>
      <c r="AG154" s="460">
        <f t="shared" ref="AG154:AG155" si="532">AA154+AB154+AC154+AF154</f>
        <v>0</v>
      </c>
      <c r="AH154" s="461">
        <v>0</v>
      </c>
      <c r="AI154" s="461">
        <v>0</v>
      </c>
      <c r="AJ154" s="461">
        <v>0</v>
      </c>
      <c r="AK154" s="461">
        <v>0</v>
      </c>
      <c r="AL154" s="674">
        <v>0</v>
      </c>
      <c r="AM154" s="461">
        <v>0</v>
      </c>
      <c r="AN154" s="461">
        <v>0</v>
      </c>
      <c r="AO154" s="461">
        <v>0</v>
      </c>
      <c r="AP154" s="461">
        <f>AH154+AJ154+AK154+AM154+AN154</f>
        <v>0</v>
      </c>
      <c r="AQ154" s="461">
        <f>AI154+AL154+AO154</f>
        <v>0</v>
      </c>
      <c r="AR154" s="463">
        <f t="shared" ref="AR154:AR155" si="533">SUM(AP154:AQ154)</f>
        <v>0</v>
      </c>
      <c r="AS154" s="469">
        <f>I154+AG154</f>
        <v>3545531</v>
      </c>
      <c r="AT154" s="460">
        <f>J154+V154</f>
        <v>2616269</v>
      </c>
      <c r="AU154" s="460">
        <f t="shared" ref="AU154:AU155" si="534">Z154</f>
        <v>0</v>
      </c>
      <c r="AV154" s="460">
        <f>K154+AB154</f>
        <v>884299</v>
      </c>
      <c r="AW154" s="460">
        <f>L154+AC154</f>
        <v>26163</v>
      </c>
      <c r="AX154" s="460">
        <f>M154+AF154</f>
        <v>18800</v>
      </c>
      <c r="AY154" s="461">
        <f>N154+AR154</f>
        <v>5.2</v>
      </c>
      <c r="AZ154" s="461">
        <f>O154+AP154</f>
        <v>4</v>
      </c>
      <c r="BA154" s="463">
        <f>P154+AQ154</f>
        <v>1.2000000000000002</v>
      </c>
    </row>
    <row r="155" spans="1:53" ht="12.95" customHeight="1" x14ac:dyDescent="0.25">
      <c r="A155" s="299">
        <v>31</v>
      </c>
      <c r="B155" s="401">
        <v>2441</v>
      </c>
      <c r="C155" s="401">
        <v>600079406</v>
      </c>
      <c r="D155" s="300">
        <v>70695920</v>
      </c>
      <c r="E155" s="219" t="s">
        <v>530</v>
      </c>
      <c r="F155" s="220">
        <v>3141</v>
      </c>
      <c r="G155" s="398" t="s">
        <v>311</v>
      </c>
      <c r="H155" s="304" t="s">
        <v>278</v>
      </c>
      <c r="I155" s="462">
        <f t="shared" si="522"/>
        <v>622409</v>
      </c>
      <c r="J155" s="457">
        <v>459915</v>
      </c>
      <c r="K155" s="457">
        <f t="shared" si="523"/>
        <v>155451</v>
      </c>
      <c r="L155" s="457">
        <f t="shared" si="524"/>
        <v>4599</v>
      </c>
      <c r="M155" s="457">
        <v>2444</v>
      </c>
      <c r="N155" s="458">
        <f t="shared" si="525"/>
        <v>1.48</v>
      </c>
      <c r="O155" s="459">
        <v>0</v>
      </c>
      <c r="P155" s="646">
        <v>1.48</v>
      </c>
      <c r="Q155" s="469">
        <f t="shared" si="526"/>
        <v>0</v>
      </c>
      <c r="R155" s="460">
        <v>0</v>
      </c>
      <c r="S155" s="673">
        <v>0</v>
      </c>
      <c r="T155" s="460">
        <v>0</v>
      </c>
      <c r="U155" s="460">
        <v>0</v>
      </c>
      <c r="V155" s="460">
        <f>SUM(Q155:U155)</f>
        <v>0</v>
      </c>
      <c r="W155" s="460">
        <v>0</v>
      </c>
      <c r="X155" s="460">
        <v>0</v>
      </c>
      <c r="Y155" s="460">
        <v>0</v>
      </c>
      <c r="Z155" s="460">
        <f t="shared" si="527"/>
        <v>0</v>
      </c>
      <c r="AA155" s="460">
        <f t="shared" si="528"/>
        <v>0</v>
      </c>
      <c r="AB155" s="69">
        <f t="shared" si="529"/>
        <v>0</v>
      </c>
      <c r="AC155" s="69">
        <f t="shared" si="530"/>
        <v>0</v>
      </c>
      <c r="AD155" s="460">
        <v>0</v>
      </c>
      <c r="AE155" s="460">
        <v>0</v>
      </c>
      <c r="AF155" s="460">
        <f t="shared" si="531"/>
        <v>0</v>
      </c>
      <c r="AG155" s="460">
        <f t="shared" si="532"/>
        <v>0</v>
      </c>
      <c r="AH155" s="461">
        <v>0</v>
      </c>
      <c r="AI155" s="461">
        <v>0</v>
      </c>
      <c r="AJ155" s="461">
        <v>0</v>
      </c>
      <c r="AK155" s="461">
        <v>0</v>
      </c>
      <c r="AL155" s="674">
        <v>0</v>
      </c>
      <c r="AM155" s="461">
        <v>0</v>
      </c>
      <c r="AN155" s="461">
        <v>0</v>
      </c>
      <c r="AO155" s="461">
        <v>0</v>
      </c>
      <c r="AP155" s="461">
        <f>AH155+AJ155+AK155+AM155+AN155</f>
        <v>0</v>
      </c>
      <c r="AQ155" s="461">
        <f>AI155+AL155+AO155</f>
        <v>0</v>
      </c>
      <c r="AR155" s="463">
        <f t="shared" si="533"/>
        <v>0</v>
      </c>
      <c r="AS155" s="469">
        <f>I155+AG155</f>
        <v>622409</v>
      </c>
      <c r="AT155" s="460">
        <f>J155+V155</f>
        <v>459915</v>
      </c>
      <c r="AU155" s="460">
        <f t="shared" si="534"/>
        <v>0</v>
      </c>
      <c r="AV155" s="460">
        <f>K155+AB155</f>
        <v>155451</v>
      </c>
      <c r="AW155" s="460">
        <f>L155+AC155</f>
        <v>4599</v>
      </c>
      <c r="AX155" s="460">
        <f>M155+AF155</f>
        <v>2444</v>
      </c>
      <c r="AY155" s="461">
        <f>N155+AR155</f>
        <v>1.48</v>
      </c>
      <c r="AZ155" s="461">
        <f>O155+AP155</f>
        <v>0</v>
      </c>
      <c r="BA155" s="463">
        <f>P155+AQ155</f>
        <v>1.48</v>
      </c>
    </row>
    <row r="156" spans="1:53" ht="12.95" customHeight="1" x14ac:dyDescent="0.25">
      <c r="A156" s="221">
        <v>31</v>
      </c>
      <c r="B156" s="47">
        <v>2441</v>
      </c>
      <c r="C156" s="47">
        <v>600079406</v>
      </c>
      <c r="D156" s="47">
        <v>70695920</v>
      </c>
      <c r="E156" s="399" t="s">
        <v>531</v>
      </c>
      <c r="F156" s="49"/>
      <c r="G156" s="412"/>
      <c r="H156" s="189"/>
      <c r="I156" s="576">
        <f t="shared" ref="I156:P156" si="535">SUM(I154:I155)</f>
        <v>4167940</v>
      </c>
      <c r="J156" s="573">
        <f t="shared" si="535"/>
        <v>3076184</v>
      </c>
      <c r="K156" s="573">
        <f t="shared" si="535"/>
        <v>1039750</v>
      </c>
      <c r="L156" s="573">
        <f t="shared" si="535"/>
        <v>30762</v>
      </c>
      <c r="M156" s="573">
        <f t="shared" si="535"/>
        <v>21244</v>
      </c>
      <c r="N156" s="574">
        <f t="shared" si="535"/>
        <v>6.68</v>
      </c>
      <c r="O156" s="574">
        <f t="shared" si="535"/>
        <v>4</v>
      </c>
      <c r="P156" s="404">
        <f t="shared" si="535"/>
        <v>2.68</v>
      </c>
      <c r="Q156" s="578">
        <f t="shared" ref="Q156:BA156" si="536">SUM(Q154:Q155)</f>
        <v>0</v>
      </c>
      <c r="R156" s="573">
        <f t="shared" si="536"/>
        <v>0</v>
      </c>
      <c r="S156" s="573">
        <f t="shared" si="536"/>
        <v>0</v>
      </c>
      <c r="T156" s="573">
        <f t="shared" si="536"/>
        <v>0</v>
      </c>
      <c r="U156" s="573">
        <f t="shared" si="536"/>
        <v>0</v>
      </c>
      <c r="V156" s="573">
        <f t="shared" si="536"/>
        <v>0</v>
      </c>
      <c r="W156" s="573">
        <f t="shared" si="536"/>
        <v>0</v>
      </c>
      <c r="X156" s="573">
        <f t="shared" si="536"/>
        <v>0</v>
      </c>
      <c r="Y156" s="573">
        <f t="shared" si="536"/>
        <v>0</v>
      </c>
      <c r="Z156" s="573">
        <f t="shared" si="536"/>
        <v>0</v>
      </c>
      <c r="AA156" s="573">
        <f t="shared" si="536"/>
        <v>0</v>
      </c>
      <c r="AB156" s="573">
        <f t="shared" si="536"/>
        <v>0</v>
      </c>
      <c r="AC156" s="573">
        <f t="shared" si="536"/>
        <v>0</v>
      </c>
      <c r="AD156" s="573">
        <f t="shared" si="536"/>
        <v>0</v>
      </c>
      <c r="AE156" s="573">
        <f t="shared" si="536"/>
        <v>0</v>
      </c>
      <c r="AF156" s="573">
        <f t="shared" si="536"/>
        <v>0</v>
      </c>
      <c r="AG156" s="573">
        <f t="shared" si="536"/>
        <v>0</v>
      </c>
      <c r="AH156" s="574">
        <f t="shared" si="536"/>
        <v>0</v>
      </c>
      <c r="AI156" s="574">
        <f t="shared" si="536"/>
        <v>0</v>
      </c>
      <c r="AJ156" s="574">
        <f t="shared" si="536"/>
        <v>0</v>
      </c>
      <c r="AK156" s="574">
        <f t="shared" si="536"/>
        <v>0</v>
      </c>
      <c r="AL156" s="574">
        <f t="shared" si="536"/>
        <v>0</v>
      </c>
      <c r="AM156" s="574">
        <f t="shared" si="536"/>
        <v>0</v>
      </c>
      <c r="AN156" s="574">
        <f t="shared" si="536"/>
        <v>0</v>
      </c>
      <c r="AO156" s="574">
        <f t="shared" si="536"/>
        <v>0</v>
      </c>
      <c r="AP156" s="574">
        <f t="shared" si="536"/>
        <v>0</v>
      </c>
      <c r="AQ156" s="574">
        <f t="shared" si="536"/>
        <v>0</v>
      </c>
      <c r="AR156" s="404">
        <f t="shared" si="536"/>
        <v>0</v>
      </c>
      <c r="AS156" s="578">
        <f t="shared" si="536"/>
        <v>4167940</v>
      </c>
      <c r="AT156" s="573">
        <f t="shared" si="536"/>
        <v>3076184</v>
      </c>
      <c r="AU156" s="573">
        <f t="shared" si="536"/>
        <v>0</v>
      </c>
      <c r="AV156" s="573">
        <f t="shared" si="536"/>
        <v>1039750</v>
      </c>
      <c r="AW156" s="573">
        <f t="shared" si="536"/>
        <v>30762</v>
      </c>
      <c r="AX156" s="573">
        <f t="shared" si="536"/>
        <v>21244</v>
      </c>
      <c r="AY156" s="574">
        <f t="shared" si="536"/>
        <v>6.68</v>
      </c>
      <c r="AZ156" s="574">
        <f t="shared" si="536"/>
        <v>4</v>
      </c>
      <c r="BA156" s="404">
        <f t="shared" si="536"/>
        <v>2.68</v>
      </c>
    </row>
    <row r="157" spans="1:53" ht="12.95" customHeight="1" x14ac:dyDescent="0.25">
      <c r="A157" s="299">
        <v>32</v>
      </c>
      <c r="B157" s="220">
        <v>2496</v>
      </c>
      <c r="C157" s="220">
        <v>600080251</v>
      </c>
      <c r="D157" s="300">
        <v>70695938</v>
      </c>
      <c r="E157" s="397" t="s">
        <v>532</v>
      </c>
      <c r="F157" s="220">
        <v>3117</v>
      </c>
      <c r="G157" s="397" t="s">
        <v>325</v>
      </c>
      <c r="H157" s="304" t="s">
        <v>277</v>
      </c>
      <c r="I157" s="462">
        <f t="shared" ref="I157:I161" si="537">SUM(J157:M157)</f>
        <v>5653392</v>
      </c>
      <c r="J157" s="457">
        <v>4112939</v>
      </c>
      <c r="K157" s="457">
        <f t="shared" ref="K157:K161" si="538">ROUND(J157*33.8%,0)</f>
        <v>1390173</v>
      </c>
      <c r="L157" s="457">
        <f>ROUND(J157*1%,0)+1</f>
        <v>41130</v>
      </c>
      <c r="M157" s="457">
        <v>109150</v>
      </c>
      <c r="N157" s="458">
        <f t="shared" ref="N157:N161" si="539">O157+P157</f>
        <v>7.6400000000000006</v>
      </c>
      <c r="O157" s="459">
        <v>5.91</v>
      </c>
      <c r="P157" s="646">
        <v>1.73</v>
      </c>
      <c r="Q157" s="469">
        <f t="shared" ref="Q157:Q161" si="540">W157*-1</f>
        <v>-3250</v>
      </c>
      <c r="R157" s="460">
        <v>0</v>
      </c>
      <c r="S157" s="673">
        <v>0</v>
      </c>
      <c r="T157" s="460">
        <v>0</v>
      </c>
      <c r="U157" s="460">
        <v>0</v>
      </c>
      <c r="V157" s="460">
        <f>SUM(Q157:U157)</f>
        <v>-3250</v>
      </c>
      <c r="W157" s="460">
        <v>3250</v>
      </c>
      <c r="X157" s="460">
        <v>0</v>
      </c>
      <c r="Y157" s="460">
        <v>0</v>
      </c>
      <c r="Z157" s="460">
        <f t="shared" ref="Z157:Z161" si="541">SUM(W157:Y157)</f>
        <v>3250</v>
      </c>
      <c r="AA157" s="460">
        <f t="shared" ref="AA157:AA161" si="542">V157+Z157</f>
        <v>0</v>
      </c>
      <c r="AB157" s="69">
        <f t="shared" ref="AB157:AB161" si="543">ROUND((V157+W157+X157)*33.8%,0)</f>
        <v>0</v>
      </c>
      <c r="AC157" s="69">
        <f t="shared" ref="AC157:AC161" si="544">ROUND(V157*1%,0)</f>
        <v>-33</v>
      </c>
      <c r="AD157" s="460">
        <v>0</v>
      </c>
      <c r="AE157" s="460">
        <v>0</v>
      </c>
      <c r="AF157" s="460">
        <f t="shared" ref="AF157:AF161" si="545">SUM(AD157:AE157)</f>
        <v>0</v>
      </c>
      <c r="AG157" s="460">
        <f t="shared" ref="AG157:AG161" si="546">AA157+AB157+AC157+AF157</f>
        <v>-33</v>
      </c>
      <c r="AH157" s="461">
        <v>0</v>
      </c>
      <c r="AI157" s="461">
        <v>-0.01</v>
      </c>
      <c r="AJ157" s="461">
        <v>0</v>
      </c>
      <c r="AK157" s="461">
        <v>0</v>
      </c>
      <c r="AL157" s="674">
        <v>0</v>
      </c>
      <c r="AM157" s="461">
        <v>0</v>
      </c>
      <c r="AN157" s="461">
        <v>0</v>
      </c>
      <c r="AO157" s="461">
        <v>0</v>
      </c>
      <c r="AP157" s="461">
        <f>AH157+AJ157+AK157+AM157+AN157</f>
        <v>0</v>
      </c>
      <c r="AQ157" s="461">
        <f>AI157+AL157+AO157</f>
        <v>-0.01</v>
      </c>
      <c r="AR157" s="463">
        <f t="shared" ref="AR157:AR161" si="547">SUM(AP157:AQ157)</f>
        <v>-0.01</v>
      </c>
      <c r="AS157" s="469">
        <f>I157+AG157</f>
        <v>5653359</v>
      </c>
      <c r="AT157" s="460">
        <f>J157+V157</f>
        <v>4109689</v>
      </c>
      <c r="AU157" s="460">
        <f t="shared" ref="AU157:AU161" si="548">Z157</f>
        <v>3250</v>
      </c>
      <c r="AV157" s="460">
        <f t="shared" ref="AV157:AW161" si="549">K157+AB157</f>
        <v>1390173</v>
      </c>
      <c r="AW157" s="460">
        <f t="shared" si="549"/>
        <v>41097</v>
      </c>
      <c r="AX157" s="460">
        <f>M157+AF157</f>
        <v>109150</v>
      </c>
      <c r="AY157" s="461">
        <f>N157+AR157</f>
        <v>7.6300000000000008</v>
      </c>
      <c r="AZ157" s="461">
        <f t="shared" ref="AZ157:BA161" si="550">O157+AP157</f>
        <v>5.91</v>
      </c>
      <c r="BA157" s="463">
        <f t="shared" si="550"/>
        <v>1.72</v>
      </c>
    </row>
    <row r="158" spans="1:53" ht="12.95" customHeight="1" x14ac:dyDescent="0.25">
      <c r="A158" s="299">
        <v>32</v>
      </c>
      <c r="B158" s="220">
        <v>2496</v>
      </c>
      <c r="C158" s="220">
        <v>600080251</v>
      </c>
      <c r="D158" s="300">
        <v>70695938</v>
      </c>
      <c r="E158" s="397" t="s">
        <v>532</v>
      </c>
      <c r="F158" s="220">
        <v>3117</v>
      </c>
      <c r="G158" s="342" t="s">
        <v>308</v>
      </c>
      <c r="H158" s="304" t="s">
        <v>278</v>
      </c>
      <c r="I158" s="462">
        <f t="shared" si="537"/>
        <v>0</v>
      </c>
      <c r="J158" s="457">
        <v>0</v>
      </c>
      <c r="K158" s="457">
        <f t="shared" si="538"/>
        <v>0</v>
      </c>
      <c r="L158" s="457">
        <f t="shared" ref="L158:L161" si="551">ROUND(J158*1%,0)</f>
        <v>0</v>
      </c>
      <c r="M158" s="457">
        <v>0</v>
      </c>
      <c r="N158" s="458">
        <f t="shared" si="539"/>
        <v>0</v>
      </c>
      <c r="O158" s="459">
        <v>0</v>
      </c>
      <c r="P158" s="646">
        <v>0</v>
      </c>
      <c r="Q158" s="469">
        <f t="shared" si="540"/>
        <v>0</v>
      </c>
      <c r="R158" s="460">
        <v>173224</v>
      </c>
      <c r="S158" s="673">
        <v>0</v>
      </c>
      <c r="T158" s="460">
        <v>0</v>
      </c>
      <c r="U158" s="460">
        <v>0</v>
      </c>
      <c r="V158" s="460">
        <f>SUM(Q158:U158)</f>
        <v>173224</v>
      </c>
      <c r="W158" s="460">
        <v>0</v>
      </c>
      <c r="X158" s="460">
        <v>0</v>
      </c>
      <c r="Y158" s="460">
        <v>0</v>
      </c>
      <c r="Z158" s="460">
        <f t="shared" si="541"/>
        <v>0</v>
      </c>
      <c r="AA158" s="460">
        <f t="shared" si="542"/>
        <v>173224</v>
      </c>
      <c r="AB158" s="69">
        <f t="shared" si="543"/>
        <v>58550</v>
      </c>
      <c r="AC158" s="69">
        <f t="shared" si="544"/>
        <v>1732</v>
      </c>
      <c r="AD158" s="460">
        <v>0</v>
      </c>
      <c r="AE158" s="460">
        <v>0</v>
      </c>
      <c r="AF158" s="460">
        <f t="shared" si="545"/>
        <v>0</v>
      </c>
      <c r="AG158" s="460">
        <f t="shared" si="546"/>
        <v>233506</v>
      </c>
      <c r="AH158" s="461">
        <v>0</v>
      </c>
      <c r="AI158" s="461">
        <v>0</v>
      </c>
      <c r="AJ158" s="461">
        <v>0.5</v>
      </c>
      <c r="AK158" s="461">
        <v>0</v>
      </c>
      <c r="AL158" s="674">
        <v>0</v>
      </c>
      <c r="AM158" s="461">
        <v>0</v>
      </c>
      <c r="AN158" s="461">
        <v>0</v>
      </c>
      <c r="AO158" s="461">
        <v>0</v>
      </c>
      <c r="AP158" s="461">
        <f>AH158+AJ158+AK158+AM158+AN158</f>
        <v>0.5</v>
      </c>
      <c r="AQ158" s="461">
        <f>AI158+AL158+AO158</f>
        <v>0</v>
      </c>
      <c r="AR158" s="463">
        <f t="shared" si="547"/>
        <v>0.5</v>
      </c>
      <c r="AS158" s="469">
        <f>I158+AG158</f>
        <v>233506</v>
      </c>
      <c r="AT158" s="460">
        <f>J158+V158</f>
        <v>173224</v>
      </c>
      <c r="AU158" s="460">
        <f t="shared" si="548"/>
        <v>0</v>
      </c>
      <c r="AV158" s="460">
        <f t="shared" si="549"/>
        <v>58550</v>
      </c>
      <c r="AW158" s="460">
        <f t="shared" si="549"/>
        <v>1732</v>
      </c>
      <c r="AX158" s="460">
        <f>M158+AF158</f>
        <v>0</v>
      </c>
      <c r="AY158" s="461">
        <f>N158+AR158</f>
        <v>0.5</v>
      </c>
      <c r="AZ158" s="461">
        <f t="shared" si="550"/>
        <v>0.5</v>
      </c>
      <c r="BA158" s="463">
        <f t="shared" si="550"/>
        <v>0</v>
      </c>
    </row>
    <row r="159" spans="1:53" ht="12.95" customHeight="1" x14ac:dyDescent="0.25">
      <c r="A159" s="299">
        <v>32</v>
      </c>
      <c r="B159" s="401">
        <v>2496</v>
      </c>
      <c r="C159" s="401">
        <v>600080251</v>
      </c>
      <c r="D159" s="300">
        <v>70695938</v>
      </c>
      <c r="E159" s="219" t="s">
        <v>532</v>
      </c>
      <c r="F159" s="220">
        <v>3141</v>
      </c>
      <c r="G159" s="398" t="s">
        <v>311</v>
      </c>
      <c r="H159" s="304" t="s">
        <v>278</v>
      </c>
      <c r="I159" s="462">
        <f t="shared" si="537"/>
        <v>656898</v>
      </c>
      <c r="J159" s="457">
        <v>484497</v>
      </c>
      <c r="K159" s="457">
        <f t="shared" si="538"/>
        <v>163760</v>
      </c>
      <c r="L159" s="457">
        <f t="shared" si="551"/>
        <v>4845</v>
      </c>
      <c r="M159" s="457">
        <v>3796</v>
      </c>
      <c r="N159" s="458">
        <f t="shared" si="539"/>
        <v>1.56</v>
      </c>
      <c r="O159" s="459">
        <v>0</v>
      </c>
      <c r="P159" s="646">
        <v>1.56</v>
      </c>
      <c r="Q159" s="469">
        <f t="shared" si="540"/>
        <v>0</v>
      </c>
      <c r="R159" s="460">
        <v>0</v>
      </c>
      <c r="S159" s="673">
        <v>0</v>
      </c>
      <c r="T159" s="460">
        <v>0</v>
      </c>
      <c r="U159" s="460">
        <v>0</v>
      </c>
      <c r="V159" s="460">
        <f>SUM(Q159:U159)</f>
        <v>0</v>
      </c>
      <c r="W159" s="460">
        <v>0</v>
      </c>
      <c r="X159" s="460">
        <v>0</v>
      </c>
      <c r="Y159" s="460">
        <v>0</v>
      </c>
      <c r="Z159" s="460">
        <f t="shared" si="541"/>
        <v>0</v>
      </c>
      <c r="AA159" s="460">
        <f t="shared" si="542"/>
        <v>0</v>
      </c>
      <c r="AB159" s="69">
        <f t="shared" si="543"/>
        <v>0</v>
      </c>
      <c r="AC159" s="69">
        <f t="shared" si="544"/>
        <v>0</v>
      </c>
      <c r="AD159" s="460">
        <v>0</v>
      </c>
      <c r="AE159" s="460">
        <v>0</v>
      </c>
      <c r="AF159" s="460">
        <f t="shared" si="545"/>
        <v>0</v>
      </c>
      <c r="AG159" s="460">
        <f t="shared" si="546"/>
        <v>0</v>
      </c>
      <c r="AH159" s="461">
        <v>0</v>
      </c>
      <c r="AI159" s="461">
        <v>0</v>
      </c>
      <c r="AJ159" s="461">
        <v>0</v>
      </c>
      <c r="AK159" s="461">
        <v>0</v>
      </c>
      <c r="AL159" s="674">
        <v>0</v>
      </c>
      <c r="AM159" s="461">
        <v>0</v>
      </c>
      <c r="AN159" s="461">
        <v>0</v>
      </c>
      <c r="AO159" s="461">
        <v>0</v>
      </c>
      <c r="AP159" s="461">
        <f>AH159+AJ159+AK159+AM159+AN159</f>
        <v>0</v>
      </c>
      <c r="AQ159" s="461">
        <f>AI159+AL159+AO159</f>
        <v>0</v>
      </c>
      <c r="AR159" s="463">
        <f t="shared" si="547"/>
        <v>0</v>
      </c>
      <c r="AS159" s="469">
        <f>I159+AG159</f>
        <v>656898</v>
      </c>
      <c r="AT159" s="460">
        <f>J159+V159</f>
        <v>484497</v>
      </c>
      <c r="AU159" s="460">
        <f t="shared" si="548"/>
        <v>0</v>
      </c>
      <c r="AV159" s="460">
        <f t="shared" si="549"/>
        <v>163760</v>
      </c>
      <c r="AW159" s="460">
        <f t="shared" si="549"/>
        <v>4845</v>
      </c>
      <c r="AX159" s="460">
        <f>M159+AF159</f>
        <v>3796</v>
      </c>
      <c r="AY159" s="461">
        <f>N159+AR159</f>
        <v>1.56</v>
      </c>
      <c r="AZ159" s="461">
        <f t="shared" si="550"/>
        <v>0</v>
      </c>
      <c r="BA159" s="463">
        <f t="shared" si="550"/>
        <v>1.56</v>
      </c>
    </row>
    <row r="160" spans="1:53" ht="12.95" customHeight="1" x14ac:dyDescent="0.25">
      <c r="A160" s="299">
        <v>32</v>
      </c>
      <c r="B160" s="220">
        <v>2496</v>
      </c>
      <c r="C160" s="220">
        <v>600080251</v>
      </c>
      <c r="D160" s="300">
        <v>70695938</v>
      </c>
      <c r="E160" s="397" t="s">
        <v>532</v>
      </c>
      <c r="F160" s="220">
        <v>3143</v>
      </c>
      <c r="G160" s="342" t="s">
        <v>616</v>
      </c>
      <c r="H160" s="304" t="s">
        <v>277</v>
      </c>
      <c r="I160" s="462">
        <f t="shared" si="537"/>
        <v>1047973</v>
      </c>
      <c r="J160" s="457">
        <v>777428</v>
      </c>
      <c r="K160" s="457">
        <f t="shared" si="538"/>
        <v>262771</v>
      </c>
      <c r="L160" s="457">
        <f t="shared" si="551"/>
        <v>7774</v>
      </c>
      <c r="M160" s="457">
        <v>0</v>
      </c>
      <c r="N160" s="458">
        <f t="shared" si="539"/>
        <v>1.6</v>
      </c>
      <c r="O160" s="459">
        <v>1.6</v>
      </c>
      <c r="P160" s="646">
        <v>0</v>
      </c>
      <c r="Q160" s="469">
        <f t="shared" si="540"/>
        <v>0</v>
      </c>
      <c r="R160" s="460">
        <v>0</v>
      </c>
      <c r="S160" s="673">
        <v>0</v>
      </c>
      <c r="T160" s="460">
        <v>0</v>
      </c>
      <c r="U160" s="460">
        <v>0</v>
      </c>
      <c r="V160" s="460">
        <f>SUM(Q160:U160)</f>
        <v>0</v>
      </c>
      <c r="W160" s="460">
        <v>0</v>
      </c>
      <c r="X160" s="460">
        <v>0</v>
      </c>
      <c r="Y160" s="460">
        <v>0</v>
      </c>
      <c r="Z160" s="460">
        <f t="shared" si="541"/>
        <v>0</v>
      </c>
      <c r="AA160" s="460">
        <f t="shared" si="542"/>
        <v>0</v>
      </c>
      <c r="AB160" s="69">
        <f t="shared" si="543"/>
        <v>0</v>
      </c>
      <c r="AC160" s="69">
        <f t="shared" si="544"/>
        <v>0</v>
      </c>
      <c r="AD160" s="460">
        <v>0</v>
      </c>
      <c r="AE160" s="460">
        <v>0</v>
      </c>
      <c r="AF160" s="460">
        <f t="shared" si="545"/>
        <v>0</v>
      </c>
      <c r="AG160" s="460">
        <f t="shared" si="546"/>
        <v>0</v>
      </c>
      <c r="AH160" s="461">
        <v>0</v>
      </c>
      <c r="AI160" s="461">
        <v>0</v>
      </c>
      <c r="AJ160" s="461">
        <v>0</v>
      </c>
      <c r="AK160" s="461">
        <v>0</v>
      </c>
      <c r="AL160" s="674">
        <v>0</v>
      </c>
      <c r="AM160" s="461">
        <v>0</v>
      </c>
      <c r="AN160" s="461">
        <v>0</v>
      </c>
      <c r="AO160" s="461">
        <v>0</v>
      </c>
      <c r="AP160" s="461">
        <f>AH160+AJ160+AK160+AM160+AN160</f>
        <v>0</v>
      </c>
      <c r="AQ160" s="461">
        <f>AI160+AL160+AO160</f>
        <v>0</v>
      </c>
      <c r="AR160" s="463">
        <f t="shared" si="547"/>
        <v>0</v>
      </c>
      <c r="AS160" s="469">
        <f>I160+AG160</f>
        <v>1047973</v>
      </c>
      <c r="AT160" s="460">
        <f>J160+V160</f>
        <v>777428</v>
      </c>
      <c r="AU160" s="460">
        <f t="shared" si="548"/>
        <v>0</v>
      </c>
      <c r="AV160" s="460">
        <f t="shared" si="549"/>
        <v>262771</v>
      </c>
      <c r="AW160" s="460">
        <f t="shared" si="549"/>
        <v>7774</v>
      </c>
      <c r="AX160" s="460">
        <f>M160+AF160</f>
        <v>0</v>
      </c>
      <c r="AY160" s="461">
        <f>N160+AR160</f>
        <v>1.6</v>
      </c>
      <c r="AZ160" s="461">
        <f t="shared" si="550"/>
        <v>1.6</v>
      </c>
      <c r="BA160" s="463">
        <f t="shared" si="550"/>
        <v>0</v>
      </c>
    </row>
    <row r="161" spans="1:53" ht="12.95" customHeight="1" x14ac:dyDescent="0.25">
      <c r="A161" s="299">
        <v>32</v>
      </c>
      <c r="B161" s="220">
        <v>2496</v>
      </c>
      <c r="C161" s="220">
        <v>600080251</v>
      </c>
      <c r="D161" s="300">
        <v>70695938</v>
      </c>
      <c r="E161" s="397" t="s">
        <v>532</v>
      </c>
      <c r="F161" s="220">
        <v>3143</v>
      </c>
      <c r="G161" s="342" t="s">
        <v>617</v>
      </c>
      <c r="H161" s="304" t="s">
        <v>278</v>
      </c>
      <c r="I161" s="462">
        <f t="shared" si="537"/>
        <v>36650</v>
      </c>
      <c r="J161" s="457">
        <v>26187</v>
      </c>
      <c r="K161" s="457">
        <f t="shared" si="538"/>
        <v>8851</v>
      </c>
      <c r="L161" s="457">
        <f t="shared" si="551"/>
        <v>262</v>
      </c>
      <c r="M161" s="457">
        <v>1350</v>
      </c>
      <c r="N161" s="458">
        <f t="shared" si="539"/>
        <v>0.1</v>
      </c>
      <c r="O161" s="459">
        <v>0</v>
      </c>
      <c r="P161" s="646">
        <v>0.1</v>
      </c>
      <c r="Q161" s="469">
        <f t="shared" si="540"/>
        <v>0</v>
      </c>
      <c r="R161" s="460">
        <v>0</v>
      </c>
      <c r="S161" s="673">
        <v>0</v>
      </c>
      <c r="T161" s="460">
        <v>0</v>
      </c>
      <c r="U161" s="460">
        <v>0</v>
      </c>
      <c r="V161" s="460">
        <f>SUM(Q161:U161)</f>
        <v>0</v>
      </c>
      <c r="W161" s="460">
        <v>0</v>
      </c>
      <c r="X161" s="460">
        <v>0</v>
      </c>
      <c r="Y161" s="460">
        <v>0</v>
      </c>
      <c r="Z161" s="460">
        <f t="shared" si="541"/>
        <v>0</v>
      </c>
      <c r="AA161" s="460">
        <f t="shared" si="542"/>
        <v>0</v>
      </c>
      <c r="AB161" s="69">
        <f t="shared" si="543"/>
        <v>0</v>
      </c>
      <c r="AC161" s="69">
        <f t="shared" si="544"/>
        <v>0</v>
      </c>
      <c r="AD161" s="460">
        <v>0</v>
      </c>
      <c r="AE161" s="460">
        <v>0</v>
      </c>
      <c r="AF161" s="460">
        <f t="shared" si="545"/>
        <v>0</v>
      </c>
      <c r="AG161" s="460">
        <f t="shared" si="546"/>
        <v>0</v>
      </c>
      <c r="AH161" s="461">
        <v>0</v>
      </c>
      <c r="AI161" s="461">
        <v>0</v>
      </c>
      <c r="AJ161" s="461">
        <v>0</v>
      </c>
      <c r="AK161" s="461">
        <v>0</v>
      </c>
      <c r="AL161" s="674">
        <v>0</v>
      </c>
      <c r="AM161" s="461">
        <v>0</v>
      </c>
      <c r="AN161" s="461">
        <v>0</v>
      </c>
      <c r="AO161" s="461">
        <v>0</v>
      </c>
      <c r="AP161" s="461">
        <f>AH161+AJ161+AK161+AM161+AN161</f>
        <v>0</v>
      </c>
      <c r="AQ161" s="461">
        <f>AI161+AL161+AO161</f>
        <v>0</v>
      </c>
      <c r="AR161" s="463">
        <f t="shared" si="547"/>
        <v>0</v>
      </c>
      <c r="AS161" s="469">
        <f>I161+AG161</f>
        <v>36650</v>
      </c>
      <c r="AT161" s="460">
        <f>J161+V161</f>
        <v>26187</v>
      </c>
      <c r="AU161" s="460">
        <f t="shared" si="548"/>
        <v>0</v>
      </c>
      <c r="AV161" s="460">
        <f t="shared" si="549"/>
        <v>8851</v>
      </c>
      <c r="AW161" s="460">
        <f t="shared" si="549"/>
        <v>262</v>
      </c>
      <c r="AX161" s="460">
        <f>M161+AF161</f>
        <v>1350</v>
      </c>
      <c r="AY161" s="461">
        <f>N161+AR161</f>
        <v>0.1</v>
      </c>
      <c r="AZ161" s="461">
        <f t="shared" si="550"/>
        <v>0</v>
      </c>
      <c r="BA161" s="463">
        <f t="shared" si="550"/>
        <v>0.1</v>
      </c>
    </row>
    <row r="162" spans="1:53" ht="12.95" customHeight="1" x14ac:dyDescent="0.25">
      <c r="A162" s="221">
        <v>32</v>
      </c>
      <c r="B162" s="46">
        <v>2496</v>
      </c>
      <c r="C162" s="46">
        <v>600080251</v>
      </c>
      <c r="D162" s="46">
        <v>70695938</v>
      </c>
      <c r="E162" s="399" t="s">
        <v>533</v>
      </c>
      <c r="F162" s="46"/>
      <c r="G162" s="399"/>
      <c r="H162" s="186"/>
      <c r="I162" s="576">
        <f t="shared" ref="I162:P162" si="552">SUM(I157:I161)</f>
        <v>7394913</v>
      </c>
      <c r="J162" s="573">
        <f t="shared" si="552"/>
        <v>5401051</v>
      </c>
      <c r="K162" s="573">
        <f t="shared" si="552"/>
        <v>1825555</v>
      </c>
      <c r="L162" s="573">
        <f t="shared" si="552"/>
        <v>54011</v>
      </c>
      <c r="M162" s="573">
        <f t="shared" si="552"/>
        <v>114296</v>
      </c>
      <c r="N162" s="574">
        <f t="shared" si="552"/>
        <v>10.9</v>
      </c>
      <c r="O162" s="574">
        <f t="shared" si="552"/>
        <v>7.51</v>
      </c>
      <c r="P162" s="404">
        <f t="shared" si="552"/>
        <v>3.39</v>
      </c>
      <c r="Q162" s="578">
        <f t="shared" ref="Q162:BA162" si="553">SUM(Q157:Q161)</f>
        <v>-3250</v>
      </c>
      <c r="R162" s="573">
        <f t="shared" si="553"/>
        <v>173224</v>
      </c>
      <c r="S162" s="573">
        <f t="shared" si="553"/>
        <v>0</v>
      </c>
      <c r="T162" s="573">
        <f t="shared" si="553"/>
        <v>0</v>
      </c>
      <c r="U162" s="573">
        <f t="shared" si="553"/>
        <v>0</v>
      </c>
      <c r="V162" s="573">
        <f t="shared" si="553"/>
        <v>169974</v>
      </c>
      <c r="W162" s="573">
        <f t="shared" si="553"/>
        <v>3250</v>
      </c>
      <c r="X162" s="573">
        <f t="shared" si="553"/>
        <v>0</v>
      </c>
      <c r="Y162" s="573">
        <f t="shared" si="553"/>
        <v>0</v>
      </c>
      <c r="Z162" s="573">
        <f t="shared" si="553"/>
        <v>3250</v>
      </c>
      <c r="AA162" s="573">
        <f t="shared" si="553"/>
        <v>173224</v>
      </c>
      <c r="AB162" s="573">
        <f t="shared" si="553"/>
        <v>58550</v>
      </c>
      <c r="AC162" s="573">
        <f t="shared" si="553"/>
        <v>1699</v>
      </c>
      <c r="AD162" s="573">
        <f t="shared" si="553"/>
        <v>0</v>
      </c>
      <c r="AE162" s="573">
        <f t="shared" si="553"/>
        <v>0</v>
      </c>
      <c r="AF162" s="573">
        <f t="shared" si="553"/>
        <v>0</v>
      </c>
      <c r="AG162" s="573">
        <f t="shared" si="553"/>
        <v>233473</v>
      </c>
      <c r="AH162" s="574">
        <f t="shared" si="553"/>
        <v>0</v>
      </c>
      <c r="AI162" s="574">
        <f t="shared" si="553"/>
        <v>-0.01</v>
      </c>
      <c r="AJ162" s="574">
        <f t="shared" si="553"/>
        <v>0.5</v>
      </c>
      <c r="AK162" s="574">
        <f t="shared" si="553"/>
        <v>0</v>
      </c>
      <c r="AL162" s="574">
        <f t="shared" si="553"/>
        <v>0</v>
      </c>
      <c r="AM162" s="574">
        <f t="shared" si="553"/>
        <v>0</v>
      </c>
      <c r="AN162" s="574">
        <f t="shared" si="553"/>
        <v>0</v>
      </c>
      <c r="AO162" s="574">
        <f t="shared" si="553"/>
        <v>0</v>
      </c>
      <c r="AP162" s="574">
        <f t="shared" si="553"/>
        <v>0.5</v>
      </c>
      <c r="AQ162" s="574">
        <f t="shared" si="553"/>
        <v>-0.01</v>
      </c>
      <c r="AR162" s="404">
        <f t="shared" si="553"/>
        <v>0.49</v>
      </c>
      <c r="AS162" s="578">
        <f t="shared" si="553"/>
        <v>7628386</v>
      </c>
      <c r="AT162" s="573">
        <f t="shared" si="553"/>
        <v>5571025</v>
      </c>
      <c r="AU162" s="573">
        <f t="shared" si="553"/>
        <v>3250</v>
      </c>
      <c r="AV162" s="573">
        <f t="shared" si="553"/>
        <v>1884105</v>
      </c>
      <c r="AW162" s="573">
        <f t="shared" si="553"/>
        <v>55710</v>
      </c>
      <c r="AX162" s="573">
        <f t="shared" si="553"/>
        <v>114296</v>
      </c>
      <c r="AY162" s="574">
        <f t="shared" si="553"/>
        <v>11.39</v>
      </c>
      <c r="AZ162" s="574">
        <f t="shared" si="553"/>
        <v>8.01</v>
      </c>
      <c r="BA162" s="404">
        <f t="shared" si="553"/>
        <v>3.3800000000000003</v>
      </c>
    </row>
    <row r="163" spans="1:53" ht="12.95" customHeight="1" x14ac:dyDescent="0.25">
      <c r="A163" s="299">
        <v>33</v>
      </c>
      <c r="B163" s="220">
        <v>5440</v>
      </c>
      <c r="C163" s="220">
        <v>600098559</v>
      </c>
      <c r="D163" s="300">
        <v>70998108</v>
      </c>
      <c r="E163" s="397" t="s">
        <v>534</v>
      </c>
      <c r="F163" s="220">
        <v>3111</v>
      </c>
      <c r="G163" s="398" t="s">
        <v>321</v>
      </c>
      <c r="H163" s="304" t="s">
        <v>277</v>
      </c>
      <c r="I163" s="462">
        <f t="shared" ref="I163:I165" si="554">SUM(J163:M163)</f>
        <v>3464737</v>
      </c>
      <c r="J163" s="457">
        <v>2555740</v>
      </c>
      <c r="K163" s="457">
        <f t="shared" ref="K163:K165" si="555">ROUND(J163*33.8%,0)</f>
        <v>863840</v>
      </c>
      <c r="L163" s="457">
        <f t="shared" ref="L163:L165" si="556">ROUND(J163*1%,0)</f>
        <v>25557</v>
      </c>
      <c r="M163" s="457">
        <v>19600</v>
      </c>
      <c r="N163" s="458">
        <f t="shared" ref="N163:N165" si="557">O163+P163</f>
        <v>5.2</v>
      </c>
      <c r="O163" s="459">
        <v>4</v>
      </c>
      <c r="P163" s="646">
        <v>1.2000000000000002</v>
      </c>
      <c r="Q163" s="469">
        <f t="shared" ref="Q163:Q165" si="558">W163*-1</f>
        <v>-11700</v>
      </c>
      <c r="R163" s="460">
        <v>0</v>
      </c>
      <c r="S163" s="673">
        <v>0</v>
      </c>
      <c r="T163" s="460">
        <v>0</v>
      </c>
      <c r="U163" s="460">
        <v>0</v>
      </c>
      <c r="V163" s="460">
        <f>SUM(Q163:U163)</f>
        <v>-11700</v>
      </c>
      <c r="W163" s="460">
        <v>11700</v>
      </c>
      <c r="X163" s="460">
        <v>0</v>
      </c>
      <c r="Y163" s="460">
        <v>0</v>
      </c>
      <c r="Z163" s="460">
        <f t="shared" ref="Z163:Z165" si="559">SUM(W163:Y163)</f>
        <v>11700</v>
      </c>
      <c r="AA163" s="460">
        <f t="shared" ref="AA163:AA165" si="560">V163+Z163</f>
        <v>0</v>
      </c>
      <c r="AB163" s="69">
        <f t="shared" ref="AB163:AB165" si="561">ROUND((V163+W163+X163)*33.8%,0)</f>
        <v>0</v>
      </c>
      <c r="AC163" s="69">
        <f t="shared" ref="AC163:AC165" si="562">ROUND(V163*1%,0)</f>
        <v>-117</v>
      </c>
      <c r="AD163" s="460">
        <v>0</v>
      </c>
      <c r="AE163" s="460">
        <v>0</v>
      </c>
      <c r="AF163" s="460">
        <f t="shared" ref="AF163:AF165" si="563">SUM(AD163:AE163)</f>
        <v>0</v>
      </c>
      <c r="AG163" s="460">
        <f t="shared" ref="AG163:AG165" si="564">AA163+AB163+AC163+AF163</f>
        <v>-117</v>
      </c>
      <c r="AH163" s="461">
        <v>0</v>
      </c>
      <c r="AI163" s="461">
        <v>-0.04</v>
      </c>
      <c r="AJ163" s="461">
        <v>0</v>
      </c>
      <c r="AK163" s="461">
        <v>0</v>
      </c>
      <c r="AL163" s="674">
        <v>0</v>
      </c>
      <c r="AM163" s="461">
        <v>0</v>
      </c>
      <c r="AN163" s="461">
        <v>0</v>
      </c>
      <c r="AO163" s="461">
        <v>0</v>
      </c>
      <c r="AP163" s="461">
        <f>AH163+AJ163+AK163+AM163+AN163</f>
        <v>0</v>
      </c>
      <c r="AQ163" s="461">
        <f>AI163+AL163+AO163</f>
        <v>-0.04</v>
      </c>
      <c r="AR163" s="463">
        <f t="shared" ref="AR163:AR165" si="565">SUM(AP163:AQ163)</f>
        <v>-0.04</v>
      </c>
      <c r="AS163" s="469">
        <f>I163+AG163</f>
        <v>3464620</v>
      </c>
      <c r="AT163" s="460">
        <f>J163+V163</f>
        <v>2544040</v>
      </c>
      <c r="AU163" s="460">
        <f t="shared" ref="AU163:AU165" si="566">Z163</f>
        <v>11700</v>
      </c>
      <c r="AV163" s="460">
        <f t="shared" ref="AV163:AW165" si="567">K163+AB163</f>
        <v>863840</v>
      </c>
      <c r="AW163" s="460">
        <f t="shared" si="567"/>
        <v>25440</v>
      </c>
      <c r="AX163" s="460">
        <f>M163+AF163</f>
        <v>19600</v>
      </c>
      <c r="AY163" s="461">
        <f>N163+AR163</f>
        <v>5.16</v>
      </c>
      <c r="AZ163" s="461">
        <f t="shared" ref="AZ163:BA165" si="568">O163+AP163</f>
        <v>4</v>
      </c>
      <c r="BA163" s="463">
        <f t="shared" si="568"/>
        <v>1.1600000000000001</v>
      </c>
    </row>
    <row r="164" spans="1:53" ht="12.95" customHeight="1" x14ac:dyDescent="0.25">
      <c r="A164" s="299">
        <v>33</v>
      </c>
      <c r="B164" s="220">
        <v>5440</v>
      </c>
      <c r="C164" s="220">
        <v>600098559</v>
      </c>
      <c r="D164" s="300">
        <v>70998108</v>
      </c>
      <c r="E164" s="397" t="s">
        <v>534</v>
      </c>
      <c r="F164" s="220">
        <v>3111</v>
      </c>
      <c r="G164" s="398" t="s">
        <v>308</v>
      </c>
      <c r="H164" s="304" t="s">
        <v>278</v>
      </c>
      <c r="I164" s="462">
        <f t="shared" si="554"/>
        <v>0</v>
      </c>
      <c r="J164" s="457">
        <v>0</v>
      </c>
      <c r="K164" s="457">
        <f t="shared" si="555"/>
        <v>0</v>
      </c>
      <c r="L164" s="457">
        <f t="shared" si="556"/>
        <v>0</v>
      </c>
      <c r="M164" s="457">
        <v>0</v>
      </c>
      <c r="N164" s="458">
        <f t="shared" si="557"/>
        <v>0</v>
      </c>
      <c r="O164" s="459">
        <v>0</v>
      </c>
      <c r="P164" s="646">
        <v>0</v>
      </c>
      <c r="Q164" s="469">
        <f t="shared" si="558"/>
        <v>0</v>
      </c>
      <c r="R164" s="460">
        <v>0</v>
      </c>
      <c r="S164" s="673">
        <v>0</v>
      </c>
      <c r="T164" s="460">
        <v>0</v>
      </c>
      <c r="U164" s="460">
        <v>0</v>
      </c>
      <c r="V164" s="460">
        <f>SUM(Q164:U164)</f>
        <v>0</v>
      </c>
      <c r="W164" s="460">
        <v>0</v>
      </c>
      <c r="X164" s="460">
        <v>0</v>
      </c>
      <c r="Y164" s="460">
        <v>0</v>
      </c>
      <c r="Z164" s="460">
        <f t="shared" si="559"/>
        <v>0</v>
      </c>
      <c r="AA164" s="460">
        <f t="shared" si="560"/>
        <v>0</v>
      </c>
      <c r="AB164" s="69">
        <f t="shared" si="561"/>
        <v>0</v>
      </c>
      <c r="AC164" s="69">
        <f t="shared" si="562"/>
        <v>0</v>
      </c>
      <c r="AD164" s="460">
        <v>0</v>
      </c>
      <c r="AE164" s="460">
        <v>0</v>
      </c>
      <c r="AF164" s="460">
        <f t="shared" si="563"/>
        <v>0</v>
      </c>
      <c r="AG164" s="460">
        <f t="shared" si="564"/>
        <v>0</v>
      </c>
      <c r="AH164" s="461">
        <v>0</v>
      </c>
      <c r="AI164" s="461">
        <v>0</v>
      </c>
      <c r="AJ164" s="461">
        <v>0</v>
      </c>
      <c r="AK164" s="461">
        <v>0</v>
      </c>
      <c r="AL164" s="674">
        <v>0</v>
      </c>
      <c r="AM164" s="461">
        <v>0</v>
      </c>
      <c r="AN164" s="461">
        <v>0</v>
      </c>
      <c r="AO164" s="461">
        <v>0</v>
      </c>
      <c r="AP164" s="461">
        <f>AH164+AJ164+AK164+AM164+AN164</f>
        <v>0</v>
      </c>
      <c r="AQ164" s="461">
        <f>AI164+AL164+AO164</f>
        <v>0</v>
      </c>
      <c r="AR164" s="463">
        <f t="shared" si="565"/>
        <v>0</v>
      </c>
      <c r="AS164" s="469">
        <f>I164+AG164</f>
        <v>0</v>
      </c>
      <c r="AT164" s="460">
        <f>J164+V164</f>
        <v>0</v>
      </c>
      <c r="AU164" s="460">
        <f t="shared" si="566"/>
        <v>0</v>
      </c>
      <c r="AV164" s="460">
        <f t="shared" si="567"/>
        <v>0</v>
      </c>
      <c r="AW164" s="460">
        <f t="shared" si="567"/>
        <v>0</v>
      </c>
      <c r="AX164" s="460">
        <f>M164+AF164</f>
        <v>0</v>
      </c>
      <c r="AY164" s="461">
        <f>N164+AR164</f>
        <v>0</v>
      </c>
      <c r="AZ164" s="461">
        <f t="shared" si="568"/>
        <v>0</v>
      </c>
      <c r="BA164" s="463">
        <f t="shared" si="568"/>
        <v>0</v>
      </c>
    </row>
    <row r="165" spans="1:53" ht="12.95" customHeight="1" x14ac:dyDescent="0.25">
      <c r="A165" s="299">
        <v>33</v>
      </c>
      <c r="B165" s="401">
        <v>5440</v>
      </c>
      <c r="C165" s="401">
        <v>600098559</v>
      </c>
      <c r="D165" s="300">
        <v>70998108</v>
      </c>
      <c r="E165" s="397" t="s">
        <v>534</v>
      </c>
      <c r="F165" s="220">
        <v>3141</v>
      </c>
      <c r="G165" s="398" t="s">
        <v>311</v>
      </c>
      <c r="H165" s="304" t="s">
        <v>278</v>
      </c>
      <c r="I165" s="462">
        <f t="shared" si="554"/>
        <v>256834</v>
      </c>
      <c r="J165" s="457">
        <v>189294</v>
      </c>
      <c r="K165" s="457">
        <f t="shared" si="555"/>
        <v>63981</v>
      </c>
      <c r="L165" s="457">
        <f t="shared" si="556"/>
        <v>1893</v>
      </c>
      <c r="M165" s="457">
        <v>1666</v>
      </c>
      <c r="N165" s="458">
        <f t="shared" si="557"/>
        <v>0.61</v>
      </c>
      <c r="O165" s="459">
        <v>0</v>
      </c>
      <c r="P165" s="646">
        <v>0.61</v>
      </c>
      <c r="Q165" s="469">
        <f t="shared" si="558"/>
        <v>0</v>
      </c>
      <c r="R165" s="460">
        <v>0</v>
      </c>
      <c r="S165" s="673">
        <v>0</v>
      </c>
      <c r="T165" s="460">
        <v>0</v>
      </c>
      <c r="U165" s="460">
        <v>0</v>
      </c>
      <c r="V165" s="460">
        <f>SUM(Q165:U165)</f>
        <v>0</v>
      </c>
      <c r="W165" s="460">
        <v>0</v>
      </c>
      <c r="X165" s="460">
        <v>0</v>
      </c>
      <c r="Y165" s="460">
        <v>0</v>
      </c>
      <c r="Z165" s="460">
        <f t="shared" si="559"/>
        <v>0</v>
      </c>
      <c r="AA165" s="460">
        <f t="shared" si="560"/>
        <v>0</v>
      </c>
      <c r="AB165" s="69">
        <f t="shared" si="561"/>
        <v>0</v>
      </c>
      <c r="AC165" s="69">
        <f t="shared" si="562"/>
        <v>0</v>
      </c>
      <c r="AD165" s="460">
        <v>0</v>
      </c>
      <c r="AE165" s="460">
        <v>0</v>
      </c>
      <c r="AF165" s="460">
        <f t="shared" si="563"/>
        <v>0</v>
      </c>
      <c r="AG165" s="460">
        <f t="shared" si="564"/>
        <v>0</v>
      </c>
      <c r="AH165" s="461">
        <v>0</v>
      </c>
      <c r="AI165" s="461">
        <v>0</v>
      </c>
      <c r="AJ165" s="461">
        <v>0</v>
      </c>
      <c r="AK165" s="461">
        <v>0</v>
      </c>
      <c r="AL165" s="674">
        <v>0</v>
      </c>
      <c r="AM165" s="461">
        <v>0</v>
      </c>
      <c r="AN165" s="461">
        <v>0</v>
      </c>
      <c r="AO165" s="461">
        <v>0</v>
      </c>
      <c r="AP165" s="461">
        <f>AH165+AJ165+AK165+AM165+AN165</f>
        <v>0</v>
      </c>
      <c r="AQ165" s="461">
        <f>AI165+AL165+AO165</f>
        <v>0</v>
      </c>
      <c r="AR165" s="463">
        <f t="shared" si="565"/>
        <v>0</v>
      </c>
      <c r="AS165" s="469">
        <f>I165+AG165</f>
        <v>256834</v>
      </c>
      <c r="AT165" s="460">
        <f>J165+V165</f>
        <v>189294</v>
      </c>
      <c r="AU165" s="460">
        <f t="shared" si="566"/>
        <v>0</v>
      </c>
      <c r="AV165" s="460">
        <f t="shared" si="567"/>
        <v>63981</v>
      </c>
      <c r="AW165" s="460">
        <f t="shared" si="567"/>
        <v>1893</v>
      </c>
      <c r="AX165" s="460">
        <f>M165+AF165</f>
        <v>1666</v>
      </c>
      <c r="AY165" s="461">
        <f>N165+AR165</f>
        <v>0.61</v>
      </c>
      <c r="AZ165" s="461">
        <f t="shared" si="568"/>
        <v>0</v>
      </c>
      <c r="BA165" s="463">
        <f t="shared" si="568"/>
        <v>0.61</v>
      </c>
    </row>
    <row r="166" spans="1:53" ht="12.95" customHeight="1" x14ac:dyDescent="0.25">
      <c r="A166" s="221">
        <v>33</v>
      </c>
      <c r="B166" s="47">
        <v>5440</v>
      </c>
      <c r="C166" s="47">
        <v>600098559</v>
      </c>
      <c r="D166" s="47">
        <v>70998108</v>
      </c>
      <c r="E166" s="399" t="s">
        <v>535</v>
      </c>
      <c r="F166" s="46"/>
      <c r="G166" s="399"/>
      <c r="H166" s="186"/>
      <c r="I166" s="575">
        <f t="shared" ref="I166:P166" si="569">SUM(I163:I165)</f>
        <v>3721571</v>
      </c>
      <c r="J166" s="571">
        <f t="shared" si="569"/>
        <v>2745034</v>
      </c>
      <c r="K166" s="571">
        <f t="shared" si="569"/>
        <v>927821</v>
      </c>
      <c r="L166" s="571">
        <f t="shared" si="569"/>
        <v>27450</v>
      </c>
      <c r="M166" s="571">
        <f t="shared" si="569"/>
        <v>21266</v>
      </c>
      <c r="N166" s="572">
        <f t="shared" si="569"/>
        <v>5.8100000000000005</v>
      </c>
      <c r="O166" s="572">
        <f t="shared" si="569"/>
        <v>4</v>
      </c>
      <c r="P166" s="400">
        <f t="shared" si="569"/>
        <v>1.81</v>
      </c>
      <c r="Q166" s="577">
        <f t="shared" ref="Q166:BA166" si="570">SUM(Q163:Q165)</f>
        <v>-11700</v>
      </c>
      <c r="R166" s="571">
        <f t="shared" si="570"/>
        <v>0</v>
      </c>
      <c r="S166" s="571">
        <f t="shared" si="570"/>
        <v>0</v>
      </c>
      <c r="T166" s="571">
        <f t="shared" si="570"/>
        <v>0</v>
      </c>
      <c r="U166" s="571">
        <f t="shared" si="570"/>
        <v>0</v>
      </c>
      <c r="V166" s="571">
        <f t="shared" si="570"/>
        <v>-11700</v>
      </c>
      <c r="W166" s="571">
        <f t="shared" si="570"/>
        <v>11700</v>
      </c>
      <c r="X166" s="571">
        <f t="shared" si="570"/>
        <v>0</v>
      </c>
      <c r="Y166" s="571">
        <f t="shared" si="570"/>
        <v>0</v>
      </c>
      <c r="Z166" s="571">
        <f t="shared" si="570"/>
        <v>11700</v>
      </c>
      <c r="AA166" s="571">
        <f t="shared" si="570"/>
        <v>0</v>
      </c>
      <c r="AB166" s="571">
        <f t="shared" si="570"/>
        <v>0</v>
      </c>
      <c r="AC166" s="571">
        <f t="shared" si="570"/>
        <v>-117</v>
      </c>
      <c r="AD166" s="571">
        <f t="shared" si="570"/>
        <v>0</v>
      </c>
      <c r="AE166" s="571">
        <f t="shared" si="570"/>
        <v>0</v>
      </c>
      <c r="AF166" s="571">
        <f t="shared" si="570"/>
        <v>0</v>
      </c>
      <c r="AG166" s="571">
        <f t="shared" si="570"/>
        <v>-117</v>
      </c>
      <c r="AH166" s="572">
        <f t="shared" si="570"/>
        <v>0</v>
      </c>
      <c r="AI166" s="572">
        <f t="shared" si="570"/>
        <v>-0.04</v>
      </c>
      <c r="AJ166" s="572">
        <f t="shared" si="570"/>
        <v>0</v>
      </c>
      <c r="AK166" s="572">
        <f t="shared" si="570"/>
        <v>0</v>
      </c>
      <c r="AL166" s="572">
        <f t="shared" si="570"/>
        <v>0</v>
      </c>
      <c r="AM166" s="572">
        <f t="shared" si="570"/>
        <v>0</v>
      </c>
      <c r="AN166" s="572">
        <f t="shared" si="570"/>
        <v>0</v>
      </c>
      <c r="AO166" s="572">
        <f t="shared" si="570"/>
        <v>0</v>
      </c>
      <c r="AP166" s="572">
        <f t="shared" si="570"/>
        <v>0</v>
      </c>
      <c r="AQ166" s="572">
        <f t="shared" si="570"/>
        <v>-0.04</v>
      </c>
      <c r="AR166" s="400">
        <f t="shared" si="570"/>
        <v>-0.04</v>
      </c>
      <c r="AS166" s="577">
        <f t="shared" si="570"/>
        <v>3721454</v>
      </c>
      <c r="AT166" s="571">
        <f t="shared" si="570"/>
        <v>2733334</v>
      </c>
      <c r="AU166" s="571">
        <f t="shared" si="570"/>
        <v>11700</v>
      </c>
      <c r="AV166" s="571">
        <f t="shared" si="570"/>
        <v>927821</v>
      </c>
      <c r="AW166" s="571">
        <f t="shared" si="570"/>
        <v>27333</v>
      </c>
      <c r="AX166" s="571">
        <f t="shared" si="570"/>
        <v>21266</v>
      </c>
      <c r="AY166" s="572">
        <f t="shared" si="570"/>
        <v>5.7700000000000005</v>
      </c>
      <c r="AZ166" s="572">
        <f t="shared" si="570"/>
        <v>4</v>
      </c>
      <c r="BA166" s="400">
        <f t="shared" si="570"/>
        <v>1.77</v>
      </c>
    </row>
    <row r="167" spans="1:53" ht="12.95" customHeight="1" x14ac:dyDescent="0.25">
      <c r="A167" s="299">
        <v>34</v>
      </c>
      <c r="B167" s="220">
        <v>5441</v>
      </c>
      <c r="C167" s="220">
        <v>600099270</v>
      </c>
      <c r="D167" s="300">
        <v>856118</v>
      </c>
      <c r="E167" s="397" t="s">
        <v>536</v>
      </c>
      <c r="F167" s="220">
        <v>3113</v>
      </c>
      <c r="G167" s="397" t="s">
        <v>325</v>
      </c>
      <c r="H167" s="304" t="s">
        <v>277</v>
      </c>
      <c r="I167" s="462">
        <f t="shared" ref="I167:I171" si="571">SUM(J167:M167)</f>
        <v>13726432</v>
      </c>
      <c r="J167" s="457">
        <v>10016556</v>
      </c>
      <c r="K167" s="457">
        <f t="shared" ref="K167:K171" si="572">ROUND(J167*33.8%,0)</f>
        <v>3385596</v>
      </c>
      <c r="L167" s="457">
        <f>ROUND(J167*1%,0)-1</f>
        <v>100165</v>
      </c>
      <c r="M167" s="457">
        <v>224115</v>
      </c>
      <c r="N167" s="458">
        <f t="shared" ref="N167:N171" si="573">O167+P167</f>
        <v>17.611499999999999</v>
      </c>
      <c r="O167" s="459">
        <v>13.5015</v>
      </c>
      <c r="P167" s="646">
        <v>4.1100000000000003</v>
      </c>
      <c r="Q167" s="469">
        <f t="shared" ref="Q167:Q171" si="574">W167*-1</f>
        <v>-13000</v>
      </c>
      <c r="R167" s="460">
        <v>0</v>
      </c>
      <c r="S167" s="673">
        <v>0</v>
      </c>
      <c r="T167" s="460">
        <v>160490</v>
      </c>
      <c r="U167" s="460">
        <v>0</v>
      </c>
      <c r="V167" s="460">
        <f>SUM(Q167:U167)</f>
        <v>147490</v>
      </c>
      <c r="W167" s="460">
        <v>13000</v>
      </c>
      <c r="X167" s="460">
        <v>0</v>
      </c>
      <c r="Y167" s="460">
        <v>0</v>
      </c>
      <c r="Z167" s="460">
        <f t="shared" ref="Z167:Z171" si="575">SUM(W167:Y167)</f>
        <v>13000</v>
      </c>
      <c r="AA167" s="460">
        <f t="shared" ref="AA167:AA171" si="576">V167+Z167</f>
        <v>160490</v>
      </c>
      <c r="AB167" s="69">
        <f t="shared" ref="AB167:AB171" si="577">ROUND((V167+W167+X167)*33.8%,0)</f>
        <v>54246</v>
      </c>
      <c r="AC167" s="69">
        <f t="shared" ref="AC167:AC171" si="578">ROUND(V167*1%,0)</f>
        <v>1475</v>
      </c>
      <c r="AD167" s="460">
        <v>0</v>
      </c>
      <c r="AE167" s="460">
        <v>0</v>
      </c>
      <c r="AF167" s="460">
        <f t="shared" ref="AF167:AF171" si="579">SUM(AD167:AE167)</f>
        <v>0</v>
      </c>
      <c r="AG167" s="460">
        <f t="shared" ref="AG167:AG171" si="580">AA167+AB167+AC167+AF167</f>
        <v>216211</v>
      </c>
      <c r="AH167" s="461">
        <v>0</v>
      </c>
      <c r="AI167" s="461">
        <v>0</v>
      </c>
      <c r="AJ167" s="461">
        <v>0</v>
      </c>
      <c r="AK167" s="461">
        <v>0</v>
      </c>
      <c r="AL167" s="674">
        <v>0</v>
      </c>
      <c r="AM167" s="461">
        <v>0.12</v>
      </c>
      <c r="AN167" s="461">
        <v>0</v>
      </c>
      <c r="AO167" s="461">
        <v>0</v>
      </c>
      <c r="AP167" s="461">
        <f>AH167+AJ167+AK167+AM167+AN167</f>
        <v>0.12</v>
      </c>
      <c r="AQ167" s="461">
        <f>AI167+AL167+AO167</f>
        <v>0</v>
      </c>
      <c r="AR167" s="463">
        <f t="shared" ref="AR167:AR171" si="581">SUM(AP167:AQ167)</f>
        <v>0.12</v>
      </c>
      <c r="AS167" s="469">
        <f>I167+AG167</f>
        <v>13942643</v>
      </c>
      <c r="AT167" s="460">
        <f>J167+V167</f>
        <v>10164046</v>
      </c>
      <c r="AU167" s="460">
        <f t="shared" ref="AU167:AU171" si="582">Z167</f>
        <v>13000</v>
      </c>
      <c r="AV167" s="460">
        <f t="shared" ref="AV167:AW171" si="583">K167+AB167</f>
        <v>3439842</v>
      </c>
      <c r="AW167" s="460">
        <f t="shared" si="583"/>
        <v>101640</v>
      </c>
      <c r="AX167" s="460">
        <f>M167+AF167</f>
        <v>224115</v>
      </c>
      <c r="AY167" s="461">
        <f>N167+AR167</f>
        <v>17.7315</v>
      </c>
      <c r="AZ167" s="461">
        <f t="shared" ref="AZ167:BA171" si="584">O167+AP167</f>
        <v>13.621499999999999</v>
      </c>
      <c r="BA167" s="463">
        <f t="shared" si="584"/>
        <v>4.1100000000000003</v>
      </c>
    </row>
    <row r="168" spans="1:53" ht="12.95" customHeight="1" x14ac:dyDescent="0.25">
      <c r="A168" s="299">
        <v>34</v>
      </c>
      <c r="B168" s="220">
        <v>5441</v>
      </c>
      <c r="C168" s="220">
        <v>600099270</v>
      </c>
      <c r="D168" s="300">
        <v>856118</v>
      </c>
      <c r="E168" s="397" t="s">
        <v>536</v>
      </c>
      <c r="F168" s="220">
        <v>3113</v>
      </c>
      <c r="G168" s="342" t="s">
        <v>308</v>
      </c>
      <c r="H168" s="304" t="s">
        <v>278</v>
      </c>
      <c r="I168" s="462">
        <f t="shared" si="571"/>
        <v>0</v>
      </c>
      <c r="J168" s="457">
        <v>0</v>
      </c>
      <c r="K168" s="457">
        <f t="shared" si="572"/>
        <v>0</v>
      </c>
      <c r="L168" s="457">
        <f t="shared" ref="L168:L171" si="585">ROUND(J168*1%,0)</f>
        <v>0</v>
      </c>
      <c r="M168" s="457">
        <v>0</v>
      </c>
      <c r="N168" s="458">
        <f t="shared" si="573"/>
        <v>0</v>
      </c>
      <c r="O168" s="459">
        <v>0</v>
      </c>
      <c r="P168" s="646">
        <v>0</v>
      </c>
      <c r="Q168" s="469">
        <f t="shared" si="574"/>
        <v>0</v>
      </c>
      <c r="R168" s="460">
        <v>440840</v>
      </c>
      <c r="S168" s="673">
        <v>0</v>
      </c>
      <c r="T168" s="460">
        <v>0</v>
      </c>
      <c r="U168" s="460">
        <v>0</v>
      </c>
      <c r="V168" s="460">
        <f>SUM(Q168:U168)</f>
        <v>440840</v>
      </c>
      <c r="W168" s="460">
        <v>0</v>
      </c>
      <c r="X168" s="460">
        <v>0</v>
      </c>
      <c r="Y168" s="460">
        <v>0</v>
      </c>
      <c r="Z168" s="460">
        <f t="shared" si="575"/>
        <v>0</v>
      </c>
      <c r="AA168" s="460">
        <f t="shared" si="576"/>
        <v>440840</v>
      </c>
      <c r="AB168" s="69">
        <f t="shared" si="577"/>
        <v>149004</v>
      </c>
      <c r="AC168" s="69">
        <f t="shared" si="578"/>
        <v>4408</v>
      </c>
      <c r="AD168" s="460">
        <v>0</v>
      </c>
      <c r="AE168" s="460">
        <v>0</v>
      </c>
      <c r="AF168" s="460">
        <f t="shared" si="579"/>
        <v>0</v>
      </c>
      <c r="AG168" s="460">
        <f t="shared" si="580"/>
        <v>594252</v>
      </c>
      <c r="AH168" s="461">
        <v>0</v>
      </c>
      <c r="AI168" s="461">
        <v>0</v>
      </c>
      <c r="AJ168" s="461">
        <v>1.24</v>
      </c>
      <c r="AK168" s="461">
        <v>0</v>
      </c>
      <c r="AL168" s="674">
        <v>0</v>
      </c>
      <c r="AM168" s="461">
        <v>0</v>
      </c>
      <c r="AN168" s="461">
        <v>0</v>
      </c>
      <c r="AO168" s="461">
        <v>0</v>
      </c>
      <c r="AP168" s="461">
        <f>AH168+AJ168+AK168+AM168+AN168</f>
        <v>1.24</v>
      </c>
      <c r="AQ168" s="461">
        <f>AI168+AL168+AO168</f>
        <v>0</v>
      </c>
      <c r="AR168" s="463">
        <f t="shared" si="581"/>
        <v>1.24</v>
      </c>
      <c r="AS168" s="469">
        <f>I168+AG168</f>
        <v>594252</v>
      </c>
      <c r="AT168" s="460">
        <f>J168+V168</f>
        <v>440840</v>
      </c>
      <c r="AU168" s="460">
        <f t="shared" si="582"/>
        <v>0</v>
      </c>
      <c r="AV168" s="460">
        <f t="shared" si="583"/>
        <v>149004</v>
      </c>
      <c r="AW168" s="460">
        <f t="shared" si="583"/>
        <v>4408</v>
      </c>
      <c r="AX168" s="460">
        <f>M168+AF168</f>
        <v>0</v>
      </c>
      <c r="AY168" s="461">
        <f>N168+AR168</f>
        <v>1.24</v>
      </c>
      <c r="AZ168" s="461">
        <f t="shared" si="584"/>
        <v>1.24</v>
      </c>
      <c r="BA168" s="463">
        <f t="shared" si="584"/>
        <v>0</v>
      </c>
    </row>
    <row r="169" spans="1:53" ht="12.95" customHeight="1" x14ac:dyDescent="0.25">
      <c r="A169" s="299">
        <v>34</v>
      </c>
      <c r="B169" s="401">
        <v>5441</v>
      </c>
      <c r="C169" s="401">
        <v>600099270</v>
      </c>
      <c r="D169" s="300">
        <v>856118</v>
      </c>
      <c r="E169" s="219" t="s">
        <v>536</v>
      </c>
      <c r="F169" s="220">
        <v>3141</v>
      </c>
      <c r="G169" s="398" t="s">
        <v>311</v>
      </c>
      <c r="H169" s="304" t="s">
        <v>278</v>
      </c>
      <c r="I169" s="462">
        <f t="shared" si="571"/>
        <v>1897263</v>
      </c>
      <c r="J169" s="457">
        <v>1398692</v>
      </c>
      <c r="K169" s="457">
        <f t="shared" si="572"/>
        <v>472758</v>
      </c>
      <c r="L169" s="457">
        <f t="shared" si="585"/>
        <v>13987</v>
      </c>
      <c r="M169" s="457">
        <v>11826</v>
      </c>
      <c r="N169" s="458">
        <f t="shared" si="573"/>
        <v>4.49</v>
      </c>
      <c r="O169" s="459">
        <v>0</v>
      </c>
      <c r="P169" s="646">
        <v>4.49</v>
      </c>
      <c r="Q169" s="469">
        <f t="shared" si="574"/>
        <v>-19500</v>
      </c>
      <c r="R169" s="460">
        <v>0</v>
      </c>
      <c r="S169" s="673">
        <v>0</v>
      </c>
      <c r="T169" s="460">
        <v>0</v>
      </c>
      <c r="U169" s="460">
        <v>0</v>
      </c>
      <c r="V169" s="460">
        <f>SUM(Q169:U169)</f>
        <v>-19500</v>
      </c>
      <c r="W169" s="460">
        <v>19500</v>
      </c>
      <c r="X169" s="460">
        <v>0</v>
      </c>
      <c r="Y169" s="460">
        <v>0</v>
      </c>
      <c r="Z169" s="460">
        <f t="shared" si="575"/>
        <v>19500</v>
      </c>
      <c r="AA169" s="460">
        <f t="shared" si="576"/>
        <v>0</v>
      </c>
      <c r="AB169" s="69">
        <f t="shared" si="577"/>
        <v>0</v>
      </c>
      <c r="AC169" s="69">
        <f t="shared" si="578"/>
        <v>-195</v>
      </c>
      <c r="AD169" s="460">
        <v>0</v>
      </c>
      <c r="AE169" s="460">
        <v>0</v>
      </c>
      <c r="AF169" s="460">
        <f t="shared" si="579"/>
        <v>0</v>
      </c>
      <c r="AG169" s="460">
        <f t="shared" si="580"/>
        <v>-195</v>
      </c>
      <c r="AH169" s="461">
        <v>0</v>
      </c>
      <c r="AI169" s="461">
        <v>0</v>
      </c>
      <c r="AJ169" s="461">
        <v>0</v>
      </c>
      <c r="AK169" s="461">
        <v>0</v>
      </c>
      <c r="AL169" s="674">
        <v>0</v>
      </c>
      <c r="AM169" s="461">
        <v>0</v>
      </c>
      <c r="AN169" s="461">
        <v>0</v>
      </c>
      <c r="AO169" s="461">
        <v>0</v>
      </c>
      <c r="AP169" s="461">
        <f>AH169+AJ169+AK169+AM169+AN169</f>
        <v>0</v>
      </c>
      <c r="AQ169" s="461">
        <f>AI169+AL169+AO169</f>
        <v>0</v>
      </c>
      <c r="AR169" s="463">
        <f t="shared" si="581"/>
        <v>0</v>
      </c>
      <c r="AS169" s="469">
        <f>I169+AG169</f>
        <v>1897068</v>
      </c>
      <c r="AT169" s="460">
        <f>J169+V169</f>
        <v>1379192</v>
      </c>
      <c r="AU169" s="460">
        <f t="shared" si="582"/>
        <v>19500</v>
      </c>
      <c r="AV169" s="460">
        <f t="shared" si="583"/>
        <v>472758</v>
      </c>
      <c r="AW169" s="460">
        <f t="shared" si="583"/>
        <v>13792</v>
      </c>
      <c r="AX169" s="460">
        <f>M169+AF169</f>
        <v>11826</v>
      </c>
      <c r="AY169" s="461">
        <f>N169+AR169</f>
        <v>4.49</v>
      </c>
      <c r="AZ169" s="461">
        <f t="shared" si="584"/>
        <v>0</v>
      </c>
      <c r="BA169" s="463">
        <f t="shared" si="584"/>
        <v>4.49</v>
      </c>
    </row>
    <row r="170" spans="1:53" ht="12.95" customHeight="1" x14ac:dyDescent="0.25">
      <c r="A170" s="299">
        <v>34</v>
      </c>
      <c r="B170" s="220">
        <v>5441</v>
      </c>
      <c r="C170" s="220">
        <v>600099270</v>
      </c>
      <c r="D170" s="300">
        <v>856118</v>
      </c>
      <c r="E170" s="397" t="s">
        <v>536</v>
      </c>
      <c r="F170" s="220">
        <v>3143</v>
      </c>
      <c r="G170" s="342" t="s">
        <v>616</v>
      </c>
      <c r="H170" s="304" t="s">
        <v>277</v>
      </c>
      <c r="I170" s="462">
        <f t="shared" si="571"/>
        <v>1066511</v>
      </c>
      <c r="J170" s="457">
        <v>791180</v>
      </c>
      <c r="K170" s="457">
        <f t="shared" si="572"/>
        <v>267419</v>
      </c>
      <c r="L170" s="457">
        <f t="shared" si="585"/>
        <v>7912</v>
      </c>
      <c r="M170" s="457">
        <v>0</v>
      </c>
      <c r="N170" s="458">
        <f t="shared" si="573"/>
        <v>1.6</v>
      </c>
      <c r="O170" s="459">
        <v>1.6</v>
      </c>
      <c r="P170" s="646">
        <v>0</v>
      </c>
      <c r="Q170" s="469">
        <f t="shared" si="574"/>
        <v>-3510</v>
      </c>
      <c r="R170" s="460">
        <v>0</v>
      </c>
      <c r="S170" s="673">
        <v>0</v>
      </c>
      <c r="T170" s="460">
        <v>0</v>
      </c>
      <c r="U170" s="460">
        <v>0</v>
      </c>
      <c r="V170" s="460">
        <f>SUM(Q170:U170)</f>
        <v>-3510</v>
      </c>
      <c r="W170" s="460">
        <v>3510</v>
      </c>
      <c r="X170" s="460">
        <v>0</v>
      </c>
      <c r="Y170" s="460">
        <v>0</v>
      </c>
      <c r="Z170" s="460">
        <f t="shared" si="575"/>
        <v>3510</v>
      </c>
      <c r="AA170" s="460">
        <f t="shared" si="576"/>
        <v>0</v>
      </c>
      <c r="AB170" s="69">
        <f t="shared" si="577"/>
        <v>0</v>
      </c>
      <c r="AC170" s="69">
        <f t="shared" si="578"/>
        <v>-35</v>
      </c>
      <c r="AD170" s="460">
        <v>0</v>
      </c>
      <c r="AE170" s="460">
        <v>0</v>
      </c>
      <c r="AF170" s="460">
        <f t="shared" si="579"/>
        <v>0</v>
      </c>
      <c r="AG170" s="460">
        <f t="shared" si="580"/>
        <v>-35</v>
      </c>
      <c r="AH170" s="461">
        <v>0</v>
      </c>
      <c r="AI170" s="461">
        <v>0</v>
      </c>
      <c r="AJ170" s="461">
        <v>0</v>
      </c>
      <c r="AK170" s="461">
        <v>0</v>
      </c>
      <c r="AL170" s="674">
        <v>0</v>
      </c>
      <c r="AM170" s="461">
        <v>0</v>
      </c>
      <c r="AN170" s="461">
        <v>0</v>
      </c>
      <c r="AO170" s="461">
        <v>0</v>
      </c>
      <c r="AP170" s="461">
        <f>AH170+AJ170+AK170+AM170+AN170</f>
        <v>0</v>
      </c>
      <c r="AQ170" s="461">
        <f>AI170+AL170+AO170</f>
        <v>0</v>
      </c>
      <c r="AR170" s="463">
        <f t="shared" si="581"/>
        <v>0</v>
      </c>
      <c r="AS170" s="469">
        <f>I170+AG170</f>
        <v>1066476</v>
      </c>
      <c r="AT170" s="460">
        <f>J170+V170</f>
        <v>787670</v>
      </c>
      <c r="AU170" s="460">
        <f t="shared" si="582"/>
        <v>3510</v>
      </c>
      <c r="AV170" s="460">
        <f t="shared" si="583"/>
        <v>267419</v>
      </c>
      <c r="AW170" s="460">
        <f t="shared" si="583"/>
        <v>7877</v>
      </c>
      <c r="AX170" s="460">
        <f>M170+AF170</f>
        <v>0</v>
      </c>
      <c r="AY170" s="461">
        <f>N170+AR170</f>
        <v>1.6</v>
      </c>
      <c r="AZ170" s="461">
        <f t="shared" si="584"/>
        <v>1.6</v>
      </c>
      <c r="BA170" s="463">
        <f t="shared" si="584"/>
        <v>0</v>
      </c>
    </row>
    <row r="171" spans="1:53" ht="12.95" customHeight="1" x14ac:dyDescent="0.25">
      <c r="A171" s="299">
        <v>34</v>
      </c>
      <c r="B171" s="220">
        <v>5441</v>
      </c>
      <c r="C171" s="220">
        <v>600099270</v>
      </c>
      <c r="D171" s="300">
        <v>856118</v>
      </c>
      <c r="E171" s="397" t="s">
        <v>536</v>
      </c>
      <c r="F171" s="220">
        <v>3143</v>
      </c>
      <c r="G171" s="342" t="s">
        <v>617</v>
      </c>
      <c r="H171" s="304" t="s">
        <v>278</v>
      </c>
      <c r="I171" s="462">
        <f t="shared" si="571"/>
        <v>36650</v>
      </c>
      <c r="J171" s="457">
        <v>26187</v>
      </c>
      <c r="K171" s="457">
        <f t="shared" si="572"/>
        <v>8851</v>
      </c>
      <c r="L171" s="457">
        <f t="shared" si="585"/>
        <v>262</v>
      </c>
      <c r="M171" s="457">
        <v>1350</v>
      </c>
      <c r="N171" s="458">
        <f t="shared" si="573"/>
        <v>0.1</v>
      </c>
      <c r="O171" s="459">
        <v>0</v>
      </c>
      <c r="P171" s="646">
        <v>0.1</v>
      </c>
      <c r="Q171" s="469">
        <f t="shared" si="574"/>
        <v>0</v>
      </c>
      <c r="R171" s="460">
        <v>0</v>
      </c>
      <c r="S171" s="673">
        <v>0</v>
      </c>
      <c r="T171" s="460">
        <v>0</v>
      </c>
      <c r="U171" s="460">
        <v>0</v>
      </c>
      <c r="V171" s="460">
        <f>SUM(Q171:U171)</f>
        <v>0</v>
      </c>
      <c r="W171" s="460">
        <v>0</v>
      </c>
      <c r="X171" s="460">
        <v>0</v>
      </c>
      <c r="Y171" s="460">
        <v>0</v>
      </c>
      <c r="Z171" s="460">
        <f t="shared" si="575"/>
        <v>0</v>
      </c>
      <c r="AA171" s="460">
        <f t="shared" si="576"/>
        <v>0</v>
      </c>
      <c r="AB171" s="69">
        <f t="shared" si="577"/>
        <v>0</v>
      </c>
      <c r="AC171" s="69">
        <f t="shared" si="578"/>
        <v>0</v>
      </c>
      <c r="AD171" s="460">
        <v>0</v>
      </c>
      <c r="AE171" s="460">
        <v>0</v>
      </c>
      <c r="AF171" s="460">
        <f t="shared" si="579"/>
        <v>0</v>
      </c>
      <c r="AG171" s="460">
        <f t="shared" si="580"/>
        <v>0</v>
      </c>
      <c r="AH171" s="461">
        <v>0</v>
      </c>
      <c r="AI171" s="461">
        <v>0</v>
      </c>
      <c r="AJ171" s="461">
        <v>0</v>
      </c>
      <c r="AK171" s="461">
        <v>0</v>
      </c>
      <c r="AL171" s="674">
        <v>0</v>
      </c>
      <c r="AM171" s="461">
        <v>0</v>
      </c>
      <c r="AN171" s="461">
        <v>0</v>
      </c>
      <c r="AO171" s="461">
        <v>0</v>
      </c>
      <c r="AP171" s="461">
        <f>AH171+AJ171+AK171+AM171+AN171</f>
        <v>0</v>
      </c>
      <c r="AQ171" s="461">
        <f>AI171+AL171+AO171</f>
        <v>0</v>
      </c>
      <c r="AR171" s="463">
        <f t="shared" si="581"/>
        <v>0</v>
      </c>
      <c r="AS171" s="469">
        <f>I171+AG171</f>
        <v>36650</v>
      </c>
      <c r="AT171" s="460">
        <f>J171+V171</f>
        <v>26187</v>
      </c>
      <c r="AU171" s="460">
        <f t="shared" si="582"/>
        <v>0</v>
      </c>
      <c r="AV171" s="460">
        <f t="shared" si="583"/>
        <v>8851</v>
      </c>
      <c r="AW171" s="460">
        <f t="shared" si="583"/>
        <v>262</v>
      </c>
      <c r="AX171" s="460">
        <f>M171+AF171</f>
        <v>1350</v>
      </c>
      <c r="AY171" s="461">
        <f>N171+AR171</f>
        <v>0.1</v>
      </c>
      <c r="AZ171" s="461">
        <f t="shared" si="584"/>
        <v>0</v>
      </c>
      <c r="BA171" s="463">
        <f t="shared" si="584"/>
        <v>0.1</v>
      </c>
    </row>
    <row r="172" spans="1:53" ht="12.95" customHeight="1" x14ac:dyDescent="0.25">
      <c r="A172" s="221">
        <v>34</v>
      </c>
      <c r="B172" s="46">
        <v>5441</v>
      </c>
      <c r="C172" s="46">
        <v>600099270</v>
      </c>
      <c r="D172" s="46">
        <v>856118</v>
      </c>
      <c r="E172" s="399" t="s">
        <v>537</v>
      </c>
      <c r="F172" s="46"/>
      <c r="G172" s="399"/>
      <c r="H172" s="186"/>
      <c r="I172" s="576">
        <f t="shared" ref="I172:P172" si="586">SUM(I167:I171)</f>
        <v>16726856</v>
      </c>
      <c r="J172" s="573">
        <f t="shared" si="586"/>
        <v>12232615</v>
      </c>
      <c r="K172" s="573">
        <f t="shared" si="586"/>
        <v>4134624</v>
      </c>
      <c r="L172" s="573">
        <f t="shared" si="586"/>
        <v>122326</v>
      </c>
      <c r="M172" s="573">
        <f t="shared" si="586"/>
        <v>237291</v>
      </c>
      <c r="N172" s="574">
        <f t="shared" si="586"/>
        <v>23.801500000000004</v>
      </c>
      <c r="O172" s="574">
        <f t="shared" si="586"/>
        <v>15.1015</v>
      </c>
      <c r="P172" s="404">
        <f t="shared" si="586"/>
        <v>8.7000000000000011</v>
      </c>
      <c r="Q172" s="578">
        <f t="shared" ref="Q172:BA172" si="587">SUM(Q167:Q171)</f>
        <v>-36010</v>
      </c>
      <c r="R172" s="573">
        <f t="shared" si="587"/>
        <v>440840</v>
      </c>
      <c r="S172" s="573">
        <f t="shared" si="587"/>
        <v>0</v>
      </c>
      <c r="T172" s="573">
        <f t="shared" si="587"/>
        <v>160490</v>
      </c>
      <c r="U172" s="573">
        <f t="shared" si="587"/>
        <v>0</v>
      </c>
      <c r="V172" s="573">
        <f t="shared" si="587"/>
        <v>565320</v>
      </c>
      <c r="W172" s="573">
        <f t="shared" si="587"/>
        <v>36010</v>
      </c>
      <c r="X172" s="573">
        <f t="shared" si="587"/>
        <v>0</v>
      </c>
      <c r="Y172" s="573">
        <f t="shared" si="587"/>
        <v>0</v>
      </c>
      <c r="Z172" s="573">
        <f t="shared" si="587"/>
        <v>36010</v>
      </c>
      <c r="AA172" s="573">
        <f t="shared" si="587"/>
        <v>601330</v>
      </c>
      <c r="AB172" s="573">
        <f t="shared" si="587"/>
        <v>203250</v>
      </c>
      <c r="AC172" s="573">
        <f t="shared" si="587"/>
        <v>5653</v>
      </c>
      <c r="AD172" s="573">
        <f t="shared" si="587"/>
        <v>0</v>
      </c>
      <c r="AE172" s="573">
        <f t="shared" si="587"/>
        <v>0</v>
      </c>
      <c r="AF172" s="573">
        <f t="shared" si="587"/>
        <v>0</v>
      </c>
      <c r="AG172" s="573">
        <f t="shared" si="587"/>
        <v>810233</v>
      </c>
      <c r="AH172" s="574">
        <f t="shared" si="587"/>
        <v>0</v>
      </c>
      <c r="AI172" s="574">
        <f t="shared" si="587"/>
        <v>0</v>
      </c>
      <c r="AJ172" s="574">
        <f t="shared" si="587"/>
        <v>1.24</v>
      </c>
      <c r="AK172" s="574">
        <f t="shared" si="587"/>
        <v>0</v>
      </c>
      <c r="AL172" s="574">
        <f t="shared" si="587"/>
        <v>0</v>
      </c>
      <c r="AM172" s="574">
        <f t="shared" si="587"/>
        <v>0.12</v>
      </c>
      <c r="AN172" s="574">
        <f t="shared" si="587"/>
        <v>0</v>
      </c>
      <c r="AO172" s="574">
        <f t="shared" si="587"/>
        <v>0</v>
      </c>
      <c r="AP172" s="574">
        <f t="shared" si="587"/>
        <v>1.3599999999999999</v>
      </c>
      <c r="AQ172" s="574">
        <f t="shared" si="587"/>
        <v>0</v>
      </c>
      <c r="AR172" s="404">
        <f t="shared" si="587"/>
        <v>1.3599999999999999</v>
      </c>
      <c r="AS172" s="578">
        <f t="shared" si="587"/>
        <v>17537089</v>
      </c>
      <c r="AT172" s="573">
        <f t="shared" si="587"/>
        <v>12797935</v>
      </c>
      <c r="AU172" s="573">
        <f t="shared" si="587"/>
        <v>36010</v>
      </c>
      <c r="AV172" s="573">
        <f t="shared" si="587"/>
        <v>4337874</v>
      </c>
      <c r="AW172" s="573">
        <f t="shared" si="587"/>
        <v>127979</v>
      </c>
      <c r="AX172" s="573">
        <f t="shared" si="587"/>
        <v>237291</v>
      </c>
      <c r="AY172" s="574">
        <f t="shared" si="587"/>
        <v>25.161500000000004</v>
      </c>
      <c r="AZ172" s="574">
        <f t="shared" si="587"/>
        <v>16.461500000000001</v>
      </c>
      <c r="BA172" s="404">
        <f t="shared" si="587"/>
        <v>8.7000000000000011</v>
      </c>
    </row>
    <row r="173" spans="1:53" ht="12.95" customHeight="1" x14ac:dyDescent="0.25">
      <c r="A173" s="299">
        <v>35</v>
      </c>
      <c r="B173" s="401">
        <v>2306</v>
      </c>
      <c r="C173" s="401">
        <v>650025873</v>
      </c>
      <c r="D173" s="300">
        <v>70695946</v>
      </c>
      <c r="E173" s="397" t="s">
        <v>538</v>
      </c>
      <c r="F173" s="220">
        <v>3111</v>
      </c>
      <c r="G173" s="398" t="s">
        <v>321</v>
      </c>
      <c r="H173" s="304" t="s">
        <v>277</v>
      </c>
      <c r="I173" s="462">
        <f t="shared" ref="I173:I178" si="588">SUM(J173:M173)</f>
        <v>2901673</v>
      </c>
      <c r="J173" s="457">
        <v>2141004</v>
      </c>
      <c r="K173" s="457">
        <f t="shared" ref="K173:K178" si="589">ROUND(J173*33.8%,0)</f>
        <v>723659</v>
      </c>
      <c r="L173" s="457">
        <f t="shared" ref="L173:L178" si="590">ROUND(J173*1%,0)</f>
        <v>21410</v>
      </c>
      <c r="M173" s="457">
        <v>15600</v>
      </c>
      <c r="N173" s="458">
        <f t="shared" ref="N173:N178" si="591">O173+P173</f>
        <v>4.4458000000000002</v>
      </c>
      <c r="O173" s="459">
        <v>3.7258</v>
      </c>
      <c r="P173" s="646">
        <v>0.72</v>
      </c>
      <c r="Q173" s="469">
        <f t="shared" ref="Q173:Q178" si="592">W173*-1</f>
        <v>0</v>
      </c>
      <c r="R173" s="460">
        <v>0</v>
      </c>
      <c r="S173" s="673">
        <v>0</v>
      </c>
      <c r="T173" s="460">
        <v>0</v>
      </c>
      <c r="U173" s="460">
        <v>0</v>
      </c>
      <c r="V173" s="460">
        <f t="shared" ref="V173:V178" si="593">SUM(Q173:U173)</f>
        <v>0</v>
      </c>
      <c r="W173" s="460">
        <v>0</v>
      </c>
      <c r="X173" s="460">
        <v>0</v>
      </c>
      <c r="Y173" s="460">
        <v>0</v>
      </c>
      <c r="Z173" s="460">
        <f t="shared" ref="Z173:Z178" si="594">SUM(W173:Y173)</f>
        <v>0</v>
      </c>
      <c r="AA173" s="460">
        <f t="shared" ref="AA173:AA178" si="595">V173+Z173</f>
        <v>0</v>
      </c>
      <c r="AB173" s="69">
        <f t="shared" ref="AB173:AB178" si="596">ROUND((V173+W173+X173)*33.8%,0)</f>
        <v>0</v>
      </c>
      <c r="AC173" s="69">
        <f t="shared" ref="AC173:AC178" si="597">ROUND(V173*1%,0)</f>
        <v>0</v>
      </c>
      <c r="AD173" s="460">
        <v>0</v>
      </c>
      <c r="AE173" s="460">
        <v>0</v>
      </c>
      <c r="AF173" s="460">
        <f t="shared" ref="AF173:AF178" si="598">SUM(AD173:AE173)</f>
        <v>0</v>
      </c>
      <c r="AG173" s="460">
        <f t="shared" ref="AG173:AG178" si="599">AA173+AB173+AC173+AF173</f>
        <v>0</v>
      </c>
      <c r="AH173" s="461">
        <v>0</v>
      </c>
      <c r="AI173" s="461">
        <v>0</v>
      </c>
      <c r="AJ173" s="461">
        <v>0</v>
      </c>
      <c r="AK173" s="461">
        <v>0</v>
      </c>
      <c r="AL173" s="674">
        <v>0</v>
      </c>
      <c r="AM173" s="461">
        <v>0</v>
      </c>
      <c r="AN173" s="461">
        <v>0</v>
      </c>
      <c r="AO173" s="461">
        <v>0</v>
      </c>
      <c r="AP173" s="461">
        <f t="shared" ref="AP173:AP178" si="600">AH173+AJ173+AK173+AM173+AN173</f>
        <v>0</v>
      </c>
      <c r="AQ173" s="461">
        <f t="shared" ref="AQ173:AQ178" si="601">AI173+AL173+AO173</f>
        <v>0</v>
      </c>
      <c r="AR173" s="463">
        <f t="shared" ref="AR173:AR178" si="602">SUM(AP173:AQ173)</f>
        <v>0</v>
      </c>
      <c r="AS173" s="469">
        <f t="shared" ref="AS173:AS178" si="603">I173+AG173</f>
        <v>2901673</v>
      </c>
      <c r="AT173" s="460">
        <f t="shared" ref="AT173:AT178" si="604">J173+V173</f>
        <v>2141004</v>
      </c>
      <c r="AU173" s="460">
        <f t="shared" ref="AU173:AU178" si="605">Z173</f>
        <v>0</v>
      </c>
      <c r="AV173" s="460">
        <f t="shared" ref="AV173:AW178" si="606">K173+AB173</f>
        <v>723659</v>
      </c>
      <c r="AW173" s="460">
        <f t="shared" si="606"/>
        <v>21410</v>
      </c>
      <c r="AX173" s="460">
        <f t="shared" ref="AX173:AX178" si="607">M173+AF173</f>
        <v>15600</v>
      </c>
      <c r="AY173" s="461">
        <f t="shared" ref="AY173:AY178" si="608">N173+AR173</f>
        <v>4.4458000000000002</v>
      </c>
      <c r="AZ173" s="461">
        <f t="shared" ref="AZ173:BA178" si="609">O173+AP173</f>
        <v>3.7258</v>
      </c>
      <c r="BA173" s="463">
        <f t="shared" si="609"/>
        <v>0.72</v>
      </c>
    </row>
    <row r="174" spans="1:53" ht="12.95" customHeight="1" x14ac:dyDescent="0.25">
      <c r="A174" s="299">
        <v>35</v>
      </c>
      <c r="B174" s="401">
        <v>2306</v>
      </c>
      <c r="C174" s="401">
        <v>650025873</v>
      </c>
      <c r="D174" s="300">
        <v>70695946</v>
      </c>
      <c r="E174" s="219" t="s">
        <v>538</v>
      </c>
      <c r="F174" s="401">
        <v>3117</v>
      </c>
      <c r="G174" s="397" t="s">
        <v>325</v>
      </c>
      <c r="H174" s="304" t="s">
        <v>277</v>
      </c>
      <c r="I174" s="462">
        <f t="shared" si="588"/>
        <v>2981557</v>
      </c>
      <c r="J174" s="457">
        <v>2176767</v>
      </c>
      <c r="K174" s="457">
        <f t="shared" si="589"/>
        <v>735747</v>
      </c>
      <c r="L174" s="457">
        <f t="shared" si="590"/>
        <v>21768</v>
      </c>
      <c r="M174" s="457">
        <v>47275</v>
      </c>
      <c r="N174" s="458">
        <f t="shared" si="591"/>
        <v>4.4091000000000005</v>
      </c>
      <c r="O174" s="459">
        <v>2.9091</v>
      </c>
      <c r="P174" s="646">
        <v>1.5</v>
      </c>
      <c r="Q174" s="469">
        <f t="shared" si="592"/>
        <v>0</v>
      </c>
      <c r="R174" s="460">
        <v>0</v>
      </c>
      <c r="S174" s="673">
        <v>0</v>
      </c>
      <c r="T174" s="460">
        <v>0</v>
      </c>
      <c r="U174" s="460">
        <v>0</v>
      </c>
      <c r="V174" s="460">
        <f t="shared" si="593"/>
        <v>0</v>
      </c>
      <c r="W174" s="460">
        <v>0</v>
      </c>
      <c r="X174" s="460">
        <v>0</v>
      </c>
      <c r="Y174" s="460">
        <v>0</v>
      </c>
      <c r="Z174" s="460">
        <f t="shared" si="594"/>
        <v>0</v>
      </c>
      <c r="AA174" s="460">
        <f t="shared" si="595"/>
        <v>0</v>
      </c>
      <c r="AB174" s="69">
        <f t="shared" si="596"/>
        <v>0</v>
      </c>
      <c r="AC174" s="69">
        <f t="shared" si="597"/>
        <v>0</v>
      </c>
      <c r="AD174" s="460">
        <v>0</v>
      </c>
      <c r="AE174" s="460">
        <v>0</v>
      </c>
      <c r="AF174" s="460">
        <f t="shared" si="598"/>
        <v>0</v>
      </c>
      <c r="AG174" s="460">
        <f t="shared" si="599"/>
        <v>0</v>
      </c>
      <c r="AH174" s="461">
        <v>0</v>
      </c>
      <c r="AI174" s="461">
        <v>0</v>
      </c>
      <c r="AJ174" s="461">
        <v>0</v>
      </c>
      <c r="AK174" s="461">
        <v>0</v>
      </c>
      <c r="AL174" s="674">
        <v>0</v>
      </c>
      <c r="AM174" s="461">
        <v>0</v>
      </c>
      <c r="AN174" s="461">
        <v>0</v>
      </c>
      <c r="AO174" s="461">
        <v>0</v>
      </c>
      <c r="AP174" s="461">
        <f t="shared" si="600"/>
        <v>0</v>
      </c>
      <c r="AQ174" s="461">
        <f t="shared" si="601"/>
        <v>0</v>
      </c>
      <c r="AR174" s="463">
        <f t="shared" si="602"/>
        <v>0</v>
      </c>
      <c r="AS174" s="469">
        <f t="shared" si="603"/>
        <v>2981557</v>
      </c>
      <c r="AT174" s="460">
        <f t="shared" si="604"/>
        <v>2176767</v>
      </c>
      <c r="AU174" s="460">
        <f t="shared" si="605"/>
        <v>0</v>
      </c>
      <c r="AV174" s="460">
        <f t="shared" si="606"/>
        <v>735747</v>
      </c>
      <c r="AW174" s="460">
        <f t="shared" si="606"/>
        <v>21768</v>
      </c>
      <c r="AX174" s="460">
        <f t="shared" si="607"/>
        <v>47275</v>
      </c>
      <c r="AY174" s="461">
        <f t="shared" si="608"/>
        <v>4.4091000000000005</v>
      </c>
      <c r="AZ174" s="461">
        <f t="shared" si="609"/>
        <v>2.9091</v>
      </c>
      <c r="BA174" s="463">
        <f t="shared" si="609"/>
        <v>1.5</v>
      </c>
    </row>
    <row r="175" spans="1:53" ht="12.95" customHeight="1" x14ac:dyDescent="0.25">
      <c r="A175" s="299">
        <v>35</v>
      </c>
      <c r="B175" s="220">
        <v>2306</v>
      </c>
      <c r="C175" s="220">
        <v>650025873</v>
      </c>
      <c r="D175" s="300">
        <v>70695946</v>
      </c>
      <c r="E175" s="219" t="s">
        <v>538</v>
      </c>
      <c r="F175" s="401">
        <v>3117</v>
      </c>
      <c r="G175" s="342" t="s">
        <v>308</v>
      </c>
      <c r="H175" s="304" t="s">
        <v>278</v>
      </c>
      <c r="I175" s="462">
        <f t="shared" si="588"/>
        <v>0</v>
      </c>
      <c r="J175" s="457">
        <v>0</v>
      </c>
      <c r="K175" s="457">
        <f t="shared" si="589"/>
        <v>0</v>
      </c>
      <c r="L175" s="457">
        <f t="shared" si="590"/>
        <v>0</v>
      </c>
      <c r="M175" s="457">
        <v>0</v>
      </c>
      <c r="N175" s="458">
        <f t="shared" si="591"/>
        <v>0</v>
      </c>
      <c r="O175" s="459">
        <v>0</v>
      </c>
      <c r="P175" s="646">
        <v>0</v>
      </c>
      <c r="Q175" s="469">
        <f t="shared" si="592"/>
        <v>0</v>
      </c>
      <c r="R175" s="460">
        <v>0</v>
      </c>
      <c r="S175" s="673">
        <v>0</v>
      </c>
      <c r="T175" s="460">
        <v>0</v>
      </c>
      <c r="U175" s="460">
        <v>0</v>
      </c>
      <c r="V175" s="460">
        <f t="shared" si="593"/>
        <v>0</v>
      </c>
      <c r="W175" s="460">
        <v>0</v>
      </c>
      <c r="X175" s="460">
        <v>0</v>
      </c>
      <c r="Y175" s="460">
        <v>0</v>
      </c>
      <c r="Z175" s="460">
        <f t="shared" si="594"/>
        <v>0</v>
      </c>
      <c r="AA175" s="460">
        <f t="shared" si="595"/>
        <v>0</v>
      </c>
      <c r="AB175" s="69">
        <f t="shared" si="596"/>
        <v>0</v>
      </c>
      <c r="AC175" s="69">
        <f t="shared" si="597"/>
        <v>0</v>
      </c>
      <c r="AD175" s="460">
        <v>0</v>
      </c>
      <c r="AE175" s="460">
        <v>0</v>
      </c>
      <c r="AF175" s="460">
        <f t="shared" si="598"/>
        <v>0</v>
      </c>
      <c r="AG175" s="460">
        <f t="shared" si="599"/>
        <v>0</v>
      </c>
      <c r="AH175" s="461">
        <v>0</v>
      </c>
      <c r="AI175" s="461">
        <v>0</v>
      </c>
      <c r="AJ175" s="461">
        <v>0</v>
      </c>
      <c r="AK175" s="461">
        <v>0</v>
      </c>
      <c r="AL175" s="674">
        <v>0</v>
      </c>
      <c r="AM175" s="461">
        <v>0</v>
      </c>
      <c r="AN175" s="461">
        <v>0</v>
      </c>
      <c r="AO175" s="461">
        <v>0</v>
      </c>
      <c r="AP175" s="461">
        <f t="shared" si="600"/>
        <v>0</v>
      </c>
      <c r="AQ175" s="461">
        <f t="shared" si="601"/>
        <v>0</v>
      </c>
      <c r="AR175" s="463">
        <f t="shared" si="602"/>
        <v>0</v>
      </c>
      <c r="AS175" s="469">
        <f t="shared" si="603"/>
        <v>0</v>
      </c>
      <c r="AT175" s="460">
        <f t="shared" si="604"/>
        <v>0</v>
      </c>
      <c r="AU175" s="460">
        <f t="shared" si="605"/>
        <v>0</v>
      </c>
      <c r="AV175" s="460">
        <f t="shared" si="606"/>
        <v>0</v>
      </c>
      <c r="AW175" s="460">
        <f t="shared" si="606"/>
        <v>0</v>
      </c>
      <c r="AX175" s="460">
        <f t="shared" si="607"/>
        <v>0</v>
      </c>
      <c r="AY175" s="461">
        <f t="shared" si="608"/>
        <v>0</v>
      </c>
      <c r="AZ175" s="461">
        <f t="shared" si="609"/>
        <v>0</v>
      </c>
      <c r="BA175" s="463">
        <f t="shared" si="609"/>
        <v>0</v>
      </c>
    </row>
    <row r="176" spans="1:53" ht="12.95" customHeight="1" x14ac:dyDescent="0.25">
      <c r="A176" s="299">
        <v>35</v>
      </c>
      <c r="B176" s="220">
        <v>2306</v>
      </c>
      <c r="C176" s="220">
        <v>650025873</v>
      </c>
      <c r="D176" s="300">
        <v>70695946</v>
      </c>
      <c r="E176" s="396" t="s">
        <v>538</v>
      </c>
      <c r="F176" s="407">
        <v>3141</v>
      </c>
      <c r="G176" s="398" t="s">
        <v>311</v>
      </c>
      <c r="H176" s="304" t="s">
        <v>278</v>
      </c>
      <c r="I176" s="462">
        <f t="shared" si="588"/>
        <v>876487</v>
      </c>
      <c r="J176" s="457">
        <v>647590</v>
      </c>
      <c r="K176" s="457">
        <f t="shared" si="589"/>
        <v>218885</v>
      </c>
      <c r="L176" s="457">
        <f t="shared" si="590"/>
        <v>6476</v>
      </c>
      <c r="M176" s="457">
        <v>3536</v>
      </c>
      <c r="N176" s="458">
        <f t="shared" si="591"/>
        <v>2.08</v>
      </c>
      <c r="O176" s="459">
        <v>0</v>
      </c>
      <c r="P176" s="646">
        <v>2.08</v>
      </c>
      <c r="Q176" s="469">
        <f t="shared" si="592"/>
        <v>0</v>
      </c>
      <c r="R176" s="460">
        <v>0</v>
      </c>
      <c r="S176" s="673">
        <v>0</v>
      </c>
      <c r="T176" s="460">
        <v>0</v>
      </c>
      <c r="U176" s="460">
        <v>0</v>
      </c>
      <c r="V176" s="460">
        <f t="shared" si="593"/>
        <v>0</v>
      </c>
      <c r="W176" s="460">
        <v>0</v>
      </c>
      <c r="X176" s="460">
        <v>0</v>
      </c>
      <c r="Y176" s="460">
        <v>0</v>
      </c>
      <c r="Z176" s="460">
        <f t="shared" si="594"/>
        <v>0</v>
      </c>
      <c r="AA176" s="460">
        <f t="shared" si="595"/>
        <v>0</v>
      </c>
      <c r="AB176" s="69">
        <f t="shared" si="596"/>
        <v>0</v>
      </c>
      <c r="AC176" s="69">
        <f t="shared" si="597"/>
        <v>0</v>
      </c>
      <c r="AD176" s="460">
        <v>0</v>
      </c>
      <c r="AE176" s="460">
        <v>0</v>
      </c>
      <c r="AF176" s="460">
        <f t="shared" si="598"/>
        <v>0</v>
      </c>
      <c r="AG176" s="460">
        <f t="shared" si="599"/>
        <v>0</v>
      </c>
      <c r="AH176" s="461">
        <v>0</v>
      </c>
      <c r="AI176" s="461">
        <v>0</v>
      </c>
      <c r="AJ176" s="461">
        <v>0</v>
      </c>
      <c r="AK176" s="461">
        <v>0</v>
      </c>
      <c r="AL176" s="674">
        <v>0</v>
      </c>
      <c r="AM176" s="461">
        <v>0</v>
      </c>
      <c r="AN176" s="461">
        <v>0</v>
      </c>
      <c r="AO176" s="461">
        <v>0</v>
      </c>
      <c r="AP176" s="461">
        <f t="shared" si="600"/>
        <v>0</v>
      </c>
      <c r="AQ176" s="461">
        <f t="shared" si="601"/>
        <v>0</v>
      </c>
      <c r="AR176" s="463">
        <f t="shared" si="602"/>
        <v>0</v>
      </c>
      <c r="AS176" s="469">
        <f t="shared" si="603"/>
        <v>876487</v>
      </c>
      <c r="AT176" s="460">
        <f t="shared" si="604"/>
        <v>647590</v>
      </c>
      <c r="AU176" s="460">
        <f t="shared" si="605"/>
        <v>0</v>
      </c>
      <c r="AV176" s="460">
        <f t="shared" si="606"/>
        <v>218885</v>
      </c>
      <c r="AW176" s="460">
        <f t="shared" si="606"/>
        <v>6476</v>
      </c>
      <c r="AX176" s="460">
        <f t="shared" si="607"/>
        <v>3536</v>
      </c>
      <c r="AY176" s="461">
        <f t="shared" si="608"/>
        <v>2.08</v>
      </c>
      <c r="AZ176" s="461">
        <f t="shared" si="609"/>
        <v>0</v>
      </c>
      <c r="BA176" s="463">
        <f t="shared" si="609"/>
        <v>2.08</v>
      </c>
    </row>
    <row r="177" spans="1:53" ht="12.95" customHeight="1" x14ac:dyDescent="0.25">
      <c r="A177" s="299">
        <v>35</v>
      </c>
      <c r="B177" s="220">
        <v>2306</v>
      </c>
      <c r="C177" s="220">
        <v>650025873</v>
      </c>
      <c r="D177" s="300">
        <v>70695946</v>
      </c>
      <c r="E177" s="219" t="s">
        <v>538</v>
      </c>
      <c r="F177" s="220">
        <v>3143</v>
      </c>
      <c r="G177" s="342" t="s">
        <v>616</v>
      </c>
      <c r="H177" s="304" t="s">
        <v>277</v>
      </c>
      <c r="I177" s="462">
        <f t="shared" si="588"/>
        <v>736841</v>
      </c>
      <c r="J177" s="457">
        <v>546618</v>
      </c>
      <c r="K177" s="457">
        <f t="shared" si="589"/>
        <v>184757</v>
      </c>
      <c r="L177" s="457">
        <f t="shared" si="590"/>
        <v>5466</v>
      </c>
      <c r="M177" s="457">
        <v>0</v>
      </c>
      <c r="N177" s="458">
        <f t="shared" si="591"/>
        <v>1.1341000000000001</v>
      </c>
      <c r="O177" s="459">
        <v>1.1341000000000001</v>
      </c>
      <c r="P177" s="646">
        <v>0</v>
      </c>
      <c r="Q177" s="469">
        <f t="shared" si="592"/>
        <v>0</v>
      </c>
      <c r="R177" s="460">
        <v>0</v>
      </c>
      <c r="S177" s="673">
        <v>0</v>
      </c>
      <c r="T177" s="460">
        <v>0</v>
      </c>
      <c r="U177" s="460">
        <v>0</v>
      </c>
      <c r="V177" s="460">
        <f t="shared" si="593"/>
        <v>0</v>
      </c>
      <c r="W177" s="460">
        <v>0</v>
      </c>
      <c r="X177" s="460">
        <v>0</v>
      </c>
      <c r="Y177" s="460">
        <v>0</v>
      </c>
      <c r="Z177" s="460">
        <f t="shared" si="594"/>
        <v>0</v>
      </c>
      <c r="AA177" s="460">
        <f t="shared" si="595"/>
        <v>0</v>
      </c>
      <c r="AB177" s="69">
        <f t="shared" si="596"/>
        <v>0</v>
      </c>
      <c r="AC177" s="69">
        <f t="shared" si="597"/>
        <v>0</v>
      </c>
      <c r="AD177" s="460">
        <v>0</v>
      </c>
      <c r="AE177" s="460">
        <v>0</v>
      </c>
      <c r="AF177" s="460">
        <f t="shared" si="598"/>
        <v>0</v>
      </c>
      <c r="AG177" s="460">
        <f t="shared" si="599"/>
        <v>0</v>
      </c>
      <c r="AH177" s="461">
        <v>0</v>
      </c>
      <c r="AI177" s="461">
        <v>0</v>
      </c>
      <c r="AJ177" s="461">
        <v>0</v>
      </c>
      <c r="AK177" s="461">
        <v>0</v>
      </c>
      <c r="AL177" s="674">
        <v>0</v>
      </c>
      <c r="AM177" s="461">
        <v>0</v>
      </c>
      <c r="AN177" s="461">
        <v>0</v>
      </c>
      <c r="AO177" s="461">
        <v>0</v>
      </c>
      <c r="AP177" s="461">
        <f t="shared" si="600"/>
        <v>0</v>
      </c>
      <c r="AQ177" s="461">
        <f t="shared" si="601"/>
        <v>0</v>
      </c>
      <c r="AR177" s="463">
        <f t="shared" si="602"/>
        <v>0</v>
      </c>
      <c r="AS177" s="469">
        <f t="shared" si="603"/>
        <v>736841</v>
      </c>
      <c r="AT177" s="460">
        <f t="shared" si="604"/>
        <v>546618</v>
      </c>
      <c r="AU177" s="460">
        <f t="shared" si="605"/>
        <v>0</v>
      </c>
      <c r="AV177" s="460">
        <f t="shared" si="606"/>
        <v>184757</v>
      </c>
      <c r="AW177" s="460">
        <f t="shared" si="606"/>
        <v>5466</v>
      </c>
      <c r="AX177" s="460">
        <f t="shared" si="607"/>
        <v>0</v>
      </c>
      <c r="AY177" s="461">
        <f t="shared" si="608"/>
        <v>1.1341000000000001</v>
      </c>
      <c r="AZ177" s="461">
        <f t="shared" si="609"/>
        <v>1.1341000000000001</v>
      </c>
      <c r="BA177" s="463">
        <f t="shared" si="609"/>
        <v>0</v>
      </c>
    </row>
    <row r="178" spans="1:53" ht="12.95" customHeight="1" x14ac:dyDescent="0.25">
      <c r="A178" s="299">
        <v>35</v>
      </c>
      <c r="B178" s="220">
        <v>2306</v>
      </c>
      <c r="C178" s="220">
        <v>650025873</v>
      </c>
      <c r="D178" s="300">
        <v>70695946</v>
      </c>
      <c r="E178" s="219" t="s">
        <v>538</v>
      </c>
      <c r="F178" s="220">
        <v>3143</v>
      </c>
      <c r="G178" s="342" t="s">
        <v>617</v>
      </c>
      <c r="H178" s="304" t="s">
        <v>278</v>
      </c>
      <c r="I178" s="462">
        <f t="shared" si="588"/>
        <v>20525</v>
      </c>
      <c r="J178" s="457">
        <v>14665</v>
      </c>
      <c r="K178" s="457">
        <f t="shared" si="589"/>
        <v>4957</v>
      </c>
      <c r="L178" s="457">
        <f t="shared" si="590"/>
        <v>147</v>
      </c>
      <c r="M178" s="457">
        <v>756</v>
      </c>
      <c r="N178" s="458">
        <f t="shared" si="591"/>
        <v>0.06</v>
      </c>
      <c r="O178" s="459">
        <v>0</v>
      </c>
      <c r="P178" s="646">
        <v>0.06</v>
      </c>
      <c r="Q178" s="469">
        <f t="shared" si="592"/>
        <v>0</v>
      </c>
      <c r="R178" s="460">
        <v>0</v>
      </c>
      <c r="S178" s="673">
        <v>0</v>
      </c>
      <c r="T178" s="460">
        <v>0</v>
      </c>
      <c r="U178" s="460">
        <v>0</v>
      </c>
      <c r="V178" s="460">
        <f t="shared" si="593"/>
        <v>0</v>
      </c>
      <c r="W178" s="460">
        <v>0</v>
      </c>
      <c r="X178" s="460">
        <v>0</v>
      </c>
      <c r="Y178" s="460">
        <v>0</v>
      </c>
      <c r="Z178" s="460">
        <f t="shared" si="594"/>
        <v>0</v>
      </c>
      <c r="AA178" s="460">
        <f t="shared" si="595"/>
        <v>0</v>
      </c>
      <c r="AB178" s="69">
        <f t="shared" si="596"/>
        <v>0</v>
      </c>
      <c r="AC178" s="69">
        <f t="shared" si="597"/>
        <v>0</v>
      </c>
      <c r="AD178" s="460">
        <v>0</v>
      </c>
      <c r="AE178" s="460">
        <v>0</v>
      </c>
      <c r="AF178" s="460">
        <f t="shared" si="598"/>
        <v>0</v>
      </c>
      <c r="AG178" s="460">
        <f t="shared" si="599"/>
        <v>0</v>
      </c>
      <c r="AH178" s="461">
        <v>0</v>
      </c>
      <c r="AI178" s="461">
        <v>0</v>
      </c>
      <c r="AJ178" s="461">
        <v>0</v>
      </c>
      <c r="AK178" s="461">
        <v>0</v>
      </c>
      <c r="AL178" s="674">
        <v>0</v>
      </c>
      <c r="AM178" s="461">
        <v>0</v>
      </c>
      <c r="AN178" s="461">
        <v>0</v>
      </c>
      <c r="AO178" s="461">
        <v>0</v>
      </c>
      <c r="AP178" s="461">
        <f t="shared" si="600"/>
        <v>0</v>
      </c>
      <c r="AQ178" s="461">
        <f t="shared" si="601"/>
        <v>0</v>
      </c>
      <c r="AR178" s="463">
        <f t="shared" si="602"/>
        <v>0</v>
      </c>
      <c r="AS178" s="469">
        <f t="shared" si="603"/>
        <v>20525</v>
      </c>
      <c r="AT178" s="460">
        <f t="shared" si="604"/>
        <v>14665</v>
      </c>
      <c r="AU178" s="460">
        <f t="shared" si="605"/>
        <v>0</v>
      </c>
      <c r="AV178" s="460">
        <f t="shared" si="606"/>
        <v>4957</v>
      </c>
      <c r="AW178" s="460">
        <f t="shared" si="606"/>
        <v>147</v>
      </c>
      <c r="AX178" s="460">
        <f t="shared" si="607"/>
        <v>756</v>
      </c>
      <c r="AY178" s="461">
        <f t="shared" si="608"/>
        <v>0.06</v>
      </c>
      <c r="AZ178" s="461">
        <f t="shared" si="609"/>
        <v>0</v>
      </c>
      <c r="BA178" s="463">
        <f t="shared" si="609"/>
        <v>0.06</v>
      </c>
    </row>
    <row r="179" spans="1:53" ht="12.95" customHeight="1" x14ac:dyDescent="0.25">
      <c r="A179" s="222">
        <v>35</v>
      </c>
      <c r="B179" s="46">
        <v>2306</v>
      </c>
      <c r="C179" s="46">
        <v>650025873</v>
      </c>
      <c r="D179" s="46">
        <v>70695946</v>
      </c>
      <c r="E179" s="399" t="s">
        <v>539</v>
      </c>
      <c r="F179" s="46"/>
      <c r="G179" s="399"/>
      <c r="H179" s="186"/>
      <c r="I179" s="536">
        <f t="shared" ref="I179:BA179" si="610">SUM(I173:I178)</f>
        <v>7517083</v>
      </c>
      <c r="J179" s="532">
        <f t="shared" si="610"/>
        <v>5526644</v>
      </c>
      <c r="K179" s="532">
        <f t="shared" si="610"/>
        <v>1868005</v>
      </c>
      <c r="L179" s="532">
        <f t="shared" si="610"/>
        <v>55267</v>
      </c>
      <c r="M179" s="532">
        <f t="shared" si="610"/>
        <v>67167</v>
      </c>
      <c r="N179" s="533">
        <f t="shared" si="610"/>
        <v>12.129000000000001</v>
      </c>
      <c r="O179" s="533">
        <f t="shared" si="610"/>
        <v>7.7690000000000001</v>
      </c>
      <c r="P179" s="298">
        <f t="shared" si="610"/>
        <v>4.3599999999999994</v>
      </c>
      <c r="Q179" s="538">
        <f t="shared" si="610"/>
        <v>0</v>
      </c>
      <c r="R179" s="532">
        <f t="shared" si="610"/>
        <v>0</v>
      </c>
      <c r="S179" s="532">
        <f t="shared" si="610"/>
        <v>0</v>
      </c>
      <c r="T179" s="532">
        <f t="shared" si="610"/>
        <v>0</v>
      </c>
      <c r="U179" s="532">
        <f t="shared" si="610"/>
        <v>0</v>
      </c>
      <c r="V179" s="532">
        <f t="shared" si="610"/>
        <v>0</v>
      </c>
      <c r="W179" s="532">
        <f t="shared" si="610"/>
        <v>0</v>
      </c>
      <c r="X179" s="532">
        <f t="shared" si="610"/>
        <v>0</v>
      </c>
      <c r="Y179" s="532">
        <f t="shared" si="610"/>
        <v>0</v>
      </c>
      <c r="Z179" s="532">
        <f t="shared" si="610"/>
        <v>0</v>
      </c>
      <c r="AA179" s="532">
        <f t="shared" si="610"/>
        <v>0</v>
      </c>
      <c r="AB179" s="532">
        <f t="shared" si="610"/>
        <v>0</v>
      </c>
      <c r="AC179" s="532">
        <f t="shared" si="610"/>
        <v>0</v>
      </c>
      <c r="AD179" s="532">
        <f t="shared" si="610"/>
        <v>0</v>
      </c>
      <c r="AE179" s="532">
        <f t="shared" si="610"/>
        <v>0</v>
      </c>
      <c r="AF179" s="532">
        <f t="shared" si="610"/>
        <v>0</v>
      </c>
      <c r="AG179" s="532">
        <f t="shared" si="610"/>
        <v>0</v>
      </c>
      <c r="AH179" s="533">
        <f t="shared" si="610"/>
        <v>0</v>
      </c>
      <c r="AI179" s="533">
        <f t="shared" si="610"/>
        <v>0</v>
      </c>
      <c r="AJ179" s="533">
        <f t="shared" si="610"/>
        <v>0</v>
      </c>
      <c r="AK179" s="533">
        <f t="shared" si="610"/>
        <v>0</v>
      </c>
      <c r="AL179" s="533">
        <f t="shared" si="610"/>
        <v>0</v>
      </c>
      <c r="AM179" s="533">
        <f t="shared" si="610"/>
        <v>0</v>
      </c>
      <c r="AN179" s="533">
        <f t="shared" si="610"/>
        <v>0</v>
      </c>
      <c r="AO179" s="533">
        <f t="shared" si="610"/>
        <v>0</v>
      </c>
      <c r="AP179" s="533">
        <f t="shared" si="610"/>
        <v>0</v>
      </c>
      <c r="AQ179" s="533">
        <f t="shared" si="610"/>
        <v>0</v>
      </c>
      <c r="AR179" s="298">
        <f t="shared" si="610"/>
        <v>0</v>
      </c>
      <c r="AS179" s="538">
        <f t="shared" si="610"/>
        <v>7517083</v>
      </c>
      <c r="AT179" s="532">
        <f t="shared" si="610"/>
        <v>5526644</v>
      </c>
      <c r="AU179" s="532">
        <f t="shared" si="610"/>
        <v>0</v>
      </c>
      <c r="AV179" s="532">
        <f t="shared" si="610"/>
        <v>1868005</v>
      </c>
      <c r="AW179" s="532">
        <f t="shared" si="610"/>
        <v>55267</v>
      </c>
      <c r="AX179" s="532">
        <f t="shared" si="610"/>
        <v>67167</v>
      </c>
      <c r="AY179" s="533">
        <f t="shared" si="610"/>
        <v>12.129000000000001</v>
      </c>
      <c r="AZ179" s="533">
        <f t="shared" si="610"/>
        <v>7.7690000000000001</v>
      </c>
      <c r="BA179" s="298">
        <f t="shared" si="610"/>
        <v>4.3599999999999994</v>
      </c>
    </row>
    <row r="180" spans="1:53" ht="12.95" customHeight="1" x14ac:dyDescent="0.25">
      <c r="A180" s="299">
        <v>36</v>
      </c>
      <c r="B180" s="406">
        <v>2447</v>
      </c>
      <c r="C180" s="406">
        <v>600080111</v>
      </c>
      <c r="D180" s="300">
        <v>72744961</v>
      </c>
      <c r="E180" s="414" t="s">
        <v>540</v>
      </c>
      <c r="F180" s="406">
        <v>3117</v>
      </c>
      <c r="G180" s="397" t="s">
        <v>325</v>
      </c>
      <c r="H180" s="304" t="s">
        <v>277</v>
      </c>
      <c r="I180" s="462">
        <f t="shared" ref="I180:I184" si="611">SUM(J180:M180)</f>
        <v>3775217</v>
      </c>
      <c r="J180" s="457">
        <v>2746991</v>
      </c>
      <c r="K180" s="457">
        <f>ROUND(J180*33.8%,0)-1</f>
        <v>928482</v>
      </c>
      <c r="L180" s="457">
        <f>ROUND(J180*1%,0)-1</f>
        <v>27469</v>
      </c>
      <c r="M180" s="457">
        <v>72275</v>
      </c>
      <c r="N180" s="458">
        <f t="shared" ref="N180:N184" si="612">O180+P180</f>
        <v>4.66</v>
      </c>
      <c r="O180" s="459">
        <v>3.4</v>
      </c>
      <c r="P180" s="646">
        <v>1.26</v>
      </c>
      <c r="Q180" s="469">
        <f t="shared" ref="Q180:Q184" si="613">W180*-1</f>
        <v>-19500</v>
      </c>
      <c r="R180" s="460">
        <v>0</v>
      </c>
      <c r="S180" s="673">
        <v>0</v>
      </c>
      <c r="T180" s="460">
        <v>0</v>
      </c>
      <c r="U180" s="460">
        <v>0</v>
      </c>
      <c r="V180" s="460">
        <f>SUM(Q180:U180)</f>
        <v>-19500</v>
      </c>
      <c r="W180" s="460">
        <v>19500</v>
      </c>
      <c r="X180" s="460">
        <v>0</v>
      </c>
      <c r="Y180" s="460">
        <v>0</v>
      </c>
      <c r="Z180" s="460">
        <f t="shared" ref="Z180:Z184" si="614">SUM(W180:Y180)</f>
        <v>19500</v>
      </c>
      <c r="AA180" s="460">
        <f t="shared" ref="AA180:AA184" si="615">V180+Z180</f>
        <v>0</v>
      </c>
      <c r="AB180" s="69">
        <f t="shared" ref="AB180:AB184" si="616">ROUND((V180+W180+X180)*33.8%,0)</f>
        <v>0</v>
      </c>
      <c r="AC180" s="69">
        <f t="shared" ref="AC180:AC184" si="617">ROUND(V180*1%,0)</f>
        <v>-195</v>
      </c>
      <c r="AD180" s="460">
        <v>0</v>
      </c>
      <c r="AE180" s="460">
        <v>0</v>
      </c>
      <c r="AF180" s="460">
        <f t="shared" ref="AF180:AF184" si="618">SUM(AD180:AE180)</f>
        <v>0</v>
      </c>
      <c r="AG180" s="460">
        <f t="shared" ref="AG180:AG184" si="619">AA180+AB180+AC180+AF180</f>
        <v>-195</v>
      </c>
      <c r="AH180" s="461">
        <v>-0.01</v>
      </c>
      <c r="AI180" s="461">
        <v>-0.02</v>
      </c>
      <c r="AJ180" s="461">
        <v>0</v>
      </c>
      <c r="AK180" s="461">
        <v>0</v>
      </c>
      <c r="AL180" s="674">
        <v>0</v>
      </c>
      <c r="AM180" s="461">
        <v>0</v>
      </c>
      <c r="AN180" s="461">
        <v>0</v>
      </c>
      <c r="AO180" s="461">
        <v>0</v>
      </c>
      <c r="AP180" s="461">
        <f>AH180+AJ180+AK180+AM180+AN180</f>
        <v>-0.01</v>
      </c>
      <c r="AQ180" s="461">
        <f>AI180+AL180+AO180</f>
        <v>-0.02</v>
      </c>
      <c r="AR180" s="463">
        <f t="shared" ref="AR180:AR184" si="620">SUM(AP180:AQ180)</f>
        <v>-0.03</v>
      </c>
      <c r="AS180" s="469">
        <f>I180+AG180</f>
        <v>3775022</v>
      </c>
      <c r="AT180" s="460">
        <f>J180+V180</f>
        <v>2727491</v>
      </c>
      <c r="AU180" s="460">
        <f t="shared" ref="AU180:AU184" si="621">Z180</f>
        <v>19500</v>
      </c>
      <c r="AV180" s="460">
        <f t="shared" ref="AV180:AW184" si="622">K180+AB180</f>
        <v>928482</v>
      </c>
      <c r="AW180" s="460">
        <f t="shared" si="622"/>
        <v>27274</v>
      </c>
      <c r="AX180" s="460">
        <f>M180+AF180</f>
        <v>72275</v>
      </c>
      <c r="AY180" s="461">
        <f>N180+AR180</f>
        <v>4.63</v>
      </c>
      <c r="AZ180" s="461">
        <f t="shared" ref="AZ180:BA184" si="623">O180+AP180</f>
        <v>3.39</v>
      </c>
      <c r="BA180" s="463">
        <f t="shared" si="623"/>
        <v>1.24</v>
      </c>
    </row>
    <row r="181" spans="1:53" ht="12.95" customHeight="1" x14ac:dyDescent="0.25">
      <c r="A181" s="299">
        <v>36</v>
      </c>
      <c r="B181" s="401">
        <v>2447</v>
      </c>
      <c r="C181" s="401">
        <v>600080111</v>
      </c>
      <c r="D181" s="300">
        <v>72744961</v>
      </c>
      <c r="E181" s="219" t="s">
        <v>540</v>
      </c>
      <c r="F181" s="406">
        <v>3117</v>
      </c>
      <c r="G181" s="342" t="s">
        <v>308</v>
      </c>
      <c r="H181" s="304" t="s">
        <v>278</v>
      </c>
      <c r="I181" s="462">
        <f t="shared" si="611"/>
        <v>0</v>
      </c>
      <c r="J181" s="457">
        <v>0</v>
      </c>
      <c r="K181" s="457">
        <f t="shared" ref="K181:K184" si="624">ROUND(J181*33.8%,0)</f>
        <v>0</v>
      </c>
      <c r="L181" s="457">
        <f t="shared" ref="L181:L184" si="625">ROUND(J181*1%,0)</f>
        <v>0</v>
      </c>
      <c r="M181" s="457">
        <v>0</v>
      </c>
      <c r="N181" s="458">
        <f t="shared" si="612"/>
        <v>0</v>
      </c>
      <c r="O181" s="459">
        <v>0</v>
      </c>
      <c r="P181" s="646">
        <v>0</v>
      </c>
      <c r="Q181" s="469">
        <f t="shared" si="613"/>
        <v>0</v>
      </c>
      <c r="R181" s="460">
        <v>0</v>
      </c>
      <c r="S181" s="673">
        <v>0</v>
      </c>
      <c r="T181" s="460">
        <v>0</v>
      </c>
      <c r="U181" s="460">
        <v>0</v>
      </c>
      <c r="V181" s="460">
        <f>SUM(Q181:U181)</f>
        <v>0</v>
      </c>
      <c r="W181" s="460">
        <v>0</v>
      </c>
      <c r="X181" s="460">
        <v>0</v>
      </c>
      <c r="Y181" s="460">
        <v>0</v>
      </c>
      <c r="Z181" s="460">
        <f t="shared" si="614"/>
        <v>0</v>
      </c>
      <c r="AA181" s="460">
        <f t="shared" si="615"/>
        <v>0</v>
      </c>
      <c r="AB181" s="69">
        <f t="shared" si="616"/>
        <v>0</v>
      </c>
      <c r="AC181" s="69">
        <f t="shared" si="617"/>
        <v>0</v>
      </c>
      <c r="AD181" s="460">
        <v>0</v>
      </c>
      <c r="AE181" s="460">
        <v>0</v>
      </c>
      <c r="AF181" s="460">
        <f t="shared" si="618"/>
        <v>0</v>
      </c>
      <c r="AG181" s="460">
        <f t="shared" si="619"/>
        <v>0</v>
      </c>
      <c r="AH181" s="461">
        <v>0</v>
      </c>
      <c r="AI181" s="461">
        <v>0</v>
      </c>
      <c r="AJ181" s="461">
        <v>0</v>
      </c>
      <c r="AK181" s="461">
        <v>0</v>
      </c>
      <c r="AL181" s="674">
        <v>0</v>
      </c>
      <c r="AM181" s="461">
        <v>0</v>
      </c>
      <c r="AN181" s="461">
        <v>0</v>
      </c>
      <c r="AO181" s="461">
        <v>0</v>
      </c>
      <c r="AP181" s="461">
        <f>AH181+AJ181+AK181+AM181+AN181</f>
        <v>0</v>
      </c>
      <c r="AQ181" s="461">
        <f>AI181+AL181+AO181</f>
        <v>0</v>
      </c>
      <c r="AR181" s="463">
        <f t="shared" si="620"/>
        <v>0</v>
      </c>
      <c r="AS181" s="469">
        <f>I181+AG181</f>
        <v>0</v>
      </c>
      <c r="AT181" s="460">
        <f>J181+V181</f>
        <v>0</v>
      </c>
      <c r="AU181" s="460">
        <f t="shared" si="621"/>
        <v>0</v>
      </c>
      <c r="AV181" s="460">
        <f t="shared" si="622"/>
        <v>0</v>
      </c>
      <c r="AW181" s="460">
        <f t="shared" si="622"/>
        <v>0</v>
      </c>
      <c r="AX181" s="460">
        <f>M181+AF181</f>
        <v>0</v>
      </c>
      <c r="AY181" s="461">
        <f>N181+AR181</f>
        <v>0</v>
      </c>
      <c r="AZ181" s="461">
        <f t="shared" si="623"/>
        <v>0</v>
      </c>
      <c r="BA181" s="463">
        <f t="shared" si="623"/>
        <v>0</v>
      </c>
    </row>
    <row r="182" spans="1:53" ht="12.95" customHeight="1" x14ac:dyDescent="0.25">
      <c r="A182" s="299">
        <v>36</v>
      </c>
      <c r="B182" s="220">
        <v>2447</v>
      </c>
      <c r="C182" s="220">
        <v>600080111</v>
      </c>
      <c r="D182" s="300">
        <v>72744961</v>
      </c>
      <c r="E182" s="396" t="s">
        <v>540</v>
      </c>
      <c r="F182" s="407">
        <v>3141</v>
      </c>
      <c r="G182" s="398" t="s">
        <v>311</v>
      </c>
      <c r="H182" s="304" t="s">
        <v>278</v>
      </c>
      <c r="I182" s="462">
        <f t="shared" si="611"/>
        <v>184798</v>
      </c>
      <c r="J182" s="457">
        <v>135955</v>
      </c>
      <c r="K182" s="457">
        <f t="shared" si="624"/>
        <v>45953</v>
      </c>
      <c r="L182" s="457">
        <f t="shared" si="625"/>
        <v>1360</v>
      </c>
      <c r="M182" s="457">
        <v>1530</v>
      </c>
      <c r="N182" s="458">
        <f t="shared" si="612"/>
        <v>0.44</v>
      </c>
      <c r="O182" s="459">
        <v>0</v>
      </c>
      <c r="P182" s="646">
        <v>0.44</v>
      </c>
      <c r="Q182" s="469">
        <f t="shared" si="613"/>
        <v>0</v>
      </c>
      <c r="R182" s="460">
        <v>0</v>
      </c>
      <c r="S182" s="673">
        <v>0</v>
      </c>
      <c r="T182" s="460">
        <v>0</v>
      </c>
      <c r="U182" s="460">
        <v>0</v>
      </c>
      <c r="V182" s="460">
        <f>SUM(Q182:U182)</f>
        <v>0</v>
      </c>
      <c r="W182" s="460">
        <v>0</v>
      </c>
      <c r="X182" s="460">
        <v>0</v>
      </c>
      <c r="Y182" s="460">
        <v>0</v>
      </c>
      <c r="Z182" s="460">
        <f t="shared" si="614"/>
        <v>0</v>
      </c>
      <c r="AA182" s="460">
        <f t="shared" si="615"/>
        <v>0</v>
      </c>
      <c r="AB182" s="69">
        <f t="shared" si="616"/>
        <v>0</v>
      </c>
      <c r="AC182" s="69">
        <f t="shared" si="617"/>
        <v>0</v>
      </c>
      <c r="AD182" s="460">
        <v>0</v>
      </c>
      <c r="AE182" s="460">
        <v>0</v>
      </c>
      <c r="AF182" s="460">
        <f t="shared" si="618"/>
        <v>0</v>
      </c>
      <c r="AG182" s="460">
        <f t="shared" si="619"/>
        <v>0</v>
      </c>
      <c r="AH182" s="461">
        <v>0</v>
      </c>
      <c r="AI182" s="461">
        <v>0</v>
      </c>
      <c r="AJ182" s="461">
        <v>0</v>
      </c>
      <c r="AK182" s="461">
        <v>0</v>
      </c>
      <c r="AL182" s="674">
        <v>0</v>
      </c>
      <c r="AM182" s="461">
        <v>0</v>
      </c>
      <c r="AN182" s="461">
        <v>0</v>
      </c>
      <c r="AO182" s="461">
        <v>0</v>
      </c>
      <c r="AP182" s="461">
        <f>AH182+AJ182+AK182+AM182+AN182</f>
        <v>0</v>
      </c>
      <c r="AQ182" s="461">
        <f>AI182+AL182+AO182</f>
        <v>0</v>
      </c>
      <c r="AR182" s="463">
        <f t="shared" si="620"/>
        <v>0</v>
      </c>
      <c r="AS182" s="469">
        <f>I182+AG182</f>
        <v>184798</v>
      </c>
      <c r="AT182" s="460">
        <f>J182+V182</f>
        <v>135955</v>
      </c>
      <c r="AU182" s="460">
        <f t="shared" si="621"/>
        <v>0</v>
      </c>
      <c r="AV182" s="460">
        <f t="shared" si="622"/>
        <v>45953</v>
      </c>
      <c r="AW182" s="460">
        <f t="shared" si="622"/>
        <v>1360</v>
      </c>
      <c r="AX182" s="460">
        <f>M182+AF182</f>
        <v>1530</v>
      </c>
      <c r="AY182" s="461">
        <f>N182+AR182</f>
        <v>0.44</v>
      </c>
      <c r="AZ182" s="461">
        <f t="shared" si="623"/>
        <v>0</v>
      </c>
      <c r="BA182" s="463">
        <f t="shared" si="623"/>
        <v>0.44</v>
      </c>
    </row>
    <row r="183" spans="1:53" ht="12.95" customHeight="1" x14ac:dyDescent="0.25">
      <c r="A183" s="299">
        <v>36</v>
      </c>
      <c r="B183" s="401">
        <v>2447</v>
      </c>
      <c r="C183" s="401">
        <v>600080111</v>
      </c>
      <c r="D183" s="300">
        <v>72744961</v>
      </c>
      <c r="E183" s="219" t="s">
        <v>540</v>
      </c>
      <c r="F183" s="401">
        <v>3143</v>
      </c>
      <c r="G183" s="342" t="s">
        <v>616</v>
      </c>
      <c r="H183" s="304" t="s">
        <v>277</v>
      </c>
      <c r="I183" s="462">
        <f t="shared" si="611"/>
        <v>956748</v>
      </c>
      <c r="J183" s="457">
        <v>709753</v>
      </c>
      <c r="K183" s="457">
        <f t="shared" si="624"/>
        <v>239897</v>
      </c>
      <c r="L183" s="457">
        <f t="shared" si="625"/>
        <v>7098</v>
      </c>
      <c r="M183" s="457">
        <v>0</v>
      </c>
      <c r="N183" s="458">
        <f t="shared" si="612"/>
        <v>1.5</v>
      </c>
      <c r="O183" s="459">
        <v>1.5</v>
      </c>
      <c r="P183" s="646">
        <v>0</v>
      </c>
      <c r="Q183" s="469">
        <f t="shared" si="613"/>
        <v>0</v>
      </c>
      <c r="R183" s="460">
        <v>0</v>
      </c>
      <c r="S183" s="673">
        <v>0</v>
      </c>
      <c r="T183" s="460">
        <v>0</v>
      </c>
      <c r="U183" s="460">
        <v>0</v>
      </c>
      <c r="V183" s="460">
        <f>SUM(Q183:U183)</f>
        <v>0</v>
      </c>
      <c r="W183" s="460">
        <v>0</v>
      </c>
      <c r="X183" s="460">
        <v>0</v>
      </c>
      <c r="Y183" s="460">
        <v>0</v>
      </c>
      <c r="Z183" s="460">
        <f t="shared" si="614"/>
        <v>0</v>
      </c>
      <c r="AA183" s="460">
        <f t="shared" si="615"/>
        <v>0</v>
      </c>
      <c r="AB183" s="69">
        <f t="shared" si="616"/>
        <v>0</v>
      </c>
      <c r="AC183" s="69">
        <f t="shared" si="617"/>
        <v>0</v>
      </c>
      <c r="AD183" s="460">
        <v>0</v>
      </c>
      <c r="AE183" s="460">
        <v>0</v>
      </c>
      <c r="AF183" s="460">
        <f t="shared" si="618"/>
        <v>0</v>
      </c>
      <c r="AG183" s="460">
        <f t="shared" si="619"/>
        <v>0</v>
      </c>
      <c r="AH183" s="461">
        <v>0</v>
      </c>
      <c r="AI183" s="461">
        <v>0</v>
      </c>
      <c r="AJ183" s="461">
        <v>0</v>
      </c>
      <c r="AK183" s="461">
        <v>0</v>
      </c>
      <c r="AL183" s="674">
        <v>0</v>
      </c>
      <c r="AM183" s="461">
        <v>0</v>
      </c>
      <c r="AN183" s="461">
        <v>0</v>
      </c>
      <c r="AO183" s="461">
        <v>0</v>
      </c>
      <c r="AP183" s="461">
        <f>AH183+AJ183+AK183+AM183+AN183</f>
        <v>0</v>
      </c>
      <c r="AQ183" s="461">
        <f>AI183+AL183+AO183</f>
        <v>0</v>
      </c>
      <c r="AR183" s="463">
        <f t="shared" si="620"/>
        <v>0</v>
      </c>
      <c r="AS183" s="469">
        <f>I183+AG183</f>
        <v>956748</v>
      </c>
      <c r="AT183" s="460">
        <f>J183+V183</f>
        <v>709753</v>
      </c>
      <c r="AU183" s="460">
        <f t="shared" si="621"/>
        <v>0</v>
      </c>
      <c r="AV183" s="460">
        <f t="shared" si="622"/>
        <v>239897</v>
      </c>
      <c r="AW183" s="460">
        <f t="shared" si="622"/>
        <v>7098</v>
      </c>
      <c r="AX183" s="460">
        <f>M183+AF183</f>
        <v>0</v>
      </c>
      <c r="AY183" s="461">
        <f>N183+AR183</f>
        <v>1.5</v>
      </c>
      <c r="AZ183" s="461">
        <f t="shared" si="623"/>
        <v>1.5</v>
      </c>
      <c r="BA183" s="463">
        <f t="shared" si="623"/>
        <v>0</v>
      </c>
    </row>
    <row r="184" spans="1:53" ht="12.95" customHeight="1" x14ac:dyDescent="0.25">
      <c r="A184" s="299">
        <v>36</v>
      </c>
      <c r="B184" s="401">
        <v>2447</v>
      </c>
      <c r="C184" s="401">
        <v>600080111</v>
      </c>
      <c r="D184" s="300">
        <v>72744961</v>
      </c>
      <c r="E184" s="219" t="s">
        <v>540</v>
      </c>
      <c r="F184" s="401">
        <v>3143</v>
      </c>
      <c r="G184" s="342" t="s">
        <v>617</v>
      </c>
      <c r="H184" s="304" t="s">
        <v>278</v>
      </c>
      <c r="I184" s="462">
        <f t="shared" si="611"/>
        <v>32985</v>
      </c>
      <c r="J184" s="457">
        <v>23568</v>
      </c>
      <c r="K184" s="457">
        <f t="shared" si="624"/>
        <v>7966</v>
      </c>
      <c r="L184" s="457">
        <f t="shared" si="625"/>
        <v>236</v>
      </c>
      <c r="M184" s="457">
        <v>1215</v>
      </c>
      <c r="N184" s="458">
        <f t="shared" si="612"/>
        <v>0.09</v>
      </c>
      <c r="O184" s="459">
        <v>0</v>
      </c>
      <c r="P184" s="646">
        <v>0.09</v>
      </c>
      <c r="Q184" s="469">
        <f t="shared" si="613"/>
        <v>0</v>
      </c>
      <c r="R184" s="460">
        <v>0</v>
      </c>
      <c r="S184" s="673">
        <v>0</v>
      </c>
      <c r="T184" s="460">
        <v>0</v>
      </c>
      <c r="U184" s="460">
        <v>0</v>
      </c>
      <c r="V184" s="460">
        <f>SUM(Q184:U184)</f>
        <v>0</v>
      </c>
      <c r="W184" s="460">
        <v>0</v>
      </c>
      <c r="X184" s="460">
        <v>0</v>
      </c>
      <c r="Y184" s="460">
        <v>0</v>
      </c>
      <c r="Z184" s="460">
        <f t="shared" si="614"/>
        <v>0</v>
      </c>
      <c r="AA184" s="460">
        <f t="shared" si="615"/>
        <v>0</v>
      </c>
      <c r="AB184" s="69">
        <f t="shared" si="616"/>
        <v>0</v>
      </c>
      <c r="AC184" s="69">
        <f t="shared" si="617"/>
        <v>0</v>
      </c>
      <c r="AD184" s="460">
        <v>0</v>
      </c>
      <c r="AE184" s="460">
        <v>0</v>
      </c>
      <c r="AF184" s="460">
        <f t="shared" si="618"/>
        <v>0</v>
      </c>
      <c r="AG184" s="460">
        <f t="shared" si="619"/>
        <v>0</v>
      </c>
      <c r="AH184" s="461">
        <v>0</v>
      </c>
      <c r="AI184" s="461">
        <v>0</v>
      </c>
      <c r="AJ184" s="461">
        <v>0</v>
      </c>
      <c r="AK184" s="461">
        <v>0</v>
      </c>
      <c r="AL184" s="674">
        <v>0</v>
      </c>
      <c r="AM184" s="461">
        <v>0</v>
      </c>
      <c r="AN184" s="461">
        <v>0</v>
      </c>
      <c r="AO184" s="461">
        <v>0</v>
      </c>
      <c r="AP184" s="461">
        <f>AH184+AJ184+AK184+AM184+AN184</f>
        <v>0</v>
      </c>
      <c r="AQ184" s="461">
        <f>AI184+AL184+AO184</f>
        <v>0</v>
      </c>
      <c r="AR184" s="463">
        <f t="shared" si="620"/>
        <v>0</v>
      </c>
      <c r="AS184" s="469">
        <f>I184+AG184</f>
        <v>32985</v>
      </c>
      <c r="AT184" s="460">
        <f>J184+V184</f>
        <v>23568</v>
      </c>
      <c r="AU184" s="460">
        <f t="shared" si="621"/>
        <v>0</v>
      </c>
      <c r="AV184" s="460">
        <f t="shared" si="622"/>
        <v>7966</v>
      </c>
      <c r="AW184" s="460">
        <f t="shared" si="622"/>
        <v>236</v>
      </c>
      <c r="AX184" s="460">
        <f>M184+AF184</f>
        <v>1215</v>
      </c>
      <c r="AY184" s="461">
        <f>N184+AR184</f>
        <v>0.09</v>
      </c>
      <c r="AZ184" s="461">
        <f t="shared" si="623"/>
        <v>0</v>
      </c>
      <c r="BA184" s="463">
        <f t="shared" si="623"/>
        <v>0.09</v>
      </c>
    </row>
    <row r="185" spans="1:53" ht="12.95" customHeight="1" x14ac:dyDescent="0.25">
      <c r="A185" s="222">
        <v>36</v>
      </c>
      <c r="B185" s="47">
        <v>2447</v>
      </c>
      <c r="C185" s="47">
        <v>600080111</v>
      </c>
      <c r="D185" s="47">
        <v>72744961</v>
      </c>
      <c r="E185" s="403" t="s">
        <v>541</v>
      </c>
      <c r="F185" s="47"/>
      <c r="G185" s="403"/>
      <c r="H185" s="187"/>
      <c r="I185" s="536">
        <f t="shared" ref="I185:P185" si="626">SUM(I180:I184)</f>
        <v>4949748</v>
      </c>
      <c r="J185" s="532">
        <f t="shared" si="626"/>
        <v>3616267</v>
      </c>
      <c r="K185" s="532">
        <f t="shared" si="626"/>
        <v>1222298</v>
      </c>
      <c r="L185" s="532">
        <f t="shared" si="626"/>
        <v>36163</v>
      </c>
      <c r="M185" s="532">
        <f t="shared" si="626"/>
        <v>75020</v>
      </c>
      <c r="N185" s="533">
        <f t="shared" si="626"/>
        <v>6.69</v>
      </c>
      <c r="O185" s="533">
        <f t="shared" si="626"/>
        <v>4.9000000000000004</v>
      </c>
      <c r="P185" s="298">
        <f t="shared" si="626"/>
        <v>1.79</v>
      </c>
      <c r="Q185" s="538">
        <f t="shared" ref="Q185:BA185" si="627">SUM(Q180:Q184)</f>
        <v>-19500</v>
      </c>
      <c r="R185" s="532">
        <f t="shared" si="627"/>
        <v>0</v>
      </c>
      <c r="S185" s="532">
        <f t="shared" si="627"/>
        <v>0</v>
      </c>
      <c r="T185" s="532">
        <f t="shared" si="627"/>
        <v>0</v>
      </c>
      <c r="U185" s="532">
        <f t="shared" si="627"/>
        <v>0</v>
      </c>
      <c r="V185" s="532">
        <f t="shared" si="627"/>
        <v>-19500</v>
      </c>
      <c r="W185" s="532">
        <f t="shared" si="627"/>
        <v>19500</v>
      </c>
      <c r="X185" s="532">
        <f t="shared" si="627"/>
        <v>0</v>
      </c>
      <c r="Y185" s="532">
        <f t="shared" si="627"/>
        <v>0</v>
      </c>
      <c r="Z185" s="532">
        <f t="shared" si="627"/>
        <v>19500</v>
      </c>
      <c r="AA185" s="532">
        <f t="shared" si="627"/>
        <v>0</v>
      </c>
      <c r="AB185" s="532">
        <f t="shared" si="627"/>
        <v>0</v>
      </c>
      <c r="AC185" s="532">
        <f t="shared" si="627"/>
        <v>-195</v>
      </c>
      <c r="AD185" s="532">
        <f t="shared" si="627"/>
        <v>0</v>
      </c>
      <c r="AE185" s="532">
        <f t="shared" si="627"/>
        <v>0</v>
      </c>
      <c r="AF185" s="532">
        <f t="shared" si="627"/>
        <v>0</v>
      </c>
      <c r="AG185" s="532">
        <f t="shared" si="627"/>
        <v>-195</v>
      </c>
      <c r="AH185" s="533">
        <f t="shared" si="627"/>
        <v>-0.01</v>
      </c>
      <c r="AI185" s="533">
        <f t="shared" si="627"/>
        <v>-0.02</v>
      </c>
      <c r="AJ185" s="533">
        <f t="shared" si="627"/>
        <v>0</v>
      </c>
      <c r="AK185" s="533">
        <f t="shared" si="627"/>
        <v>0</v>
      </c>
      <c r="AL185" s="533">
        <f t="shared" si="627"/>
        <v>0</v>
      </c>
      <c r="AM185" s="533">
        <f t="shared" si="627"/>
        <v>0</v>
      </c>
      <c r="AN185" s="533">
        <f t="shared" si="627"/>
        <v>0</v>
      </c>
      <c r="AO185" s="533">
        <f t="shared" si="627"/>
        <v>0</v>
      </c>
      <c r="AP185" s="533">
        <f t="shared" si="627"/>
        <v>-0.01</v>
      </c>
      <c r="AQ185" s="533">
        <f t="shared" si="627"/>
        <v>-0.02</v>
      </c>
      <c r="AR185" s="298">
        <f t="shared" si="627"/>
        <v>-0.03</v>
      </c>
      <c r="AS185" s="538">
        <f t="shared" si="627"/>
        <v>4949553</v>
      </c>
      <c r="AT185" s="532">
        <f t="shared" si="627"/>
        <v>3596767</v>
      </c>
      <c r="AU185" s="532">
        <f t="shared" si="627"/>
        <v>19500</v>
      </c>
      <c r="AV185" s="532">
        <f t="shared" si="627"/>
        <v>1222298</v>
      </c>
      <c r="AW185" s="532">
        <f t="shared" si="627"/>
        <v>35968</v>
      </c>
      <c r="AX185" s="532">
        <f t="shared" si="627"/>
        <v>75020</v>
      </c>
      <c r="AY185" s="533">
        <f t="shared" si="627"/>
        <v>6.66</v>
      </c>
      <c r="AZ185" s="533">
        <f t="shared" si="627"/>
        <v>4.8900000000000006</v>
      </c>
      <c r="BA185" s="298">
        <f t="shared" si="627"/>
        <v>1.77</v>
      </c>
    </row>
    <row r="186" spans="1:53" ht="12.95" customHeight="1" x14ac:dyDescent="0.25">
      <c r="A186" s="299">
        <v>37</v>
      </c>
      <c r="B186" s="220">
        <v>5455</v>
      </c>
      <c r="C186" s="220">
        <v>600099067</v>
      </c>
      <c r="D186" s="300">
        <v>70986088</v>
      </c>
      <c r="E186" s="396" t="s">
        <v>542</v>
      </c>
      <c r="F186" s="407">
        <v>3111</v>
      </c>
      <c r="G186" s="398" t="s">
        <v>321</v>
      </c>
      <c r="H186" s="304" t="s">
        <v>277</v>
      </c>
      <c r="I186" s="462">
        <f t="shared" ref="I186:I190" si="628">SUM(J186:M186)</f>
        <v>3000833</v>
      </c>
      <c r="J186" s="457">
        <v>2212710</v>
      </c>
      <c r="K186" s="457">
        <f>ROUND(J186*33.8%,0)-1</f>
        <v>747895</v>
      </c>
      <c r="L186" s="457">
        <f>ROUND(J186*1%,0)+1</f>
        <v>22128</v>
      </c>
      <c r="M186" s="457">
        <v>18100</v>
      </c>
      <c r="N186" s="458">
        <f t="shared" ref="N186:N190" si="629">O186+P186</f>
        <v>4.72</v>
      </c>
      <c r="O186" s="459">
        <v>4</v>
      </c>
      <c r="P186" s="646">
        <v>0.72</v>
      </c>
      <c r="Q186" s="469">
        <f t="shared" ref="Q186:Q190" si="630">W186*-1</f>
        <v>0</v>
      </c>
      <c r="R186" s="460">
        <v>0</v>
      </c>
      <c r="S186" s="673">
        <v>0</v>
      </c>
      <c r="T186" s="460">
        <v>0</v>
      </c>
      <c r="U186" s="460">
        <v>0</v>
      </c>
      <c r="V186" s="460">
        <f>SUM(Q186:U186)</f>
        <v>0</v>
      </c>
      <c r="W186" s="460">
        <v>0</v>
      </c>
      <c r="X186" s="460">
        <v>0</v>
      </c>
      <c r="Y186" s="460">
        <v>0</v>
      </c>
      <c r="Z186" s="460">
        <f t="shared" ref="Z186:Z190" si="631">SUM(W186:Y186)</f>
        <v>0</v>
      </c>
      <c r="AA186" s="460">
        <f t="shared" ref="AA186:AA190" si="632">V186+Z186</f>
        <v>0</v>
      </c>
      <c r="AB186" s="69">
        <f t="shared" ref="AB186:AB190" si="633">ROUND((V186+W186+X186)*33.8%,0)</f>
        <v>0</v>
      </c>
      <c r="AC186" s="69">
        <f t="shared" ref="AC186:AC190" si="634">ROUND(V186*1%,0)</f>
        <v>0</v>
      </c>
      <c r="AD186" s="460">
        <v>0</v>
      </c>
      <c r="AE186" s="460">
        <v>0</v>
      </c>
      <c r="AF186" s="460">
        <f t="shared" ref="AF186:AF190" si="635">SUM(AD186:AE186)</f>
        <v>0</v>
      </c>
      <c r="AG186" s="460">
        <f t="shared" ref="AG186:AG190" si="636">AA186+AB186+AC186+AF186</f>
        <v>0</v>
      </c>
      <c r="AH186" s="461">
        <v>0</v>
      </c>
      <c r="AI186" s="461">
        <v>0</v>
      </c>
      <c r="AJ186" s="461">
        <v>0</v>
      </c>
      <c r="AK186" s="461">
        <v>0</v>
      </c>
      <c r="AL186" s="674">
        <v>0</v>
      </c>
      <c r="AM186" s="461">
        <v>0</v>
      </c>
      <c r="AN186" s="461">
        <v>0</v>
      </c>
      <c r="AO186" s="461">
        <v>0</v>
      </c>
      <c r="AP186" s="461">
        <f>AH186+AJ186+AK186+AM186+AN186</f>
        <v>0</v>
      </c>
      <c r="AQ186" s="461">
        <f>AI186+AL186+AO186</f>
        <v>0</v>
      </c>
      <c r="AR186" s="463">
        <f t="shared" ref="AR186:AR190" si="637">SUM(AP186:AQ186)</f>
        <v>0</v>
      </c>
      <c r="AS186" s="469">
        <f>I186+AG186</f>
        <v>3000833</v>
      </c>
      <c r="AT186" s="460">
        <f>J186+V186</f>
        <v>2212710</v>
      </c>
      <c r="AU186" s="460">
        <f t="shared" ref="AU186:AU190" si="638">Z186</f>
        <v>0</v>
      </c>
      <c r="AV186" s="460">
        <f t="shared" ref="AV186:AW190" si="639">K186+AB186</f>
        <v>747895</v>
      </c>
      <c r="AW186" s="460">
        <f t="shared" si="639"/>
        <v>22128</v>
      </c>
      <c r="AX186" s="460">
        <f>M186+AF186</f>
        <v>18100</v>
      </c>
      <c r="AY186" s="461">
        <f>N186+AR186</f>
        <v>4.72</v>
      </c>
      <c r="AZ186" s="461">
        <f t="shared" ref="AZ186:BA190" si="640">O186+AP186</f>
        <v>4</v>
      </c>
      <c r="BA186" s="463">
        <f t="shared" si="640"/>
        <v>0.72</v>
      </c>
    </row>
    <row r="187" spans="1:53" ht="12.95" customHeight="1" x14ac:dyDescent="0.25">
      <c r="A187" s="299">
        <v>37</v>
      </c>
      <c r="B187" s="406">
        <v>5455</v>
      </c>
      <c r="C187" s="406">
        <v>600099067</v>
      </c>
      <c r="D187" s="300">
        <v>70986088</v>
      </c>
      <c r="E187" s="414" t="s">
        <v>542</v>
      </c>
      <c r="F187" s="406">
        <v>3117</v>
      </c>
      <c r="G187" s="397" t="s">
        <v>325</v>
      </c>
      <c r="H187" s="304" t="s">
        <v>277</v>
      </c>
      <c r="I187" s="462">
        <f t="shared" si="628"/>
        <v>3098440</v>
      </c>
      <c r="J187" s="457">
        <v>2262437</v>
      </c>
      <c r="K187" s="457">
        <f t="shared" ref="K187:K190" si="641">ROUND(J187*33.8%,0)</f>
        <v>764704</v>
      </c>
      <c r="L187" s="457">
        <f t="shared" ref="L187:L190" si="642">ROUND(J187*1%,0)</f>
        <v>22624</v>
      </c>
      <c r="M187" s="457">
        <v>48675</v>
      </c>
      <c r="N187" s="458">
        <f t="shared" si="629"/>
        <v>3.6036000000000001</v>
      </c>
      <c r="O187" s="459">
        <v>2.3635999999999999</v>
      </c>
      <c r="P187" s="646">
        <v>1.24</v>
      </c>
      <c r="Q187" s="469">
        <f t="shared" si="630"/>
        <v>0</v>
      </c>
      <c r="R187" s="460">
        <v>0</v>
      </c>
      <c r="S187" s="673">
        <v>0</v>
      </c>
      <c r="T187" s="460">
        <v>0</v>
      </c>
      <c r="U187" s="460">
        <v>0</v>
      </c>
      <c r="V187" s="460">
        <f>SUM(Q187:U187)</f>
        <v>0</v>
      </c>
      <c r="W187" s="460">
        <v>0</v>
      </c>
      <c r="X187" s="460">
        <v>0</v>
      </c>
      <c r="Y187" s="460">
        <v>0</v>
      </c>
      <c r="Z187" s="460">
        <f t="shared" si="631"/>
        <v>0</v>
      </c>
      <c r="AA187" s="460">
        <f t="shared" si="632"/>
        <v>0</v>
      </c>
      <c r="AB187" s="69">
        <f t="shared" si="633"/>
        <v>0</v>
      </c>
      <c r="AC187" s="69">
        <f t="shared" si="634"/>
        <v>0</v>
      </c>
      <c r="AD187" s="460">
        <v>0</v>
      </c>
      <c r="AE187" s="460">
        <v>0</v>
      </c>
      <c r="AF187" s="460">
        <f t="shared" si="635"/>
        <v>0</v>
      </c>
      <c r="AG187" s="460">
        <f t="shared" si="636"/>
        <v>0</v>
      </c>
      <c r="AH187" s="461">
        <v>0</v>
      </c>
      <c r="AI187" s="461">
        <v>0</v>
      </c>
      <c r="AJ187" s="461">
        <v>0</v>
      </c>
      <c r="AK187" s="461">
        <v>0</v>
      </c>
      <c r="AL187" s="674">
        <v>0</v>
      </c>
      <c r="AM187" s="461">
        <v>0</v>
      </c>
      <c r="AN187" s="461">
        <v>0</v>
      </c>
      <c r="AO187" s="461">
        <v>0</v>
      </c>
      <c r="AP187" s="461">
        <f>AH187+AJ187+AK187+AM187+AN187</f>
        <v>0</v>
      </c>
      <c r="AQ187" s="461">
        <f>AI187+AL187+AO187</f>
        <v>0</v>
      </c>
      <c r="AR187" s="463">
        <f t="shared" si="637"/>
        <v>0</v>
      </c>
      <c r="AS187" s="469">
        <f>I187+AG187</f>
        <v>3098440</v>
      </c>
      <c r="AT187" s="460">
        <f>J187+V187</f>
        <v>2262437</v>
      </c>
      <c r="AU187" s="460">
        <f t="shared" si="638"/>
        <v>0</v>
      </c>
      <c r="AV187" s="460">
        <f t="shared" si="639"/>
        <v>764704</v>
      </c>
      <c r="AW187" s="460">
        <f t="shared" si="639"/>
        <v>22624</v>
      </c>
      <c r="AX187" s="460">
        <f>M187+AF187</f>
        <v>48675</v>
      </c>
      <c r="AY187" s="461">
        <f>N187+AR187</f>
        <v>3.6036000000000001</v>
      </c>
      <c r="AZ187" s="461">
        <f t="shared" si="640"/>
        <v>2.3635999999999999</v>
      </c>
      <c r="BA187" s="463">
        <f t="shared" si="640"/>
        <v>1.24</v>
      </c>
    </row>
    <row r="188" spans="1:53" ht="12.95" customHeight="1" x14ac:dyDescent="0.25">
      <c r="A188" s="299">
        <v>37</v>
      </c>
      <c r="B188" s="220">
        <v>5455</v>
      </c>
      <c r="C188" s="220">
        <v>600099067</v>
      </c>
      <c r="D188" s="300">
        <v>70986088</v>
      </c>
      <c r="E188" s="397" t="s">
        <v>542</v>
      </c>
      <c r="F188" s="220">
        <v>3141</v>
      </c>
      <c r="G188" s="398" t="s">
        <v>311</v>
      </c>
      <c r="H188" s="304" t="s">
        <v>278</v>
      </c>
      <c r="I188" s="462">
        <f t="shared" si="628"/>
        <v>849920</v>
      </c>
      <c r="J188" s="457">
        <v>627997</v>
      </c>
      <c r="K188" s="457">
        <f t="shared" si="641"/>
        <v>212263</v>
      </c>
      <c r="L188" s="457">
        <f t="shared" si="642"/>
        <v>6280</v>
      </c>
      <c r="M188" s="457">
        <v>3380</v>
      </c>
      <c r="N188" s="458">
        <f t="shared" si="629"/>
        <v>2.02</v>
      </c>
      <c r="O188" s="459">
        <v>0</v>
      </c>
      <c r="P188" s="646">
        <v>2.02</v>
      </c>
      <c r="Q188" s="469">
        <f t="shared" si="630"/>
        <v>0</v>
      </c>
      <c r="R188" s="460">
        <v>0</v>
      </c>
      <c r="S188" s="673">
        <v>0</v>
      </c>
      <c r="T188" s="460">
        <v>0</v>
      </c>
      <c r="U188" s="460">
        <v>0</v>
      </c>
      <c r="V188" s="460">
        <f>SUM(Q188:U188)</f>
        <v>0</v>
      </c>
      <c r="W188" s="460">
        <v>0</v>
      </c>
      <c r="X188" s="460">
        <v>0</v>
      </c>
      <c r="Y188" s="460">
        <v>0</v>
      </c>
      <c r="Z188" s="460">
        <f t="shared" si="631"/>
        <v>0</v>
      </c>
      <c r="AA188" s="460">
        <f t="shared" si="632"/>
        <v>0</v>
      </c>
      <c r="AB188" s="69">
        <f t="shared" si="633"/>
        <v>0</v>
      </c>
      <c r="AC188" s="69">
        <f t="shared" si="634"/>
        <v>0</v>
      </c>
      <c r="AD188" s="460">
        <v>0</v>
      </c>
      <c r="AE188" s="460">
        <v>0</v>
      </c>
      <c r="AF188" s="460">
        <f t="shared" si="635"/>
        <v>0</v>
      </c>
      <c r="AG188" s="460">
        <f t="shared" si="636"/>
        <v>0</v>
      </c>
      <c r="AH188" s="461">
        <v>0</v>
      </c>
      <c r="AI188" s="461">
        <v>0</v>
      </c>
      <c r="AJ188" s="461">
        <v>0</v>
      </c>
      <c r="AK188" s="461">
        <v>0</v>
      </c>
      <c r="AL188" s="674">
        <v>0</v>
      </c>
      <c r="AM188" s="461">
        <v>0</v>
      </c>
      <c r="AN188" s="461">
        <v>0</v>
      </c>
      <c r="AO188" s="461">
        <v>0</v>
      </c>
      <c r="AP188" s="461">
        <f>AH188+AJ188+AK188+AM188+AN188</f>
        <v>0</v>
      </c>
      <c r="AQ188" s="461">
        <f>AI188+AL188+AO188</f>
        <v>0</v>
      </c>
      <c r="AR188" s="463">
        <f t="shared" si="637"/>
        <v>0</v>
      </c>
      <c r="AS188" s="469">
        <f>I188+AG188</f>
        <v>849920</v>
      </c>
      <c r="AT188" s="460">
        <f>J188+V188</f>
        <v>627997</v>
      </c>
      <c r="AU188" s="460">
        <f t="shared" si="638"/>
        <v>0</v>
      </c>
      <c r="AV188" s="460">
        <f t="shared" si="639"/>
        <v>212263</v>
      </c>
      <c r="AW188" s="460">
        <f t="shared" si="639"/>
        <v>6280</v>
      </c>
      <c r="AX188" s="460">
        <f>M188+AF188</f>
        <v>3380</v>
      </c>
      <c r="AY188" s="461">
        <f>N188+AR188</f>
        <v>2.02</v>
      </c>
      <c r="AZ188" s="461">
        <f t="shared" si="640"/>
        <v>0</v>
      </c>
      <c r="BA188" s="463">
        <f t="shared" si="640"/>
        <v>2.02</v>
      </c>
    </row>
    <row r="189" spans="1:53" ht="12.95" customHeight="1" x14ac:dyDescent="0.25">
      <c r="A189" s="299">
        <v>37</v>
      </c>
      <c r="B189" s="220">
        <v>5455</v>
      </c>
      <c r="C189" s="220">
        <v>600099067</v>
      </c>
      <c r="D189" s="300">
        <v>70986088</v>
      </c>
      <c r="E189" s="396" t="s">
        <v>542</v>
      </c>
      <c r="F189" s="407">
        <v>3143</v>
      </c>
      <c r="G189" s="342" t="s">
        <v>616</v>
      </c>
      <c r="H189" s="304" t="s">
        <v>277</v>
      </c>
      <c r="I189" s="462">
        <f t="shared" si="628"/>
        <v>463998</v>
      </c>
      <c r="J189" s="457">
        <v>344212</v>
      </c>
      <c r="K189" s="457">
        <f t="shared" si="641"/>
        <v>116344</v>
      </c>
      <c r="L189" s="457">
        <f t="shared" si="642"/>
        <v>3442</v>
      </c>
      <c r="M189" s="457">
        <v>0</v>
      </c>
      <c r="N189" s="458">
        <f t="shared" si="629"/>
        <v>0.67800000000000005</v>
      </c>
      <c r="O189" s="459">
        <v>0.67800000000000005</v>
      </c>
      <c r="P189" s="646">
        <v>0</v>
      </c>
      <c r="Q189" s="469">
        <f t="shared" si="630"/>
        <v>0</v>
      </c>
      <c r="R189" s="460">
        <v>0</v>
      </c>
      <c r="S189" s="673">
        <v>0</v>
      </c>
      <c r="T189" s="460">
        <v>0</v>
      </c>
      <c r="U189" s="460">
        <v>0</v>
      </c>
      <c r="V189" s="460">
        <f>SUM(Q189:U189)</f>
        <v>0</v>
      </c>
      <c r="W189" s="460">
        <v>0</v>
      </c>
      <c r="X189" s="460">
        <v>0</v>
      </c>
      <c r="Y189" s="460">
        <v>0</v>
      </c>
      <c r="Z189" s="460">
        <f t="shared" si="631"/>
        <v>0</v>
      </c>
      <c r="AA189" s="460">
        <f t="shared" si="632"/>
        <v>0</v>
      </c>
      <c r="AB189" s="69">
        <f t="shared" si="633"/>
        <v>0</v>
      </c>
      <c r="AC189" s="69">
        <f t="shared" si="634"/>
        <v>0</v>
      </c>
      <c r="AD189" s="460">
        <v>0</v>
      </c>
      <c r="AE189" s="460">
        <v>0</v>
      </c>
      <c r="AF189" s="460">
        <f t="shared" si="635"/>
        <v>0</v>
      </c>
      <c r="AG189" s="460">
        <f t="shared" si="636"/>
        <v>0</v>
      </c>
      <c r="AH189" s="461">
        <v>0</v>
      </c>
      <c r="AI189" s="461">
        <v>0</v>
      </c>
      <c r="AJ189" s="461">
        <v>0</v>
      </c>
      <c r="AK189" s="461">
        <v>0</v>
      </c>
      <c r="AL189" s="674">
        <v>0</v>
      </c>
      <c r="AM189" s="461">
        <v>0</v>
      </c>
      <c r="AN189" s="461">
        <v>0</v>
      </c>
      <c r="AO189" s="461">
        <v>0</v>
      </c>
      <c r="AP189" s="461">
        <f>AH189+AJ189+AK189+AM189+AN189</f>
        <v>0</v>
      </c>
      <c r="AQ189" s="461">
        <f>AI189+AL189+AO189</f>
        <v>0</v>
      </c>
      <c r="AR189" s="463">
        <f t="shared" si="637"/>
        <v>0</v>
      </c>
      <c r="AS189" s="469">
        <f>I189+AG189</f>
        <v>463998</v>
      </c>
      <c r="AT189" s="460">
        <f>J189+V189</f>
        <v>344212</v>
      </c>
      <c r="AU189" s="460">
        <f t="shared" si="638"/>
        <v>0</v>
      </c>
      <c r="AV189" s="460">
        <f t="shared" si="639"/>
        <v>116344</v>
      </c>
      <c r="AW189" s="460">
        <f t="shared" si="639"/>
        <v>3442</v>
      </c>
      <c r="AX189" s="460">
        <f>M189+AF189</f>
        <v>0</v>
      </c>
      <c r="AY189" s="461">
        <f>N189+AR189</f>
        <v>0.67800000000000005</v>
      </c>
      <c r="AZ189" s="461">
        <f t="shared" si="640"/>
        <v>0.67800000000000005</v>
      </c>
      <c r="BA189" s="463">
        <f t="shared" si="640"/>
        <v>0</v>
      </c>
    </row>
    <row r="190" spans="1:53" ht="12.95" customHeight="1" x14ac:dyDescent="0.25">
      <c r="A190" s="299">
        <v>37</v>
      </c>
      <c r="B190" s="220">
        <v>5455</v>
      </c>
      <c r="C190" s="220">
        <v>600099067</v>
      </c>
      <c r="D190" s="300">
        <v>70986088</v>
      </c>
      <c r="E190" s="396" t="s">
        <v>542</v>
      </c>
      <c r="F190" s="407">
        <v>3143</v>
      </c>
      <c r="G190" s="342" t="s">
        <v>617</v>
      </c>
      <c r="H190" s="304" t="s">
        <v>278</v>
      </c>
      <c r="I190" s="462">
        <f t="shared" si="628"/>
        <v>19058</v>
      </c>
      <c r="J190" s="457">
        <v>13617</v>
      </c>
      <c r="K190" s="457">
        <f t="shared" si="641"/>
        <v>4603</v>
      </c>
      <c r="L190" s="457">
        <f t="shared" si="642"/>
        <v>136</v>
      </c>
      <c r="M190" s="457">
        <v>702</v>
      </c>
      <c r="N190" s="458">
        <f t="shared" si="629"/>
        <v>0.05</v>
      </c>
      <c r="O190" s="459">
        <v>0</v>
      </c>
      <c r="P190" s="646">
        <v>0.05</v>
      </c>
      <c r="Q190" s="469">
        <f t="shared" si="630"/>
        <v>0</v>
      </c>
      <c r="R190" s="460">
        <v>0</v>
      </c>
      <c r="S190" s="673">
        <v>0</v>
      </c>
      <c r="T190" s="460">
        <v>0</v>
      </c>
      <c r="U190" s="460">
        <v>0</v>
      </c>
      <c r="V190" s="460">
        <f>SUM(Q190:U190)</f>
        <v>0</v>
      </c>
      <c r="W190" s="460">
        <v>0</v>
      </c>
      <c r="X190" s="460">
        <v>0</v>
      </c>
      <c r="Y190" s="460">
        <v>0</v>
      </c>
      <c r="Z190" s="460">
        <f t="shared" si="631"/>
        <v>0</v>
      </c>
      <c r="AA190" s="460">
        <f t="shared" si="632"/>
        <v>0</v>
      </c>
      <c r="AB190" s="69">
        <f t="shared" si="633"/>
        <v>0</v>
      </c>
      <c r="AC190" s="69">
        <f t="shared" si="634"/>
        <v>0</v>
      </c>
      <c r="AD190" s="460">
        <v>0</v>
      </c>
      <c r="AE190" s="460">
        <v>0</v>
      </c>
      <c r="AF190" s="460">
        <f t="shared" si="635"/>
        <v>0</v>
      </c>
      <c r="AG190" s="460">
        <f t="shared" si="636"/>
        <v>0</v>
      </c>
      <c r="AH190" s="461">
        <v>0</v>
      </c>
      <c r="AI190" s="461">
        <v>0</v>
      </c>
      <c r="AJ190" s="461">
        <v>0</v>
      </c>
      <c r="AK190" s="461">
        <v>0</v>
      </c>
      <c r="AL190" s="674">
        <v>0</v>
      </c>
      <c r="AM190" s="461">
        <v>0</v>
      </c>
      <c r="AN190" s="461">
        <v>0</v>
      </c>
      <c r="AO190" s="461">
        <v>0</v>
      </c>
      <c r="AP190" s="461">
        <f>AH190+AJ190+AK190+AM190+AN190</f>
        <v>0</v>
      </c>
      <c r="AQ190" s="461">
        <f>AI190+AL190+AO190</f>
        <v>0</v>
      </c>
      <c r="AR190" s="463">
        <f t="shared" si="637"/>
        <v>0</v>
      </c>
      <c r="AS190" s="469">
        <f>I190+AG190</f>
        <v>19058</v>
      </c>
      <c r="AT190" s="460">
        <f>J190+V190</f>
        <v>13617</v>
      </c>
      <c r="AU190" s="460">
        <f t="shared" si="638"/>
        <v>0</v>
      </c>
      <c r="AV190" s="460">
        <f t="shared" si="639"/>
        <v>4603</v>
      </c>
      <c r="AW190" s="460">
        <f t="shared" si="639"/>
        <v>136</v>
      </c>
      <c r="AX190" s="460">
        <f>M190+AF190</f>
        <v>702</v>
      </c>
      <c r="AY190" s="461">
        <f>N190+AR190</f>
        <v>0.05</v>
      </c>
      <c r="AZ190" s="461">
        <f t="shared" si="640"/>
        <v>0</v>
      </c>
      <c r="BA190" s="463">
        <f t="shared" si="640"/>
        <v>0.05</v>
      </c>
    </row>
    <row r="191" spans="1:53" ht="12.95" customHeight="1" x14ac:dyDescent="0.25">
      <c r="A191" s="222">
        <v>37</v>
      </c>
      <c r="B191" s="46">
        <v>5455</v>
      </c>
      <c r="C191" s="46">
        <v>600099067</v>
      </c>
      <c r="D191" s="46">
        <v>70986088</v>
      </c>
      <c r="E191" s="408" t="s">
        <v>543</v>
      </c>
      <c r="F191" s="409"/>
      <c r="G191" s="408"/>
      <c r="H191" s="410"/>
      <c r="I191" s="575">
        <f t="shared" ref="I191:P191" si="643">SUM(I186:I190)</f>
        <v>7432249</v>
      </c>
      <c r="J191" s="571">
        <f t="shared" si="643"/>
        <v>5460973</v>
      </c>
      <c r="K191" s="571">
        <f t="shared" si="643"/>
        <v>1845809</v>
      </c>
      <c r="L191" s="571">
        <f t="shared" si="643"/>
        <v>54610</v>
      </c>
      <c r="M191" s="571">
        <f t="shared" si="643"/>
        <v>70857</v>
      </c>
      <c r="N191" s="572">
        <f t="shared" si="643"/>
        <v>11.0716</v>
      </c>
      <c r="O191" s="572">
        <f t="shared" si="643"/>
        <v>7.0415999999999999</v>
      </c>
      <c r="P191" s="400">
        <f t="shared" si="643"/>
        <v>4.03</v>
      </c>
      <c r="Q191" s="577">
        <f t="shared" ref="Q191:BA191" si="644">SUM(Q186:Q190)</f>
        <v>0</v>
      </c>
      <c r="R191" s="571">
        <f t="shared" si="644"/>
        <v>0</v>
      </c>
      <c r="S191" s="571">
        <f t="shared" si="644"/>
        <v>0</v>
      </c>
      <c r="T191" s="571">
        <f t="shared" si="644"/>
        <v>0</v>
      </c>
      <c r="U191" s="571">
        <f t="shared" si="644"/>
        <v>0</v>
      </c>
      <c r="V191" s="571">
        <f t="shared" si="644"/>
        <v>0</v>
      </c>
      <c r="W191" s="571">
        <f t="shared" si="644"/>
        <v>0</v>
      </c>
      <c r="X191" s="571">
        <f t="shared" si="644"/>
        <v>0</v>
      </c>
      <c r="Y191" s="571">
        <f t="shared" si="644"/>
        <v>0</v>
      </c>
      <c r="Z191" s="571">
        <f t="shared" si="644"/>
        <v>0</v>
      </c>
      <c r="AA191" s="571">
        <f t="shared" si="644"/>
        <v>0</v>
      </c>
      <c r="AB191" s="571">
        <f t="shared" si="644"/>
        <v>0</v>
      </c>
      <c r="AC191" s="571">
        <f t="shared" si="644"/>
        <v>0</v>
      </c>
      <c r="AD191" s="571">
        <f t="shared" si="644"/>
        <v>0</v>
      </c>
      <c r="AE191" s="571">
        <f t="shared" si="644"/>
        <v>0</v>
      </c>
      <c r="AF191" s="571">
        <f t="shared" si="644"/>
        <v>0</v>
      </c>
      <c r="AG191" s="571">
        <f t="shared" si="644"/>
        <v>0</v>
      </c>
      <c r="AH191" s="572">
        <f t="shared" si="644"/>
        <v>0</v>
      </c>
      <c r="AI191" s="572">
        <f t="shared" si="644"/>
        <v>0</v>
      </c>
      <c r="AJ191" s="572">
        <f t="shared" si="644"/>
        <v>0</v>
      </c>
      <c r="AK191" s="572">
        <f t="shared" si="644"/>
        <v>0</v>
      </c>
      <c r="AL191" s="572">
        <f t="shared" si="644"/>
        <v>0</v>
      </c>
      <c r="AM191" s="572">
        <f t="shared" si="644"/>
        <v>0</v>
      </c>
      <c r="AN191" s="572">
        <f t="shared" si="644"/>
        <v>0</v>
      </c>
      <c r="AO191" s="572">
        <f t="shared" si="644"/>
        <v>0</v>
      </c>
      <c r="AP191" s="572">
        <f t="shared" si="644"/>
        <v>0</v>
      </c>
      <c r="AQ191" s="572">
        <f t="shared" si="644"/>
        <v>0</v>
      </c>
      <c r="AR191" s="400">
        <f t="shared" si="644"/>
        <v>0</v>
      </c>
      <c r="AS191" s="577">
        <f t="shared" si="644"/>
        <v>7432249</v>
      </c>
      <c r="AT191" s="571">
        <f t="shared" si="644"/>
        <v>5460973</v>
      </c>
      <c r="AU191" s="571">
        <f t="shared" si="644"/>
        <v>0</v>
      </c>
      <c r="AV191" s="571">
        <f t="shared" si="644"/>
        <v>1845809</v>
      </c>
      <c r="AW191" s="571">
        <f t="shared" si="644"/>
        <v>54610</v>
      </c>
      <c r="AX191" s="571">
        <f t="shared" si="644"/>
        <v>70857</v>
      </c>
      <c r="AY191" s="572">
        <f t="shared" si="644"/>
        <v>11.0716</v>
      </c>
      <c r="AZ191" s="572">
        <f t="shared" si="644"/>
        <v>7.0415999999999999</v>
      </c>
      <c r="BA191" s="400">
        <f t="shared" si="644"/>
        <v>4.03</v>
      </c>
    </row>
    <row r="192" spans="1:53" ht="12.95" customHeight="1" x14ac:dyDescent="0.25">
      <c r="A192" s="299">
        <v>38</v>
      </c>
      <c r="B192" s="220">
        <v>5470</v>
      </c>
      <c r="C192" s="220">
        <v>600099091</v>
      </c>
      <c r="D192" s="300">
        <v>70695822</v>
      </c>
      <c r="E192" s="397" t="s">
        <v>544</v>
      </c>
      <c r="F192" s="220">
        <v>3111</v>
      </c>
      <c r="G192" s="398" t="s">
        <v>321</v>
      </c>
      <c r="H192" s="304" t="s">
        <v>277</v>
      </c>
      <c r="I192" s="462">
        <f t="shared" ref="I192:I197" si="645">SUM(J192:M192)</f>
        <v>2737594</v>
      </c>
      <c r="J192" s="457">
        <v>2023142</v>
      </c>
      <c r="K192" s="457">
        <f>ROUND(J192*33.8%,0)-1</f>
        <v>683821</v>
      </c>
      <c r="L192" s="457">
        <f t="shared" ref="L192:L197" si="646">ROUND(J192*1%,0)</f>
        <v>20231</v>
      </c>
      <c r="M192" s="457">
        <v>10400</v>
      </c>
      <c r="N192" s="458">
        <f t="shared" ref="N192:N197" si="647">O192+P192</f>
        <v>4.5265000000000004</v>
      </c>
      <c r="O192" s="459">
        <v>3.8065000000000002</v>
      </c>
      <c r="P192" s="646">
        <v>0.72</v>
      </c>
      <c r="Q192" s="469">
        <f t="shared" ref="Q192:Q197" si="648">W192*-1</f>
        <v>0</v>
      </c>
      <c r="R192" s="460">
        <v>0</v>
      </c>
      <c r="S192" s="673">
        <v>0</v>
      </c>
      <c r="T192" s="460">
        <v>0</v>
      </c>
      <c r="U192" s="460">
        <v>0</v>
      </c>
      <c r="V192" s="460">
        <f t="shared" ref="V192:V197" si="649">SUM(Q192:U192)</f>
        <v>0</v>
      </c>
      <c r="W192" s="460">
        <v>0</v>
      </c>
      <c r="X192" s="460">
        <v>0</v>
      </c>
      <c r="Y192" s="460">
        <v>0</v>
      </c>
      <c r="Z192" s="460">
        <f t="shared" ref="Z192:Z197" si="650">SUM(W192:Y192)</f>
        <v>0</v>
      </c>
      <c r="AA192" s="460">
        <f t="shared" ref="AA192:AA197" si="651">V192+Z192</f>
        <v>0</v>
      </c>
      <c r="AB192" s="69">
        <f t="shared" ref="AB192:AB197" si="652">ROUND((V192+W192+X192)*33.8%,0)</f>
        <v>0</v>
      </c>
      <c r="AC192" s="69">
        <f t="shared" ref="AC192:AC197" si="653">ROUND(V192*1%,0)</f>
        <v>0</v>
      </c>
      <c r="AD192" s="460">
        <v>0</v>
      </c>
      <c r="AE192" s="460">
        <v>0</v>
      </c>
      <c r="AF192" s="460">
        <f t="shared" ref="AF192:AF197" si="654">SUM(AD192:AE192)</f>
        <v>0</v>
      </c>
      <c r="AG192" s="460">
        <f t="shared" ref="AG192:AG197" si="655">AA192+AB192+AC192+AF192</f>
        <v>0</v>
      </c>
      <c r="AH192" s="461">
        <v>0</v>
      </c>
      <c r="AI192" s="461">
        <v>0</v>
      </c>
      <c r="AJ192" s="461">
        <v>0</v>
      </c>
      <c r="AK192" s="461">
        <v>0</v>
      </c>
      <c r="AL192" s="674">
        <v>0</v>
      </c>
      <c r="AM192" s="461">
        <v>0</v>
      </c>
      <c r="AN192" s="461">
        <v>0</v>
      </c>
      <c r="AO192" s="461">
        <v>0</v>
      </c>
      <c r="AP192" s="461">
        <f t="shared" ref="AP192:AP197" si="656">AH192+AJ192+AK192+AM192+AN192</f>
        <v>0</v>
      </c>
      <c r="AQ192" s="461">
        <f t="shared" ref="AQ192:AQ197" si="657">AI192+AL192+AO192</f>
        <v>0</v>
      </c>
      <c r="AR192" s="463">
        <f t="shared" ref="AR192:AR197" si="658">SUM(AP192:AQ192)</f>
        <v>0</v>
      </c>
      <c r="AS192" s="469">
        <f t="shared" ref="AS192:AS197" si="659">I192+AG192</f>
        <v>2737594</v>
      </c>
      <c r="AT192" s="460">
        <f t="shared" ref="AT192:AT197" si="660">J192+V192</f>
        <v>2023142</v>
      </c>
      <c r="AU192" s="460">
        <f t="shared" ref="AU192:AU197" si="661">Z192</f>
        <v>0</v>
      </c>
      <c r="AV192" s="460">
        <f t="shared" ref="AV192:AW197" si="662">K192+AB192</f>
        <v>683821</v>
      </c>
      <c r="AW192" s="460">
        <f t="shared" si="662"/>
        <v>20231</v>
      </c>
      <c r="AX192" s="460">
        <f t="shared" ref="AX192:AX197" si="663">M192+AF192</f>
        <v>10400</v>
      </c>
      <c r="AY192" s="461">
        <f t="shared" ref="AY192:AY197" si="664">N192+AR192</f>
        <v>4.5265000000000004</v>
      </c>
      <c r="AZ192" s="461">
        <f t="shared" ref="AZ192:BA197" si="665">O192+AP192</f>
        <v>3.8065000000000002</v>
      </c>
      <c r="BA192" s="463">
        <f t="shared" si="665"/>
        <v>0.72</v>
      </c>
    </row>
    <row r="193" spans="1:53" ht="12.95" customHeight="1" x14ac:dyDescent="0.25">
      <c r="A193" s="299">
        <v>38</v>
      </c>
      <c r="B193" s="220">
        <v>5470</v>
      </c>
      <c r="C193" s="220">
        <v>600099091</v>
      </c>
      <c r="D193" s="300">
        <v>70695822</v>
      </c>
      <c r="E193" s="397" t="s">
        <v>544</v>
      </c>
      <c r="F193" s="220">
        <v>3117</v>
      </c>
      <c r="G193" s="397" t="s">
        <v>325</v>
      </c>
      <c r="H193" s="304" t="s">
        <v>277</v>
      </c>
      <c r="I193" s="462">
        <f t="shared" si="645"/>
        <v>5583858</v>
      </c>
      <c r="J193" s="457">
        <v>4072298</v>
      </c>
      <c r="K193" s="457">
        <f t="shared" ref="K193:K197" si="666">ROUND(J193*33.8%,0)</f>
        <v>1376437</v>
      </c>
      <c r="L193" s="457">
        <f t="shared" si="646"/>
        <v>40723</v>
      </c>
      <c r="M193" s="457">
        <v>94400</v>
      </c>
      <c r="N193" s="458">
        <f t="shared" si="647"/>
        <v>7.9414999999999996</v>
      </c>
      <c r="O193" s="459">
        <v>5.8182</v>
      </c>
      <c r="P193" s="646">
        <v>2.1233</v>
      </c>
      <c r="Q193" s="469">
        <f t="shared" si="648"/>
        <v>-169000</v>
      </c>
      <c r="R193" s="460">
        <v>0</v>
      </c>
      <c r="S193" s="673">
        <v>0</v>
      </c>
      <c r="T193" s="460">
        <v>0</v>
      </c>
      <c r="U193" s="460">
        <v>-108900</v>
      </c>
      <c r="V193" s="460">
        <f t="shared" si="649"/>
        <v>-277900</v>
      </c>
      <c r="W193" s="460">
        <v>169000</v>
      </c>
      <c r="X193" s="460">
        <v>49520</v>
      </c>
      <c r="Y193" s="460">
        <v>108900</v>
      </c>
      <c r="Z193" s="460">
        <f t="shared" si="650"/>
        <v>327420</v>
      </c>
      <c r="AA193" s="460">
        <f t="shared" si="651"/>
        <v>49520</v>
      </c>
      <c r="AB193" s="69">
        <f t="shared" si="652"/>
        <v>-20070</v>
      </c>
      <c r="AC193" s="69">
        <f t="shared" si="653"/>
        <v>-2779</v>
      </c>
      <c r="AD193" s="460">
        <v>0</v>
      </c>
      <c r="AE193" s="460">
        <v>0</v>
      </c>
      <c r="AF193" s="460">
        <f t="shared" si="654"/>
        <v>0</v>
      </c>
      <c r="AG193" s="460">
        <f t="shared" si="655"/>
        <v>26671</v>
      </c>
      <c r="AH193" s="461">
        <v>-0.03</v>
      </c>
      <c r="AI193" s="461">
        <v>-0.47</v>
      </c>
      <c r="AJ193" s="461">
        <v>0</v>
      </c>
      <c r="AK193" s="461">
        <v>0</v>
      </c>
      <c r="AL193" s="674">
        <v>0</v>
      </c>
      <c r="AM193" s="461">
        <v>0</v>
      </c>
      <c r="AN193" s="461">
        <v>0</v>
      </c>
      <c r="AO193" s="461">
        <v>0</v>
      </c>
      <c r="AP193" s="461">
        <f t="shared" si="656"/>
        <v>-0.03</v>
      </c>
      <c r="AQ193" s="461">
        <f t="shared" si="657"/>
        <v>-0.47</v>
      </c>
      <c r="AR193" s="463">
        <f t="shared" si="658"/>
        <v>-0.5</v>
      </c>
      <c r="AS193" s="469">
        <f t="shared" si="659"/>
        <v>5610529</v>
      </c>
      <c r="AT193" s="460">
        <f t="shared" si="660"/>
        <v>3794398</v>
      </c>
      <c r="AU193" s="460">
        <f t="shared" si="661"/>
        <v>327420</v>
      </c>
      <c r="AV193" s="460">
        <f t="shared" si="662"/>
        <v>1356367</v>
      </c>
      <c r="AW193" s="460">
        <f t="shared" si="662"/>
        <v>37944</v>
      </c>
      <c r="AX193" s="460">
        <f t="shared" si="663"/>
        <v>94400</v>
      </c>
      <c r="AY193" s="461">
        <f t="shared" si="664"/>
        <v>7.4414999999999996</v>
      </c>
      <c r="AZ193" s="461">
        <f t="shared" si="665"/>
        <v>5.7881999999999998</v>
      </c>
      <c r="BA193" s="463">
        <f t="shared" si="665"/>
        <v>1.6533</v>
      </c>
    </row>
    <row r="194" spans="1:53" ht="12.95" customHeight="1" x14ac:dyDescent="0.25">
      <c r="A194" s="299">
        <v>38</v>
      </c>
      <c r="B194" s="401">
        <v>5470</v>
      </c>
      <c r="C194" s="401">
        <v>600099091</v>
      </c>
      <c r="D194" s="300">
        <v>70695822</v>
      </c>
      <c r="E194" s="397" t="s">
        <v>544</v>
      </c>
      <c r="F194" s="220">
        <v>3117</v>
      </c>
      <c r="G194" s="342" t="s">
        <v>308</v>
      </c>
      <c r="H194" s="304" t="s">
        <v>278</v>
      </c>
      <c r="I194" s="462">
        <f t="shared" si="645"/>
        <v>0</v>
      </c>
      <c r="J194" s="457">
        <v>0</v>
      </c>
      <c r="K194" s="457">
        <f t="shared" si="666"/>
        <v>0</v>
      </c>
      <c r="L194" s="457">
        <f t="shared" si="646"/>
        <v>0</v>
      </c>
      <c r="M194" s="457">
        <v>0</v>
      </c>
      <c r="N194" s="458">
        <f t="shared" si="647"/>
        <v>0</v>
      </c>
      <c r="O194" s="459">
        <v>0</v>
      </c>
      <c r="P194" s="646">
        <v>0</v>
      </c>
      <c r="Q194" s="469">
        <f t="shared" si="648"/>
        <v>0</v>
      </c>
      <c r="R194" s="460">
        <v>1418553</v>
      </c>
      <c r="S194" s="673">
        <v>0</v>
      </c>
      <c r="T194" s="460">
        <v>0</v>
      </c>
      <c r="U194" s="460">
        <v>0</v>
      </c>
      <c r="V194" s="460">
        <f t="shared" si="649"/>
        <v>1418553</v>
      </c>
      <c r="W194" s="460">
        <v>0</v>
      </c>
      <c r="X194" s="460">
        <v>0</v>
      </c>
      <c r="Y194" s="460">
        <v>0</v>
      </c>
      <c r="Z194" s="460">
        <f t="shared" si="650"/>
        <v>0</v>
      </c>
      <c r="AA194" s="460">
        <f t="shared" si="651"/>
        <v>1418553</v>
      </c>
      <c r="AB194" s="69">
        <f t="shared" si="652"/>
        <v>479471</v>
      </c>
      <c r="AC194" s="69">
        <f t="shared" si="653"/>
        <v>14186</v>
      </c>
      <c r="AD194" s="460">
        <v>0</v>
      </c>
      <c r="AE194" s="460">
        <v>0</v>
      </c>
      <c r="AF194" s="460">
        <f t="shared" si="654"/>
        <v>0</v>
      </c>
      <c r="AG194" s="460">
        <f t="shared" si="655"/>
        <v>1912210</v>
      </c>
      <c r="AH194" s="461">
        <v>0</v>
      </c>
      <c r="AI194" s="461">
        <v>0</v>
      </c>
      <c r="AJ194" s="461">
        <v>4.08</v>
      </c>
      <c r="AK194" s="461">
        <v>0</v>
      </c>
      <c r="AL194" s="674">
        <v>0</v>
      </c>
      <c r="AM194" s="461">
        <v>0</v>
      </c>
      <c r="AN194" s="461">
        <v>0</v>
      </c>
      <c r="AO194" s="461">
        <v>0</v>
      </c>
      <c r="AP194" s="461">
        <f t="shared" si="656"/>
        <v>4.08</v>
      </c>
      <c r="AQ194" s="461">
        <f t="shared" si="657"/>
        <v>0</v>
      </c>
      <c r="AR194" s="463">
        <f t="shared" si="658"/>
        <v>4.08</v>
      </c>
      <c r="AS194" s="469">
        <f t="shared" si="659"/>
        <v>1912210</v>
      </c>
      <c r="AT194" s="460">
        <f t="shared" si="660"/>
        <v>1418553</v>
      </c>
      <c r="AU194" s="460">
        <f t="shared" si="661"/>
        <v>0</v>
      </c>
      <c r="AV194" s="460">
        <f t="shared" si="662"/>
        <v>479471</v>
      </c>
      <c r="AW194" s="460">
        <f t="shared" si="662"/>
        <v>14186</v>
      </c>
      <c r="AX194" s="460">
        <f t="shared" si="663"/>
        <v>0</v>
      </c>
      <c r="AY194" s="461">
        <f t="shared" si="664"/>
        <v>4.08</v>
      </c>
      <c r="AZ194" s="461">
        <f t="shared" si="665"/>
        <v>4.08</v>
      </c>
      <c r="BA194" s="463">
        <f t="shared" si="665"/>
        <v>0</v>
      </c>
    </row>
    <row r="195" spans="1:53" ht="12.95" customHeight="1" x14ac:dyDescent="0.25">
      <c r="A195" s="299">
        <v>38</v>
      </c>
      <c r="B195" s="220">
        <v>5470</v>
      </c>
      <c r="C195" s="220">
        <v>600099091</v>
      </c>
      <c r="D195" s="300">
        <v>70695822</v>
      </c>
      <c r="E195" s="396" t="s">
        <v>544</v>
      </c>
      <c r="F195" s="407">
        <v>3141</v>
      </c>
      <c r="G195" s="398" t="s">
        <v>311</v>
      </c>
      <c r="H195" s="304" t="s">
        <v>278</v>
      </c>
      <c r="I195" s="462">
        <f t="shared" si="645"/>
        <v>1012294</v>
      </c>
      <c r="J195" s="457">
        <f>575097+171655</f>
        <v>746752</v>
      </c>
      <c r="K195" s="457">
        <f t="shared" si="666"/>
        <v>252402</v>
      </c>
      <c r="L195" s="457">
        <f t="shared" si="646"/>
        <v>7468</v>
      </c>
      <c r="M195" s="457">
        <f>3564+2108</f>
        <v>5672</v>
      </c>
      <c r="N195" s="458">
        <f t="shared" si="647"/>
        <v>2.4000000000000004</v>
      </c>
      <c r="O195" s="459">
        <v>0</v>
      </c>
      <c r="P195" s="646">
        <f>1.85+0.55</f>
        <v>2.4000000000000004</v>
      </c>
      <c r="Q195" s="469">
        <f t="shared" si="648"/>
        <v>0</v>
      </c>
      <c r="R195" s="460">
        <v>0</v>
      </c>
      <c r="S195" s="673">
        <v>0</v>
      </c>
      <c r="T195" s="460">
        <v>0</v>
      </c>
      <c r="U195" s="460">
        <v>0</v>
      </c>
      <c r="V195" s="460">
        <f t="shared" si="649"/>
        <v>0</v>
      </c>
      <c r="W195" s="460">
        <v>0</v>
      </c>
      <c r="X195" s="460">
        <v>0</v>
      </c>
      <c r="Y195" s="460">
        <v>0</v>
      </c>
      <c r="Z195" s="460">
        <f t="shared" si="650"/>
        <v>0</v>
      </c>
      <c r="AA195" s="460">
        <f t="shared" si="651"/>
        <v>0</v>
      </c>
      <c r="AB195" s="69">
        <f t="shared" si="652"/>
        <v>0</v>
      </c>
      <c r="AC195" s="69">
        <f t="shared" si="653"/>
        <v>0</v>
      </c>
      <c r="AD195" s="460">
        <v>0</v>
      </c>
      <c r="AE195" s="460">
        <v>0</v>
      </c>
      <c r="AF195" s="460">
        <f t="shared" si="654"/>
        <v>0</v>
      </c>
      <c r="AG195" s="460">
        <f t="shared" si="655"/>
        <v>0</v>
      </c>
      <c r="AH195" s="461">
        <v>0</v>
      </c>
      <c r="AI195" s="461">
        <v>0</v>
      </c>
      <c r="AJ195" s="461">
        <v>0</v>
      </c>
      <c r="AK195" s="461">
        <v>0</v>
      </c>
      <c r="AL195" s="674">
        <v>0</v>
      </c>
      <c r="AM195" s="461">
        <v>0</v>
      </c>
      <c r="AN195" s="461">
        <v>0</v>
      </c>
      <c r="AO195" s="461">
        <v>0</v>
      </c>
      <c r="AP195" s="461">
        <f t="shared" si="656"/>
        <v>0</v>
      </c>
      <c r="AQ195" s="461">
        <f t="shared" si="657"/>
        <v>0</v>
      </c>
      <c r="AR195" s="463">
        <f t="shared" si="658"/>
        <v>0</v>
      </c>
      <c r="AS195" s="469">
        <f t="shared" si="659"/>
        <v>1012294</v>
      </c>
      <c r="AT195" s="460">
        <f t="shared" si="660"/>
        <v>746752</v>
      </c>
      <c r="AU195" s="460">
        <f t="shared" si="661"/>
        <v>0</v>
      </c>
      <c r="AV195" s="460">
        <f t="shared" si="662"/>
        <v>252402</v>
      </c>
      <c r="AW195" s="460">
        <f t="shared" si="662"/>
        <v>7468</v>
      </c>
      <c r="AX195" s="460">
        <f t="shared" si="663"/>
        <v>5672</v>
      </c>
      <c r="AY195" s="461">
        <f t="shared" si="664"/>
        <v>2.4000000000000004</v>
      </c>
      <c r="AZ195" s="461">
        <f t="shared" si="665"/>
        <v>0</v>
      </c>
      <c r="BA195" s="463">
        <f t="shared" si="665"/>
        <v>2.4000000000000004</v>
      </c>
    </row>
    <row r="196" spans="1:53" ht="12.95" customHeight="1" x14ac:dyDescent="0.25">
      <c r="A196" s="299">
        <v>38</v>
      </c>
      <c r="B196" s="401">
        <v>5470</v>
      </c>
      <c r="C196" s="401">
        <v>600099091</v>
      </c>
      <c r="D196" s="300">
        <v>70695822</v>
      </c>
      <c r="E196" s="397" t="s">
        <v>544</v>
      </c>
      <c r="F196" s="220">
        <v>3143</v>
      </c>
      <c r="G196" s="342" t="s">
        <v>616</v>
      </c>
      <c r="H196" s="304" t="s">
        <v>277</v>
      </c>
      <c r="I196" s="462">
        <f t="shared" si="645"/>
        <v>995644</v>
      </c>
      <c r="J196" s="457">
        <v>738608</v>
      </c>
      <c r="K196" s="457">
        <f t="shared" si="666"/>
        <v>249650</v>
      </c>
      <c r="L196" s="457">
        <f t="shared" si="646"/>
        <v>7386</v>
      </c>
      <c r="M196" s="457">
        <v>0</v>
      </c>
      <c r="N196" s="458">
        <f t="shared" si="647"/>
        <v>1.6465000000000001</v>
      </c>
      <c r="O196" s="459">
        <v>1.6465000000000001</v>
      </c>
      <c r="P196" s="646">
        <v>0</v>
      </c>
      <c r="Q196" s="469">
        <f t="shared" si="648"/>
        <v>0</v>
      </c>
      <c r="R196" s="460">
        <v>0</v>
      </c>
      <c r="S196" s="673">
        <v>0</v>
      </c>
      <c r="T196" s="460">
        <v>0</v>
      </c>
      <c r="U196" s="460">
        <v>0</v>
      </c>
      <c r="V196" s="460">
        <f t="shared" si="649"/>
        <v>0</v>
      </c>
      <c r="W196" s="460">
        <v>0</v>
      </c>
      <c r="X196" s="460">
        <v>0</v>
      </c>
      <c r="Y196" s="460">
        <v>0</v>
      </c>
      <c r="Z196" s="460">
        <f t="shared" si="650"/>
        <v>0</v>
      </c>
      <c r="AA196" s="460">
        <f t="shared" si="651"/>
        <v>0</v>
      </c>
      <c r="AB196" s="69">
        <f t="shared" si="652"/>
        <v>0</v>
      </c>
      <c r="AC196" s="69">
        <f t="shared" si="653"/>
        <v>0</v>
      </c>
      <c r="AD196" s="460">
        <v>0</v>
      </c>
      <c r="AE196" s="460">
        <v>0</v>
      </c>
      <c r="AF196" s="460">
        <f t="shared" si="654"/>
        <v>0</v>
      </c>
      <c r="AG196" s="460">
        <f t="shared" si="655"/>
        <v>0</v>
      </c>
      <c r="AH196" s="461">
        <v>0</v>
      </c>
      <c r="AI196" s="461">
        <v>0</v>
      </c>
      <c r="AJ196" s="461">
        <v>0</v>
      </c>
      <c r="AK196" s="461">
        <v>0</v>
      </c>
      <c r="AL196" s="674">
        <v>0</v>
      </c>
      <c r="AM196" s="461">
        <v>0</v>
      </c>
      <c r="AN196" s="461">
        <v>0</v>
      </c>
      <c r="AO196" s="461">
        <v>0</v>
      </c>
      <c r="AP196" s="461">
        <f t="shared" si="656"/>
        <v>0</v>
      </c>
      <c r="AQ196" s="461">
        <f t="shared" si="657"/>
        <v>0</v>
      </c>
      <c r="AR196" s="463">
        <f t="shared" si="658"/>
        <v>0</v>
      </c>
      <c r="AS196" s="469">
        <f t="shared" si="659"/>
        <v>995644</v>
      </c>
      <c r="AT196" s="460">
        <f t="shared" si="660"/>
        <v>738608</v>
      </c>
      <c r="AU196" s="460">
        <f t="shared" si="661"/>
        <v>0</v>
      </c>
      <c r="AV196" s="460">
        <f t="shared" si="662"/>
        <v>249650</v>
      </c>
      <c r="AW196" s="460">
        <f t="shared" si="662"/>
        <v>7386</v>
      </c>
      <c r="AX196" s="460">
        <f t="shared" si="663"/>
        <v>0</v>
      </c>
      <c r="AY196" s="461">
        <f t="shared" si="664"/>
        <v>1.6465000000000001</v>
      </c>
      <c r="AZ196" s="461">
        <f t="shared" si="665"/>
        <v>1.6465000000000001</v>
      </c>
      <c r="BA196" s="463">
        <f t="shared" si="665"/>
        <v>0</v>
      </c>
    </row>
    <row r="197" spans="1:53" ht="12.95" customHeight="1" x14ac:dyDescent="0.25">
      <c r="A197" s="299">
        <v>38</v>
      </c>
      <c r="B197" s="401">
        <v>5470</v>
      </c>
      <c r="C197" s="401">
        <v>600099091</v>
      </c>
      <c r="D197" s="300">
        <v>70695822</v>
      </c>
      <c r="E197" s="397" t="s">
        <v>544</v>
      </c>
      <c r="F197" s="220">
        <v>3143</v>
      </c>
      <c r="G197" s="342" t="s">
        <v>617</v>
      </c>
      <c r="H197" s="304" t="s">
        <v>278</v>
      </c>
      <c r="I197" s="462">
        <f t="shared" si="645"/>
        <v>32985</v>
      </c>
      <c r="J197" s="457">
        <v>23568</v>
      </c>
      <c r="K197" s="457">
        <f t="shared" si="666"/>
        <v>7966</v>
      </c>
      <c r="L197" s="457">
        <f t="shared" si="646"/>
        <v>236</v>
      </c>
      <c r="M197" s="457">
        <v>1215</v>
      </c>
      <c r="N197" s="458">
        <f t="shared" si="647"/>
        <v>0.09</v>
      </c>
      <c r="O197" s="459">
        <v>0</v>
      </c>
      <c r="P197" s="646">
        <v>0.09</v>
      </c>
      <c r="Q197" s="469">
        <f t="shared" si="648"/>
        <v>0</v>
      </c>
      <c r="R197" s="460">
        <v>0</v>
      </c>
      <c r="S197" s="673">
        <v>0</v>
      </c>
      <c r="T197" s="460">
        <v>0</v>
      </c>
      <c r="U197" s="460">
        <v>0</v>
      </c>
      <c r="V197" s="460">
        <f t="shared" si="649"/>
        <v>0</v>
      </c>
      <c r="W197" s="460">
        <v>0</v>
      </c>
      <c r="X197" s="460">
        <v>0</v>
      </c>
      <c r="Y197" s="460">
        <v>0</v>
      </c>
      <c r="Z197" s="460">
        <f t="shared" si="650"/>
        <v>0</v>
      </c>
      <c r="AA197" s="460">
        <f t="shared" si="651"/>
        <v>0</v>
      </c>
      <c r="AB197" s="69">
        <f t="shared" si="652"/>
        <v>0</v>
      </c>
      <c r="AC197" s="69">
        <f t="shared" si="653"/>
        <v>0</v>
      </c>
      <c r="AD197" s="460">
        <v>0</v>
      </c>
      <c r="AE197" s="460">
        <v>0</v>
      </c>
      <c r="AF197" s="460">
        <f t="shared" si="654"/>
        <v>0</v>
      </c>
      <c r="AG197" s="460">
        <f t="shared" si="655"/>
        <v>0</v>
      </c>
      <c r="AH197" s="461">
        <v>0</v>
      </c>
      <c r="AI197" s="461">
        <v>0</v>
      </c>
      <c r="AJ197" s="461">
        <v>0</v>
      </c>
      <c r="AK197" s="461">
        <v>0</v>
      </c>
      <c r="AL197" s="674">
        <v>0</v>
      </c>
      <c r="AM197" s="461">
        <v>0</v>
      </c>
      <c r="AN197" s="461">
        <v>0</v>
      </c>
      <c r="AO197" s="461">
        <v>0</v>
      </c>
      <c r="AP197" s="461">
        <f t="shared" si="656"/>
        <v>0</v>
      </c>
      <c r="AQ197" s="461">
        <f t="shared" si="657"/>
        <v>0</v>
      </c>
      <c r="AR197" s="463">
        <f t="shared" si="658"/>
        <v>0</v>
      </c>
      <c r="AS197" s="469">
        <f t="shared" si="659"/>
        <v>32985</v>
      </c>
      <c r="AT197" s="460">
        <f t="shared" si="660"/>
        <v>23568</v>
      </c>
      <c r="AU197" s="460">
        <f t="shared" si="661"/>
        <v>0</v>
      </c>
      <c r="AV197" s="460">
        <f t="shared" si="662"/>
        <v>7966</v>
      </c>
      <c r="AW197" s="460">
        <f t="shared" si="662"/>
        <v>236</v>
      </c>
      <c r="AX197" s="460">
        <f t="shared" si="663"/>
        <v>1215</v>
      </c>
      <c r="AY197" s="461">
        <f t="shared" si="664"/>
        <v>0.09</v>
      </c>
      <c r="AZ197" s="461">
        <f t="shared" si="665"/>
        <v>0</v>
      </c>
      <c r="BA197" s="463">
        <f t="shared" si="665"/>
        <v>0.09</v>
      </c>
    </row>
    <row r="198" spans="1:53" ht="12.75" customHeight="1" thickBot="1" x14ac:dyDescent="0.3">
      <c r="A198" s="223">
        <v>38</v>
      </c>
      <c r="B198" s="169">
        <v>5470</v>
      </c>
      <c r="C198" s="169">
        <v>600099091</v>
      </c>
      <c r="D198" s="169">
        <v>70695822</v>
      </c>
      <c r="E198" s="415" t="s">
        <v>545</v>
      </c>
      <c r="F198" s="50"/>
      <c r="G198" s="415"/>
      <c r="H198" s="190"/>
      <c r="I198" s="669">
        <f t="shared" ref="I198:M198" si="667">SUM(I192:I197)</f>
        <v>10362375</v>
      </c>
      <c r="J198" s="670">
        <f t="shared" si="667"/>
        <v>7604368</v>
      </c>
      <c r="K198" s="670">
        <f t="shared" si="667"/>
        <v>2570276</v>
      </c>
      <c r="L198" s="670">
        <f t="shared" si="667"/>
        <v>76044</v>
      </c>
      <c r="M198" s="670">
        <f t="shared" si="667"/>
        <v>111687</v>
      </c>
      <c r="N198" s="671">
        <f t="shared" ref="N198:BA198" si="668">SUM(N192:N197)</f>
        <v>16.604500000000002</v>
      </c>
      <c r="O198" s="671">
        <f t="shared" si="668"/>
        <v>11.2712</v>
      </c>
      <c r="P198" s="672">
        <f t="shared" si="668"/>
        <v>5.3333000000000004</v>
      </c>
      <c r="Q198" s="763">
        <f t="shared" si="668"/>
        <v>-169000</v>
      </c>
      <c r="R198" s="670">
        <f t="shared" si="668"/>
        <v>1418553</v>
      </c>
      <c r="S198" s="670">
        <f t="shared" si="668"/>
        <v>0</v>
      </c>
      <c r="T198" s="670">
        <f t="shared" si="668"/>
        <v>0</v>
      </c>
      <c r="U198" s="670">
        <f t="shared" si="668"/>
        <v>-108900</v>
      </c>
      <c r="V198" s="670">
        <f t="shared" si="668"/>
        <v>1140653</v>
      </c>
      <c r="W198" s="670">
        <f t="shared" si="668"/>
        <v>169000</v>
      </c>
      <c r="X198" s="670">
        <f t="shared" si="668"/>
        <v>49520</v>
      </c>
      <c r="Y198" s="670">
        <f t="shared" si="668"/>
        <v>108900</v>
      </c>
      <c r="Z198" s="670">
        <f t="shared" si="668"/>
        <v>327420</v>
      </c>
      <c r="AA198" s="670">
        <f t="shared" si="668"/>
        <v>1468073</v>
      </c>
      <c r="AB198" s="670">
        <f t="shared" si="668"/>
        <v>459401</v>
      </c>
      <c r="AC198" s="670">
        <f t="shared" si="668"/>
        <v>11407</v>
      </c>
      <c r="AD198" s="670">
        <f t="shared" si="668"/>
        <v>0</v>
      </c>
      <c r="AE198" s="670">
        <f t="shared" si="668"/>
        <v>0</v>
      </c>
      <c r="AF198" s="670">
        <f t="shared" si="668"/>
        <v>0</v>
      </c>
      <c r="AG198" s="670">
        <f t="shared" si="668"/>
        <v>1938881</v>
      </c>
      <c r="AH198" s="671">
        <f t="shared" si="668"/>
        <v>-0.03</v>
      </c>
      <c r="AI198" s="671">
        <f t="shared" si="668"/>
        <v>-0.47</v>
      </c>
      <c r="AJ198" s="671">
        <f t="shared" si="668"/>
        <v>4.08</v>
      </c>
      <c r="AK198" s="671">
        <f t="shared" si="668"/>
        <v>0</v>
      </c>
      <c r="AL198" s="671">
        <f t="shared" si="668"/>
        <v>0</v>
      </c>
      <c r="AM198" s="671">
        <f t="shared" si="668"/>
        <v>0</v>
      </c>
      <c r="AN198" s="671">
        <f t="shared" si="668"/>
        <v>0</v>
      </c>
      <c r="AO198" s="671">
        <f t="shared" si="668"/>
        <v>0</v>
      </c>
      <c r="AP198" s="671">
        <f t="shared" si="668"/>
        <v>4.05</v>
      </c>
      <c r="AQ198" s="671">
        <f t="shared" si="668"/>
        <v>-0.47</v>
      </c>
      <c r="AR198" s="672">
        <f t="shared" si="668"/>
        <v>3.58</v>
      </c>
      <c r="AS198" s="565">
        <f t="shared" si="668"/>
        <v>12301256</v>
      </c>
      <c r="AT198" s="562">
        <f t="shared" si="668"/>
        <v>8745021</v>
      </c>
      <c r="AU198" s="562">
        <f t="shared" si="668"/>
        <v>327420</v>
      </c>
      <c r="AV198" s="562">
        <f t="shared" si="668"/>
        <v>3029677</v>
      </c>
      <c r="AW198" s="562">
        <f t="shared" si="668"/>
        <v>87451</v>
      </c>
      <c r="AX198" s="562">
        <f t="shared" si="668"/>
        <v>111687</v>
      </c>
      <c r="AY198" s="563">
        <f t="shared" si="668"/>
        <v>20.1845</v>
      </c>
      <c r="AZ198" s="563">
        <f t="shared" si="668"/>
        <v>15.321199999999999</v>
      </c>
      <c r="BA198" s="564">
        <f t="shared" si="668"/>
        <v>4.8633000000000006</v>
      </c>
    </row>
    <row r="199" spans="1:53" ht="12.75" customHeight="1" thickBot="1" x14ac:dyDescent="0.3">
      <c r="A199" s="416"/>
      <c r="B199" s="417"/>
      <c r="C199" s="417"/>
      <c r="D199" s="417"/>
      <c r="E199" s="324" t="s">
        <v>782</v>
      </c>
      <c r="F199" s="417"/>
      <c r="G199" s="418"/>
      <c r="H199" s="419"/>
      <c r="I199" s="566">
        <f t="shared" ref="I199:BA199" si="669">I198+I191+I185+I179+I172+I166+I162+I156+I153+I148+I145+I138+I135+I132+I126+I122+I116+I113+I106+I100+I96+I90+I86+I79+I77+I70+I65+I59+I53+I47+I45+I41+I38+I34+I30+I26+I22+I18</f>
        <v>451079726</v>
      </c>
      <c r="J199" s="567">
        <f t="shared" si="669"/>
        <v>330755015</v>
      </c>
      <c r="K199" s="567">
        <f t="shared" si="669"/>
        <v>111795191</v>
      </c>
      <c r="L199" s="567">
        <f t="shared" si="669"/>
        <v>3307553</v>
      </c>
      <c r="M199" s="567">
        <f t="shared" si="669"/>
        <v>5221967</v>
      </c>
      <c r="N199" s="568">
        <f t="shared" si="669"/>
        <v>649.98969999999997</v>
      </c>
      <c r="O199" s="568">
        <f t="shared" si="669"/>
        <v>457.28379999999999</v>
      </c>
      <c r="P199" s="569">
        <f t="shared" si="669"/>
        <v>192.70590000000001</v>
      </c>
      <c r="Q199" s="665">
        <f t="shared" si="669"/>
        <v>-980460</v>
      </c>
      <c r="R199" s="666">
        <f t="shared" si="669"/>
        <v>15479568</v>
      </c>
      <c r="S199" s="666">
        <f t="shared" si="669"/>
        <v>0</v>
      </c>
      <c r="T199" s="666">
        <f t="shared" si="669"/>
        <v>216200</v>
      </c>
      <c r="U199" s="666">
        <f t="shared" si="669"/>
        <v>-108900</v>
      </c>
      <c r="V199" s="666">
        <f t="shared" si="669"/>
        <v>14606408</v>
      </c>
      <c r="W199" s="666">
        <f t="shared" si="669"/>
        <v>980460</v>
      </c>
      <c r="X199" s="666">
        <f t="shared" si="669"/>
        <v>272360</v>
      </c>
      <c r="Y199" s="666">
        <f t="shared" si="669"/>
        <v>276787</v>
      </c>
      <c r="Z199" s="666">
        <f t="shared" si="669"/>
        <v>1529607</v>
      </c>
      <c r="AA199" s="666">
        <f t="shared" si="669"/>
        <v>16136015</v>
      </c>
      <c r="AB199" s="666">
        <f t="shared" si="669"/>
        <v>5360421</v>
      </c>
      <c r="AC199" s="666">
        <f t="shared" si="669"/>
        <v>146057</v>
      </c>
      <c r="AD199" s="666">
        <f t="shared" si="669"/>
        <v>65050</v>
      </c>
      <c r="AE199" s="666">
        <f t="shared" si="669"/>
        <v>0</v>
      </c>
      <c r="AF199" s="666">
        <f t="shared" si="669"/>
        <v>65050</v>
      </c>
      <c r="AG199" s="666">
        <f t="shared" si="669"/>
        <v>21707543</v>
      </c>
      <c r="AH199" s="667">
        <f t="shared" si="669"/>
        <v>-0.31000000000000005</v>
      </c>
      <c r="AI199" s="667">
        <f t="shared" si="669"/>
        <v>-1.54</v>
      </c>
      <c r="AJ199" s="667">
        <f t="shared" si="669"/>
        <v>43.65</v>
      </c>
      <c r="AK199" s="667">
        <f t="shared" si="669"/>
        <v>0</v>
      </c>
      <c r="AL199" s="667">
        <f t="shared" si="669"/>
        <v>0</v>
      </c>
      <c r="AM199" s="667">
        <f t="shared" si="669"/>
        <v>0.16999999999999998</v>
      </c>
      <c r="AN199" s="667">
        <f t="shared" si="669"/>
        <v>0</v>
      </c>
      <c r="AO199" s="667">
        <f t="shared" si="669"/>
        <v>0</v>
      </c>
      <c r="AP199" s="667">
        <f t="shared" si="669"/>
        <v>43.51</v>
      </c>
      <c r="AQ199" s="667">
        <f t="shared" si="669"/>
        <v>-1.54</v>
      </c>
      <c r="AR199" s="668">
        <f t="shared" si="669"/>
        <v>41.97</v>
      </c>
      <c r="AS199" s="570">
        <f t="shared" si="669"/>
        <v>472787269</v>
      </c>
      <c r="AT199" s="567">
        <f t="shared" si="669"/>
        <v>345361423</v>
      </c>
      <c r="AU199" s="567">
        <f t="shared" si="669"/>
        <v>1529607</v>
      </c>
      <c r="AV199" s="567">
        <f t="shared" si="669"/>
        <v>117155612</v>
      </c>
      <c r="AW199" s="567">
        <f t="shared" si="669"/>
        <v>3453610</v>
      </c>
      <c r="AX199" s="567">
        <f t="shared" si="669"/>
        <v>5287017</v>
      </c>
      <c r="AY199" s="568">
        <f t="shared" si="669"/>
        <v>691.95970000000011</v>
      </c>
      <c r="AZ199" s="568">
        <f t="shared" si="669"/>
        <v>500.79379999999998</v>
      </c>
      <c r="BA199" s="569">
        <f t="shared" si="669"/>
        <v>191.16589999999999</v>
      </c>
    </row>
    <row r="200" spans="1:53" s="333" customFormat="1" ht="12.75" customHeight="1" x14ac:dyDescent="0.25">
      <c r="A200" s="420"/>
      <c r="B200" s="269"/>
      <c r="C200" s="269"/>
      <c r="D200" s="269"/>
      <c r="E200" s="329"/>
      <c r="F200" s="328"/>
      <c r="G200" s="269"/>
      <c r="H200" s="421"/>
      <c r="I200" s="474">
        <f>SUM(J199:M199)</f>
        <v>451079726</v>
      </c>
      <c r="J200" s="474"/>
      <c r="K200" s="474"/>
      <c r="L200" s="474"/>
      <c r="M200" s="474"/>
      <c r="N200" s="475">
        <f>SUM(O199:P199)</f>
        <v>649.98969999999997</v>
      </c>
      <c r="O200" s="475"/>
      <c r="P200" s="475"/>
      <c r="Q200" s="474">
        <f>W199</f>
        <v>980460</v>
      </c>
      <c r="R200" s="475"/>
      <c r="S200" s="475"/>
      <c r="T200" s="475"/>
      <c r="U200" s="475"/>
      <c r="V200" s="481">
        <f>SUM(Q199:U199)</f>
        <v>14606408</v>
      </c>
      <c r="W200" s="481">
        <f>Q199</f>
        <v>-980460</v>
      </c>
      <c r="X200" s="482"/>
      <c r="Y200" s="482"/>
      <c r="Z200" s="481">
        <f>SUM(W199:Y199)</f>
        <v>1529607</v>
      </c>
      <c r="AA200" s="481">
        <f>V199+Z199</f>
        <v>16136015</v>
      </c>
      <c r="AB200" s="483"/>
      <c r="AC200" s="483"/>
      <c r="AD200" s="482"/>
      <c r="AE200" s="482"/>
      <c r="AF200" s="481">
        <f>SUM(AD199:AE199)</f>
        <v>65050</v>
      </c>
      <c r="AG200" s="481">
        <f>AA199+AB199+AC199+AF199</f>
        <v>21707543</v>
      </c>
      <c r="AH200" s="484"/>
      <c r="AI200" s="484"/>
      <c r="AJ200" s="484"/>
      <c r="AK200" s="484"/>
      <c r="AL200" s="484"/>
      <c r="AM200" s="484"/>
      <c r="AN200" s="484"/>
      <c r="AO200" s="484"/>
      <c r="AP200" s="636">
        <f>AH199+AJ199+AK199+AM199+AN199</f>
        <v>43.51</v>
      </c>
      <c r="AQ200" s="636">
        <f>AI199+AL199+AO199</f>
        <v>-1.54</v>
      </c>
      <c r="AR200" s="636">
        <f>SUM(AP199:AQ199)</f>
        <v>41.97</v>
      </c>
      <c r="AS200" s="474">
        <f>SUM(AT199:AX199)</f>
        <v>472787269</v>
      </c>
      <c r="AT200" s="54"/>
      <c r="AU200" s="54"/>
      <c r="AV200" s="54"/>
      <c r="AW200" s="54"/>
      <c r="AX200" s="54"/>
      <c r="AY200" s="475">
        <f>SUM(AZ199:BA199)</f>
        <v>691.9597</v>
      </c>
      <c r="AZ200" s="89"/>
      <c r="BA200" s="89"/>
    </row>
    <row r="201" spans="1:53" s="333" customFormat="1" ht="12.95" customHeight="1" thickBot="1" x14ac:dyDescent="0.3">
      <c r="A201" s="420"/>
      <c r="B201" s="269"/>
      <c r="C201" s="269"/>
      <c r="D201" s="269"/>
      <c r="E201" s="269"/>
      <c r="F201" s="328"/>
      <c r="G201" s="269"/>
      <c r="H201" s="421"/>
      <c r="I201" s="87">
        <f>SUM(J202:M202)</f>
        <v>451079726</v>
      </c>
      <c r="J201" s="52"/>
      <c r="K201" s="480"/>
      <c r="L201" s="480"/>
      <c r="M201" s="52"/>
      <c r="N201" s="88">
        <f>SUM(O202:P202)</f>
        <v>649.98969999999997</v>
      </c>
      <c r="O201" s="179"/>
      <c r="P201" s="179"/>
      <c r="Q201" s="475"/>
      <c r="R201" s="475"/>
      <c r="S201" s="475"/>
      <c r="T201" s="475"/>
      <c r="U201" s="475"/>
      <c r="V201" s="481">
        <f>SUM(Q202:U202)</f>
        <v>14606408</v>
      </c>
      <c r="W201" s="482"/>
      <c r="X201" s="482"/>
      <c r="Y201" s="482"/>
      <c r="Z201" s="481">
        <f>SUM(W202:Y202)</f>
        <v>1529607</v>
      </c>
      <c r="AA201" s="481">
        <f>V202+Z202</f>
        <v>16136015</v>
      </c>
      <c r="AB201" s="483"/>
      <c r="AC201" s="483"/>
      <c r="AD201" s="482"/>
      <c r="AE201" s="482"/>
      <c r="AF201" s="481">
        <f>SUM(AD202:AE202)</f>
        <v>65050</v>
      </c>
      <c r="AG201" s="481">
        <f>AA202+AB202+AC202+AF202</f>
        <v>21707543</v>
      </c>
      <c r="AH201" s="484"/>
      <c r="AI201" s="484"/>
      <c r="AJ201" s="484"/>
      <c r="AK201" s="484"/>
      <c r="AL201" s="484"/>
      <c r="AM201" s="484"/>
      <c r="AN201" s="484"/>
      <c r="AO201" s="484"/>
      <c r="AP201" s="606">
        <f>AH202+AJ202+AK202+AM202+AN202</f>
        <v>43.509999999999991</v>
      </c>
      <c r="AQ201" s="606">
        <f>AI202+AL202+AO202</f>
        <v>-1.54</v>
      </c>
      <c r="AR201" s="606">
        <f>SUM(AP202:AQ202)</f>
        <v>41.97</v>
      </c>
      <c r="AS201" s="474">
        <f>SUM(AT202:AX202)</f>
        <v>472787269</v>
      </c>
      <c r="AT201" s="54"/>
      <c r="AU201" s="54"/>
      <c r="AV201" s="54"/>
      <c r="AW201" s="54"/>
      <c r="AX201" s="54"/>
      <c r="AY201" s="475">
        <f>SUM(AZ202:BA202)</f>
        <v>691.9597</v>
      </c>
      <c r="AZ201" s="89"/>
      <c r="BA201" s="89"/>
    </row>
    <row r="202" spans="1:53" s="91" customFormat="1" ht="12.95" customHeight="1" thickBot="1" x14ac:dyDescent="0.3">
      <c r="A202" s="330"/>
      <c r="D202" s="330"/>
      <c r="E202" s="331"/>
      <c r="F202" s="330"/>
      <c r="G202" s="332"/>
      <c r="H202" s="493" t="s">
        <v>0</v>
      </c>
      <c r="I202" s="142">
        <f t="shared" ref="I202:BA202" si="670">SUM(I203:I212)</f>
        <v>451079726</v>
      </c>
      <c r="J202" s="34">
        <f t="shared" si="670"/>
        <v>330755015</v>
      </c>
      <c r="K202" s="34">
        <f t="shared" si="670"/>
        <v>111795191</v>
      </c>
      <c r="L202" s="34">
        <f t="shared" si="670"/>
        <v>3307553</v>
      </c>
      <c r="M202" s="34">
        <f t="shared" si="670"/>
        <v>5221967</v>
      </c>
      <c r="N202" s="35">
        <f t="shared" si="670"/>
        <v>649.98969999999997</v>
      </c>
      <c r="O202" s="35">
        <f t="shared" si="670"/>
        <v>457.28379999999999</v>
      </c>
      <c r="P202" s="151">
        <f t="shared" si="670"/>
        <v>192.70589999999999</v>
      </c>
      <c r="Q202" s="142">
        <f t="shared" si="670"/>
        <v>-980460</v>
      </c>
      <c r="R202" s="34">
        <f t="shared" si="670"/>
        <v>15479568</v>
      </c>
      <c r="S202" s="34">
        <f t="shared" si="670"/>
        <v>0</v>
      </c>
      <c r="T202" s="34">
        <f t="shared" si="670"/>
        <v>216200</v>
      </c>
      <c r="U202" s="34">
        <f t="shared" si="670"/>
        <v>-108900</v>
      </c>
      <c r="V202" s="34">
        <f t="shared" si="670"/>
        <v>14606408</v>
      </c>
      <c r="W202" s="34">
        <f t="shared" si="670"/>
        <v>980460</v>
      </c>
      <c r="X202" s="34">
        <f t="shared" si="670"/>
        <v>272360</v>
      </c>
      <c r="Y202" s="34">
        <f t="shared" si="670"/>
        <v>276787</v>
      </c>
      <c r="Z202" s="34">
        <f t="shared" si="670"/>
        <v>1529607</v>
      </c>
      <c r="AA202" s="34">
        <f t="shared" si="670"/>
        <v>16136015</v>
      </c>
      <c r="AB202" s="34">
        <f t="shared" si="670"/>
        <v>5360421</v>
      </c>
      <c r="AC202" s="34">
        <f t="shared" si="670"/>
        <v>146057</v>
      </c>
      <c r="AD202" s="34">
        <f t="shared" si="670"/>
        <v>65050</v>
      </c>
      <c r="AE202" s="34">
        <f t="shared" si="670"/>
        <v>0</v>
      </c>
      <c r="AF202" s="34">
        <f t="shared" si="670"/>
        <v>65050</v>
      </c>
      <c r="AG202" s="34">
        <f t="shared" si="670"/>
        <v>21707543</v>
      </c>
      <c r="AH202" s="35">
        <f t="shared" si="670"/>
        <v>-0.31</v>
      </c>
      <c r="AI202" s="35">
        <f t="shared" si="670"/>
        <v>-1.54</v>
      </c>
      <c r="AJ202" s="35">
        <f t="shared" si="670"/>
        <v>43.649999999999991</v>
      </c>
      <c r="AK202" s="35">
        <f t="shared" si="670"/>
        <v>0</v>
      </c>
      <c r="AL202" s="35">
        <f t="shared" si="670"/>
        <v>0</v>
      </c>
      <c r="AM202" s="35">
        <f t="shared" si="670"/>
        <v>0.16999999999999998</v>
      </c>
      <c r="AN202" s="35">
        <f t="shared" si="670"/>
        <v>0</v>
      </c>
      <c r="AO202" s="35">
        <f t="shared" si="670"/>
        <v>0</v>
      </c>
      <c r="AP202" s="35">
        <f t="shared" si="670"/>
        <v>43.51</v>
      </c>
      <c r="AQ202" s="35">
        <f t="shared" si="670"/>
        <v>-1.54</v>
      </c>
      <c r="AR202" s="151">
        <f t="shared" si="670"/>
        <v>41.969999999999992</v>
      </c>
      <c r="AS202" s="142">
        <f t="shared" si="670"/>
        <v>472787269</v>
      </c>
      <c r="AT202" s="34">
        <f t="shared" si="670"/>
        <v>345361423</v>
      </c>
      <c r="AU202" s="34">
        <f t="shared" si="670"/>
        <v>1529607</v>
      </c>
      <c r="AV202" s="34">
        <f t="shared" si="670"/>
        <v>117155612</v>
      </c>
      <c r="AW202" s="34">
        <f t="shared" si="670"/>
        <v>3453610</v>
      </c>
      <c r="AX202" s="34">
        <f t="shared" si="670"/>
        <v>5287017</v>
      </c>
      <c r="AY202" s="35">
        <f t="shared" si="670"/>
        <v>691.9597</v>
      </c>
      <c r="AZ202" s="35">
        <f t="shared" si="670"/>
        <v>500.79380000000003</v>
      </c>
      <c r="BA202" s="36">
        <f t="shared" si="670"/>
        <v>191.16589999999999</v>
      </c>
    </row>
    <row r="203" spans="1:53" s="91" customFormat="1" ht="12.95" customHeight="1" x14ac:dyDescent="0.25">
      <c r="A203" s="330"/>
      <c r="D203" s="330"/>
      <c r="E203" s="422"/>
      <c r="F203" s="330"/>
      <c r="G203" s="332"/>
      <c r="H203" s="494">
        <v>3111</v>
      </c>
      <c r="I203" s="580">
        <f t="shared" ref="I203:BA203" si="671">SUMIF($F$12:$F$464,"=3111",I$12:I$464)</f>
        <v>108148948</v>
      </c>
      <c r="J203" s="581">
        <f t="shared" si="671"/>
        <v>79804013</v>
      </c>
      <c r="K203" s="581">
        <f t="shared" si="671"/>
        <v>26973753</v>
      </c>
      <c r="L203" s="581">
        <f t="shared" si="671"/>
        <v>798042</v>
      </c>
      <c r="M203" s="581">
        <f t="shared" si="671"/>
        <v>573140</v>
      </c>
      <c r="N203" s="584">
        <f t="shared" si="671"/>
        <v>168.81279999999995</v>
      </c>
      <c r="O203" s="584">
        <f t="shared" si="671"/>
        <v>134.71280000000002</v>
      </c>
      <c r="P203" s="585">
        <f t="shared" si="671"/>
        <v>34.1</v>
      </c>
      <c r="Q203" s="580">
        <f t="shared" si="671"/>
        <v>-170300</v>
      </c>
      <c r="R203" s="581">
        <f t="shared" si="671"/>
        <v>1062476</v>
      </c>
      <c r="S203" s="581">
        <f t="shared" si="671"/>
        <v>0</v>
      </c>
      <c r="T203" s="581">
        <f t="shared" si="671"/>
        <v>0</v>
      </c>
      <c r="U203" s="581">
        <f t="shared" si="671"/>
        <v>0</v>
      </c>
      <c r="V203" s="581">
        <f t="shared" si="671"/>
        <v>892176</v>
      </c>
      <c r="W203" s="581">
        <f t="shared" si="671"/>
        <v>170300</v>
      </c>
      <c r="X203" s="581">
        <f t="shared" si="671"/>
        <v>0</v>
      </c>
      <c r="Y203" s="581">
        <f t="shared" si="671"/>
        <v>67887</v>
      </c>
      <c r="Z203" s="581">
        <f t="shared" si="671"/>
        <v>238187</v>
      </c>
      <c r="AA203" s="581">
        <f t="shared" si="671"/>
        <v>1130363</v>
      </c>
      <c r="AB203" s="581">
        <f t="shared" si="671"/>
        <v>359117</v>
      </c>
      <c r="AC203" s="581">
        <f t="shared" si="671"/>
        <v>8919</v>
      </c>
      <c r="AD203" s="581">
        <f t="shared" si="671"/>
        <v>0</v>
      </c>
      <c r="AE203" s="581">
        <f t="shared" si="671"/>
        <v>0</v>
      </c>
      <c r="AF203" s="581">
        <f t="shared" si="671"/>
        <v>0</v>
      </c>
      <c r="AG203" s="581">
        <f t="shared" si="671"/>
        <v>1498399</v>
      </c>
      <c r="AH203" s="584">
        <f t="shared" si="671"/>
        <v>0</v>
      </c>
      <c r="AI203" s="584">
        <f t="shared" si="671"/>
        <v>-0.33999999999999997</v>
      </c>
      <c r="AJ203" s="584">
        <f t="shared" si="671"/>
        <v>3.05</v>
      </c>
      <c r="AK203" s="584">
        <f t="shared" si="671"/>
        <v>0</v>
      </c>
      <c r="AL203" s="584">
        <f t="shared" si="671"/>
        <v>0</v>
      </c>
      <c r="AM203" s="584">
        <f t="shared" si="671"/>
        <v>0</v>
      </c>
      <c r="AN203" s="584">
        <f t="shared" si="671"/>
        <v>0</v>
      </c>
      <c r="AO203" s="584">
        <f t="shared" si="671"/>
        <v>0</v>
      </c>
      <c r="AP203" s="584">
        <f t="shared" si="671"/>
        <v>3.05</v>
      </c>
      <c r="AQ203" s="584">
        <f t="shared" si="671"/>
        <v>-0.33999999999999997</v>
      </c>
      <c r="AR203" s="585">
        <f t="shared" si="671"/>
        <v>2.71</v>
      </c>
      <c r="AS203" s="580">
        <f t="shared" si="671"/>
        <v>109647347</v>
      </c>
      <c r="AT203" s="581">
        <f t="shared" si="671"/>
        <v>80696189</v>
      </c>
      <c r="AU203" s="581">
        <f t="shared" si="671"/>
        <v>238187</v>
      </c>
      <c r="AV203" s="581">
        <f t="shared" si="671"/>
        <v>27332870</v>
      </c>
      <c r="AW203" s="581">
        <f t="shared" si="671"/>
        <v>806961</v>
      </c>
      <c r="AX203" s="581">
        <f t="shared" si="671"/>
        <v>573140</v>
      </c>
      <c r="AY203" s="584">
        <f t="shared" si="671"/>
        <v>171.52279999999999</v>
      </c>
      <c r="AZ203" s="584">
        <f t="shared" si="671"/>
        <v>137.7628</v>
      </c>
      <c r="BA203" s="587">
        <f t="shared" si="671"/>
        <v>33.76</v>
      </c>
    </row>
    <row r="204" spans="1:53" s="91" customFormat="1" ht="12.95" customHeight="1" x14ac:dyDescent="0.25">
      <c r="A204" s="330"/>
      <c r="D204" s="330"/>
      <c r="E204" s="422"/>
      <c r="F204" s="330"/>
      <c r="G204" s="332"/>
      <c r="H204" s="2">
        <v>3113</v>
      </c>
      <c r="I204" s="170">
        <f t="shared" ref="I204:BA204" si="672">SUMIF($F$12:$F$464,"=3113",I$12:I$464)</f>
        <v>179911774</v>
      </c>
      <c r="J204" s="16">
        <f t="shared" si="672"/>
        <v>131078819</v>
      </c>
      <c r="K204" s="16">
        <f t="shared" si="672"/>
        <v>44304642</v>
      </c>
      <c r="L204" s="16">
        <f t="shared" si="672"/>
        <v>1310788</v>
      </c>
      <c r="M204" s="16">
        <f t="shared" si="672"/>
        <v>3217525</v>
      </c>
      <c r="N204" s="13">
        <f t="shared" si="672"/>
        <v>221.07679999999996</v>
      </c>
      <c r="O204" s="13">
        <f t="shared" si="672"/>
        <v>177.6568</v>
      </c>
      <c r="P204" s="172">
        <f t="shared" si="672"/>
        <v>43.42</v>
      </c>
      <c r="Q204" s="170">
        <f t="shared" si="672"/>
        <v>-389350</v>
      </c>
      <c r="R204" s="16">
        <f t="shared" si="672"/>
        <v>11333350</v>
      </c>
      <c r="S204" s="16">
        <f t="shared" si="672"/>
        <v>0</v>
      </c>
      <c r="T204" s="16">
        <f t="shared" si="672"/>
        <v>216200</v>
      </c>
      <c r="U204" s="16">
        <f t="shared" si="672"/>
        <v>0</v>
      </c>
      <c r="V204" s="16">
        <f t="shared" si="672"/>
        <v>11160200</v>
      </c>
      <c r="W204" s="16">
        <f t="shared" si="672"/>
        <v>389350</v>
      </c>
      <c r="X204" s="16">
        <f t="shared" si="672"/>
        <v>222840</v>
      </c>
      <c r="Y204" s="16">
        <f t="shared" si="672"/>
        <v>100000</v>
      </c>
      <c r="Z204" s="16">
        <f t="shared" si="672"/>
        <v>712190</v>
      </c>
      <c r="AA204" s="16">
        <f t="shared" si="672"/>
        <v>11872390</v>
      </c>
      <c r="AB204" s="16">
        <f t="shared" si="672"/>
        <v>3979069</v>
      </c>
      <c r="AC204" s="16">
        <f t="shared" si="672"/>
        <v>111602</v>
      </c>
      <c r="AD204" s="16">
        <f t="shared" si="672"/>
        <v>65050</v>
      </c>
      <c r="AE204" s="16">
        <f t="shared" si="672"/>
        <v>0</v>
      </c>
      <c r="AF204" s="16">
        <f t="shared" si="672"/>
        <v>65050</v>
      </c>
      <c r="AG204" s="16">
        <f t="shared" si="672"/>
        <v>16028111</v>
      </c>
      <c r="AH204" s="13">
        <f t="shared" si="672"/>
        <v>-0.22999999999999998</v>
      </c>
      <c r="AI204" s="13">
        <f t="shared" si="672"/>
        <v>-0.47000000000000003</v>
      </c>
      <c r="AJ204" s="13">
        <f t="shared" si="672"/>
        <v>31.839999999999996</v>
      </c>
      <c r="AK204" s="13">
        <f t="shared" si="672"/>
        <v>0</v>
      </c>
      <c r="AL204" s="13">
        <f t="shared" si="672"/>
        <v>0</v>
      </c>
      <c r="AM204" s="13">
        <f t="shared" si="672"/>
        <v>0.16999999999999998</v>
      </c>
      <c r="AN204" s="13">
        <f t="shared" si="672"/>
        <v>0</v>
      </c>
      <c r="AO204" s="13">
        <f t="shared" si="672"/>
        <v>0</v>
      </c>
      <c r="AP204" s="13">
        <f t="shared" si="672"/>
        <v>31.779999999999998</v>
      </c>
      <c r="AQ204" s="13">
        <f t="shared" si="672"/>
        <v>-0.47000000000000003</v>
      </c>
      <c r="AR204" s="172">
        <f t="shared" si="672"/>
        <v>31.31</v>
      </c>
      <c r="AS204" s="170">
        <f t="shared" si="672"/>
        <v>195939885</v>
      </c>
      <c r="AT204" s="16">
        <f t="shared" si="672"/>
        <v>142239019</v>
      </c>
      <c r="AU204" s="16">
        <f t="shared" si="672"/>
        <v>712190</v>
      </c>
      <c r="AV204" s="16">
        <f t="shared" si="672"/>
        <v>48283711</v>
      </c>
      <c r="AW204" s="16">
        <f t="shared" si="672"/>
        <v>1422390</v>
      </c>
      <c r="AX204" s="16">
        <f t="shared" si="672"/>
        <v>3282575</v>
      </c>
      <c r="AY204" s="13">
        <f t="shared" si="672"/>
        <v>252.38680000000005</v>
      </c>
      <c r="AZ204" s="13">
        <f t="shared" si="672"/>
        <v>209.43680000000001</v>
      </c>
      <c r="BA204" s="17">
        <f t="shared" si="672"/>
        <v>42.95</v>
      </c>
    </row>
    <row r="205" spans="1:53" s="91" customFormat="1" ht="12.95" customHeight="1" x14ac:dyDescent="0.25">
      <c r="A205" s="330"/>
      <c r="D205" s="330"/>
      <c r="E205" s="422"/>
      <c r="F205" s="330"/>
      <c r="G205" s="332"/>
      <c r="H205" s="2">
        <v>3114</v>
      </c>
      <c r="I205" s="170">
        <f t="shared" ref="I205:BA205" si="673">SUMIF($F$12:$F$464,"=3114",I$12:I$464)</f>
        <v>26283951</v>
      </c>
      <c r="J205" s="16">
        <f t="shared" si="673"/>
        <v>19348680</v>
      </c>
      <c r="K205" s="16">
        <f t="shared" si="673"/>
        <v>6539854</v>
      </c>
      <c r="L205" s="16">
        <f t="shared" si="673"/>
        <v>193487</v>
      </c>
      <c r="M205" s="16">
        <f t="shared" si="673"/>
        <v>201930</v>
      </c>
      <c r="N205" s="13">
        <f t="shared" si="673"/>
        <v>34.990099999999998</v>
      </c>
      <c r="O205" s="13">
        <f t="shared" si="673"/>
        <v>28.457100000000001</v>
      </c>
      <c r="P205" s="172">
        <f t="shared" si="673"/>
        <v>6.5329999999999995</v>
      </c>
      <c r="Q205" s="170">
        <f t="shared" si="673"/>
        <v>0</v>
      </c>
      <c r="R205" s="16">
        <f t="shared" si="673"/>
        <v>329243</v>
      </c>
      <c r="S205" s="16">
        <f t="shared" si="673"/>
        <v>0</v>
      </c>
      <c r="T205" s="16">
        <f t="shared" si="673"/>
        <v>0</v>
      </c>
      <c r="U205" s="16">
        <f t="shared" si="673"/>
        <v>0</v>
      </c>
      <c r="V205" s="16">
        <f t="shared" si="673"/>
        <v>329243</v>
      </c>
      <c r="W205" s="16">
        <f t="shared" si="673"/>
        <v>0</v>
      </c>
      <c r="X205" s="16">
        <f t="shared" si="673"/>
        <v>0</v>
      </c>
      <c r="Y205" s="16">
        <f t="shared" si="673"/>
        <v>0</v>
      </c>
      <c r="Z205" s="16">
        <f t="shared" si="673"/>
        <v>0</v>
      </c>
      <c r="AA205" s="16">
        <f t="shared" si="673"/>
        <v>329243</v>
      </c>
      <c r="AB205" s="16">
        <f t="shared" si="673"/>
        <v>111284</v>
      </c>
      <c r="AC205" s="16">
        <f t="shared" si="673"/>
        <v>3292</v>
      </c>
      <c r="AD205" s="16">
        <f t="shared" si="673"/>
        <v>0</v>
      </c>
      <c r="AE205" s="16">
        <f t="shared" si="673"/>
        <v>0</v>
      </c>
      <c r="AF205" s="16">
        <f t="shared" si="673"/>
        <v>0</v>
      </c>
      <c r="AG205" s="16">
        <f t="shared" si="673"/>
        <v>443819</v>
      </c>
      <c r="AH205" s="13">
        <f t="shared" si="673"/>
        <v>0</v>
      </c>
      <c r="AI205" s="13">
        <f t="shared" si="673"/>
        <v>0</v>
      </c>
      <c r="AJ205" s="13">
        <f t="shared" si="673"/>
        <v>0.9</v>
      </c>
      <c r="AK205" s="13">
        <f t="shared" si="673"/>
        <v>0</v>
      </c>
      <c r="AL205" s="13">
        <f t="shared" si="673"/>
        <v>0</v>
      </c>
      <c r="AM205" s="13">
        <f t="shared" si="673"/>
        <v>0</v>
      </c>
      <c r="AN205" s="13">
        <f t="shared" si="673"/>
        <v>0</v>
      </c>
      <c r="AO205" s="13">
        <f t="shared" si="673"/>
        <v>0</v>
      </c>
      <c r="AP205" s="13">
        <f t="shared" si="673"/>
        <v>0.9</v>
      </c>
      <c r="AQ205" s="13">
        <f t="shared" si="673"/>
        <v>0</v>
      </c>
      <c r="AR205" s="172">
        <f t="shared" si="673"/>
        <v>0.9</v>
      </c>
      <c r="AS205" s="170">
        <f t="shared" si="673"/>
        <v>26727770</v>
      </c>
      <c r="AT205" s="16">
        <f t="shared" si="673"/>
        <v>19677923</v>
      </c>
      <c r="AU205" s="16">
        <f t="shared" si="673"/>
        <v>0</v>
      </c>
      <c r="AV205" s="16">
        <f t="shared" si="673"/>
        <v>6651138</v>
      </c>
      <c r="AW205" s="16">
        <f t="shared" si="673"/>
        <v>196779</v>
      </c>
      <c r="AX205" s="16">
        <f t="shared" si="673"/>
        <v>201930</v>
      </c>
      <c r="AY205" s="13">
        <f t="shared" si="673"/>
        <v>35.890099999999997</v>
      </c>
      <c r="AZ205" s="13">
        <f t="shared" si="673"/>
        <v>29.357099999999999</v>
      </c>
      <c r="BA205" s="17">
        <f t="shared" si="673"/>
        <v>6.5329999999999995</v>
      </c>
    </row>
    <row r="206" spans="1:53" s="91" customFormat="1" ht="12.95" customHeight="1" x14ac:dyDescent="0.25">
      <c r="A206" s="330"/>
      <c r="D206" s="330"/>
      <c r="E206" s="422"/>
      <c r="F206" s="330"/>
      <c r="G206" s="332"/>
      <c r="H206" s="2">
        <v>3117</v>
      </c>
      <c r="I206" s="170">
        <f t="shared" ref="I206:BA206" si="674">SUMIF($F$12:$F$464,"=3117",I$12:I$464)</f>
        <v>49391639</v>
      </c>
      <c r="J206" s="16">
        <f t="shared" si="674"/>
        <v>35957783</v>
      </c>
      <c r="K206" s="16">
        <f t="shared" si="674"/>
        <v>12153729</v>
      </c>
      <c r="L206" s="16">
        <f t="shared" si="674"/>
        <v>359577</v>
      </c>
      <c r="M206" s="16">
        <f t="shared" si="674"/>
        <v>920550</v>
      </c>
      <c r="N206" s="13">
        <f t="shared" si="674"/>
        <v>65.196000000000012</v>
      </c>
      <c r="O206" s="13">
        <f t="shared" si="674"/>
        <v>47.824799999999996</v>
      </c>
      <c r="P206" s="172">
        <f t="shared" si="674"/>
        <v>17.371199999999998</v>
      </c>
      <c r="Q206" s="170">
        <f t="shared" si="674"/>
        <v>-251550</v>
      </c>
      <c r="R206" s="16">
        <f t="shared" si="674"/>
        <v>2754499</v>
      </c>
      <c r="S206" s="16">
        <f t="shared" si="674"/>
        <v>0</v>
      </c>
      <c r="T206" s="16">
        <f t="shared" si="674"/>
        <v>0</v>
      </c>
      <c r="U206" s="16">
        <f t="shared" si="674"/>
        <v>-108900</v>
      </c>
      <c r="V206" s="16">
        <f t="shared" si="674"/>
        <v>2394049</v>
      </c>
      <c r="W206" s="16">
        <f t="shared" si="674"/>
        <v>251550</v>
      </c>
      <c r="X206" s="16">
        <f t="shared" si="674"/>
        <v>49520</v>
      </c>
      <c r="Y206" s="16">
        <f t="shared" si="674"/>
        <v>108900</v>
      </c>
      <c r="Z206" s="16">
        <f t="shared" si="674"/>
        <v>409970</v>
      </c>
      <c r="AA206" s="16">
        <f t="shared" si="674"/>
        <v>2804019</v>
      </c>
      <c r="AB206" s="16">
        <f t="shared" si="674"/>
        <v>910951</v>
      </c>
      <c r="AC206" s="16">
        <f t="shared" si="674"/>
        <v>23939</v>
      </c>
      <c r="AD206" s="16">
        <f t="shared" si="674"/>
        <v>0</v>
      </c>
      <c r="AE206" s="16">
        <f t="shared" si="674"/>
        <v>0</v>
      </c>
      <c r="AF206" s="16">
        <f t="shared" si="674"/>
        <v>0</v>
      </c>
      <c r="AG206" s="16">
        <f t="shared" si="674"/>
        <v>3738909</v>
      </c>
      <c r="AH206" s="13">
        <f t="shared" si="674"/>
        <v>-0.08</v>
      </c>
      <c r="AI206" s="13">
        <f t="shared" si="674"/>
        <v>-0.51</v>
      </c>
      <c r="AJ206" s="13">
        <f t="shared" si="674"/>
        <v>7.86</v>
      </c>
      <c r="AK206" s="13">
        <f t="shared" si="674"/>
        <v>0</v>
      </c>
      <c r="AL206" s="13">
        <f t="shared" si="674"/>
        <v>0</v>
      </c>
      <c r="AM206" s="13">
        <f t="shared" si="674"/>
        <v>0</v>
      </c>
      <c r="AN206" s="13">
        <f t="shared" si="674"/>
        <v>0</v>
      </c>
      <c r="AO206" s="13">
        <f t="shared" si="674"/>
        <v>0</v>
      </c>
      <c r="AP206" s="13">
        <f t="shared" si="674"/>
        <v>7.7800000000000011</v>
      </c>
      <c r="AQ206" s="13">
        <f t="shared" si="674"/>
        <v>-0.51</v>
      </c>
      <c r="AR206" s="172">
        <f t="shared" si="674"/>
        <v>7.2700000000000005</v>
      </c>
      <c r="AS206" s="170">
        <f t="shared" si="674"/>
        <v>53130548</v>
      </c>
      <c r="AT206" s="16">
        <f t="shared" si="674"/>
        <v>38351832</v>
      </c>
      <c r="AU206" s="16">
        <f t="shared" si="674"/>
        <v>409970</v>
      </c>
      <c r="AV206" s="16">
        <f t="shared" si="674"/>
        <v>13064680</v>
      </c>
      <c r="AW206" s="16">
        <f t="shared" si="674"/>
        <v>383516</v>
      </c>
      <c r="AX206" s="16">
        <f t="shared" si="674"/>
        <v>920550</v>
      </c>
      <c r="AY206" s="13">
        <f t="shared" si="674"/>
        <v>72.466000000000008</v>
      </c>
      <c r="AZ206" s="13">
        <f t="shared" si="674"/>
        <v>55.604799999999997</v>
      </c>
      <c r="BA206" s="17">
        <f t="shared" si="674"/>
        <v>16.861200000000004</v>
      </c>
    </row>
    <row r="207" spans="1:53" s="91" customFormat="1" ht="12.95" customHeight="1" x14ac:dyDescent="0.25">
      <c r="A207" s="330"/>
      <c r="D207" s="330"/>
      <c r="E207" s="422"/>
      <c r="F207" s="330"/>
      <c r="G207" s="332"/>
      <c r="H207" s="2">
        <v>3122</v>
      </c>
      <c r="I207" s="170">
        <f t="shared" ref="I207:BA207" si="675">SUMIF($F$12:$F$464,"=3122",I$12:I$464)</f>
        <v>0</v>
      </c>
      <c r="J207" s="16">
        <f t="shared" si="675"/>
        <v>0</v>
      </c>
      <c r="K207" s="16">
        <f t="shared" si="675"/>
        <v>0</v>
      </c>
      <c r="L207" s="16">
        <f t="shared" si="675"/>
        <v>0</v>
      </c>
      <c r="M207" s="16">
        <f t="shared" si="675"/>
        <v>0</v>
      </c>
      <c r="N207" s="13">
        <f t="shared" si="675"/>
        <v>0</v>
      </c>
      <c r="O207" s="13">
        <f t="shared" si="675"/>
        <v>0</v>
      </c>
      <c r="P207" s="172">
        <f t="shared" si="675"/>
        <v>0</v>
      </c>
      <c r="Q207" s="170">
        <f t="shared" si="675"/>
        <v>0</v>
      </c>
      <c r="R207" s="16">
        <f t="shared" si="675"/>
        <v>0</v>
      </c>
      <c r="S207" s="16">
        <f t="shared" si="675"/>
        <v>0</v>
      </c>
      <c r="T207" s="16">
        <f t="shared" si="675"/>
        <v>0</v>
      </c>
      <c r="U207" s="16">
        <f t="shared" si="675"/>
        <v>0</v>
      </c>
      <c r="V207" s="16">
        <f t="shared" si="675"/>
        <v>0</v>
      </c>
      <c r="W207" s="16">
        <f t="shared" si="675"/>
        <v>0</v>
      </c>
      <c r="X207" s="16">
        <f t="shared" si="675"/>
        <v>0</v>
      </c>
      <c r="Y207" s="16">
        <f t="shared" si="675"/>
        <v>0</v>
      </c>
      <c r="Z207" s="16">
        <f t="shared" si="675"/>
        <v>0</v>
      </c>
      <c r="AA207" s="16">
        <f t="shared" si="675"/>
        <v>0</v>
      </c>
      <c r="AB207" s="16">
        <f t="shared" si="675"/>
        <v>0</v>
      </c>
      <c r="AC207" s="16">
        <f t="shared" si="675"/>
        <v>0</v>
      </c>
      <c r="AD207" s="16">
        <f t="shared" si="675"/>
        <v>0</v>
      </c>
      <c r="AE207" s="16">
        <f t="shared" si="675"/>
        <v>0</v>
      </c>
      <c r="AF207" s="16">
        <f t="shared" si="675"/>
        <v>0</v>
      </c>
      <c r="AG207" s="16">
        <f t="shared" si="675"/>
        <v>0</v>
      </c>
      <c r="AH207" s="13">
        <f t="shared" si="675"/>
        <v>0</v>
      </c>
      <c r="AI207" s="13">
        <f t="shared" si="675"/>
        <v>0</v>
      </c>
      <c r="AJ207" s="13">
        <f t="shared" si="675"/>
        <v>0</v>
      </c>
      <c r="AK207" s="13">
        <f t="shared" si="675"/>
        <v>0</v>
      </c>
      <c r="AL207" s="13">
        <f t="shared" si="675"/>
        <v>0</v>
      </c>
      <c r="AM207" s="13">
        <f t="shared" si="675"/>
        <v>0</v>
      </c>
      <c r="AN207" s="13">
        <f t="shared" si="675"/>
        <v>0</v>
      </c>
      <c r="AO207" s="13">
        <f t="shared" si="675"/>
        <v>0</v>
      </c>
      <c r="AP207" s="13">
        <f t="shared" si="675"/>
        <v>0</v>
      </c>
      <c r="AQ207" s="13">
        <f t="shared" si="675"/>
        <v>0</v>
      </c>
      <c r="AR207" s="172">
        <f t="shared" si="675"/>
        <v>0</v>
      </c>
      <c r="AS207" s="170">
        <f t="shared" si="675"/>
        <v>0</v>
      </c>
      <c r="AT207" s="16">
        <f t="shared" si="675"/>
        <v>0</v>
      </c>
      <c r="AU207" s="16">
        <f t="shared" si="675"/>
        <v>0</v>
      </c>
      <c r="AV207" s="16">
        <f t="shared" si="675"/>
        <v>0</v>
      </c>
      <c r="AW207" s="16">
        <f t="shared" si="675"/>
        <v>0</v>
      </c>
      <c r="AX207" s="16">
        <f t="shared" si="675"/>
        <v>0</v>
      </c>
      <c r="AY207" s="13">
        <f t="shared" si="675"/>
        <v>0</v>
      </c>
      <c r="AZ207" s="13">
        <f t="shared" si="675"/>
        <v>0</v>
      </c>
      <c r="BA207" s="17">
        <f t="shared" si="675"/>
        <v>0</v>
      </c>
    </row>
    <row r="208" spans="1:53" s="91" customFormat="1" ht="12.95" customHeight="1" x14ac:dyDescent="0.25">
      <c r="A208" s="330"/>
      <c r="D208" s="330"/>
      <c r="E208" s="422"/>
      <c r="F208" s="330"/>
      <c r="G208" s="332"/>
      <c r="H208" s="2">
        <v>3124</v>
      </c>
      <c r="I208" s="170">
        <f t="shared" ref="I208:BA208" si="676">SUMIF($F$12:$F$464,"=3124",I$12:I$464)</f>
        <v>0</v>
      </c>
      <c r="J208" s="16">
        <f t="shared" si="676"/>
        <v>0</v>
      </c>
      <c r="K208" s="16">
        <f t="shared" si="676"/>
        <v>0</v>
      </c>
      <c r="L208" s="16">
        <f t="shared" si="676"/>
        <v>0</v>
      </c>
      <c r="M208" s="16">
        <f t="shared" si="676"/>
        <v>0</v>
      </c>
      <c r="N208" s="13">
        <f t="shared" si="676"/>
        <v>0</v>
      </c>
      <c r="O208" s="13">
        <f t="shared" si="676"/>
        <v>0</v>
      </c>
      <c r="P208" s="172">
        <f t="shared" si="676"/>
        <v>0</v>
      </c>
      <c r="Q208" s="170">
        <f t="shared" si="676"/>
        <v>0</v>
      </c>
      <c r="R208" s="16">
        <f t="shared" si="676"/>
        <v>0</v>
      </c>
      <c r="S208" s="16">
        <f t="shared" si="676"/>
        <v>0</v>
      </c>
      <c r="T208" s="16">
        <f t="shared" si="676"/>
        <v>0</v>
      </c>
      <c r="U208" s="16">
        <f t="shared" si="676"/>
        <v>0</v>
      </c>
      <c r="V208" s="16">
        <f t="shared" si="676"/>
        <v>0</v>
      </c>
      <c r="W208" s="16">
        <f t="shared" si="676"/>
        <v>0</v>
      </c>
      <c r="X208" s="16">
        <f t="shared" si="676"/>
        <v>0</v>
      </c>
      <c r="Y208" s="16">
        <f t="shared" si="676"/>
        <v>0</v>
      </c>
      <c r="Z208" s="16">
        <f t="shared" si="676"/>
        <v>0</v>
      </c>
      <c r="AA208" s="16">
        <f t="shared" si="676"/>
        <v>0</v>
      </c>
      <c r="AB208" s="16">
        <f t="shared" si="676"/>
        <v>0</v>
      </c>
      <c r="AC208" s="16">
        <f t="shared" si="676"/>
        <v>0</v>
      </c>
      <c r="AD208" s="16">
        <f t="shared" si="676"/>
        <v>0</v>
      </c>
      <c r="AE208" s="16">
        <f t="shared" si="676"/>
        <v>0</v>
      </c>
      <c r="AF208" s="16">
        <f t="shared" si="676"/>
        <v>0</v>
      </c>
      <c r="AG208" s="16">
        <f t="shared" si="676"/>
        <v>0</v>
      </c>
      <c r="AH208" s="13">
        <f t="shared" si="676"/>
        <v>0</v>
      </c>
      <c r="AI208" s="13">
        <f t="shared" si="676"/>
        <v>0</v>
      </c>
      <c r="AJ208" s="13">
        <f t="shared" si="676"/>
        <v>0</v>
      </c>
      <c r="AK208" s="13">
        <f t="shared" si="676"/>
        <v>0</v>
      </c>
      <c r="AL208" s="13">
        <f t="shared" si="676"/>
        <v>0</v>
      </c>
      <c r="AM208" s="13">
        <f t="shared" si="676"/>
        <v>0</v>
      </c>
      <c r="AN208" s="13">
        <f t="shared" si="676"/>
        <v>0</v>
      </c>
      <c r="AO208" s="13">
        <f t="shared" si="676"/>
        <v>0</v>
      </c>
      <c r="AP208" s="13">
        <f t="shared" si="676"/>
        <v>0</v>
      </c>
      <c r="AQ208" s="13">
        <f t="shared" si="676"/>
        <v>0</v>
      </c>
      <c r="AR208" s="172">
        <f t="shared" si="676"/>
        <v>0</v>
      </c>
      <c r="AS208" s="170">
        <f t="shared" si="676"/>
        <v>0</v>
      </c>
      <c r="AT208" s="16">
        <f t="shared" si="676"/>
        <v>0</v>
      </c>
      <c r="AU208" s="16">
        <f t="shared" si="676"/>
        <v>0</v>
      </c>
      <c r="AV208" s="16">
        <f t="shared" si="676"/>
        <v>0</v>
      </c>
      <c r="AW208" s="16">
        <f t="shared" si="676"/>
        <v>0</v>
      </c>
      <c r="AX208" s="16">
        <f t="shared" si="676"/>
        <v>0</v>
      </c>
      <c r="AY208" s="13">
        <f t="shared" si="676"/>
        <v>0</v>
      </c>
      <c r="AZ208" s="13">
        <f t="shared" si="676"/>
        <v>0</v>
      </c>
      <c r="BA208" s="17">
        <f t="shared" si="676"/>
        <v>0</v>
      </c>
    </row>
    <row r="209" spans="1:53" s="91" customFormat="1" ht="12.95" customHeight="1" x14ac:dyDescent="0.25">
      <c r="A209" s="330"/>
      <c r="D209" s="330"/>
      <c r="E209" s="422"/>
      <c r="F209" s="330"/>
      <c r="G209" s="332"/>
      <c r="H209" s="2">
        <v>3141</v>
      </c>
      <c r="I209" s="170">
        <f t="shared" ref="I209:BA209" si="677">SUMIF($F$12:$F$464,"=3141",I$12:I$464)</f>
        <v>35092690</v>
      </c>
      <c r="J209" s="16">
        <f t="shared" si="677"/>
        <v>25862675</v>
      </c>
      <c r="K209" s="16">
        <f t="shared" si="677"/>
        <v>8741584</v>
      </c>
      <c r="L209" s="16">
        <f t="shared" si="677"/>
        <v>258627</v>
      </c>
      <c r="M209" s="16">
        <f t="shared" si="677"/>
        <v>229804</v>
      </c>
      <c r="N209" s="13">
        <f t="shared" si="677"/>
        <v>83.109999999999985</v>
      </c>
      <c r="O209" s="13">
        <f t="shared" si="677"/>
        <v>0</v>
      </c>
      <c r="P209" s="172">
        <f t="shared" si="677"/>
        <v>83.109999999999985</v>
      </c>
      <c r="Q209" s="170">
        <f t="shared" si="677"/>
        <v>-139750</v>
      </c>
      <c r="R209" s="16">
        <f t="shared" si="677"/>
        <v>0</v>
      </c>
      <c r="S209" s="16">
        <f t="shared" si="677"/>
        <v>0</v>
      </c>
      <c r="T209" s="16">
        <f t="shared" si="677"/>
        <v>0</v>
      </c>
      <c r="U209" s="16">
        <f t="shared" si="677"/>
        <v>0</v>
      </c>
      <c r="V209" s="16">
        <f t="shared" si="677"/>
        <v>-139750</v>
      </c>
      <c r="W209" s="16">
        <f t="shared" si="677"/>
        <v>139750</v>
      </c>
      <c r="X209" s="16">
        <f t="shared" si="677"/>
        <v>0</v>
      </c>
      <c r="Y209" s="16">
        <f t="shared" si="677"/>
        <v>0</v>
      </c>
      <c r="Z209" s="16">
        <f t="shared" si="677"/>
        <v>139750</v>
      </c>
      <c r="AA209" s="16">
        <f t="shared" si="677"/>
        <v>0</v>
      </c>
      <c r="AB209" s="16">
        <f t="shared" si="677"/>
        <v>0</v>
      </c>
      <c r="AC209" s="16">
        <f t="shared" si="677"/>
        <v>-1399</v>
      </c>
      <c r="AD209" s="16">
        <f t="shared" si="677"/>
        <v>0</v>
      </c>
      <c r="AE209" s="16">
        <f t="shared" si="677"/>
        <v>0</v>
      </c>
      <c r="AF209" s="16">
        <f t="shared" si="677"/>
        <v>0</v>
      </c>
      <c r="AG209" s="16">
        <f t="shared" si="677"/>
        <v>-1399</v>
      </c>
      <c r="AH209" s="13">
        <f t="shared" si="677"/>
        <v>0</v>
      </c>
      <c r="AI209" s="13">
        <f t="shared" si="677"/>
        <v>-0.2</v>
      </c>
      <c r="AJ209" s="13">
        <f t="shared" si="677"/>
        <v>0</v>
      </c>
      <c r="AK209" s="13">
        <f t="shared" si="677"/>
        <v>0</v>
      </c>
      <c r="AL209" s="13">
        <f t="shared" si="677"/>
        <v>0</v>
      </c>
      <c r="AM209" s="13">
        <f t="shared" si="677"/>
        <v>0</v>
      </c>
      <c r="AN209" s="13">
        <f t="shared" si="677"/>
        <v>0</v>
      </c>
      <c r="AO209" s="13">
        <f t="shared" si="677"/>
        <v>0</v>
      </c>
      <c r="AP209" s="13">
        <f t="shared" si="677"/>
        <v>0</v>
      </c>
      <c r="AQ209" s="13">
        <f t="shared" si="677"/>
        <v>-0.2</v>
      </c>
      <c r="AR209" s="172">
        <f t="shared" si="677"/>
        <v>-0.2</v>
      </c>
      <c r="AS209" s="170">
        <f t="shared" si="677"/>
        <v>35091291</v>
      </c>
      <c r="AT209" s="16">
        <f t="shared" si="677"/>
        <v>25722925</v>
      </c>
      <c r="AU209" s="16">
        <f t="shared" si="677"/>
        <v>139750</v>
      </c>
      <c r="AV209" s="16">
        <f t="shared" si="677"/>
        <v>8741584</v>
      </c>
      <c r="AW209" s="16">
        <f t="shared" si="677"/>
        <v>257228</v>
      </c>
      <c r="AX209" s="16">
        <f t="shared" si="677"/>
        <v>229804</v>
      </c>
      <c r="AY209" s="13">
        <f t="shared" si="677"/>
        <v>82.909999999999982</v>
      </c>
      <c r="AZ209" s="13">
        <f t="shared" si="677"/>
        <v>0</v>
      </c>
      <c r="BA209" s="17">
        <f t="shared" si="677"/>
        <v>82.909999999999982</v>
      </c>
    </row>
    <row r="210" spans="1:53" s="91" customFormat="1" ht="12.95" customHeight="1" x14ac:dyDescent="0.25">
      <c r="A210" s="330"/>
      <c r="D210" s="330"/>
      <c r="E210" s="422"/>
      <c r="F210" s="330"/>
      <c r="G210" s="332"/>
      <c r="H210" s="2">
        <v>3143</v>
      </c>
      <c r="I210" s="170">
        <f t="shared" ref="I210:BA210" si="678">SUMIF($F$12:$F$464,"=3143",I$12:I$464)</f>
        <v>25022080</v>
      </c>
      <c r="J210" s="16">
        <f t="shared" si="678"/>
        <v>18538878</v>
      </c>
      <c r="K210" s="16">
        <f t="shared" si="678"/>
        <v>6266141</v>
      </c>
      <c r="L210" s="16">
        <f t="shared" si="678"/>
        <v>185390</v>
      </c>
      <c r="M210" s="16">
        <f t="shared" si="678"/>
        <v>31671</v>
      </c>
      <c r="N210" s="13">
        <f t="shared" si="678"/>
        <v>39.549600000000012</v>
      </c>
      <c r="O210" s="13">
        <f t="shared" si="678"/>
        <v>37.049599999999998</v>
      </c>
      <c r="P210" s="172">
        <f t="shared" si="678"/>
        <v>2.5</v>
      </c>
      <c r="Q210" s="170">
        <f t="shared" si="678"/>
        <v>-29510</v>
      </c>
      <c r="R210" s="16">
        <f t="shared" si="678"/>
        <v>0</v>
      </c>
      <c r="S210" s="16">
        <f t="shared" si="678"/>
        <v>0</v>
      </c>
      <c r="T210" s="16">
        <f t="shared" si="678"/>
        <v>0</v>
      </c>
      <c r="U210" s="16">
        <f t="shared" si="678"/>
        <v>0</v>
      </c>
      <c r="V210" s="16">
        <f t="shared" si="678"/>
        <v>-29510</v>
      </c>
      <c r="W210" s="16">
        <f t="shared" si="678"/>
        <v>29510</v>
      </c>
      <c r="X210" s="16">
        <f t="shared" si="678"/>
        <v>0</v>
      </c>
      <c r="Y210" s="16">
        <f t="shared" si="678"/>
        <v>0</v>
      </c>
      <c r="Z210" s="16">
        <f t="shared" si="678"/>
        <v>29510</v>
      </c>
      <c r="AA210" s="16">
        <f t="shared" si="678"/>
        <v>0</v>
      </c>
      <c r="AB210" s="16">
        <f t="shared" si="678"/>
        <v>0</v>
      </c>
      <c r="AC210" s="16">
        <f t="shared" si="678"/>
        <v>-296</v>
      </c>
      <c r="AD210" s="16">
        <f t="shared" si="678"/>
        <v>0</v>
      </c>
      <c r="AE210" s="16">
        <f t="shared" si="678"/>
        <v>0</v>
      </c>
      <c r="AF210" s="16">
        <f t="shared" si="678"/>
        <v>0</v>
      </c>
      <c r="AG210" s="16">
        <f t="shared" si="678"/>
        <v>-296</v>
      </c>
      <c r="AH210" s="13">
        <f t="shared" si="678"/>
        <v>0</v>
      </c>
      <c r="AI210" s="13">
        <f t="shared" si="678"/>
        <v>-0.02</v>
      </c>
      <c r="AJ210" s="13">
        <f t="shared" si="678"/>
        <v>0</v>
      </c>
      <c r="AK210" s="13">
        <f t="shared" si="678"/>
        <v>0</v>
      </c>
      <c r="AL210" s="13">
        <f t="shared" si="678"/>
        <v>0</v>
      </c>
      <c r="AM210" s="13">
        <f t="shared" si="678"/>
        <v>0</v>
      </c>
      <c r="AN210" s="13">
        <f t="shared" si="678"/>
        <v>0</v>
      </c>
      <c r="AO210" s="13">
        <f t="shared" si="678"/>
        <v>0</v>
      </c>
      <c r="AP210" s="13">
        <f t="shared" si="678"/>
        <v>0</v>
      </c>
      <c r="AQ210" s="13">
        <f t="shared" si="678"/>
        <v>-0.02</v>
      </c>
      <c r="AR210" s="172">
        <f t="shared" si="678"/>
        <v>-0.02</v>
      </c>
      <c r="AS210" s="170">
        <f t="shared" si="678"/>
        <v>25021784</v>
      </c>
      <c r="AT210" s="16">
        <f t="shared" si="678"/>
        <v>18509368</v>
      </c>
      <c r="AU210" s="16">
        <f t="shared" si="678"/>
        <v>29510</v>
      </c>
      <c r="AV210" s="16">
        <f t="shared" si="678"/>
        <v>6266141</v>
      </c>
      <c r="AW210" s="16">
        <f t="shared" si="678"/>
        <v>185094</v>
      </c>
      <c r="AX210" s="16">
        <f t="shared" si="678"/>
        <v>31671</v>
      </c>
      <c r="AY210" s="13">
        <f t="shared" si="678"/>
        <v>39.529600000000002</v>
      </c>
      <c r="AZ210" s="13">
        <f t="shared" si="678"/>
        <v>37.049599999999998</v>
      </c>
      <c r="BA210" s="17">
        <f t="shared" si="678"/>
        <v>2.48</v>
      </c>
    </row>
    <row r="211" spans="1:53" s="91" customFormat="1" ht="12.95" customHeight="1" x14ac:dyDescent="0.25">
      <c r="A211" s="330"/>
      <c r="D211" s="330"/>
      <c r="E211" s="422"/>
      <c r="F211" s="330"/>
      <c r="G211" s="332"/>
      <c r="H211" s="2">
        <v>3231</v>
      </c>
      <c r="I211" s="170">
        <f t="shared" ref="I211:BA211" si="679">SUMIF($F$12:$F$464,"=3231",I$12:I$464)</f>
        <v>23049367</v>
      </c>
      <c r="J211" s="16">
        <f t="shared" si="679"/>
        <v>17068663</v>
      </c>
      <c r="K211" s="16">
        <f t="shared" si="679"/>
        <v>5769208</v>
      </c>
      <c r="L211" s="16">
        <f t="shared" si="679"/>
        <v>170687</v>
      </c>
      <c r="M211" s="16">
        <f t="shared" si="679"/>
        <v>40809</v>
      </c>
      <c r="N211" s="13">
        <f t="shared" si="679"/>
        <v>30.104399999999998</v>
      </c>
      <c r="O211" s="13">
        <f t="shared" si="679"/>
        <v>27.3127</v>
      </c>
      <c r="P211" s="172">
        <f t="shared" si="679"/>
        <v>2.7917000000000001</v>
      </c>
      <c r="Q211" s="170">
        <f t="shared" si="679"/>
        <v>0</v>
      </c>
      <c r="R211" s="16">
        <f t="shared" si="679"/>
        <v>0</v>
      </c>
      <c r="S211" s="16">
        <f t="shared" si="679"/>
        <v>0</v>
      </c>
      <c r="T211" s="16">
        <f t="shared" si="679"/>
        <v>0</v>
      </c>
      <c r="U211" s="16">
        <f t="shared" si="679"/>
        <v>0</v>
      </c>
      <c r="V211" s="16">
        <f t="shared" si="679"/>
        <v>0</v>
      </c>
      <c r="W211" s="16">
        <f t="shared" si="679"/>
        <v>0</v>
      </c>
      <c r="X211" s="16">
        <f t="shared" si="679"/>
        <v>0</v>
      </c>
      <c r="Y211" s="16">
        <f t="shared" si="679"/>
        <v>0</v>
      </c>
      <c r="Z211" s="16">
        <f t="shared" si="679"/>
        <v>0</v>
      </c>
      <c r="AA211" s="16">
        <f t="shared" si="679"/>
        <v>0</v>
      </c>
      <c r="AB211" s="16">
        <f t="shared" si="679"/>
        <v>0</v>
      </c>
      <c r="AC211" s="16">
        <f t="shared" si="679"/>
        <v>0</v>
      </c>
      <c r="AD211" s="16">
        <f t="shared" si="679"/>
        <v>0</v>
      </c>
      <c r="AE211" s="16">
        <f t="shared" si="679"/>
        <v>0</v>
      </c>
      <c r="AF211" s="16">
        <f t="shared" si="679"/>
        <v>0</v>
      </c>
      <c r="AG211" s="16">
        <f t="shared" si="679"/>
        <v>0</v>
      </c>
      <c r="AH211" s="13">
        <f t="shared" si="679"/>
        <v>0</v>
      </c>
      <c r="AI211" s="13">
        <f t="shared" si="679"/>
        <v>0</v>
      </c>
      <c r="AJ211" s="13">
        <f t="shared" si="679"/>
        <v>0</v>
      </c>
      <c r="AK211" s="13">
        <f t="shared" si="679"/>
        <v>0</v>
      </c>
      <c r="AL211" s="13">
        <f t="shared" si="679"/>
        <v>0</v>
      </c>
      <c r="AM211" s="13">
        <f t="shared" si="679"/>
        <v>0</v>
      </c>
      <c r="AN211" s="13">
        <f t="shared" si="679"/>
        <v>0</v>
      </c>
      <c r="AO211" s="13">
        <f t="shared" si="679"/>
        <v>0</v>
      </c>
      <c r="AP211" s="13">
        <f t="shared" si="679"/>
        <v>0</v>
      </c>
      <c r="AQ211" s="13">
        <f t="shared" si="679"/>
        <v>0</v>
      </c>
      <c r="AR211" s="172">
        <f t="shared" si="679"/>
        <v>0</v>
      </c>
      <c r="AS211" s="170">
        <f t="shared" si="679"/>
        <v>23049367</v>
      </c>
      <c r="AT211" s="16">
        <f t="shared" si="679"/>
        <v>17068663</v>
      </c>
      <c r="AU211" s="16">
        <f t="shared" si="679"/>
        <v>0</v>
      </c>
      <c r="AV211" s="16">
        <f t="shared" si="679"/>
        <v>5769208</v>
      </c>
      <c r="AW211" s="16">
        <f t="shared" si="679"/>
        <v>170687</v>
      </c>
      <c r="AX211" s="16">
        <f t="shared" si="679"/>
        <v>40809</v>
      </c>
      <c r="AY211" s="13">
        <f t="shared" si="679"/>
        <v>30.104399999999998</v>
      </c>
      <c r="AZ211" s="13">
        <f t="shared" si="679"/>
        <v>27.3127</v>
      </c>
      <c r="BA211" s="17">
        <f t="shared" si="679"/>
        <v>2.7917000000000001</v>
      </c>
    </row>
    <row r="212" spans="1:53" s="91" customFormat="1" ht="12.95" customHeight="1" thickBot="1" x14ac:dyDescent="0.3">
      <c r="A212" s="330"/>
      <c r="D212" s="330"/>
      <c r="E212" s="422"/>
      <c r="F212" s="330"/>
      <c r="G212" s="332"/>
      <c r="H212" s="154">
        <v>3233</v>
      </c>
      <c r="I212" s="173">
        <f t="shared" ref="I212:BA212" si="680">SUMIF($F$12:$F$464,"=3233",I$12:I$464)</f>
        <v>4179277</v>
      </c>
      <c r="J212" s="174">
        <f t="shared" si="680"/>
        <v>3095504</v>
      </c>
      <c r="K212" s="174">
        <f t="shared" si="680"/>
        <v>1046280</v>
      </c>
      <c r="L212" s="174">
        <f t="shared" si="680"/>
        <v>30955</v>
      </c>
      <c r="M212" s="174">
        <f t="shared" si="680"/>
        <v>6538</v>
      </c>
      <c r="N212" s="175">
        <f t="shared" si="680"/>
        <v>7.1499999999999995</v>
      </c>
      <c r="O212" s="175">
        <f t="shared" si="680"/>
        <v>4.2699999999999996</v>
      </c>
      <c r="P212" s="178">
        <f t="shared" si="680"/>
        <v>2.88</v>
      </c>
      <c r="Q212" s="173">
        <f t="shared" si="680"/>
        <v>0</v>
      </c>
      <c r="R212" s="174">
        <f t="shared" si="680"/>
        <v>0</v>
      </c>
      <c r="S212" s="174">
        <f t="shared" si="680"/>
        <v>0</v>
      </c>
      <c r="T212" s="174">
        <f t="shared" si="680"/>
        <v>0</v>
      </c>
      <c r="U212" s="174">
        <f t="shared" si="680"/>
        <v>0</v>
      </c>
      <c r="V212" s="174">
        <f t="shared" si="680"/>
        <v>0</v>
      </c>
      <c r="W212" s="174">
        <f t="shared" si="680"/>
        <v>0</v>
      </c>
      <c r="X212" s="174">
        <f t="shared" si="680"/>
        <v>0</v>
      </c>
      <c r="Y212" s="174">
        <f t="shared" si="680"/>
        <v>0</v>
      </c>
      <c r="Z212" s="174">
        <f t="shared" si="680"/>
        <v>0</v>
      </c>
      <c r="AA212" s="174">
        <f t="shared" si="680"/>
        <v>0</v>
      </c>
      <c r="AB212" s="174">
        <f t="shared" si="680"/>
        <v>0</v>
      </c>
      <c r="AC212" s="174">
        <f t="shared" si="680"/>
        <v>0</v>
      </c>
      <c r="AD212" s="174">
        <f t="shared" si="680"/>
        <v>0</v>
      </c>
      <c r="AE212" s="174">
        <f t="shared" si="680"/>
        <v>0</v>
      </c>
      <c r="AF212" s="174">
        <f t="shared" si="680"/>
        <v>0</v>
      </c>
      <c r="AG212" s="174">
        <f t="shared" si="680"/>
        <v>0</v>
      </c>
      <c r="AH212" s="175">
        <f t="shared" si="680"/>
        <v>0</v>
      </c>
      <c r="AI212" s="175">
        <f t="shared" si="680"/>
        <v>0</v>
      </c>
      <c r="AJ212" s="175">
        <f t="shared" si="680"/>
        <v>0</v>
      </c>
      <c r="AK212" s="175">
        <f t="shared" si="680"/>
        <v>0</v>
      </c>
      <c r="AL212" s="175">
        <f t="shared" si="680"/>
        <v>0</v>
      </c>
      <c r="AM212" s="175">
        <f t="shared" si="680"/>
        <v>0</v>
      </c>
      <c r="AN212" s="175">
        <f t="shared" si="680"/>
        <v>0</v>
      </c>
      <c r="AO212" s="175">
        <f t="shared" si="680"/>
        <v>0</v>
      </c>
      <c r="AP212" s="175">
        <f t="shared" si="680"/>
        <v>0</v>
      </c>
      <c r="AQ212" s="175">
        <f t="shared" si="680"/>
        <v>0</v>
      </c>
      <c r="AR212" s="178">
        <f t="shared" si="680"/>
        <v>0</v>
      </c>
      <c r="AS212" s="173">
        <f t="shared" si="680"/>
        <v>4179277</v>
      </c>
      <c r="AT212" s="174">
        <f t="shared" si="680"/>
        <v>3095504</v>
      </c>
      <c r="AU212" s="174">
        <f t="shared" si="680"/>
        <v>0</v>
      </c>
      <c r="AV212" s="174">
        <f t="shared" si="680"/>
        <v>1046280</v>
      </c>
      <c r="AW212" s="174">
        <f t="shared" si="680"/>
        <v>30955</v>
      </c>
      <c r="AX212" s="174">
        <f t="shared" si="680"/>
        <v>6538</v>
      </c>
      <c r="AY212" s="175">
        <f t="shared" si="680"/>
        <v>7.1499999999999995</v>
      </c>
      <c r="AZ212" s="175">
        <f t="shared" si="680"/>
        <v>4.2699999999999996</v>
      </c>
      <c r="BA212" s="176">
        <f t="shared" si="680"/>
        <v>2.88</v>
      </c>
    </row>
    <row r="213" spans="1:53" s="333" customFormat="1" ht="12.95" customHeight="1" x14ac:dyDescent="0.25">
      <c r="A213" s="420"/>
      <c r="B213" s="269"/>
      <c r="C213" s="269"/>
      <c r="D213" s="269"/>
      <c r="E213" s="269"/>
      <c r="F213" s="269"/>
      <c r="G213" s="269"/>
      <c r="H213" s="421"/>
      <c r="N213" s="334"/>
      <c r="O213" s="334"/>
      <c r="P213" s="334"/>
      <c r="AH213" s="334"/>
      <c r="AI213" s="334"/>
      <c r="AJ213" s="334"/>
      <c r="AK213" s="334"/>
      <c r="AL213" s="334"/>
      <c r="AM213" s="334"/>
      <c r="AN213" s="334"/>
      <c r="AO213" s="334"/>
      <c r="AP213" s="334"/>
      <c r="AQ213" s="334"/>
      <c r="AR213" s="334"/>
      <c r="AY213" s="334"/>
      <c r="AZ213" s="334"/>
      <c r="BA213" s="334"/>
    </row>
    <row r="214" spans="1:53" s="333" customFormat="1" ht="12.95" customHeight="1" x14ac:dyDescent="0.25">
      <c r="A214" s="420"/>
      <c r="B214" s="269"/>
      <c r="C214" s="269"/>
      <c r="D214" s="269"/>
      <c r="E214" s="269"/>
      <c r="F214" s="328"/>
      <c r="G214" s="269"/>
      <c r="H214" s="421"/>
      <c r="N214" s="334"/>
      <c r="O214" s="334"/>
      <c r="P214" s="334"/>
      <c r="AH214" s="334"/>
      <c r="AI214" s="334"/>
      <c r="AJ214" s="334"/>
      <c r="AK214" s="334"/>
      <c r="AL214" s="334"/>
      <c r="AM214" s="334"/>
      <c r="AN214" s="334"/>
      <c r="AO214" s="334"/>
      <c r="AP214" s="334"/>
      <c r="AQ214" s="334"/>
      <c r="AR214" s="334"/>
      <c r="AY214" s="334"/>
      <c r="AZ214" s="334"/>
      <c r="BA214" s="334"/>
    </row>
    <row r="215" spans="1:53" s="333" customFormat="1" x14ac:dyDescent="0.25">
      <c r="A215" s="420"/>
      <c r="B215" s="269"/>
      <c r="C215" s="269"/>
      <c r="D215" s="269"/>
      <c r="E215" s="269"/>
      <c r="F215" s="328"/>
      <c r="G215" s="269"/>
      <c r="H215" s="421"/>
      <c r="N215" s="334"/>
      <c r="O215" s="334"/>
      <c r="P215" s="334"/>
      <c r="AH215" s="334"/>
      <c r="AI215" s="334"/>
      <c r="AJ215" s="334"/>
      <c r="AK215" s="334"/>
      <c r="AL215" s="334"/>
      <c r="AM215" s="334"/>
      <c r="AN215" s="334"/>
      <c r="AO215" s="334"/>
      <c r="AP215" s="334"/>
      <c r="AQ215" s="334"/>
      <c r="AR215" s="334"/>
      <c r="AY215" s="334"/>
      <c r="AZ215" s="334"/>
      <c r="BA215" s="334"/>
    </row>
    <row r="216" spans="1:53" s="333" customFormat="1" x14ac:dyDescent="0.25">
      <c r="A216" s="420"/>
      <c r="B216" s="269"/>
      <c r="C216" s="269"/>
      <c r="D216" s="269"/>
      <c r="E216" s="269"/>
      <c r="F216" s="328"/>
      <c r="G216" s="269"/>
      <c r="H216" s="421"/>
      <c r="N216" s="334"/>
      <c r="O216" s="334"/>
      <c r="P216" s="334"/>
      <c r="AH216" s="334"/>
      <c r="AI216" s="334"/>
      <c r="AJ216" s="334"/>
      <c r="AK216" s="334"/>
      <c r="AL216" s="334"/>
      <c r="AM216" s="334"/>
      <c r="AN216" s="334"/>
      <c r="AO216" s="334"/>
      <c r="AP216" s="334"/>
      <c r="AQ216" s="334"/>
      <c r="AR216" s="334"/>
      <c r="AY216" s="334"/>
      <c r="AZ216" s="334"/>
      <c r="BA216" s="334"/>
    </row>
    <row r="217" spans="1:53" s="333" customFormat="1" x14ac:dyDescent="0.25">
      <c r="A217" s="420"/>
      <c r="B217" s="269"/>
      <c r="C217" s="269"/>
      <c r="D217" s="269"/>
      <c r="E217" s="269"/>
      <c r="F217" s="328"/>
      <c r="G217" s="269"/>
      <c r="H217" s="421"/>
      <c r="O217" s="334"/>
      <c r="P217" s="334"/>
      <c r="AH217" s="334"/>
      <c r="AI217" s="334"/>
      <c r="AJ217" s="334"/>
      <c r="AK217" s="334"/>
      <c r="AL217" s="334"/>
      <c r="AM217" s="334"/>
      <c r="AN217" s="334"/>
      <c r="AO217" s="334"/>
      <c r="AP217" s="334"/>
      <c r="AQ217" s="334"/>
      <c r="AR217" s="334"/>
      <c r="AY217" s="334"/>
      <c r="AZ217" s="334"/>
      <c r="BA217" s="334"/>
    </row>
    <row r="218" spans="1:53" s="333" customFormat="1" x14ac:dyDescent="0.25">
      <c r="A218" s="420"/>
      <c r="B218" s="269"/>
      <c r="C218" s="269"/>
      <c r="D218" s="269"/>
      <c r="E218" s="269"/>
      <c r="F218" s="328"/>
      <c r="G218" s="269"/>
      <c r="H218" s="421"/>
      <c r="N218" s="334"/>
      <c r="O218" s="334"/>
      <c r="P218" s="334"/>
      <c r="AH218" s="334"/>
      <c r="AI218" s="334"/>
      <c r="AJ218" s="334"/>
      <c r="AK218" s="334"/>
      <c r="AL218" s="334"/>
      <c r="AM218" s="334"/>
      <c r="AN218" s="334"/>
      <c r="AO218" s="334"/>
      <c r="AP218" s="334"/>
      <c r="AQ218" s="334"/>
      <c r="AR218" s="334"/>
      <c r="AY218" s="334"/>
      <c r="AZ218" s="334"/>
      <c r="BA218" s="334"/>
    </row>
    <row r="219" spans="1:53" s="333" customFormat="1" x14ac:dyDescent="0.25">
      <c r="A219" s="420"/>
      <c r="B219" s="269"/>
      <c r="C219" s="269"/>
      <c r="D219" s="269"/>
      <c r="E219" s="269"/>
      <c r="F219" s="328"/>
      <c r="G219" s="269"/>
      <c r="H219" s="421"/>
      <c r="N219" s="334"/>
      <c r="O219" s="334"/>
      <c r="P219" s="334"/>
      <c r="AH219" s="334"/>
      <c r="AI219" s="334"/>
      <c r="AJ219" s="334"/>
      <c r="AK219" s="334"/>
      <c r="AL219" s="334"/>
      <c r="AM219" s="334"/>
      <c r="AN219" s="334"/>
      <c r="AO219" s="334"/>
      <c r="AP219" s="334"/>
      <c r="AQ219" s="334"/>
      <c r="AR219" s="334"/>
      <c r="AY219" s="334"/>
      <c r="AZ219" s="334"/>
      <c r="BA219" s="334"/>
    </row>
  </sheetData>
  <mergeCells count="26">
    <mergeCell ref="AS6:BA7"/>
    <mergeCell ref="Q7:V9"/>
    <mergeCell ref="W7:Z9"/>
    <mergeCell ref="AA7:AA10"/>
    <mergeCell ref="AB7:AB10"/>
    <mergeCell ref="AD7:AF9"/>
    <mergeCell ref="AS8:AS10"/>
    <mergeCell ref="AT8:AX9"/>
    <mergeCell ref="AY8:AY10"/>
    <mergeCell ref="AZ8:BA9"/>
    <mergeCell ref="AK8:AL8"/>
    <mergeCell ref="AM8:AM9"/>
    <mergeCell ref="A3:E3"/>
    <mergeCell ref="AC7:AC10"/>
    <mergeCell ref="I6:P7"/>
    <mergeCell ref="I8:I10"/>
    <mergeCell ref="J8:M9"/>
    <mergeCell ref="N8:N10"/>
    <mergeCell ref="O8:P9"/>
    <mergeCell ref="Q6:AR6"/>
    <mergeCell ref="AH7:AR7"/>
    <mergeCell ref="AN8:AO9"/>
    <mergeCell ref="AP8:AR9"/>
    <mergeCell ref="AG7:AG10"/>
    <mergeCell ref="AH8:AI9"/>
    <mergeCell ref="AJ8:AJ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pageSetUpPr fitToPage="1"/>
  </sheetPr>
  <dimension ref="A1:AT59"/>
  <sheetViews>
    <sheetView workbookViewId="0">
      <pane xSplit="1" ySplit="12" topLeftCell="B13" activePane="bottomRight" state="frozen"/>
      <selection sqref="A1:XFD1048576"/>
      <selection pane="topRight" sqref="A1:XFD1048576"/>
      <selection pane="bottomLeft" sqref="A1:XFD1048576"/>
      <selection pane="bottomRight" activeCell="G4" sqref="G4"/>
    </sheetView>
  </sheetViews>
  <sheetFormatPr defaultRowHeight="12.75" x14ac:dyDescent="0.2"/>
  <cols>
    <col min="1" max="1" width="7.85546875" style="21" customWidth="1"/>
    <col min="2" max="2" width="12.28515625" style="8" customWidth="1"/>
    <col min="3" max="6" width="11.85546875" style="8" customWidth="1"/>
    <col min="7" max="7" width="11.28515625" style="7" customWidth="1"/>
    <col min="8" max="9" width="10" style="7" customWidth="1"/>
    <col min="10" max="13" width="9.5703125" style="8" customWidth="1"/>
    <col min="14" max="14" width="9.7109375" style="15" customWidth="1"/>
    <col min="15" max="15" width="9.5703125" style="8" customWidth="1"/>
    <col min="16" max="17" width="9.7109375" style="8" customWidth="1"/>
    <col min="18" max="18" width="9.5703125" style="8" customWidth="1"/>
    <col min="19" max="19" width="9.140625" style="8" customWidth="1"/>
    <col min="20" max="20" width="9.7109375" style="8" customWidth="1"/>
    <col min="21" max="22" width="9.140625" style="8" customWidth="1"/>
    <col min="23" max="23" width="9.85546875" style="8" customWidth="1"/>
    <col min="24" max="24" width="9.140625" style="8" customWidth="1"/>
    <col min="25" max="25" width="9.5703125" style="8" customWidth="1"/>
    <col min="26" max="26" width="10.140625" style="8" customWidth="1"/>
    <col min="27" max="30" width="9.140625" style="7" customWidth="1"/>
    <col min="31" max="31" width="8.7109375" style="7" customWidth="1"/>
    <col min="32" max="37" width="9.140625" style="7" customWidth="1"/>
    <col min="38" max="39" width="11.7109375" style="8" bestFit="1" customWidth="1"/>
    <col min="40" max="40" width="10.85546875" style="8" bestFit="1" customWidth="1"/>
    <col min="41" max="41" width="12.42578125" style="8" bestFit="1" customWidth="1"/>
    <col min="42" max="43" width="10.85546875" style="8" bestFit="1" customWidth="1"/>
    <col min="44" max="44" width="11.85546875" style="7" customWidth="1"/>
    <col min="45" max="46" width="10.85546875" style="7" bestFit="1" customWidth="1"/>
    <col min="128" max="128" width="7.42578125" customWidth="1"/>
    <col min="129" max="130" width="10.85546875" bestFit="1" customWidth="1"/>
    <col min="131" max="132" width="10.85546875" customWidth="1"/>
    <col min="133" max="137" width="10" customWidth="1"/>
    <col min="141" max="142" width="10.85546875" bestFit="1" customWidth="1"/>
    <col min="143" max="143" width="10" bestFit="1" customWidth="1"/>
    <col min="144" max="145" width="9.28515625" bestFit="1" customWidth="1"/>
    <col min="384" max="384" width="7.42578125" customWidth="1"/>
    <col min="385" max="386" width="10.85546875" bestFit="1" customWidth="1"/>
    <col min="387" max="388" width="10.85546875" customWidth="1"/>
    <col min="389" max="393" width="10" customWidth="1"/>
    <col min="397" max="398" width="10.85546875" bestFit="1" customWidth="1"/>
    <col min="399" max="399" width="10" bestFit="1" customWidth="1"/>
    <col min="400" max="401" width="9.28515625" bestFit="1" customWidth="1"/>
    <col min="640" max="640" width="7.42578125" customWidth="1"/>
    <col min="641" max="642" width="10.85546875" bestFit="1" customWidth="1"/>
    <col min="643" max="644" width="10.85546875" customWidth="1"/>
    <col min="645" max="649" width="10" customWidth="1"/>
    <col min="653" max="654" width="10.85546875" bestFit="1" customWidth="1"/>
    <col min="655" max="655" width="10" bestFit="1" customWidth="1"/>
    <col min="656" max="657" width="9.28515625" bestFit="1" customWidth="1"/>
    <col min="896" max="896" width="7.42578125" customWidth="1"/>
    <col min="897" max="898" width="10.85546875" bestFit="1" customWidth="1"/>
    <col min="899" max="900" width="10.85546875" customWidth="1"/>
    <col min="901" max="905" width="10" customWidth="1"/>
    <col min="909" max="910" width="10.85546875" bestFit="1" customWidth="1"/>
    <col min="911" max="911" width="10" bestFit="1" customWidth="1"/>
    <col min="912" max="913" width="9.28515625" bestFit="1" customWidth="1"/>
    <col min="1152" max="1152" width="7.42578125" customWidth="1"/>
    <col min="1153" max="1154" width="10.85546875" bestFit="1" customWidth="1"/>
    <col min="1155" max="1156" width="10.85546875" customWidth="1"/>
    <col min="1157" max="1161" width="10" customWidth="1"/>
    <col min="1165" max="1166" width="10.85546875" bestFit="1" customWidth="1"/>
    <col min="1167" max="1167" width="10" bestFit="1" customWidth="1"/>
    <col min="1168" max="1169" width="9.28515625" bestFit="1" customWidth="1"/>
    <col min="1408" max="1408" width="7.42578125" customWidth="1"/>
    <col min="1409" max="1410" width="10.85546875" bestFit="1" customWidth="1"/>
    <col min="1411" max="1412" width="10.85546875" customWidth="1"/>
    <col min="1413" max="1417" width="10" customWidth="1"/>
    <col min="1421" max="1422" width="10.85546875" bestFit="1" customWidth="1"/>
    <col min="1423" max="1423" width="10" bestFit="1" customWidth="1"/>
    <col min="1424" max="1425" width="9.28515625" bestFit="1" customWidth="1"/>
    <col min="1664" max="1664" width="7.42578125" customWidth="1"/>
    <col min="1665" max="1666" width="10.85546875" bestFit="1" customWidth="1"/>
    <col min="1667" max="1668" width="10.85546875" customWidth="1"/>
    <col min="1669" max="1673" width="10" customWidth="1"/>
    <col min="1677" max="1678" width="10.85546875" bestFit="1" customWidth="1"/>
    <col min="1679" max="1679" width="10" bestFit="1" customWidth="1"/>
    <col min="1680" max="1681" width="9.28515625" bestFit="1" customWidth="1"/>
    <col min="1920" max="1920" width="7.42578125" customWidth="1"/>
    <col min="1921" max="1922" width="10.85546875" bestFit="1" customWidth="1"/>
    <col min="1923" max="1924" width="10.85546875" customWidth="1"/>
    <col min="1925" max="1929" width="10" customWidth="1"/>
    <col min="1933" max="1934" width="10.85546875" bestFit="1" customWidth="1"/>
    <col min="1935" max="1935" width="10" bestFit="1" customWidth="1"/>
    <col min="1936" max="1937" width="9.28515625" bestFit="1" customWidth="1"/>
    <col min="2176" max="2176" width="7.42578125" customWidth="1"/>
    <col min="2177" max="2178" width="10.85546875" bestFit="1" customWidth="1"/>
    <col min="2179" max="2180" width="10.85546875" customWidth="1"/>
    <col min="2181" max="2185" width="10" customWidth="1"/>
    <col min="2189" max="2190" width="10.85546875" bestFit="1" customWidth="1"/>
    <col min="2191" max="2191" width="10" bestFit="1" customWidth="1"/>
    <col min="2192" max="2193" width="9.28515625" bestFit="1" customWidth="1"/>
    <col min="2432" max="2432" width="7.42578125" customWidth="1"/>
    <col min="2433" max="2434" width="10.85546875" bestFit="1" customWidth="1"/>
    <col min="2435" max="2436" width="10.85546875" customWidth="1"/>
    <col min="2437" max="2441" width="10" customWidth="1"/>
    <col min="2445" max="2446" width="10.85546875" bestFit="1" customWidth="1"/>
    <col min="2447" max="2447" width="10" bestFit="1" customWidth="1"/>
    <col min="2448" max="2449" width="9.28515625" bestFit="1" customWidth="1"/>
    <col min="2688" max="2688" width="7.42578125" customWidth="1"/>
    <col min="2689" max="2690" width="10.85546875" bestFit="1" customWidth="1"/>
    <col min="2691" max="2692" width="10.85546875" customWidth="1"/>
    <col min="2693" max="2697" width="10" customWidth="1"/>
    <col min="2701" max="2702" width="10.85546875" bestFit="1" customWidth="1"/>
    <col min="2703" max="2703" width="10" bestFit="1" customWidth="1"/>
    <col min="2704" max="2705" width="9.28515625" bestFit="1" customWidth="1"/>
    <col min="2944" max="2944" width="7.42578125" customWidth="1"/>
    <col min="2945" max="2946" width="10.85546875" bestFit="1" customWidth="1"/>
    <col min="2947" max="2948" width="10.85546875" customWidth="1"/>
    <col min="2949" max="2953" width="10" customWidth="1"/>
    <col min="2957" max="2958" width="10.85546875" bestFit="1" customWidth="1"/>
    <col min="2959" max="2959" width="10" bestFit="1" customWidth="1"/>
    <col min="2960" max="2961" width="9.28515625" bestFit="1" customWidth="1"/>
    <col min="3200" max="3200" width="7.42578125" customWidth="1"/>
    <col min="3201" max="3202" width="10.85546875" bestFit="1" customWidth="1"/>
    <col min="3203" max="3204" width="10.85546875" customWidth="1"/>
    <col min="3205" max="3209" width="10" customWidth="1"/>
    <col min="3213" max="3214" width="10.85546875" bestFit="1" customWidth="1"/>
    <col min="3215" max="3215" width="10" bestFit="1" customWidth="1"/>
    <col min="3216" max="3217" width="9.28515625" bestFit="1" customWidth="1"/>
    <col min="3456" max="3456" width="7.42578125" customWidth="1"/>
    <col min="3457" max="3458" width="10.85546875" bestFit="1" customWidth="1"/>
    <col min="3459" max="3460" width="10.85546875" customWidth="1"/>
    <col min="3461" max="3465" width="10" customWidth="1"/>
    <col min="3469" max="3470" width="10.85546875" bestFit="1" customWidth="1"/>
    <col min="3471" max="3471" width="10" bestFit="1" customWidth="1"/>
    <col min="3472" max="3473" width="9.28515625" bestFit="1" customWidth="1"/>
    <col min="3712" max="3712" width="7.42578125" customWidth="1"/>
    <col min="3713" max="3714" width="10.85546875" bestFit="1" customWidth="1"/>
    <col min="3715" max="3716" width="10.85546875" customWidth="1"/>
    <col min="3717" max="3721" width="10" customWidth="1"/>
    <col min="3725" max="3726" width="10.85546875" bestFit="1" customWidth="1"/>
    <col min="3727" max="3727" width="10" bestFit="1" customWidth="1"/>
    <col min="3728" max="3729" width="9.28515625" bestFit="1" customWidth="1"/>
    <col min="3968" max="3968" width="7.42578125" customWidth="1"/>
    <col min="3969" max="3970" width="10.85546875" bestFit="1" customWidth="1"/>
    <col min="3971" max="3972" width="10.85546875" customWidth="1"/>
    <col min="3973" max="3977" width="10" customWidth="1"/>
    <col min="3981" max="3982" width="10.85546875" bestFit="1" customWidth="1"/>
    <col min="3983" max="3983" width="10" bestFit="1" customWidth="1"/>
    <col min="3984" max="3985" width="9.28515625" bestFit="1" customWidth="1"/>
    <col min="4224" max="4224" width="7.42578125" customWidth="1"/>
    <col min="4225" max="4226" width="10.85546875" bestFit="1" customWidth="1"/>
    <col min="4227" max="4228" width="10.85546875" customWidth="1"/>
    <col min="4229" max="4233" width="10" customWidth="1"/>
    <col min="4237" max="4238" width="10.85546875" bestFit="1" customWidth="1"/>
    <col min="4239" max="4239" width="10" bestFit="1" customWidth="1"/>
    <col min="4240" max="4241" width="9.28515625" bestFit="1" customWidth="1"/>
    <col min="4480" max="4480" width="7.42578125" customWidth="1"/>
    <col min="4481" max="4482" width="10.85546875" bestFit="1" customWidth="1"/>
    <col min="4483" max="4484" width="10.85546875" customWidth="1"/>
    <col min="4485" max="4489" width="10" customWidth="1"/>
    <col min="4493" max="4494" width="10.85546875" bestFit="1" customWidth="1"/>
    <col min="4495" max="4495" width="10" bestFit="1" customWidth="1"/>
    <col min="4496" max="4497" width="9.28515625" bestFit="1" customWidth="1"/>
    <col min="4736" max="4736" width="7.42578125" customWidth="1"/>
    <col min="4737" max="4738" width="10.85546875" bestFit="1" customWidth="1"/>
    <col min="4739" max="4740" width="10.85546875" customWidth="1"/>
    <col min="4741" max="4745" width="10" customWidth="1"/>
    <col min="4749" max="4750" width="10.85546875" bestFit="1" customWidth="1"/>
    <col min="4751" max="4751" width="10" bestFit="1" customWidth="1"/>
    <col min="4752" max="4753" width="9.28515625" bestFit="1" customWidth="1"/>
    <col min="4992" max="4992" width="7.42578125" customWidth="1"/>
    <col min="4993" max="4994" width="10.85546875" bestFit="1" customWidth="1"/>
    <col min="4995" max="4996" width="10.85546875" customWidth="1"/>
    <col min="4997" max="5001" width="10" customWidth="1"/>
    <col min="5005" max="5006" width="10.85546875" bestFit="1" customWidth="1"/>
    <col min="5007" max="5007" width="10" bestFit="1" customWidth="1"/>
    <col min="5008" max="5009" width="9.28515625" bestFit="1" customWidth="1"/>
    <col min="5248" max="5248" width="7.42578125" customWidth="1"/>
    <col min="5249" max="5250" width="10.85546875" bestFit="1" customWidth="1"/>
    <col min="5251" max="5252" width="10.85546875" customWidth="1"/>
    <col min="5253" max="5257" width="10" customWidth="1"/>
    <col min="5261" max="5262" width="10.85546875" bestFit="1" customWidth="1"/>
    <col min="5263" max="5263" width="10" bestFit="1" customWidth="1"/>
    <col min="5264" max="5265" width="9.28515625" bestFit="1" customWidth="1"/>
    <col min="5504" max="5504" width="7.42578125" customWidth="1"/>
    <col min="5505" max="5506" width="10.85546875" bestFit="1" customWidth="1"/>
    <col min="5507" max="5508" width="10.85546875" customWidth="1"/>
    <col min="5509" max="5513" width="10" customWidth="1"/>
    <col min="5517" max="5518" width="10.85546875" bestFit="1" customWidth="1"/>
    <col min="5519" max="5519" width="10" bestFit="1" customWidth="1"/>
    <col min="5520" max="5521" width="9.28515625" bestFit="1" customWidth="1"/>
    <col min="5760" max="5760" width="7.42578125" customWidth="1"/>
    <col min="5761" max="5762" width="10.85546875" bestFit="1" customWidth="1"/>
    <col min="5763" max="5764" width="10.85546875" customWidth="1"/>
    <col min="5765" max="5769" width="10" customWidth="1"/>
    <col min="5773" max="5774" width="10.85546875" bestFit="1" customWidth="1"/>
    <col min="5775" max="5775" width="10" bestFit="1" customWidth="1"/>
    <col min="5776" max="5777" width="9.28515625" bestFit="1" customWidth="1"/>
    <col min="6016" max="6016" width="7.42578125" customWidth="1"/>
    <col min="6017" max="6018" width="10.85546875" bestFit="1" customWidth="1"/>
    <col min="6019" max="6020" width="10.85546875" customWidth="1"/>
    <col min="6021" max="6025" width="10" customWidth="1"/>
    <col min="6029" max="6030" width="10.85546875" bestFit="1" customWidth="1"/>
    <col min="6031" max="6031" width="10" bestFit="1" customWidth="1"/>
    <col min="6032" max="6033" width="9.28515625" bestFit="1" customWidth="1"/>
    <col min="6272" max="6272" width="7.42578125" customWidth="1"/>
    <col min="6273" max="6274" width="10.85546875" bestFit="1" customWidth="1"/>
    <col min="6275" max="6276" width="10.85546875" customWidth="1"/>
    <col min="6277" max="6281" width="10" customWidth="1"/>
    <col min="6285" max="6286" width="10.85546875" bestFit="1" customWidth="1"/>
    <col min="6287" max="6287" width="10" bestFit="1" customWidth="1"/>
    <col min="6288" max="6289" width="9.28515625" bestFit="1" customWidth="1"/>
    <col min="6528" max="6528" width="7.42578125" customWidth="1"/>
    <col min="6529" max="6530" width="10.85546875" bestFit="1" customWidth="1"/>
    <col min="6531" max="6532" width="10.85546875" customWidth="1"/>
    <col min="6533" max="6537" width="10" customWidth="1"/>
    <col min="6541" max="6542" width="10.85546875" bestFit="1" customWidth="1"/>
    <col min="6543" max="6543" width="10" bestFit="1" customWidth="1"/>
    <col min="6544" max="6545" width="9.28515625" bestFit="1" customWidth="1"/>
    <col min="6784" max="6784" width="7.42578125" customWidth="1"/>
    <col min="6785" max="6786" width="10.85546875" bestFit="1" customWidth="1"/>
    <col min="6787" max="6788" width="10.85546875" customWidth="1"/>
    <col min="6789" max="6793" width="10" customWidth="1"/>
    <col min="6797" max="6798" width="10.85546875" bestFit="1" customWidth="1"/>
    <col min="6799" max="6799" width="10" bestFit="1" customWidth="1"/>
    <col min="6800" max="6801" width="9.28515625" bestFit="1" customWidth="1"/>
    <col min="7040" max="7040" width="7.42578125" customWidth="1"/>
    <col min="7041" max="7042" width="10.85546875" bestFit="1" customWidth="1"/>
    <col min="7043" max="7044" width="10.85546875" customWidth="1"/>
    <col min="7045" max="7049" width="10" customWidth="1"/>
    <col min="7053" max="7054" width="10.85546875" bestFit="1" customWidth="1"/>
    <col min="7055" max="7055" width="10" bestFit="1" customWidth="1"/>
    <col min="7056" max="7057" width="9.28515625" bestFit="1" customWidth="1"/>
    <col min="7296" max="7296" width="7.42578125" customWidth="1"/>
    <col min="7297" max="7298" width="10.85546875" bestFit="1" customWidth="1"/>
    <col min="7299" max="7300" width="10.85546875" customWidth="1"/>
    <col min="7301" max="7305" width="10" customWidth="1"/>
    <col min="7309" max="7310" width="10.85546875" bestFit="1" customWidth="1"/>
    <col min="7311" max="7311" width="10" bestFit="1" customWidth="1"/>
    <col min="7312" max="7313" width="9.28515625" bestFit="1" customWidth="1"/>
    <col min="7552" max="7552" width="7.42578125" customWidth="1"/>
    <col min="7553" max="7554" width="10.85546875" bestFit="1" customWidth="1"/>
    <col min="7555" max="7556" width="10.85546875" customWidth="1"/>
    <col min="7557" max="7561" width="10" customWidth="1"/>
    <col min="7565" max="7566" width="10.85546875" bestFit="1" customWidth="1"/>
    <col min="7567" max="7567" width="10" bestFit="1" customWidth="1"/>
    <col min="7568" max="7569" width="9.28515625" bestFit="1" customWidth="1"/>
    <col min="7808" max="7808" width="7.42578125" customWidth="1"/>
    <col min="7809" max="7810" width="10.85546875" bestFit="1" customWidth="1"/>
    <col min="7811" max="7812" width="10.85546875" customWidth="1"/>
    <col min="7813" max="7817" width="10" customWidth="1"/>
    <col min="7821" max="7822" width="10.85546875" bestFit="1" customWidth="1"/>
    <col min="7823" max="7823" width="10" bestFit="1" customWidth="1"/>
    <col min="7824" max="7825" width="9.28515625" bestFit="1" customWidth="1"/>
    <col min="8064" max="8064" width="7.42578125" customWidth="1"/>
    <col min="8065" max="8066" width="10.85546875" bestFit="1" customWidth="1"/>
    <col min="8067" max="8068" width="10.85546875" customWidth="1"/>
    <col min="8069" max="8073" width="10" customWidth="1"/>
    <col min="8077" max="8078" width="10.85546875" bestFit="1" customWidth="1"/>
    <col min="8079" max="8079" width="10" bestFit="1" customWidth="1"/>
    <col min="8080" max="8081" width="9.28515625" bestFit="1" customWidth="1"/>
    <col min="8320" max="8320" width="7.42578125" customWidth="1"/>
    <col min="8321" max="8322" width="10.85546875" bestFit="1" customWidth="1"/>
    <col min="8323" max="8324" width="10.85546875" customWidth="1"/>
    <col min="8325" max="8329" width="10" customWidth="1"/>
    <col min="8333" max="8334" width="10.85546875" bestFit="1" customWidth="1"/>
    <col min="8335" max="8335" width="10" bestFit="1" customWidth="1"/>
    <col min="8336" max="8337" width="9.28515625" bestFit="1" customWidth="1"/>
    <col min="8576" max="8576" width="7.42578125" customWidth="1"/>
    <col min="8577" max="8578" width="10.85546875" bestFit="1" customWidth="1"/>
    <col min="8579" max="8580" width="10.85546875" customWidth="1"/>
    <col min="8581" max="8585" width="10" customWidth="1"/>
    <col min="8589" max="8590" width="10.85546875" bestFit="1" customWidth="1"/>
    <col min="8591" max="8591" width="10" bestFit="1" customWidth="1"/>
    <col min="8592" max="8593" width="9.28515625" bestFit="1" customWidth="1"/>
    <col min="8832" max="8832" width="7.42578125" customWidth="1"/>
    <col min="8833" max="8834" width="10.85546875" bestFit="1" customWidth="1"/>
    <col min="8835" max="8836" width="10.85546875" customWidth="1"/>
    <col min="8837" max="8841" width="10" customWidth="1"/>
    <col min="8845" max="8846" width="10.85546875" bestFit="1" customWidth="1"/>
    <col min="8847" max="8847" width="10" bestFit="1" customWidth="1"/>
    <col min="8848" max="8849" width="9.28515625" bestFit="1" customWidth="1"/>
    <col min="9088" max="9088" width="7.42578125" customWidth="1"/>
    <col min="9089" max="9090" width="10.85546875" bestFit="1" customWidth="1"/>
    <col min="9091" max="9092" width="10.85546875" customWidth="1"/>
    <col min="9093" max="9097" width="10" customWidth="1"/>
    <col min="9101" max="9102" width="10.85546875" bestFit="1" customWidth="1"/>
    <col min="9103" max="9103" width="10" bestFit="1" customWidth="1"/>
    <col min="9104" max="9105" width="9.28515625" bestFit="1" customWidth="1"/>
    <col min="9344" max="9344" width="7.42578125" customWidth="1"/>
    <col min="9345" max="9346" width="10.85546875" bestFit="1" customWidth="1"/>
    <col min="9347" max="9348" width="10.85546875" customWidth="1"/>
    <col min="9349" max="9353" width="10" customWidth="1"/>
    <col min="9357" max="9358" width="10.85546875" bestFit="1" customWidth="1"/>
    <col min="9359" max="9359" width="10" bestFit="1" customWidth="1"/>
    <col min="9360" max="9361" width="9.28515625" bestFit="1" customWidth="1"/>
    <col min="9600" max="9600" width="7.42578125" customWidth="1"/>
    <col min="9601" max="9602" width="10.85546875" bestFit="1" customWidth="1"/>
    <col min="9603" max="9604" width="10.85546875" customWidth="1"/>
    <col min="9605" max="9609" width="10" customWidth="1"/>
    <col min="9613" max="9614" width="10.85546875" bestFit="1" customWidth="1"/>
    <col min="9615" max="9615" width="10" bestFit="1" customWidth="1"/>
    <col min="9616" max="9617" width="9.28515625" bestFit="1" customWidth="1"/>
    <col min="9856" max="9856" width="7.42578125" customWidth="1"/>
    <col min="9857" max="9858" width="10.85546875" bestFit="1" customWidth="1"/>
    <col min="9859" max="9860" width="10.85546875" customWidth="1"/>
    <col min="9861" max="9865" width="10" customWidth="1"/>
    <col min="9869" max="9870" width="10.85546875" bestFit="1" customWidth="1"/>
    <col min="9871" max="9871" width="10" bestFit="1" customWidth="1"/>
    <col min="9872" max="9873" width="9.28515625" bestFit="1" customWidth="1"/>
    <col min="10112" max="10112" width="7.42578125" customWidth="1"/>
    <col min="10113" max="10114" width="10.85546875" bestFit="1" customWidth="1"/>
    <col min="10115" max="10116" width="10.85546875" customWidth="1"/>
    <col min="10117" max="10121" width="10" customWidth="1"/>
    <col min="10125" max="10126" width="10.85546875" bestFit="1" customWidth="1"/>
    <col min="10127" max="10127" width="10" bestFit="1" customWidth="1"/>
    <col min="10128" max="10129" width="9.28515625" bestFit="1" customWidth="1"/>
    <col min="10368" max="10368" width="7.42578125" customWidth="1"/>
    <col min="10369" max="10370" width="10.85546875" bestFit="1" customWidth="1"/>
    <col min="10371" max="10372" width="10.85546875" customWidth="1"/>
    <col min="10373" max="10377" width="10" customWidth="1"/>
    <col min="10381" max="10382" width="10.85546875" bestFit="1" customWidth="1"/>
    <col min="10383" max="10383" width="10" bestFit="1" customWidth="1"/>
    <col min="10384" max="10385" width="9.28515625" bestFit="1" customWidth="1"/>
    <col min="10624" max="10624" width="7.42578125" customWidth="1"/>
    <col min="10625" max="10626" width="10.85546875" bestFit="1" customWidth="1"/>
    <col min="10627" max="10628" width="10.85546875" customWidth="1"/>
    <col min="10629" max="10633" width="10" customWidth="1"/>
    <col min="10637" max="10638" width="10.85546875" bestFit="1" customWidth="1"/>
    <col min="10639" max="10639" width="10" bestFit="1" customWidth="1"/>
    <col min="10640" max="10641" width="9.28515625" bestFit="1" customWidth="1"/>
    <col min="10880" max="10880" width="7.42578125" customWidth="1"/>
    <col min="10881" max="10882" width="10.85546875" bestFit="1" customWidth="1"/>
    <col min="10883" max="10884" width="10.85546875" customWidth="1"/>
    <col min="10885" max="10889" width="10" customWidth="1"/>
    <col min="10893" max="10894" width="10.85546875" bestFit="1" customWidth="1"/>
    <col min="10895" max="10895" width="10" bestFit="1" customWidth="1"/>
    <col min="10896" max="10897" width="9.28515625" bestFit="1" customWidth="1"/>
    <col min="11136" max="11136" width="7.42578125" customWidth="1"/>
    <col min="11137" max="11138" width="10.85546875" bestFit="1" customWidth="1"/>
    <col min="11139" max="11140" width="10.85546875" customWidth="1"/>
    <col min="11141" max="11145" width="10" customWidth="1"/>
    <col min="11149" max="11150" width="10.85546875" bestFit="1" customWidth="1"/>
    <col min="11151" max="11151" width="10" bestFit="1" customWidth="1"/>
    <col min="11152" max="11153" width="9.28515625" bestFit="1" customWidth="1"/>
    <col min="11392" max="11392" width="7.42578125" customWidth="1"/>
    <col min="11393" max="11394" width="10.85546875" bestFit="1" customWidth="1"/>
    <col min="11395" max="11396" width="10.85546875" customWidth="1"/>
    <col min="11397" max="11401" width="10" customWidth="1"/>
    <col min="11405" max="11406" width="10.85546875" bestFit="1" customWidth="1"/>
    <col min="11407" max="11407" width="10" bestFit="1" customWidth="1"/>
    <col min="11408" max="11409" width="9.28515625" bestFit="1" customWidth="1"/>
    <col min="11648" max="11648" width="7.42578125" customWidth="1"/>
    <col min="11649" max="11650" width="10.85546875" bestFit="1" customWidth="1"/>
    <col min="11651" max="11652" width="10.85546875" customWidth="1"/>
    <col min="11653" max="11657" width="10" customWidth="1"/>
    <col min="11661" max="11662" width="10.85546875" bestFit="1" customWidth="1"/>
    <col min="11663" max="11663" width="10" bestFit="1" customWidth="1"/>
    <col min="11664" max="11665" width="9.28515625" bestFit="1" customWidth="1"/>
    <col min="11904" max="11904" width="7.42578125" customWidth="1"/>
    <col min="11905" max="11906" width="10.85546875" bestFit="1" customWidth="1"/>
    <col min="11907" max="11908" width="10.85546875" customWidth="1"/>
    <col min="11909" max="11913" width="10" customWidth="1"/>
    <col min="11917" max="11918" width="10.85546875" bestFit="1" customWidth="1"/>
    <col min="11919" max="11919" width="10" bestFit="1" customWidth="1"/>
    <col min="11920" max="11921" width="9.28515625" bestFit="1" customWidth="1"/>
    <col min="12160" max="12160" width="7.42578125" customWidth="1"/>
    <col min="12161" max="12162" width="10.85546875" bestFit="1" customWidth="1"/>
    <col min="12163" max="12164" width="10.85546875" customWidth="1"/>
    <col min="12165" max="12169" width="10" customWidth="1"/>
    <col min="12173" max="12174" width="10.85546875" bestFit="1" customWidth="1"/>
    <col min="12175" max="12175" width="10" bestFit="1" customWidth="1"/>
    <col min="12176" max="12177" width="9.28515625" bestFit="1" customWidth="1"/>
    <col min="12416" max="12416" width="7.42578125" customWidth="1"/>
    <col min="12417" max="12418" width="10.85546875" bestFit="1" customWidth="1"/>
    <col min="12419" max="12420" width="10.85546875" customWidth="1"/>
    <col min="12421" max="12425" width="10" customWidth="1"/>
    <col min="12429" max="12430" width="10.85546875" bestFit="1" customWidth="1"/>
    <col min="12431" max="12431" width="10" bestFit="1" customWidth="1"/>
    <col min="12432" max="12433" width="9.28515625" bestFit="1" customWidth="1"/>
    <col min="12672" max="12672" width="7.42578125" customWidth="1"/>
    <col min="12673" max="12674" width="10.85546875" bestFit="1" customWidth="1"/>
    <col min="12675" max="12676" width="10.85546875" customWidth="1"/>
    <col min="12677" max="12681" width="10" customWidth="1"/>
    <col min="12685" max="12686" width="10.85546875" bestFit="1" customWidth="1"/>
    <col min="12687" max="12687" width="10" bestFit="1" customWidth="1"/>
    <col min="12688" max="12689" width="9.28515625" bestFit="1" customWidth="1"/>
    <col min="12928" max="12928" width="7.42578125" customWidth="1"/>
    <col min="12929" max="12930" width="10.85546875" bestFit="1" customWidth="1"/>
    <col min="12931" max="12932" width="10.85546875" customWidth="1"/>
    <col min="12933" max="12937" width="10" customWidth="1"/>
    <col min="12941" max="12942" width="10.85546875" bestFit="1" customWidth="1"/>
    <col min="12943" max="12943" width="10" bestFit="1" customWidth="1"/>
    <col min="12944" max="12945" width="9.28515625" bestFit="1" customWidth="1"/>
    <col min="13184" max="13184" width="7.42578125" customWidth="1"/>
    <col min="13185" max="13186" width="10.85546875" bestFit="1" customWidth="1"/>
    <col min="13187" max="13188" width="10.85546875" customWidth="1"/>
    <col min="13189" max="13193" width="10" customWidth="1"/>
    <col min="13197" max="13198" width="10.85546875" bestFit="1" customWidth="1"/>
    <col min="13199" max="13199" width="10" bestFit="1" customWidth="1"/>
    <col min="13200" max="13201" width="9.28515625" bestFit="1" customWidth="1"/>
    <col min="13440" max="13440" width="7.42578125" customWidth="1"/>
    <col min="13441" max="13442" width="10.85546875" bestFit="1" customWidth="1"/>
    <col min="13443" max="13444" width="10.85546875" customWidth="1"/>
    <col min="13445" max="13449" width="10" customWidth="1"/>
    <col min="13453" max="13454" width="10.85546875" bestFit="1" customWidth="1"/>
    <col min="13455" max="13455" width="10" bestFit="1" customWidth="1"/>
    <col min="13456" max="13457" width="9.28515625" bestFit="1" customWidth="1"/>
    <col min="13696" max="13696" width="7.42578125" customWidth="1"/>
    <col min="13697" max="13698" width="10.85546875" bestFit="1" customWidth="1"/>
    <col min="13699" max="13700" width="10.85546875" customWidth="1"/>
    <col min="13701" max="13705" width="10" customWidth="1"/>
    <col min="13709" max="13710" width="10.85546875" bestFit="1" customWidth="1"/>
    <col min="13711" max="13711" width="10" bestFit="1" customWidth="1"/>
    <col min="13712" max="13713" width="9.28515625" bestFit="1" customWidth="1"/>
    <col min="13952" max="13952" width="7.42578125" customWidth="1"/>
    <col min="13953" max="13954" width="10.85546875" bestFit="1" customWidth="1"/>
    <col min="13955" max="13956" width="10.85546875" customWidth="1"/>
    <col min="13957" max="13961" width="10" customWidth="1"/>
    <col min="13965" max="13966" width="10.85546875" bestFit="1" customWidth="1"/>
    <col min="13967" max="13967" width="10" bestFit="1" customWidth="1"/>
    <col min="13968" max="13969" width="9.28515625" bestFit="1" customWidth="1"/>
    <col min="14208" max="14208" width="7.42578125" customWidth="1"/>
    <col min="14209" max="14210" width="10.85546875" bestFit="1" customWidth="1"/>
    <col min="14211" max="14212" width="10.85546875" customWidth="1"/>
    <col min="14213" max="14217" width="10" customWidth="1"/>
    <col min="14221" max="14222" width="10.85546875" bestFit="1" customWidth="1"/>
    <col min="14223" max="14223" width="10" bestFit="1" customWidth="1"/>
    <col min="14224" max="14225" width="9.28515625" bestFit="1" customWidth="1"/>
    <col min="14464" max="14464" width="7.42578125" customWidth="1"/>
    <col min="14465" max="14466" width="10.85546875" bestFit="1" customWidth="1"/>
    <col min="14467" max="14468" width="10.85546875" customWidth="1"/>
    <col min="14469" max="14473" width="10" customWidth="1"/>
    <col min="14477" max="14478" width="10.85546875" bestFit="1" customWidth="1"/>
    <col min="14479" max="14479" width="10" bestFit="1" customWidth="1"/>
    <col min="14480" max="14481" width="9.28515625" bestFit="1" customWidth="1"/>
    <col min="14720" max="14720" width="7.42578125" customWidth="1"/>
    <col min="14721" max="14722" width="10.85546875" bestFit="1" customWidth="1"/>
    <col min="14723" max="14724" width="10.85546875" customWidth="1"/>
    <col min="14725" max="14729" width="10" customWidth="1"/>
    <col min="14733" max="14734" width="10.85546875" bestFit="1" customWidth="1"/>
    <col min="14735" max="14735" width="10" bestFit="1" customWidth="1"/>
    <col min="14736" max="14737" width="9.28515625" bestFit="1" customWidth="1"/>
    <col min="14976" max="14976" width="7.42578125" customWidth="1"/>
    <col min="14977" max="14978" width="10.85546875" bestFit="1" customWidth="1"/>
    <col min="14979" max="14980" width="10.85546875" customWidth="1"/>
    <col min="14981" max="14985" width="10" customWidth="1"/>
    <col min="14989" max="14990" width="10.85546875" bestFit="1" customWidth="1"/>
    <col min="14991" max="14991" width="10" bestFit="1" customWidth="1"/>
    <col min="14992" max="14993" width="9.28515625" bestFit="1" customWidth="1"/>
    <col min="15232" max="15232" width="7.42578125" customWidth="1"/>
    <col min="15233" max="15234" width="10.85546875" bestFit="1" customWidth="1"/>
    <col min="15235" max="15236" width="10.85546875" customWidth="1"/>
    <col min="15237" max="15241" width="10" customWidth="1"/>
    <col min="15245" max="15246" width="10.85546875" bestFit="1" customWidth="1"/>
    <col min="15247" max="15247" width="10" bestFit="1" customWidth="1"/>
    <col min="15248" max="15249" width="9.28515625" bestFit="1" customWidth="1"/>
    <col min="15488" max="15488" width="7.42578125" customWidth="1"/>
    <col min="15489" max="15490" width="10.85546875" bestFit="1" customWidth="1"/>
    <col min="15491" max="15492" width="10.85546875" customWidth="1"/>
    <col min="15493" max="15497" width="10" customWidth="1"/>
    <col min="15501" max="15502" width="10.85546875" bestFit="1" customWidth="1"/>
    <col min="15503" max="15503" width="10" bestFit="1" customWidth="1"/>
    <col min="15504" max="15505" width="9.28515625" bestFit="1" customWidth="1"/>
    <col min="15744" max="15744" width="7.42578125" customWidth="1"/>
    <col min="15745" max="15746" width="10.85546875" bestFit="1" customWidth="1"/>
    <col min="15747" max="15748" width="10.85546875" customWidth="1"/>
    <col min="15749" max="15753" width="10" customWidth="1"/>
    <col min="15757" max="15758" width="10.85546875" bestFit="1" customWidth="1"/>
    <col min="15759" max="15759" width="10" bestFit="1" customWidth="1"/>
    <col min="15760" max="15761" width="9.28515625" bestFit="1" customWidth="1"/>
  </cols>
  <sheetData>
    <row r="1" spans="1:46" x14ac:dyDescent="0.2">
      <c r="A1" s="45" t="s">
        <v>2</v>
      </c>
    </row>
    <row r="2" spans="1:46" x14ac:dyDescent="0.2">
      <c r="A2" s="45" t="s">
        <v>3</v>
      </c>
    </row>
    <row r="3" spans="1:46" x14ac:dyDescent="0.2">
      <c r="A3" s="840" t="s">
        <v>4</v>
      </c>
      <c r="B3" s="840"/>
      <c r="C3" s="840"/>
      <c r="D3" s="840"/>
      <c r="E3" s="840"/>
      <c r="F3" s="840"/>
      <c r="G3" s="840"/>
      <c r="H3" s="840"/>
      <c r="I3" s="840"/>
    </row>
    <row r="4" spans="1:46" x14ac:dyDescent="0.2">
      <c r="A4" s="6"/>
      <c r="L4" s="631"/>
      <c r="M4" s="631"/>
    </row>
    <row r="5" spans="1:46" ht="16.5" customHeight="1" x14ac:dyDescent="0.25">
      <c r="A5" s="185" t="s">
        <v>827</v>
      </c>
      <c r="B5" s="52"/>
      <c r="C5" s="52"/>
      <c r="D5" s="53"/>
      <c r="E5" s="271"/>
      <c r="F5" s="271"/>
      <c r="G5" s="583"/>
      <c r="H5" s="184"/>
      <c r="I5" s="184"/>
      <c r="J5" s="117"/>
      <c r="K5" s="712" t="s">
        <v>839</v>
      </c>
      <c r="L5" s="630"/>
      <c r="M5" s="630"/>
      <c r="N5" s="117"/>
    </row>
    <row r="6" spans="1:46" ht="23.25" thickBot="1" x14ac:dyDescent="0.25">
      <c r="A6" s="766" t="s">
        <v>859</v>
      </c>
      <c r="B6" s="767"/>
      <c r="C6" s="768"/>
      <c r="D6" s="768"/>
      <c r="E6" s="767"/>
      <c r="F6" s="767"/>
      <c r="G6" s="53"/>
      <c r="H6" s="11"/>
      <c r="I6" s="11"/>
      <c r="K6" s="713" t="s">
        <v>840</v>
      </c>
      <c r="L6" s="630"/>
      <c r="M6" s="630"/>
    </row>
    <row r="7" spans="1:46" ht="16.5" customHeight="1" x14ac:dyDescent="0.25">
      <c r="A7" s="10"/>
      <c r="B7" s="803" t="s">
        <v>828</v>
      </c>
      <c r="C7" s="804"/>
      <c r="D7" s="804"/>
      <c r="E7" s="804"/>
      <c r="F7" s="804"/>
      <c r="G7" s="804"/>
      <c r="H7" s="804"/>
      <c r="I7" s="805"/>
      <c r="J7" s="809" t="s">
        <v>841</v>
      </c>
      <c r="K7" s="809"/>
      <c r="L7" s="809"/>
      <c r="M7" s="809"/>
      <c r="N7" s="809"/>
      <c r="O7" s="809"/>
      <c r="P7" s="809"/>
      <c r="Q7" s="809"/>
      <c r="R7" s="809"/>
      <c r="S7" s="809"/>
      <c r="T7" s="809"/>
      <c r="U7" s="809"/>
      <c r="V7" s="809"/>
      <c r="W7" s="809"/>
      <c r="X7" s="809"/>
      <c r="Y7" s="809"/>
      <c r="Z7" s="809"/>
      <c r="AA7" s="809"/>
      <c r="AB7" s="809"/>
      <c r="AC7" s="809"/>
      <c r="AD7" s="809"/>
      <c r="AE7" s="809"/>
      <c r="AF7" s="809"/>
      <c r="AG7" s="809"/>
      <c r="AH7" s="809"/>
      <c r="AI7" s="809"/>
      <c r="AJ7" s="809"/>
      <c r="AK7" s="810"/>
      <c r="AL7" s="811" t="s">
        <v>865</v>
      </c>
      <c r="AM7" s="812"/>
      <c r="AN7" s="812"/>
      <c r="AO7" s="812"/>
      <c r="AP7" s="812"/>
      <c r="AQ7" s="812"/>
      <c r="AR7" s="812"/>
      <c r="AS7" s="812"/>
      <c r="AT7" s="813"/>
    </row>
    <row r="8" spans="1:46" ht="13.5" customHeight="1" thickBot="1" x14ac:dyDescent="0.25">
      <c r="B8" s="806"/>
      <c r="C8" s="807"/>
      <c r="D8" s="807"/>
      <c r="E8" s="807"/>
      <c r="F8" s="807"/>
      <c r="G8" s="807"/>
      <c r="H8" s="807"/>
      <c r="I8" s="808"/>
      <c r="J8" s="817" t="s">
        <v>282</v>
      </c>
      <c r="K8" s="817"/>
      <c r="L8" s="817"/>
      <c r="M8" s="817"/>
      <c r="N8" s="817"/>
      <c r="O8" s="818"/>
      <c r="P8" s="823" t="s">
        <v>283</v>
      </c>
      <c r="Q8" s="817"/>
      <c r="R8" s="817"/>
      <c r="S8" s="818"/>
      <c r="T8" s="785" t="s">
        <v>284</v>
      </c>
      <c r="U8" s="785" t="s">
        <v>5</v>
      </c>
      <c r="V8" s="785" t="s">
        <v>285</v>
      </c>
      <c r="W8" s="826"/>
      <c r="X8" s="826"/>
      <c r="Y8" s="827"/>
      <c r="Z8" s="785" t="s">
        <v>305</v>
      </c>
      <c r="AA8" s="832" t="s">
        <v>850</v>
      </c>
      <c r="AB8" s="833"/>
      <c r="AC8" s="833"/>
      <c r="AD8" s="833"/>
      <c r="AE8" s="833"/>
      <c r="AF8" s="833"/>
      <c r="AG8" s="833"/>
      <c r="AH8" s="833"/>
      <c r="AI8" s="833"/>
      <c r="AJ8" s="833"/>
      <c r="AK8" s="834"/>
      <c r="AL8" s="814"/>
      <c r="AM8" s="815"/>
      <c r="AN8" s="815"/>
      <c r="AO8" s="815"/>
      <c r="AP8" s="815"/>
      <c r="AQ8" s="815"/>
      <c r="AR8" s="815"/>
      <c r="AS8" s="815"/>
      <c r="AT8" s="816"/>
    </row>
    <row r="9" spans="1:46" ht="12.75" customHeight="1" x14ac:dyDescent="0.2">
      <c r="B9" s="794" t="s">
        <v>6</v>
      </c>
      <c r="C9" s="797" t="s">
        <v>802</v>
      </c>
      <c r="D9" s="798"/>
      <c r="E9" s="798"/>
      <c r="F9" s="799"/>
      <c r="G9" s="773" t="s">
        <v>849</v>
      </c>
      <c r="H9" s="776" t="s">
        <v>803</v>
      </c>
      <c r="I9" s="777"/>
      <c r="J9" s="819"/>
      <c r="K9" s="819"/>
      <c r="L9" s="819"/>
      <c r="M9" s="819"/>
      <c r="N9" s="819"/>
      <c r="O9" s="820"/>
      <c r="P9" s="824"/>
      <c r="Q9" s="819"/>
      <c r="R9" s="819"/>
      <c r="S9" s="820"/>
      <c r="T9" s="786"/>
      <c r="U9" s="786"/>
      <c r="V9" s="786"/>
      <c r="W9" s="828"/>
      <c r="X9" s="828"/>
      <c r="Y9" s="829"/>
      <c r="Z9" s="786"/>
      <c r="AA9" s="780" t="s">
        <v>286</v>
      </c>
      <c r="AB9" s="781"/>
      <c r="AC9" s="837" t="s">
        <v>287</v>
      </c>
      <c r="AD9" s="835" t="s">
        <v>842</v>
      </c>
      <c r="AE9" s="836"/>
      <c r="AF9" s="837" t="s">
        <v>820</v>
      </c>
      <c r="AG9" s="780" t="s">
        <v>288</v>
      </c>
      <c r="AH9" s="781"/>
      <c r="AI9" s="788" t="s">
        <v>851</v>
      </c>
      <c r="AJ9" s="789"/>
      <c r="AK9" s="790"/>
      <c r="AL9" s="794" t="s">
        <v>6</v>
      </c>
      <c r="AM9" s="797" t="s">
        <v>802</v>
      </c>
      <c r="AN9" s="798"/>
      <c r="AO9" s="798"/>
      <c r="AP9" s="798"/>
      <c r="AQ9" s="799"/>
      <c r="AR9" s="773" t="s">
        <v>849</v>
      </c>
      <c r="AS9" s="776" t="s">
        <v>804</v>
      </c>
      <c r="AT9" s="777"/>
    </row>
    <row r="10" spans="1:46" ht="20.25" customHeight="1" x14ac:dyDescent="0.2">
      <c r="A10"/>
      <c r="B10" s="795"/>
      <c r="C10" s="800"/>
      <c r="D10" s="801"/>
      <c r="E10" s="801"/>
      <c r="F10" s="802"/>
      <c r="G10" s="774"/>
      <c r="H10" s="778"/>
      <c r="I10" s="779"/>
      <c r="J10" s="821"/>
      <c r="K10" s="821"/>
      <c r="L10" s="821"/>
      <c r="M10" s="821"/>
      <c r="N10" s="821"/>
      <c r="O10" s="822"/>
      <c r="P10" s="825"/>
      <c r="Q10" s="821"/>
      <c r="R10" s="821"/>
      <c r="S10" s="822"/>
      <c r="T10" s="786"/>
      <c r="U10" s="786"/>
      <c r="V10" s="786"/>
      <c r="W10" s="830"/>
      <c r="X10" s="830"/>
      <c r="Y10" s="831"/>
      <c r="Z10" s="786"/>
      <c r="AA10" s="782"/>
      <c r="AB10" s="783"/>
      <c r="AC10" s="838"/>
      <c r="AD10" s="634" t="s">
        <v>817</v>
      </c>
      <c r="AE10" s="634" t="s">
        <v>818</v>
      </c>
      <c r="AF10" s="838"/>
      <c r="AG10" s="782"/>
      <c r="AH10" s="783"/>
      <c r="AI10" s="791"/>
      <c r="AJ10" s="792"/>
      <c r="AK10" s="793"/>
      <c r="AL10" s="795"/>
      <c r="AM10" s="800"/>
      <c r="AN10" s="801"/>
      <c r="AO10" s="801"/>
      <c r="AP10" s="801"/>
      <c r="AQ10" s="802"/>
      <c r="AR10" s="774"/>
      <c r="AS10" s="778"/>
      <c r="AT10" s="779"/>
    </row>
    <row r="11" spans="1:46" s="5" customFormat="1" ht="34.5" thickBot="1" x14ac:dyDescent="0.25">
      <c r="A11" s="12" t="s">
        <v>250</v>
      </c>
      <c r="B11" s="796"/>
      <c r="C11" s="439" t="s">
        <v>274</v>
      </c>
      <c r="D11" s="431" t="s">
        <v>5</v>
      </c>
      <c r="E11" s="431" t="s">
        <v>1</v>
      </c>
      <c r="F11" s="431" t="s">
        <v>7</v>
      </c>
      <c r="G11" s="775"/>
      <c r="H11" s="434" t="s">
        <v>280</v>
      </c>
      <c r="I11" s="435" t="s">
        <v>281</v>
      </c>
      <c r="J11" s="642" t="s">
        <v>289</v>
      </c>
      <c r="K11" s="433" t="s">
        <v>287</v>
      </c>
      <c r="L11" s="433" t="s">
        <v>819</v>
      </c>
      <c r="M11" s="433" t="s">
        <v>820</v>
      </c>
      <c r="N11" s="433" t="s">
        <v>288</v>
      </c>
      <c r="O11" s="433" t="s">
        <v>821</v>
      </c>
      <c r="P11" s="432" t="s">
        <v>290</v>
      </c>
      <c r="Q11" s="433" t="s">
        <v>801</v>
      </c>
      <c r="R11" s="432" t="s">
        <v>291</v>
      </c>
      <c r="S11" s="433" t="s">
        <v>768</v>
      </c>
      <c r="T11" s="787"/>
      <c r="U11" s="787"/>
      <c r="V11" s="787"/>
      <c r="W11" s="433" t="s">
        <v>287</v>
      </c>
      <c r="X11" s="433" t="s">
        <v>292</v>
      </c>
      <c r="Y11" s="433" t="s">
        <v>769</v>
      </c>
      <c r="Z11" s="787"/>
      <c r="AA11" s="436" t="s">
        <v>280</v>
      </c>
      <c r="AB11" s="437" t="s">
        <v>281</v>
      </c>
      <c r="AC11" s="436" t="s">
        <v>280</v>
      </c>
      <c r="AD11" s="436" t="s">
        <v>280</v>
      </c>
      <c r="AE11" s="437" t="s">
        <v>281</v>
      </c>
      <c r="AF11" s="436" t="s">
        <v>280</v>
      </c>
      <c r="AG11" s="436" t="s">
        <v>280</v>
      </c>
      <c r="AH11" s="437" t="s">
        <v>281</v>
      </c>
      <c r="AI11" s="436" t="s">
        <v>280</v>
      </c>
      <c r="AJ11" s="437" t="s">
        <v>281</v>
      </c>
      <c r="AK11" s="438" t="s">
        <v>301</v>
      </c>
      <c r="AL11" s="796"/>
      <c r="AM11" s="38" t="s">
        <v>274</v>
      </c>
      <c r="AN11" s="439" t="s">
        <v>283</v>
      </c>
      <c r="AO11" s="431" t="s">
        <v>5</v>
      </c>
      <c r="AP11" s="431" t="s">
        <v>1</v>
      </c>
      <c r="AQ11" s="431" t="s">
        <v>7</v>
      </c>
      <c r="AR11" s="775"/>
      <c r="AS11" s="434" t="s">
        <v>280</v>
      </c>
      <c r="AT11" s="435" t="s">
        <v>281</v>
      </c>
    </row>
    <row r="12" spans="1:46" s="5" customFormat="1" ht="12" customHeight="1" thickBot="1" x14ac:dyDescent="0.25">
      <c r="A12" s="449" t="s">
        <v>251</v>
      </c>
      <c r="B12" s="143" t="s">
        <v>268</v>
      </c>
      <c r="C12" s="144" t="s">
        <v>269</v>
      </c>
      <c r="D12" s="144" t="s">
        <v>270</v>
      </c>
      <c r="E12" s="144" t="s">
        <v>271</v>
      </c>
      <c r="F12" s="144" t="s">
        <v>272</v>
      </c>
      <c r="G12" s="429" t="s">
        <v>273</v>
      </c>
      <c r="H12" s="145" t="s">
        <v>553</v>
      </c>
      <c r="I12" s="146" t="s">
        <v>554</v>
      </c>
      <c r="J12" s="143" t="s">
        <v>293</v>
      </c>
      <c r="K12" s="144" t="s">
        <v>293</v>
      </c>
      <c r="L12" s="144" t="s">
        <v>293</v>
      </c>
      <c r="M12" s="144" t="s">
        <v>293</v>
      </c>
      <c r="N12" s="144" t="s">
        <v>293</v>
      </c>
      <c r="O12" s="144" t="s">
        <v>293</v>
      </c>
      <c r="P12" s="643" t="s">
        <v>294</v>
      </c>
      <c r="Q12" s="144" t="s">
        <v>294</v>
      </c>
      <c r="R12" s="144" t="s">
        <v>295</v>
      </c>
      <c r="S12" s="144" t="s">
        <v>294</v>
      </c>
      <c r="T12" s="144" t="s">
        <v>296</v>
      </c>
      <c r="U12" s="144" t="s">
        <v>297</v>
      </c>
      <c r="V12" s="144" t="s">
        <v>298</v>
      </c>
      <c r="W12" s="144" t="s">
        <v>300</v>
      </c>
      <c r="X12" s="144" t="s">
        <v>299</v>
      </c>
      <c r="Y12" s="144" t="s">
        <v>299</v>
      </c>
      <c r="Z12" s="144" t="s">
        <v>306</v>
      </c>
      <c r="AA12" s="145" t="s">
        <v>302</v>
      </c>
      <c r="AB12" s="145" t="s">
        <v>303</v>
      </c>
      <c r="AC12" s="145" t="s">
        <v>302</v>
      </c>
      <c r="AD12" s="145" t="s">
        <v>302</v>
      </c>
      <c r="AE12" s="145" t="s">
        <v>303</v>
      </c>
      <c r="AF12" s="145" t="s">
        <v>302</v>
      </c>
      <c r="AG12" s="145" t="s">
        <v>302</v>
      </c>
      <c r="AH12" s="145" t="s">
        <v>303</v>
      </c>
      <c r="AI12" s="145" t="s">
        <v>302</v>
      </c>
      <c r="AJ12" s="145" t="s">
        <v>303</v>
      </c>
      <c r="AK12" s="183" t="s">
        <v>304</v>
      </c>
      <c r="AL12" s="643" t="s">
        <v>268</v>
      </c>
      <c r="AM12" s="144" t="s">
        <v>269</v>
      </c>
      <c r="AN12" s="144" t="s">
        <v>275</v>
      </c>
      <c r="AO12" s="144" t="s">
        <v>270</v>
      </c>
      <c r="AP12" s="144" t="s">
        <v>271</v>
      </c>
      <c r="AQ12" s="144" t="s">
        <v>272</v>
      </c>
      <c r="AR12" s="145" t="s">
        <v>273</v>
      </c>
      <c r="AS12" s="145" t="s">
        <v>553</v>
      </c>
      <c r="AT12" s="183" t="s">
        <v>554</v>
      </c>
    </row>
    <row r="13" spans="1:46" x14ac:dyDescent="0.2">
      <c r="A13" s="180" t="s">
        <v>252</v>
      </c>
      <c r="B13" s="440">
        <f>LB!I463</f>
        <v>1729816676</v>
      </c>
      <c r="C13" s="441">
        <f>LB!J463</f>
        <v>1267213859</v>
      </c>
      <c r="D13" s="441">
        <f>LB!K463</f>
        <v>428318286</v>
      </c>
      <c r="E13" s="441">
        <f>LB!L463</f>
        <v>12672137</v>
      </c>
      <c r="F13" s="441">
        <f>LB!M463</f>
        <v>21612394</v>
      </c>
      <c r="G13" s="442">
        <f>LB!N463</f>
        <v>2425.0944999999983</v>
      </c>
      <c r="H13" s="442">
        <f>LB!O463</f>
        <v>1751.0809000000002</v>
      </c>
      <c r="I13" s="467">
        <f>LB!P463</f>
        <v>674.01360000000011</v>
      </c>
      <c r="J13" s="440">
        <f>LB!Q463</f>
        <v>-4335961</v>
      </c>
      <c r="K13" s="441">
        <f>LB!R463</f>
        <v>92950452</v>
      </c>
      <c r="L13" s="441">
        <f>LB!S463</f>
        <v>0</v>
      </c>
      <c r="M13" s="441">
        <f>LB!T463</f>
        <v>744657</v>
      </c>
      <c r="N13" s="441">
        <f>LB!U463</f>
        <v>22120</v>
      </c>
      <c r="O13" s="441">
        <f>LB!V463</f>
        <v>89381268</v>
      </c>
      <c r="P13" s="441">
        <f>LB!W463</f>
        <v>4335961</v>
      </c>
      <c r="Q13" s="441">
        <f>LB!X463</f>
        <v>148560</v>
      </c>
      <c r="R13" s="441">
        <f>LB!Y463</f>
        <v>193022</v>
      </c>
      <c r="S13" s="441">
        <f>LB!Z463</f>
        <v>4677543</v>
      </c>
      <c r="T13" s="441">
        <f>LB!AA463</f>
        <v>94058811</v>
      </c>
      <c r="U13" s="441">
        <f>LB!AB463</f>
        <v>31726638</v>
      </c>
      <c r="V13" s="441">
        <f>LB!AC463</f>
        <v>893802</v>
      </c>
      <c r="W13" s="441">
        <f>LB!AD463</f>
        <v>82100</v>
      </c>
      <c r="X13" s="441">
        <f>LB!AE463</f>
        <v>0</v>
      </c>
      <c r="Y13" s="441">
        <f>LB!AF463</f>
        <v>82100</v>
      </c>
      <c r="Z13" s="441">
        <f>LB!AG463</f>
        <v>126761351</v>
      </c>
      <c r="AA13" s="442">
        <f>LB!AH463</f>
        <v>-2.9700000000000006</v>
      </c>
      <c r="AB13" s="442">
        <f>LB!AI463</f>
        <v>-4.6099999999999994</v>
      </c>
      <c r="AC13" s="442">
        <f>LB!AJ463</f>
        <v>267.04999999999995</v>
      </c>
      <c r="AD13" s="442">
        <f>LB!AK463</f>
        <v>0</v>
      </c>
      <c r="AE13" s="442">
        <f>LB!AL463</f>
        <v>0</v>
      </c>
      <c r="AF13" s="442">
        <f>LB!AM463</f>
        <v>1.1800000000000002</v>
      </c>
      <c r="AG13" s="442">
        <f>LB!AN463</f>
        <v>0.17</v>
      </c>
      <c r="AH13" s="442">
        <f>LB!AO463</f>
        <v>1.19</v>
      </c>
      <c r="AI13" s="442">
        <f>LB!AP463</f>
        <v>265.43</v>
      </c>
      <c r="AJ13" s="442">
        <f>LB!AQ463</f>
        <v>-3.42</v>
      </c>
      <c r="AK13" s="586">
        <f>LB!AR463</f>
        <v>262.00999999999993</v>
      </c>
      <c r="AL13" s="579">
        <f>LB!AS463</f>
        <v>1856578027</v>
      </c>
      <c r="AM13" s="441">
        <f>LB!AT463</f>
        <v>1356595127</v>
      </c>
      <c r="AN13" s="441">
        <f>LB!AU463</f>
        <v>4677543</v>
      </c>
      <c r="AO13" s="441">
        <f>LB!AV463</f>
        <v>460044924</v>
      </c>
      <c r="AP13" s="441">
        <f>LB!AW463</f>
        <v>13565939</v>
      </c>
      <c r="AQ13" s="441">
        <f>LB!AX463</f>
        <v>21694494</v>
      </c>
      <c r="AR13" s="442">
        <f>LB!AY463</f>
        <v>2687.1044999999999</v>
      </c>
      <c r="AS13" s="442">
        <f>LB!AZ463</f>
        <v>2016.5109000000002</v>
      </c>
      <c r="AT13" s="586">
        <f>LB!BA463</f>
        <v>670.59360000000004</v>
      </c>
    </row>
    <row r="14" spans="1:46" x14ac:dyDescent="0.2">
      <c r="A14" s="181" t="s">
        <v>253</v>
      </c>
      <c r="B14" s="462">
        <f>FR!I131</f>
        <v>305041170</v>
      </c>
      <c r="C14" s="457">
        <f>FR!J131</f>
        <v>223582996</v>
      </c>
      <c r="D14" s="457">
        <f>FR!K131</f>
        <v>75571051</v>
      </c>
      <c r="E14" s="457">
        <f>FR!L131</f>
        <v>2235831</v>
      </c>
      <c r="F14" s="457">
        <f>FR!M131</f>
        <v>3651292</v>
      </c>
      <c r="G14" s="458">
        <f>FR!N131</f>
        <v>438.83780000000002</v>
      </c>
      <c r="H14" s="458">
        <f>FR!O131</f>
        <v>314.8338</v>
      </c>
      <c r="I14" s="468">
        <f>FR!P131</f>
        <v>124.004</v>
      </c>
      <c r="J14" s="462">
        <f>FR!Q131</f>
        <v>-1344478</v>
      </c>
      <c r="K14" s="457">
        <f>FR!R131</f>
        <v>22069874</v>
      </c>
      <c r="L14" s="457">
        <f>FR!S131</f>
        <v>0</v>
      </c>
      <c r="M14" s="457">
        <f>FR!T131</f>
        <v>0</v>
      </c>
      <c r="N14" s="457">
        <f>FR!U131</f>
        <v>67320</v>
      </c>
      <c r="O14" s="457">
        <f>FR!V131</f>
        <v>20792716</v>
      </c>
      <c r="P14" s="457">
        <f>FR!W131</f>
        <v>1344478</v>
      </c>
      <c r="Q14" s="457">
        <f>FR!X131</f>
        <v>37140</v>
      </c>
      <c r="R14" s="457">
        <f>FR!Y131</f>
        <v>0</v>
      </c>
      <c r="S14" s="457">
        <f>FR!Z131</f>
        <v>1381618</v>
      </c>
      <c r="T14" s="457">
        <f>FR!AA131</f>
        <v>22174334</v>
      </c>
      <c r="U14" s="457">
        <f>FR!AB131</f>
        <v>7494923</v>
      </c>
      <c r="V14" s="457">
        <f>FR!AC131</f>
        <v>207922</v>
      </c>
      <c r="W14" s="457">
        <f>FR!AD131</f>
        <v>10750</v>
      </c>
      <c r="X14" s="457">
        <f>FR!AE131</f>
        <v>0</v>
      </c>
      <c r="Y14" s="457">
        <f>FR!AF131</f>
        <v>10750</v>
      </c>
      <c r="Z14" s="457">
        <f>FR!AG131</f>
        <v>29887929</v>
      </c>
      <c r="AA14" s="458">
        <f>FR!AH131</f>
        <v>-0.55000000000000004</v>
      </c>
      <c r="AB14" s="458">
        <f>FR!AI131</f>
        <v>-0.98</v>
      </c>
      <c r="AC14" s="458">
        <f>FR!AJ131</f>
        <v>63.37</v>
      </c>
      <c r="AD14" s="458">
        <f>FR!AK131</f>
        <v>0</v>
      </c>
      <c r="AE14" s="458">
        <f>FR!AL131</f>
        <v>0</v>
      </c>
      <c r="AF14" s="458">
        <f>FR!AM131</f>
        <v>0</v>
      </c>
      <c r="AG14" s="458">
        <f>FR!AN131</f>
        <v>0.13</v>
      </c>
      <c r="AH14" s="458">
        <f>FR!AO131</f>
        <v>1.45</v>
      </c>
      <c r="AI14" s="458">
        <f>FR!AP131</f>
        <v>62.949999999999996</v>
      </c>
      <c r="AJ14" s="458">
        <f>FR!AQ131</f>
        <v>0.47</v>
      </c>
      <c r="AK14" s="646">
        <f>FR!AR131</f>
        <v>63.419999999999987</v>
      </c>
      <c r="AL14" s="647">
        <f>FR!AS131</f>
        <v>334929099</v>
      </c>
      <c r="AM14" s="457">
        <f>FR!AT131</f>
        <v>244375712</v>
      </c>
      <c r="AN14" s="457">
        <f>FR!AU131</f>
        <v>1381618</v>
      </c>
      <c r="AO14" s="457">
        <f>FR!AV131</f>
        <v>83065974</v>
      </c>
      <c r="AP14" s="457">
        <f>FR!AW131</f>
        <v>2443753</v>
      </c>
      <c r="AQ14" s="457">
        <f>FR!AX131</f>
        <v>3662042</v>
      </c>
      <c r="AR14" s="458">
        <f>FR!AY131</f>
        <v>502.25780000000003</v>
      </c>
      <c r="AS14" s="458">
        <f>FR!AZ131</f>
        <v>377.78380000000004</v>
      </c>
      <c r="AT14" s="646">
        <f>FR!BA131</f>
        <v>124.47399999999999</v>
      </c>
    </row>
    <row r="15" spans="1:46" s="3" customFormat="1" x14ac:dyDescent="0.2">
      <c r="A15" s="181" t="s">
        <v>254</v>
      </c>
      <c r="B15" s="462">
        <f>JN!I188</f>
        <v>619124769</v>
      </c>
      <c r="C15" s="457">
        <f>JN!J188</f>
        <v>453615669</v>
      </c>
      <c r="D15" s="457">
        <f>JN!K188</f>
        <v>153322101</v>
      </c>
      <c r="E15" s="457">
        <f>JN!L188</f>
        <v>4536161</v>
      </c>
      <c r="F15" s="457">
        <f>JN!M188</f>
        <v>7650838</v>
      </c>
      <c r="G15" s="458">
        <f>JN!N188</f>
        <v>885.74749999999995</v>
      </c>
      <c r="H15" s="458">
        <f>JN!O188</f>
        <v>611.07619999999997</v>
      </c>
      <c r="I15" s="468">
        <f>JN!P188</f>
        <v>274.37129999999996</v>
      </c>
      <c r="J15" s="462">
        <f>JN!Q188</f>
        <v>-802815</v>
      </c>
      <c r="K15" s="457">
        <f>JN!R188</f>
        <v>35912038</v>
      </c>
      <c r="L15" s="457">
        <f>JN!S188</f>
        <v>0</v>
      </c>
      <c r="M15" s="457">
        <f>JN!T188</f>
        <v>280871</v>
      </c>
      <c r="N15" s="457">
        <f>JN!U188</f>
        <v>0</v>
      </c>
      <c r="O15" s="457">
        <f>JN!V188</f>
        <v>35390094</v>
      </c>
      <c r="P15" s="457">
        <f>JN!W188</f>
        <v>802815</v>
      </c>
      <c r="Q15" s="457">
        <f>JN!X188</f>
        <v>0</v>
      </c>
      <c r="R15" s="457">
        <f>JN!Y188</f>
        <v>459194</v>
      </c>
      <c r="S15" s="457">
        <f>JN!Z188</f>
        <v>1262009</v>
      </c>
      <c r="T15" s="457">
        <f>JN!AA188</f>
        <v>36652103</v>
      </c>
      <c r="U15" s="457">
        <f>JN!AB188</f>
        <v>12233204</v>
      </c>
      <c r="V15" s="457">
        <f>JN!AC188</f>
        <v>353896</v>
      </c>
      <c r="W15" s="457">
        <f>JN!AD188</f>
        <v>9000</v>
      </c>
      <c r="X15" s="457">
        <f>JN!AE188</f>
        <v>0</v>
      </c>
      <c r="Y15" s="457">
        <f>JN!AF188</f>
        <v>9000</v>
      </c>
      <c r="Z15" s="457">
        <f>JN!AG188</f>
        <v>49248203</v>
      </c>
      <c r="AA15" s="458">
        <f>JN!AH188</f>
        <v>-0.33</v>
      </c>
      <c r="AB15" s="458">
        <f>JN!AI188</f>
        <v>-1.1600000000000001</v>
      </c>
      <c r="AC15" s="458">
        <f>JN!AJ188</f>
        <v>102.57000000000001</v>
      </c>
      <c r="AD15" s="458">
        <f>JN!AK188</f>
        <v>0</v>
      </c>
      <c r="AE15" s="458">
        <f>JN!AL188</f>
        <v>0</v>
      </c>
      <c r="AF15" s="458">
        <f>JN!AM188</f>
        <v>0.42000000000000004</v>
      </c>
      <c r="AG15" s="458">
        <f>JN!AN188</f>
        <v>0</v>
      </c>
      <c r="AH15" s="458">
        <f>JN!AO188</f>
        <v>0</v>
      </c>
      <c r="AI15" s="458">
        <f>JN!AP188</f>
        <v>102.66000000000001</v>
      </c>
      <c r="AJ15" s="458">
        <f>JN!AQ188</f>
        <v>-1.1600000000000001</v>
      </c>
      <c r="AK15" s="646">
        <f>JN!AR188</f>
        <v>101.50000000000001</v>
      </c>
      <c r="AL15" s="647">
        <f>JN!AS188</f>
        <v>668372972</v>
      </c>
      <c r="AM15" s="457">
        <f>JN!AT188</f>
        <v>489005763</v>
      </c>
      <c r="AN15" s="457">
        <f>JN!AU188</f>
        <v>1262009</v>
      </c>
      <c r="AO15" s="457">
        <f>JN!AV188</f>
        <v>165555305</v>
      </c>
      <c r="AP15" s="457">
        <f>JN!AW188</f>
        <v>4890057</v>
      </c>
      <c r="AQ15" s="457">
        <f>JN!AX188</f>
        <v>7659838</v>
      </c>
      <c r="AR15" s="458">
        <f>JN!AY188</f>
        <v>987.24749999999972</v>
      </c>
      <c r="AS15" s="458">
        <f>JN!AZ188</f>
        <v>713.73620000000005</v>
      </c>
      <c r="AT15" s="646">
        <f>JN!BA188</f>
        <v>273.21129999999994</v>
      </c>
    </row>
    <row r="16" spans="1:46" x14ac:dyDescent="0.2">
      <c r="A16" s="181" t="s">
        <v>255</v>
      </c>
      <c r="B16" s="462">
        <f>TA!I100</f>
        <v>238524540</v>
      </c>
      <c r="C16" s="457">
        <f>TA!J100</f>
        <v>174661282</v>
      </c>
      <c r="D16" s="457">
        <f>TA!K100</f>
        <v>59035515</v>
      </c>
      <c r="E16" s="457">
        <f>TA!L100</f>
        <v>1746616</v>
      </c>
      <c r="F16" s="457">
        <f>TA!M100</f>
        <v>3081127</v>
      </c>
      <c r="G16" s="458">
        <f>TA!N100</f>
        <v>343.83929999999998</v>
      </c>
      <c r="H16" s="458">
        <f>TA!O100</f>
        <v>247.51449999999997</v>
      </c>
      <c r="I16" s="468">
        <f>TA!P100</f>
        <v>96.324799999999996</v>
      </c>
      <c r="J16" s="462">
        <f>TA!Q100</f>
        <v>-840294</v>
      </c>
      <c r="K16" s="457">
        <f>TA!R100</f>
        <v>20131414</v>
      </c>
      <c r="L16" s="457">
        <f>TA!S100</f>
        <v>0</v>
      </c>
      <c r="M16" s="457">
        <f>TA!T100</f>
        <v>111420</v>
      </c>
      <c r="N16" s="457">
        <f>TA!U100</f>
        <v>109519</v>
      </c>
      <c r="O16" s="457">
        <f>TA!V100</f>
        <v>19512059</v>
      </c>
      <c r="P16" s="457">
        <f>TA!W100</f>
        <v>840294</v>
      </c>
      <c r="Q16" s="457">
        <f>TA!X100</f>
        <v>434160</v>
      </c>
      <c r="R16" s="457">
        <f>TA!Y100</f>
        <v>0</v>
      </c>
      <c r="S16" s="457">
        <f>TA!Z100</f>
        <v>1274454</v>
      </c>
      <c r="T16" s="457">
        <f>TA!AA100</f>
        <v>20786513</v>
      </c>
      <c r="U16" s="457">
        <f>TA!AB100</f>
        <v>7025840</v>
      </c>
      <c r="V16" s="457">
        <f>TA!AC100</f>
        <v>195117</v>
      </c>
      <c r="W16" s="457">
        <f>TA!AD100</f>
        <v>8200</v>
      </c>
      <c r="X16" s="457">
        <f>TA!AE100</f>
        <v>0</v>
      </c>
      <c r="Y16" s="457">
        <f>TA!AF100</f>
        <v>8200</v>
      </c>
      <c r="Z16" s="457">
        <f>TA!AG100</f>
        <v>28015670</v>
      </c>
      <c r="AA16" s="458">
        <f>TA!AH100</f>
        <v>-0.35999999999999993</v>
      </c>
      <c r="AB16" s="458">
        <f>TA!AI100</f>
        <v>-1.6800000000000002</v>
      </c>
      <c r="AC16" s="458">
        <f>TA!AJ100</f>
        <v>58.100000000000009</v>
      </c>
      <c r="AD16" s="458">
        <f>TA!AK100</f>
        <v>0</v>
      </c>
      <c r="AE16" s="458">
        <f>TA!AL100</f>
        <v>0</v>
      </c>
      <c r="AF16" s="458">
        <f>TA!AM100</f>
        <v>0.16999999999999998</v>
      </c>
      <c r="AG16" s="458">
        <f>TA!AN100</f>
        <v>0.2273</v>
      </c>
      <c r="AH16" s="458">
        <f>TA!AO100</f>
        <v>0</v>
      </c>
      <c r="AI16" s="458">
        <f>TA!AP100</f>
        <v>58.13730000000001</v>
      </c>
      <c r="AJ16" s="458">
        <f>TA!AQ100</f>
        <v>-1.6800000000000002</v>
      </c>
      <c r="AK16" s="646">
        <f>TA!AR100</f>
        <v>56.457300000000011</v>
      </c>
      <c r="AL16" s="647">
        <f>TA!AS100</f>
        <v>266540210</v>
      </c>
      <c r="AM16" s="457">
        <f>TA!AT100</f>
        <v>194173341</v>
      </c>
      <c r="AN16" s="457">
        <f>TA!AU100</f>
        <v>1274454</v>
      </c>
      <c r="AO16" s="457">
        <f>TA!AV100</f>
        <v>66061355</v>
      </c>
      <c r="AP16" s="457">
        <f>TA!AW100</f>
        <v>1941733</v>
      </c>
      <c r="AQ16" s="457">
        <f>TA!AX100</f>
        <v>3089327</v>
      </c>
      <c r="AR16" s="458">
        <f>TA!AY100</f>
        <v>400.2965999999999</v>
      </c>
      <c r="AS16" s="458">
        <f>TA!AZ100</f>
        <v>305.65180000000004</v>
      </c>
      <c r="AT16" s="646">
        <f>TA!BA100</f>
        <v>94.644799999999989</v>
      </c>
    </row>
    <row r="17" spans="1:46" x14ac:dyDescent="0.2">
      <c r="A17" s="181" t="s">
        <v>256</v>
      </c>
      <c r="B17" s="462">
        <f>ŽB!I74</f>
        <v>141431983</v>
      </c>
      <c r="C17" s="457">
        <f>ŽB!J74</f>
        <v>103681057</v>
      </c>
      <c r="D17" s="457">
        <f>ŽB!K74</f>
        <v>35044197</v>
      </c>
      <c r="E17" s="457">
        <f>ŽB!L74</f>
        <v>1036809</v>
      </c>
      <c r="F17" s="457">
        <f>ŽB!M74</f>
        <v>1669920</v>
      </c>
      <c r="G17" s="458">
        <f>ŽB!N74</f>
        <v>200.39050000000003</v>
      </c>
      <c r="H17" s="458">
        <f>ŽB!O74</f>
        <v>138.83920000000001</v>
      </c>
      <c r="I17" s="468">
        <f>ŽB!P74</f>
        <v>61.551300000000005</v>
      </c>
      <c r="J17" s="462">
        <f>ŽB!Q74</f>
        <v>-545038</v>
      </c>
      <c r="K17" s="457">
        <f>ŽB!R74</f>
        <v>6056008</v>
      </c>
      <c r="L17" s="457">
        <f>ŽB!S74</f>
        <v>0</v>
      </c>
      <c r="M17" s="457">
        <f>ŽB!T74</f>
        <v>61900</v>
      </c>
      <c r="N17" s="457">
        <f>ŽB!U74</f>
        <v>0</v>
      </c>
      <c r="O17" s="457">
        <f>ŽB!V74</f>
        <v>5572870</v>
      </c>
      <c r="P17" s="457">
        <f>ŽB!W74</f>
        <v>545038</v>
      </c>
      <c r="Q17" s="457">
        <f>ŽB!X74</f>
        <v>0</v>
      </c>
      <c r="R17" s="457">
        <f>ŽB!Y74</f>
        <v>0</v>
      </c>
      <c r="S17" s="457">
        <f>ŽB!Z74</f>
        <v>545038</v>
      </c>
      <c r="T17" s="457">
        <f>ŽB!AA74</f>
        <v>6117908</v>
      </c>
      <c r="U17" s="457">
        <f>ŽB!AB74</f>
        <v>2067853</v>
      </c>
      <c r="V17" s="457">
        <f>ŽB!AC74</f>
        <v>55726</v>
      </c>
      <c r="W17" s="457">
        <f>ŽB!AD74</f>
        <v>1250</v>
      </c>
      <c r="X17" s="457">
        <f>ŽB!AE74</f>
        <v>0</v>
      </c>
      <c r="Y17" s="457">
        <f>ŽB!AF74</f>
        <v>1250</v>
      </c>
      <c r="Z17" s="457">
        <f>ŽB!AG74</f>
        <v>8242737</v>
      </c>
      <c r="AA17" s="458">
        <f>ŽB!AH74</f>
        <v>-0.28000000000000003</v>
      </c>
      <c r="AB17" s="458">
        <f>ŽB!AI74</f>
        <v>-0.55000000000000004</v>
      </c>
      <c r="AC17" s="458">
        <f>ŽB!AJ74</f>
        <v>17.46</v>
      </c>
      <c r="AD17" s="458">
        <f>ŽB!AK74</f>
        <v>0</v>
      </c>
      <c r="AE17" s="458">
        <f>ŽB!AL74</f>
        <v>0</v>
      </c>
      <c r="AF17" s="458">
        <f>ŽB!AM74</f>
        <v>0.09</v>
      </c>
      <c r="AG17" s="458">
        <f>ŽB!AN74</f>
        <v>0</v>
      </c>
      <c r="AH17" s="458">
        <f>ŽB!AO74</f>
        <v>0</v>
      </c>
      <c r="AI17" s="458">
        <f>ŽB!AP74</f>
        <v>17.27</v>
      </c>
      <c r="AJ17" s="458">
        <f>ŽB!AQ74</f>
        <v>-0.55000000000000004</v>
      </c>
      <c r="AK17" s="646">
        <f>ŽB!AR74</f>
        <v>16.720000000000002</v>
      </c>
      <c r="AL17" s="647">
        <f>ŽB!AS74</f>
        <v>149674720</v>
      </c>
      <c r="AM17" s="457">
        <f>ŽB!AT74</f>
        <v>109253927</v>
      </c>
      <c r="AN17" s="457">
        <f>ŽB!AU74</f>
        <v>545038</v>
      </c>
      <c r="AO17" s="457">
        <f>ŽB!AV74</f>
        <v>37112050</v>
      </c>
      <c r="AP17" s="457">
        <f>ŽB!AW74</f>
        <v>1092535</v>
      </c>
      <c r="AQ17" s="457">
        <f>ŽB!AX74</f>
        <v>1671170</v>
      </c>
      <c r="AR17" s="458">
        <f>ŽB!AY74</f>
        <v>217.11050000000003</v>
      </c>
      <c r="AS17" s="458">
        <f>ŽB!AZ74</f>
        <v>156.10919999999999</v>
      </c>
      <c r="AT17" s="646">
        <f>ŽB!BA74</f>
        <v>61.001300000000001</v>
      </c>
    </row>
    <row r="18" spans="1:46" s="3" customFormat="1" x14ac:dyDescent="0.2">
      <c r="A18" s="181" t="s">
        <v>257</v>
      </c>
      <c r="B18" s="462">
        <f>ČL!I301</f>
        <v>963399874</v>
      </c>
      <c r="C18" s="457">
        <f>ČL!J301</f>
        <v>706176495</v>
      </c>
      <c r="D18" s="457">
        <f>ČL!K301</f>
        <v>238687661</v>
      </c>
      <c r="E18" s="457">
        <f>ČL!L301</f>
        <v>7061765</v>
      </c>
      <c r="F18" s="457">
        <f>ČL!M301</f>
        <v>11473953</v>
      </c>
      <c r="G18" s="458">
        <f>ČL!N301</f>
        <v>1369.6185999999996</v>
      </c>
      <c r="H18" s="458">
        <f>ČL!O301</f>
        <v>979.26670000000013</v>
      </c>
      <c r="I18" s="468">
        <f>ČL!P301</f>
        <v>390.3519</v>
      </c>
      <c r="J18" s="462">
        <f>ČL!Q301</f>
        <v>-2398767</v>
      </c>
      <c r="K18" s="457">
        <f>ČL!R301</f>
        <v>52476010</v>
      </c>
      <c r="L18" s="457">
        <f>ČL!S301</f>
        <v>0</v>
      </c>
      <c r="M18" s="457">
        <f>ČL!T301</f>
        <v>719897</v>
      </c>
      <c r="N18" s="457">
        <f>ČL!U301</f>
        <v>25777</v>
      </c>
      <c r="O18" s="457">
        <f>ČL!V301</f>
        <v>50822917</v>
      </c>
      <c r="P18" s="457">
        <f>ČL!W301</f>
        <v>2398767</v>
      </c>
      <c r="Q18" s="457">
        <f>ČL!X301</f>
        <v>123800</v>
      </c>
      <c r="R18" s="457">
        <f>ČL!Y301</f>
        <v>118449</v>
      </c>
      <c r="S18" s="457">
        <f>ČL!Z301</f>
        <v>2641016</v>
      </c>
      <c r="T18" s="457">
        <f>ČL!AA301</f>
        <v>53463933</v>
      </c>
      <c r="U18" s="457">
        <f>ČL!AB301</f>
        <v>18030775</v>
      </c>
      <c r="V18" s="457">
        <f>ČL!AC301</f>
        <v>508221</v>
      </c>
      <c r="W18" s="457">
        <f>ČL!AD301</f>
        <v>42500</v>
      </c>
      <c r="X18" s="457">
        <f>ČL!AE301</f>
        <v>0</v>
      </c>
      <c r="Y18" s="457">
        <f>ČL!AF301</f>
        <v>42500</v>
      </c>
      <c r="Z18" s="457">
        <f>ČL!AG301</f>
        <v>72045429</v>
      </c>
      <c r="AA18" s="458">
        <f>ČL!AH301</f>
        <v>-2.0500000000000003</v>
      </c>
      <c r="AB18" s="458">
        <f>ČL!AI301</f>
        <v>-3.22</v>
      </c>
      <c r="AC18" s="458">
        <f>ČL!AJ301</f>
        <v>151.1</v>
      </c>
      <c r="AD18" s="458">
        <f>ČL!AK301</f>
        <v>0</v>
      </c>
      <c r="AE18" s="458">
        <f>ČL!AL301</f>
        <v>0</v>
      </c>
      <c r="AF18" s="458">
        <f>ČL!AM301</f>
        <v>1.0900000000000001</v>
      </c>
      <c r="AG18" s="458">
        <f>ČL!AN301</f>
        <v>0.06</v>
      </c>
      <c r="AH18" s="458">
        <f>ČL!AO301</f>
        <v>0</v>
      </c>
      <c r="AI18" s="458">
        <f>ČL!AP301</f>
        <v>150.20000000000002</v>
      </c>
      <c r="AJ18" s="458">
        <f>ČL!AQ301</f>
        <v>-3.22</v>
      </c>
      <c r="AK18" s="646">
        <f>ČL!AR301</f>
        <v>146.98000000000002</v>
      </c>
      <c r="AL18" s="647">
        <f>ČL!AS301</f>
        <v>1035445303</v>
      </c>
      <c r="AM18" s="457">
        <f>ČL!AT301</f>
        <v>756999412</v>
      </c>
      <c r="AN18" s="457">
        <f>ČL!AU301</f>
        <v>2641016</v>
      </c>
      <c r="AO18" s="457">
        <f>ČL!AV301</f>
        <v>256718436</v>
      </c>
      <c r="AP18" s="457">
        <f>ČL!AW301</f>
        <v>7569986</v>
      </c>
      <c r="AQ18" s="457">
        <f>ČL!AX301</f>
        <v>11516453</v>
      </c>
      <c r="AR18" s="458">
        <f>ČL!AY301</f>
        <v>1516.5985999999996</v>
      </c>
      <c r="AS18" s="458">
        <f>ČL!AZ301</f>
        <v>1129.4667000000002</v>
      </c>
      <c r="AT18" s="646">
        <f>ČL!BA301</f>
        <v>387.13190000000003</v>
      </c>
    </row>
    <row r="19" spans="1:46" x14ac:dyDescent="0.2">
      <c r="A19" s="181" t="s">
        <v>258</v>
      </c>
      <c r="B19" s="462">
        <f>NB!I124</f>
        <v>314533828</v>
      </c>
      <c r="C19" s="457">
        <f>NB!J124</f>
        <v>230537503</v>
      </c>
      <c r="D19" s="457">
        <f>NB!K124</f>
        <v>77921674</v>
      </c>
      <c r="E19" s="457">
        <f>NB!L124</f>
        <v>2305378</v>
      </c>
      <c r="F19" s="457">
        <f>NB!M124</f>
        <v>3769273</v>
      </c>
      <c r="G19" s="458">
        <f>NB!N124</f>
        <v>446.88990000000007</v>
      </c>
      <c r="H19" s="458">
        <f>NB!O124</f>
        <v>313.75870000000003</v>
      </c>
      <c r="I19" s="468">
        <f>NB!P124</f>
        <v>133.13120000000001</v>
      </c>
      <c r="J19" s="462">
        <f>NB!Q124</f>
        <v>-1115952</v>
      </c>
      <c r="K19" s="457">
        <f>NB!R124</f>
        <v>14398302</v>
      </c>
      <c r="L19" s="457">
        <f>NB!S124</f>
        <v>0</v>
      </c>
      <c r="M19" s="457">
        <f>NB!T124</f>
        <v>0</v>
      </c>
      <c r="N19" s="457">
        <f>NB!U124</f>
        <v>0</v>
      </c>
      <c r="O19" s="457">
        <f>NB!V124</f>
        <v>13282350</v>
      </c>
      <c r="P19" s="457">
        <f>NB!W124</f>
        <v>1115952</v>
      </c>
      <c r="Q19" s="457">
        <f>NB!X124</f>
        <v>49520</v>
      </c>
      <c r="R19" s="457">
        <f>NB!Y124</f>
        <v>21321</v>
      </c>
      <c r="S19" s="457">
        <f>NB!Z124</f>
        <v>1186793</v>
      </c>
      <c r="T19" s="457">
        <f>NB!AA124</f>
        <v>14469143</v>
      </c>
      <c r="U19" s="457">
        <f>NB!AB124</f>
        <v>4883365</v>
      </c>
      <c r="V19" s="457">
        <f>NB!AC124</f>
        <v>132819</v>
      </c>
      <c r="W19" s="457">
        <f>NB!AD124</f>
        <v>4750</v>
      </c>
      <c r="X19" s="457">
        <f>NB!AE124</f>
        <v>0</v>
      </c>
      <c r="Y19" s="457">
        <f>NB!AF124</f>
        <v>4750</v>
      </c>
      <c r="Z19" s="457">
        <f>NB!AG124</f>
        <v>19490077</v>
      </c>
      <c r="AA19" s="458">
        <f>NB!AH124</f>
        <v>-0.78</v>
      </c>
      <c r="AB19" s="458">
        <f>NB!AI124</f>
        <v>-0.81</v>
      </c>
      <c r="AC19" s="458">
        <f>NB!AJ124</f>
        <v>43.47</v>
      </c>
      <c r="AD19" s="458">
        <f>NB!AK124</f>
        <v>0</v>
      </c>
      <c r="AE19" s="458">
        <f>NB!AL124</f>
        <v>0</v>
      </c>
      <c r="AF19" s="458">
        <f>NB!AM124</f>
        <v>0</v>
      </c>
      <c r="AG19" s="458">
        <f>NB!AN124</f>
        <v>0</v>
      </c>
      <c r="AH19" s="458">
        <f>NB!AO124</f>
        <v>0</v>
      </c>
      <c r="AI19" s="458">
        <f>NB!AP124</f>
        <v>42.69</v>
      </c>
      <c r="AJ19" s="458">
        <f>NB!AQ124</f>
        <v>-0.81</v>
      </c>
      <c r="AK19" s="646">
        <f>NB!AR124</f>
        <v>41.879999999999995</v>
      </c>
      <c r="AL19" s="647">
        <f>NB!AS124</f>
        <v>334023905</v>
      </c>
      <c r="AM19" s="457">
        <f>NB!AT124</f>
        <v>243819853</v>
      </c>
      <c r="AN19" s="457">
        <f>NB!AU124</f>
        <v>1186793</v>
      </c>
      <c r="AO19" s="457">
        <f>NB!AV124</f>
        <v>82805039</v>
      </c>
      <c r="AP19" s="457">
        <f>NB!AW124</f>
        <v>2438197</v>
      </c>
      <c r="AQ19" s="457">
        <f>NB!AX124</f>
        <v>3774023</v>
      </c>
      <c r="AR19" s="458">
        <f>NB!AY124</f>
        <v>488.76989999999995</v>
      </c>
      <c r="AS19" s="458">
        <f>NB!AZ124</f>
        <v>356.44869999999992</v>
      </c>
      <c r="AT19" s="646">
        <f>NB!BA124</f>
        <v>132.3212</v>
      </c>
    </row>
    <row r="20" spans="1:46" x14ac:dyDescent="0.2">
      <c r="A20" s="181" t="s">
        <v>259</v>
      </c>
      <c r="B20" s="462">
        <f>SM!I165</f>
        <v>338078907</v>
      </c>
      <c r="C20" s="457">
        <f>SM!J165</f>
        <v>247931878</v>
      </c>
      <c r="D20" s="457">
        <f>SM!K165</f>
        <v>83800976</v>
      </c>
      <c r="E20" s="457">
        <f>SM!L165</f>
        <v>2479317</v>
      </c>
      <c r="F20" s="457">
        <f>SM!M165</f>
        <v>3866736</v>
      </c>
      <c r="G20" s="458">
        <f>SM!N165</f>
        <v>483.35340000000002</v>
      </c>
      <c r="H20" s="458">
        <f>SM!O165</f>
        <v>337.78269999999992</v>
      </c>
      <c r="I20" s="468">
        <f>SM!P165</f>
        <v>145.57070000000002</v>
      </c>
      <c r="J20" s="462">
        <f>SM!Q165</f>
        <v>-892060</v>
      </c>
      <c r="K20" s="457">
        <f>SM!R165</f>
        <v>11848784</v>
      </c>
      <c r="L20" s="457">
        <f>SM!S165</f>
        <v>0</v>
      </c>
      <c r="M20" s="457">
        <f>SM!T165</f>
        <v>0</v>
      </c>
      <c r="N20" s="457">
        <f>SM!U165</f>
        <v>0</v>
      </c>
      <c r="O20" s="457">
        <f>SM!V165</f>
        <v>10956724</v>
      </c>
      <c r="P20" s="457">
        <f>SM!W165</f>
        <v>892060</v>
      </c>
      <c r="Q20" s="457">
        <f>SM!X165</f>
        <v>622540</v>
      </c>
      <c r="R20" s="457">
        <f>SM!Y165</f>
        <v>0</v>
      </c>
      <c r="S20" s="457">
        <f>SM!Z165</f>
        <v>1514600</v>
      </c>
      <c r="T20" s="457">
        <f>SM!AA165</f>
        <v>12471324</v>
      </c>
      <c r="U20" s="457">
        <f>SM!AB165</f>
        <v>4215308</v>
      </c>
      <c r="V20" s="457">
        <f>SM!AC165</f>
        <v>109558</v>
      </c>
      <c r="W20" s="457">
        <f>SM!AD165</f>
        <v>5700</v>
      </c>
      <c r="X20" s="457">
        <f>SM!AE165</f>
        <v>0</v>
      </c>
      <c r="Y20" s="457">
        <f>SM!AF165</f>
        <v>5700</v>
      </c>
      <c r="Z20" s="457">
        <f>SM!AG165</f>
        <v>16801890</v>
      </c>
      <c r="AA20" s="458">
        <f>SM!AH165</f>
        <v>-0.4</v>
      </c>
      <c r="AB20" s="458">
        <f>SM!AI165</f>
        <v>-0.62000000000000011</v>
      </c>
      <c r="AC20" s="458">
        <f>SM!AJ165</f>
        <v>33.210000000000008</v>
      </c>
      <c r="AD20" s="458">
        <f>SM!AK165</f>
        <v>0</v>
      </c>
      <c r="AE20" s="458">
        <f>SM!AL165</f>
        <v>0</v>
      </c>
      <c r="AF20" s="458">
        <f>SM!AM165</f>
        <v>0</v>
      </c>
      <c r="AG20" s="458">
        <f>SM!AN165</f>
        <v>0</v>
      </c>
      <c r="AH20" s="458">
        <f>SM!AO165</f>
        <v>0</v>
      </c>
      <c r="AI20" s="458">
        <f>SM!AP165</f>
        <v>32.809999999999995</v>
      </c>
      <c r="AJ20" s="458">
        <f>SM!AQ165</f>
        <v>-0.62000000000000011</v>
      </c>
      <c r="AK20" s="646">
        <f>SM!AR165</f>
        <v>32.19</v>
      </c>
      <c r="AL20" s="647">
        <f>SM!AS165</f>
        <v>354880797</v>
      </c>
      <c r="AM20" s="457">
        <f>SM!AT165</f>
        <v>258888602</v>
      </c>
      <c r="AN20" s="457">
        <f>SM!AU165</f>
        <v>1514600</v>
      </c>
      <c r="AO20" s="457">
        <f>SM!AV165</f>
        <v>88016284</v>
      </c>
      <c r="AP20" s="457">
        <f>SM!AW165</f>
        <v>2588875</v>
      </c>
      <c r="AQ20" s="457">
        <f>SM!AX165</f>
        <v>3872436</v>
      </c>
      <c r="AR20" s="458">
        <f>SM!AY165</f>
        <v>515.54340000000002</v>
      </c>
      <c r="AS20" s="458">
        <f>SM!AZ165</f>
        <v>370.59270000000004</v>
      </c>
      <c r="AT20" s="646">
        <f>SM!BA165</f>
        <v>144.95070000000001</v>
      </c>
    </row>
    <row r="21" spans="1:46" s="3" customFormat="1" x14ac:dyDescent="0.2">
      <c r="A21" s="181" t="s">
        <v>260</v>
      </c>
      <c r="B21" s="462">
        <f>JI!I141</f>
        <v>277953092</v>
      </c>
      <c r="C21" s="457">
        <f>JI!J141</f>
        <v>203943661</v>
      </c>
      <c r="D21" s="457">
        <f>JI!K141</f>
        <v>68932960</v>
      </c>
      <c r="E21" s="457">
        <f>JI!L141</f>
        <v>2039440</v>
      </c>
      <c r="F21" s="457">
        <f>JI!M141</f>
        <v>3037031</v>
      </c>
      <c r="G21" s="458">
        <f>JI!N141</f>
        <v>401.13189999999997</v>
      </c>
      <c r="H21" s="458">
        <f>JI!O141</f>
        <v>287.73239999999993</v>
      </c>
      <c r="I21" s="468">
        <f>JI!P141</f>
        <v>113.39949999999999</v>
      </c>
      <c r="J21" s="462">
        <f>JI!Q141</f>
        <v>-685360</v>
      </c>
      <c r="K21" s="457">
        <f>JI!R141</f>
        <v>10783539</v>
      </c>
      <c r="L21" s="457">
        <f>JI!S141</f>
        <v>0</v>
      </c>
      <c r="M21" s="457">
        <f>JI!T141</f>
        <v>24760</v>
      </c>
      <c r="N21" s="457">
        <f>JI!U141</f>
        <v>0</v>
      </c>
      <c r="O21" s="457">
        <f>JI!V141</f>
        <v>10122939</v>
      </c>
      <c r="P21" s="457">
        <f>JI!W141</f>
        <v>685360</v>
      </c>
      <c r="Q21" s="457">
        <f>JI!X141</f>
        <v>0</v>
      </c>
      <c r="R21" s="457">
        <f>JI!Y141</f>
        <v>207000</v>
      </c>
      <c r="S21" s="457">
        <f>JI!Z141</f>
        <v>892360</v>
      </c>
      <c r="T21" s="457">
        <f>JI!AA141</f>
        <v>11015299</v>
      </c>
      <c r="U21" s="457">
        <f>JI!AB141</f>
        <v>3653205</v>
      </c>
      <c r="V21" s="457">
        <f>JI!AC141</f>
        <v>101226</v>
      </c>
      <c r="W21" s="457">
        <f>JI!AD141</f>
        <v>5100</v>
      </c>
      <c r="X21" s="457">
        <f>JI!AE141</f>
        <v>0</v>
      </c>
      <c r="Y21" s="457">
        <f>JI!AF141</f>
        <v>5100</v>
      </c>
      <c r="Z21" s="457">
        <f>JI!AG141</f>
        <v>14774830</v>
      </c>
      <c r="AA21" s="458">
        <f>JI!AH141</f>
        <v>-0.16</v>
      </c>
      <c r="AB21" s="458">
        <f>JI!AI141</f>
        <v>-1.1200000000000001</v>
      </c>
      <c r="AC21" s="458">
        <f>JI!AJ141</f>
        <v>30.250000000000004</v>
      </c>
      <c r="AD21" s="458">
        <f>JI!AK141</f>
        <v>0</v>
      </c>
      <c r="AE21" s="458">
        <f>JI!AL141</f>
        <v>0</v>
      </c>
      <c r="AF21" s="458">
        <f>JI!AM141</f>
        <v>0.02</v>
      </c>
      <c r="AG21" s="458">
        <f>JI!AN141</f>
        <v>0</v>
      </c>
      <c r="AH21" s="458">
        <f>JI!AO141</f>
        <v>0</v>
      </c>
      <c r="AI21" s="458">
        <f>JI!AP141</f>
        <v>30.11</v>
      </c>
      <c r="AJ21" s="458">
        <f>JI!AQ141</f>
        <v>-1.1200000000000001</v>
      </c>
      <c r="AK21" s="646">
        <f>JI!AR141</f>
        <v>28.99</v>
      </c>
      <c r="AL21" s="647">
        <f>JI!AS141</f>
        <v>292727922</v>
      </c>
      <c r="AM21" s="457">
        <f>JI!AT141</f>
        <v>214066600</v>
      </c>
      <c r="AN21" s="457">
        <f>JI!AU141</f>
        <v>892360</v>
      </c>
      <c r="AO21" s="457">
        <f>JI!AV141</f>
        <v>72586165</v>
      </c>
      <c r="AP21" s="457">
        <f>JI!AW141</f>
        <v>2140666</v>
      </c>
      <c r="AQ21" s="457">
        <f>JI!AX141</f>
        <v>3042131</v>
      </c>
      <c r="AR21" s="458">
        <f>JI!AY141</f>
        <v>430.12189999999993</v>
      </c>
      <c r="AS21" s="458">
        <f>JI!AZ141</f>
        <v>317.84239999999994</v>
      </c>
      <c r="AT21" s="646">
        <f>JI!BA141</f>
        <v>112.27950000000001</v>
      </c>
    </row>
    <row r="22" spans="1:46" ht="13.5" thickBot="1" x14ac:dyDescent="0.25">
      <c r="A22" s="426" t="s">
        <v>261</v>
      </c>
      <c r="B22" s="677">
        <f>TU!I199</f>
        <v>451079726</v>
      </c>
      <c r="C22" s="678">
        <f>TU!J199</f>
        <v>330755015</v>
      </c>
      <c r="D22" s="678">
        <f>TU!K199</f>
        <v>111795191</v>
      </c>
      <c r="E22" s="678">
        <f>TU!L199</f>
        <v>3307553</v>
      </c>
      <c r="F22" s="678">
        <f>TU!M199</f>
        <v>5221967</v>
      </c>
      <c r="G22" s="679">
        <f>TU!N199</f>
        <v>649.98969999999997</v>
      </c>
      <c r="H22" s="679">
        <f>TU!O199</f>
        <v>457.28379999999999</v>
      </c>
      <c r="I22" s="682">
        <f>TU!P199</f>
        <v>192.70590000000001</v>
      </c>
      <c r="J22" s="677">
        <f>TU!Q199</f>
        <v>-980460</v>
      </c>
      <c r="K22" s="678">
        <f>TU!R199</f>
        <v>15479568</v>
      </c>
      <c r="L22" s="678">
        <f>TU!S199</f>
        <v>0</v>
      </c>
      <c r="M22" s="678">
        <f>TU!T199</f>
        <v>216200</v>
      </c>
      <c r="N22" s="678">
        <f>TU!U199</f>
        <v>-108900</v>
      </c>
      <c r="O22" s="678">
        <f>TU!V199</f>
        <v>14606408</v>
      </c>
      <c r="P22" s="678">
        <f>TU!W199</f>
        <v>980460</v>
      </c>
      <c r="Q22" s="678">
        <f>TU!X199</f>
        <v>272360</v>
      </c>
      <c r="R22" s="678">
        <f>TU!Y199</f>
        <v>276787</v>
      </c>
      <c r="S22" s="678">
        <f>TU!Z199</f>
        <v>1529607</v>
      </c>
      <c r="T22" s="678">
        <f>TU!AA199</f>
        <v>16136015</v>
      </c>
      <c r="U22" s="678">
        <f>TU!AB199</f>
        <v>5360421</v>
      </c>
      <c r="V22" s="678">
        <f>TU!AC199</f>
        <v>146057</v>
      </c>
      <c r="W22" s="678">
        <f>TU!AD199</f>
        <v>65050</v>
      </c>
      <c r="X22" s="678">
        <f>TU!AE199</f>
        <v>0</v>
      </c>
      <c r="Y22" s="678">
        <f>TU!AF199</f>
        <v>65050</v>
      </c>
      <c r="Z22" s="678">
        <f>TU!AG199</f>
        <v>21707543</v>
      </c>
      <c r="AA22" s="679">
        <f>TU!AH199</f>
        <v>-0.31000000000000005</v>
      </c>
      <c r="AB22" s="679">
        <f>TU!AI199</f>
        <v>-1.54</v>
      </c>
      <c r="AC22" s="679">
        <f>TU!AJ199</f>
        <v>43.65</v>
      </c>
      <c r="AD22" s="679">
        <f>TU!AK199</f>
        <v>0</v>
      </c>
      <c r="AE22" s="679">
        <f>TU!AL199</f>
        <v>0</v>
      </c>
      <c r="AF22" s="679">
        <f>TU!AM199</f>
        <v>0.16999999999999998</v>
      </c>
      <c r="AG22" s="679">
        <f>TU!AN199</f>
        <v>0</v>
      </c>
      <c r="AH22" s="679">
        <f>TU!AO199</f>
        <v>0</v>
      </c>
      <c r="AI22" s="679">
        <f>TU!AP199</f>
        <v>43.51</v>
      </c>
      <c r="AJ22" s="679">
        <f>TU!AQ199</f>
        <v>-1.54</v>
      </c>
      <c r="AK22" s="680">
        <f>TU!AR199</f>
        <v>41.97</v>
      </c>
      <c r="AL22" s="681">
        <f>TU!AS199</f>
        <v>472787269</v>
      </c>
      <c r="AM22" s="678">
        <f>TU!AT199</f>
        <v>345361423</v>
      </c>
      <c r="AN22" s="678">
        <f>TU!AU199</f>
        <v>1529607</v>
      </c>
      <c r="AO22" s="678">
        <f>TU!AV199</f>
        <v>117155612</v>
      </c>
      <c r="AP22" s="678">
        <f>TU!AW199</f>
        <v>3453610</v>
      </c>
      <c r="AQ22" s="678">
        <f>TU!AX199</f>
        <v>5287017</v>
      </c>
      <c r="AR22" s="679">
        <f>TU!AY199</f>
        <v>691.95970000000011</v>
      </c>
      <c r="AS22" s="679">
        <f>TU!AZ199</f>
        <v>500.79379999999998</v>
      </c>
      <c r="AT22" s="680">
        <f>TU!BA199</f>
        <v>191.16589999999999</v>
      </c>
    </row>
    <row r="23" spans="1:46" s="3" customFormat="1" ht="13.5" thickBot="1" x14ac:dyDescent="0.25">
      <c r="A23" s="182" t="s">
        <v>262</v>
      </c>
      <c r="B23" s="683">
        <f>SUM(B13:B22)</f>
        <v>5378984565</v>
      </c>
      <c r="C23" s="684">
        <f t="shared" ref="C23:AT23" si="0">SUM(C13:C22)</f>
        <v>3942099415</v>
      </c>
      <c r="D23" s="684">
        <f t="shared" si="0"/>
        <v>1332429612</v>
      </c>
      <c r="E23" s="684">
        <f t="shared" si="0"/>
        <v>39421007</v>
      </c>
      <c r="F23" s="684">
        <f t="shared" si="0"/>
        <v>65034531</v>
      </c>
      <c r="G23" s="685">
        <f t="shared" si="0"/>
        <v>7644.8930999999993</v>
      </c>
      <c r="H23" s="685">
        <f t="shared" si="0"/>
        <v>5439.1688999999997</v>
      </c>
      <c r="I23" s="688">
        <f t="shared" si="0"/>
        <v>2205.4242000000004</v>
      </c>
      <c r="J23" s="683">
        <f t="shared" si="0"/>
        <v>-13941185</v>
      </c>
      <c r="K23" s="684">
        <f t="shared" si="0"/>
        <v>282105989</v>
      </c>
      <c r="L23" s="684">
        <f t="shared" si="0"/>
        <v>0</v>
      </c>
      <c r="M23" s="684">
        <f t="shared" si="0"/>
        <v>2159705</v>
      </c>
      <c r="N23" s="684">
        <f t="shared" si="0"/>
        <v>115836</v>
      </c>
      <c r="O23" s="684">
        <f t="shared" si="0"/>
        <v>270440345</v>
      </c>
      <c r="P23" s="684">
        <f t="shared" si="0"/>
        <v>13941185</v>
      </c>
      <c r="Q23" s="684">
        <f t="shared" si="0"/>
        <v>1688080</v>
      </c>
      <c r="R23" s="684">
        <f t="shared" si="0"/>
        <v>1275773</v>
      </c>
      <c r="S23" s="684">
        <f t="shared" si="0"/>
        <v>16905038</v>
      </c>
      <c r="T23" s="684">
        <f t="shared" si="0"/>
        <v>287345383</v>
      </c>
      <c r="U23" s="684">
        <f t="shared" si="0"/>
        <v>96691532</v>
      </c>
      <c r="V23" s="684">
        <f t="shared" si="0"/>
        <v>2704344</v>
      </c>
      <c r="W23" s="684">
        <f t="shared" si="0"/>
        <v>234400</v>
      </c>
      <c r="X23" s="684">
        <f t="shared" si="0"/>
        <v>0</v>
      </c>
      <c r="Y23" s="684">
        <f t="shared" si="0"/>
        <v>234400</v>
      </c>
      <c r="Z23" s="684">
        <f t="shared" si="0"/>
        <v>386975659</v>
      </c>
      <c r="AA23" s="685">
        <f t="shared" si="0"/>
        <v>-8.1900000000000013</v>
      </c>
      <c r="AB23" s="685">
        <f t="shared" si="0"/>
        <v>-16.290000000000003</v>
      </c>
      <c r="AC23" s="685">
        <f t="shared" si="0"/>
        <v>810.23</v>
      </c>
      <c r="AD23" s="685">
        <f t="shared" si="0"/>
        <v>0</v>
      </c>
      <c r="AE23" s="685">
        <f t="shared" si="0"/>
        <v>0</v>
      </c>
      <c r="AF23" s="685">
        <f t="shared" si="0"/>
        <v>3.14</v>
      </c>
      <c r="AG23" s="685">
        <f t="shared" si="0"/>
        <v>0.58730000000000016</v>
      </c>
      <c r="AH23" s="685">
        <f t="shared" si="0"/>
        <v>2.6399999999999997</v>
      </c>
      <c r="AI23" s="685">
        <f t="shared" si="0"/>
        <v>805.76730000000009</v>
      </c>
      <c r="AJ23" s="685">
        <f t="shared" si="0"/>
        <v>-13.650000000000002</v>
      </c>
      <c r="AK23" s="686">
        <f t="shared" si="0"/>
        <v>792.11730000000011</v>
      </c>
      <c r="AL23" s="687">
        <f t="shared" si="0"/>
        <v>5765960224</v>
      </c>
      <c r="AM23" s="684">
        <f t="shared" si="0"/>
        <v>4212539760</v>
      </c>
      <c r="AN23" s="684">
        <f t="shared" si="0"/>
        <v>16905038</v>
      </c>
      <c r="AO23" s="684">
        <f t="shared" si="0"/>
        <v>1429121144</v>
      </c>
      <c r="AP23" s="684">
        <f t="shared" si="0"/>
        <v>42125351</v>
      </c>
      <c r="AQ23" s="684">
        <f t="shared" si="0"/>
        <v>65268931</v>
      </c>
      <c r="AR23" s="685">
        <f t="shared" si="0"/>
        <v>8437.0103999999974</v>
      </c>
      <c r="AS23" s="685">
        <f t="shared" si="0"/>
        <v>6244.936200000001</v>
      </c>
      <c r="AT23" s="686">
        <f t="shared" si="0"/>
        <v>2191.7742000000003</v>
      </c>
    </row>
    <row r="24" spans="1:46" x14ac:dyDescent="0.2">
      <c r="A24" s="20" t="s">
        <v>263</v>
      </c>
      <c r="B24" s="474">
        <f>SUM(C23:F23)</f>
        <v>5378984565</v>
      </c>
      <c r="C24" s="474"/>
      <c r="D24" s="474"/>
      <c r="E24" s="474"/>
      <c r="F24" s="474"/>
      <c r="G24" s="475">
        <f>SUM(H23:I23)</f>
        <v>7644.5931</v>
      </c>
      <c r="H24" s="475"/>
      <c r="I24" s="475"/>
      <c r="J24" s="474">
        <f>P23</f>
        <v>13941185</v>
      </c>
      <c r="K24" s="475"/>
      <c r="L24" s="475"/>
      <c r="M24" s="475"/>
      <c r="N24" s="475"/>
      <c r="O24" s="481">
        <f>SUM(J23:N23)</f>
        <v>270440345</v>
      </c>
      <c r="P24" s="481">
        <f>J23</f>
        <v>-13941185</v>
      </c>
      <c r="Q24" s="482"/>
      <c r="R24" s="482"/>
      <c r="S24" s="481">
        <f>SUM(P23:R23)</f>
        <v>16905038</v>
      </c>
      <c r="T24" s="481">
        <f>O23+S23</f>
        <v>287345383</v>
      </c>
      <c r="U24" s="483"/>
      <c r="V24" s="483"/>
      <c r="W24" s="482"/>
      <c r="X24" s="482"/>
      <c r="Y24" s="481">
        <f>SUM(W23:X23)</f>
        <v>234400</v>
      </c>
      <c r="Z24" s="481">
        <f>T23+U23+V23+Y23</f>
        <v>386975659</v>
      </c>
      <c r="AA24" s="484"/>
      <c r="AB24" s="484"/>
      <c r="AC24" s="484"/>
      <c r="AD24" s="484"/>
      <c r="AE24" s="484"/>
      <c r="AF24" s="484"/>
      <c r="AG24" s="484"/>
      <c r="AH24" s="484"/>
      <c r="AI24" s="636">
        <f>AA23+AC23+AD23+AF23+AG23</f>
        <v>805.76729999999998</v>
      </c>
      <c r="AJ24" s="636">
        <f>AB23+AE23+AH23</f>
        <v>-13.650000000000002</v>
      </c>
      <c r="AK24" s="636">
        <f>SUM(AI23:AJ23)</f>
        <v>792.11730000000011</v>
      </c>
      <c r="AL24" s="474">
        <f>SUM(AM23:AQ23)</f>
        <v>5765960224</v>
      </c>
      <c r="AM24" s="54"/>
      <c r="AN24" s="54"/>
      <c r="AO24" s="54"/>
      <c r="AP24" s="54"/>
      <c r="AQ24" s="54"/>
      <c r="AR24" s="475">
        <f>SUM(AS23:AT23)</f>
        <v>8436.7104000000018</v>
      </c>
      <c r="AS24" s="89"/>
      <c r="AT24" s="89"/>
    </row>
    <row r="25" spans="1:46" ht="13.5" thickBot="1" x14ac:dyDescent="0.25">
      <c r="A25" s="20"/>
      <c r="B25" s="87">
        <f>SUM(C26:F26)</f>
        <v>5378984565</v>
      </c>
      <c r="C25" s="52"/>
      <c r="D25" s="480"/>
      <c r="E25" s="480"/>
      <c r="F25" s="52"/>
      <c r="G25" s="88">
        <f>SUM(H26:I26)</f>
        <v>7644.5931</v>
      </c>
      <c r="H25" s="179"/>
      <c r="I25" s="179"/>
      <c r="J25" s="475"/>
      <c r="K25" s="475"/>
      <c r="L25" s="475"/>
      <c r="M25" s="475"/>
      <c r="N25" s="475"/>
      <c r="O25" s="481">
        <f>SUM(J26:N26)</f>
        <v>270440345</v>
      </c>
      <c r="P25" s="482"/>
      <c r="Q25" s="482"/>
      <c r="R25" s="482"/>
      <c r="S25" s="481">
        <f>SUM(P26:R26)</f>
        <v>16905038</v>
      </c>
      <c r="T25" s="481">
        <f>O26+S26</f>
        <v>287345383</v>
      </c>
      <c r="U25" s="483"/>
      <c r="V25" s="483"/>
      <c r="W25" s="482"/>
      <c r="X25" s="482"/>
      <c r="Y25" s="481">
        <f>SUM(W26:X26)</f>
        <v>234400</v>
      </c>
      <c r="Z25" s="481">
        <f>T26+U26+V26+Y26</f>
        <v>386975659</v>
      </c>
      <c r="AA25" s="484"/>
      <c r="AB25" s="484"/>
      <c r="AC25" s="484"/>
      <c r="AD25" s="484"/>
      <c r="AE25" s="484"/>
      <c r="AF25" s="484"/>
      <c r="AG25" s="484"/>
      <c r="AH25" s="484"/>
      <c r="AI25" s="636">
        <f>AA26+AC26+AD26+AF26+AG26</f>
        <v>805.76729999999998</v>
      </c>
      <c r="AJ25" s="636">
        <f>AB26+AE26+AH26</f>
        <v>-13.649999999999999</v>
      </c>
      <c r="AK25" s="636">
        <f>SUM(AI26:AJ26)</f>
        <v>792.1173</v>
      </c>
      <c r="AL25" s="474">
        <f>SUM(AM26:AQ26)</f>
        <v>5765960224</v>
      </c>
      <c r="AM25" s="54"/>
      <c r="AN25" s="54"/>
      <c r="AO25" s="54"/>
      <c r="AP25" s="54"/>
      <c r="AQ25" s="54"/>
      <c r="AR25" s="475">
        <f>SUM(AS26:AT26)</f>
        <v>8436.7103999999963</v>
      </c>
      <c r="AS25" s="89"/>
      <c r="AT25" s="89"/>
    </row>
    <row r="26" spans="1:46" ht="13.5" thickBot="1" x14ac:dyDescent="0.25">
      <c r="A26" s="22" t="s">
        <v>0</v>
      </c>
      <c r="B26" s="689">
        <f>SUM(B27:B36)</f>
        <v>5378984565</v>
      </c>
      <c r="C26" s="690">
        <f t="shared" ref="C26:AT26" si="1">SUM(C27:C36)</f>
        <v>3942099415</v>
      </c>
      <c r="D26" s="690">
        <f t="shared" si="1"/>
        <v>1332429612</v>
      </c>
      <c r="E26" s="690">
        <f t="shared" si="1"/>
        <v>39421007</v>
      </c>
      <c r="F26" s="690">
        <f t="shared" si="1"/>
        <v>65034531</v>
      </c>
      <c r="G26" s="691">
        <f t="shared" si="1"/>
        <v>7644.8931000000002</v>
      </c>
      <c r="H26" s="691">
        <f t="shared" si="1"/>
        <v>5439.1689000000006</v>
      </c>
      <c r="I26" s="694">
        <f t="shared" si="1"/>
        <v>2205.4241999999999</v>
      </c>
      <c r="J26" s="689">
        <f t="shared" si="1"/>
        <v>-13941185</v>
      </c>
      <c r="K26" s="690">
        <f t="shared" si="1"/>
        <v>282105989</v>
      </c>
      <c r="L26" s="690">
        <f t="shared" ref="L26:M26" si="2">SUM(L27:L36)</f>
        <v>0</v>
      </c>
      <c r="M26" s="690">
        <f t="shared" si="2"/>
        <v>2159705</v>
      </c>
      <c r="N26" s="690">
        <f t="shared" si="1"/>
        <v>115836</v>
      </c>
      <c r="O26" s="690">
        <f t="shared" si="1"/>
        <v>270440345</v>
      </c>
      <c r="P26" s="690">
        <f t="shared" si="1"/>
        <v>13941185</v>
      </c>
      <c r="Q26" s="690">
        <f t="shared" si="1"/>
        <v>1688080</v>
      </c>
      <c r="R26" s="690">
        <f t="shared" si="1"/>
        <v>1275773</v>
      </c>
      <c r="S26" s="690">
        <f t="shared" si="1"/>
        <v>16905038</v>
      </c>
      <c r="T26" s="690">
        <f t="shared" si="1"/>
        <v>287345383</v>
      </c>
      <c r="U26" s="690">
        <f t="shared" si="1"/>
        <v>96691532</v>
      </c>
      <c r="V26" s="690">
        <f t="shared" si="1"/>
        <v>2704344</v>
      </c>
      <c r="W26" s="690">
        <f t="shared" ref="W26" si="3">SUM(W27:W36)</f>
        <v>234400</v>
      </c>
      <c r="X26" s="690">
        <f t="shared" si="1"/>
        <v>0</v>
      </c>
      <c r="Y26" s="690">
        <f t="shared" si="1"/>
        <v>234400</v>
      </c>
      <c r="Z26" s="690">
        <f t="shared" si="1"/>
        <v>386975659</v>
      </c>
      <c r="AA26" s="691">
        <f t="shared" si="1"/>
        <v>-8.19</v>
      </c>
      <c r="AB26" s="691">
        <f t="shared" si="1"/>
        <v>-16.29</v>
      </c>
      <c r="AC26" s="691">
        <f t="shared" ref="AC26" si="4">SUM(AC27:AC36)</f>
        <v>810.23</v>
      </c>
      <c r="AD26" s="691">
        <f t="shared" ref="AD26:AE26" si="5">SUM(AD27:AD36)</f>
        <v>0</v>
      </c>
      <c r="AE26" s="691">
        <f t="shared" si="5"/>
        <v>0</v>
      </c>
      <c r="AF26" s="691">
        <f t="shared" ref="AF26" si="6">SUM(AF27:AF36)</f>
        <v>3.14</v>
      </c>
      <c r="AG26" s="691">
        <f t="shared" si="1"/>
        <v>0.58729999999999993</v>
      </c>
      <c r="AH26" s="691">
        <f t="shared" si="1"/>
        <v>2.6399999999999997</v>
      </c>
      <c r="AI26" s="691">
        <f t="shared" si="1"/>
        <v>805.76729999999998</v>
      </c>
      <c r="AJ26" s="691">
        <f t="shared" si="1"/>
        <v>-13.650000000000002</v>
      </c>
      <c r="AK26" s="692">
        <f t="shared" si="1"/>
        <v>792.11729999999989</v>
      </c>
      <c r="AL26" s="693">
        <f t="shared" si="1"/>
        <v>5765960224</v>
      </c>
      <c r="AM26" s="690">
        <f t="shared" si="1"/>
        <v>4212539760</v>
      </c>
      <c r="AN26" s="690">
        <f t="shared" si="1"/>
        <v>16905038</v>
      </c>
      <c r="AO26" s="690">
        <f t="shared" si="1"/>
        <v>1429121144</v>
      </c>
      <c r="AP26" s="690">
        <f t="shared" si="1"/>
        <v>42125351</v>
      </c>
      <c r="AQ26" s="690">
        <f t="shared" si="1"/>
        <v>65268931</v>
      </c>
      <c r="AR26" s="691">
        <f t="shared" ref="AR26" si="7">SUM(AR27:AR36)</f>
        <v>8437.0103999999992</v>
      </c>
      <c r="AS26" s="691">
        <f t="shared" si="1"/>
        <v>6244.9361999999974</v>
      </c>
      <c r="AT26" s="692">
        <f t="shared" si="1"/>
        <v>2191.7741999999994</v>
      </c>
    </row>
    <row r="27" spans="1:46" x14ac:dyDescent="0.2">
      <c r="A27" s="1">
        <v>3111</v>
      </c>
      <c r="B27" s="695">
        <f>LB!I467+FR!I135+JN!I192+TA!I104+ŽB!I78+ČL!I305+NB!I128+SM!I169+JI!I145+TU!I203</f>
        <v>1180180013</v>
      </c>
      <c r="C27" s="696">
        <f>LB!J467+FR!J135+JN!J192+TA!J104+ŽB!J78+ČL!J305+NB!J128+SM!J169+JI!J145+TU!J203</f>
        <v>870855945</v>
      </c>
      <c r="D27" s="696">
        <f>LB!K467+FR!K135+JN!K192+TA!K104+ŽB!K78+ČL!K305+NB!K128+SM!K169+JI!K145+TU!K203</f>
        <v>294349308</v>
      </c>
      <c r="E27" s="696">
        <f>LB!L467+FR!L135+JN!L192+TA!L104+ŽB!L78+ČL!L305+NB!L128+SM!L169+JI!L145+TU!L203</f>
        <v>8708560</v>
      </c>
      <c r="F27" s="696">
        <f>LB!M467+FR!M135+JN!M192+TA!M104+ŽB!M78+ČL!M305+NB!M128+SM!M169+JI!M145+TU!M203</f>
        <v>6266200</v>
      </c>
      <c r="G27" s="698">
        <f>LB!N467+FR!N135+JN!N192+TA!N104+ŽB!N78+ČL!N305+NB!N128+SM!N169+JI!N145+TU!N203</f>
        <v>1806.2063000000001</v>
      </c>
      <c r="H27" s="698">
        <f>LB!O467+FR!O135+JN!O192+TA!O104+ŽB!O78+ČL!O305+NB!O128+SM!O169+JI!O145+TU!O203</f>
        <v>1428.6978000000001</v>
      </c>
      <c r="I27" s="700">
        <f>LB!P467+FR!P135+JN!P192+TA!P104+ŽB!P78+ČL!P305+NB!P128+SM!P169+JI!P145+TU!P203</f>
        <v>377.50849999999997</v>
      </c>
      <c r="J27" s="695">
        <f>LB!Q467+FR!Q135+JN!Q192+TA!Q104+ŽB!Q78+ČL!Q305+NB!Q128+SM!Q169+JI!Q145+TU!Q203</f>
        <v>-2565951</v>
      </c>
      <c r="K27" s="696">
        <f>LB!R467+FR!R135+JN!R192+TA!R104+ŽB!R78+ČL!R305+NB!R128+SM!R169+JI!R145+TU!R203</f>
        <v>38595779</v>
      </c>
      <c r="L27" s="696">
        <f>LB!S467+FR!S135+JN!S192+TA!S104+ŽB!S78+ČL!S305+NB!S128+SM!S169+JI!S145+TU!S203</f>
        <v>0</v>
      </c>
      <c r="M27" s="696">
        <f>LB!T467+FR!T135+JN!T192+TA!T104+ŽB!T78+ČL!T305+NB!T128+SM!T169+JI!T145+TU!T203</f>
        <v>0</v>
      </c>
      <c r="N27" s="696">
        <f>LB!U467+FR!U135+JN!U192+TA!U104+ŽB!U78+ČL!U305+NB!U128+SM!U169+JI!U145+TU!U203</f>
        <v>0</v>
      </c>
      <c r="O27" s="696">
        <f>LB!V467+FR!V135+JN!V192+TA!V104+ŽB!V78+ČL!V305+NB!V128+SM!V169+JI!V145+TU!V203</f>
        <v>36029828</v>
      </c>
      <c r="P27" s="696">
        <f>LB!W467+FR!W135+JN!W192+TA!W104+ŽB!W78+ČL!W305+NB!W128+SM!W169+JI!W145+TU!W203</f>
        <v>2565951</v>
      </c>
      <c r="Q27" s="696">
        <f>LB!X467+FR!X135+JN!X192+TA!X104+ŽB!X78+ČL!X305+NB!X128+SM!X169+JI!X145+TU!X203</f>
        <v>43920</v>
      </c>
      <c r="R27" s="696">
        <f>LB!Y467+FR!Y135+JN!Y192+TA!Y104+ŽB!Y78+ČL!Y305+NB!Y128+SM!Y169+JI!Y145+TU!Y203</f>
        <v>385373</v>
      </c>
      <c r="S27" s="696">
        <f>LB!Z467+FR!Z135+JN!Z192+TA!Z104+ŽB!Z78+ČL!Z305+NB!Z128+SM!Z169+JI!Z145+TU!Z203</f>
        <v>2995244</v>
      </c>
      <c r="T27" s="696">
        <f>LB!AA467+FR!AA135+JN!AA192+TA!AA104+ŽB!AA78+ČL!AA305+NB!AA128+SM!AA169+JI!AA145+TU!AA203</f>
        <v>39025072</v>
      </c>
      <c r="U27" s="696">
        <f>LB!AB467+FR!AB135+JN!AB192+TA!AB104+ŽB!AB78+ČL!AB305+NB!AB128+SM!AB169+JI!AB145+TU!AB203</f>
        <v>13060214</v>
      </c>
      <c r="V27" s="696">
        <f>LB!AC467+FR!AC135+JN!AC192+TA!AC104+ŽB!AC78+ČL!AC305+NB!AC128+SM!AC169+JI!AC145+TU!AC203</f>
        <v>360279</v>
      </c>
      <c r="W27" s="696">
        <f>LB!AD467+FR!AD135+JN!AD192+TA!AD104+ŽB!AD78+ČL!AD305+NB!AD128+SM!AD169+JI!AD145+TU!AD203</f>
        <v>6750</v>
      </c>
      <c r="X27" s="696">
        <f>LB!AE467+FR!AE135+JN!AE192+TA!AE104+ŽB!AE78+ČL!AE305+NB!AE128+SM!AE169+JI!AE145+TU!AE203</f>
        <v>0</v>
      </c>
      <c r="Y27" s="696">
        <f>LB!AF467+FR!AF135+JN!AF192+TA!AF104+ŽB!AF78+ČL!AF305+NB!AF128+SM!AF169+JI!AF145+TU!AF203</f>
        <v>6750</v>
      </c>
      <c r="Z27" s="696">
        <f>LB!AG467+FR!AG135+JN!AG192+TA!AG104+ŽB!AG78+ČL!AG305+NB!AG128+SM!AG169+JI!AG145+TU!AG203</f>
        <v>52452315</v>
      </c>
      <c r="AA27" s="698">
        <f>LB!AH467+FR!AH135+JN!AH192+TA!AH104+ŽB!AH78+ČL!AH305+NB!AH128+SM!AH169+JI!AH145+TU!AH203</f>
        <v>-0.85000000000000009</v>
      </c>
      <c r="AB27" s="698">
        <f>LB!AI467+FR!AI135+JN!AI192+TA!AI104+ŽB!AI78+ČL!AI305+NB!AI128+SM!AI169+JI!AI145+TU!AI203</f>
        <v>-4.4499999999999993</v>
      </c>
      <c r="AC27" s="698">
        <f>LB!AJ467+FR!AJ135+JN!AJ192+TA!AJ104+ŽB!AJ78+ČL!AJ305+NB!AJ128+SM!AJ169+JI!AJ145+TU!AJ203</f>
        <v>114.72</v>
      </c>
      <c r="AD27" s="698">
        <f>LB!AK467+FR!AK135+JN!AK192+TA!AK104+ŽB!AK78+ČL!AK305+NB!AK128+SM!AK169+JI!AK145+TU!AK203</f>
        <v>0</v>
      </c>
      <c r="AE27" s="698">
        <f>LB!AL467+FR!AL135+JN!AL192+TA!AL104+ŽB!AL78+ČL!AL305+NB!AL128+SM!AL169+JI!AL145+TU!AL203</f>
        <v>0</v>
      </c>
      <c r="AF27" s="698">
        <f>LB!AM467+FR!AM135+JN!AM192+TA!AM104+ŽB!AM78+ČL!AM305+NB!AM128+SM!AM169+JI!AM145+TU!AM203</f>
        <v>0</v>
      </c>
      <c r="AG27" s="698">
        <f>LB!AN467+FR!AN135+JN!AN192+TA!AN104+ŽB!AN78+ČL!AN305+NB!AN128+SM!AN169+JI!AN145+TU!AN203</f>
        <v>0</v>
      </c>
      <c r="AH27" s="698">
        <f>LB!AO467+FR!AO135+JN!AO192+TA!AO104+ŽB!AO78+ČL!AO305+NB!AO128+SM!AO169+JI!AO145+TU!AO203</f>
        <v>0</v>
      </c>
      <c r="AI27" s="698">
        <f>LB!AP467+FR!AP135+JN!AP192+TA!AP104+ŽB!AP78+ČL!AP305+NB!AP128+SM!AP169+JI!AP145+TU!AP203</f>
        <v>113.87000000000002</v>
      </c>
      <c r="AJ27" s="698">
        <f>LB!AQ467+FR!AQ135+JN!AQ192+TA!AQ104+ŽB!AQ78+ČL!AQ305+NB!AQ128+SM!AQ169+JI!AQ145+TU!AQ203</f>
        <v>-4.4499999999999993</v>
      </c>
      <c r="AK27" s="699">
        <f>LB!AR467+FR!AR135+JN!AR192+TA!AR104+ŽB!AR78+ČL!AR305+NB!AR128+SM!AR169+JI!AR145+TU!AR203</f>
        <v>109.42</v>
      </c>
      <c r="AL27" s="697">
        <f>LB!AS467+FR!AS135+JN!AS192+TA!AS104+ŽB!AS78+ČL!AS305+NB!AS128+SM!AS169+JI!AS145+TU!AS203</f>
        <v>1232632328</v>
      </c>
      <c r="AM27" s="696">
        <f>LB!AT467+FR!AT135+JN!AT192+TA!AT104+ŽB!AT78+ČL!AT305+NB!AT128+SM!AT169+JI!AT145+TU!AT203</f>
        <v>906885773</v>
      </c>
      <c r="AN27" s="696">
        <f>LB!AU467+FR!AU135+JN!AU192+TA!AU104+ŽB!AU78+ČL!AU305+NB!AU128+SM!AU169+JI!AU145+TU!AU203</f>
        <v>2995244</v>
      </c>
      <c r="AO27" s="696">
        <f>LB!AV467+FR!AV135+JN!AV192+TA!AV104+ŽB!AV78+ČL!AV305+NB!AV128+SM!AV169+JI!AV145+TU!AV203</f>
        <v>307409522</v>
      </c>
      <c r="AP27" s="696">
        <f>LB!AW467+FR!AW135+JN!AW192+TA!AW104+ŽB!AW78+ČL!AW305+NB!AW128+SM!AW169+JI!AW145+TU!AW203</f>
        <v>9068839</v>
      </c>
      <c r="AQ27" s="696">
        <f>LB!AX467+FR!AX135+JN!AX192+TA!AX104+ŽB!AX78+ČL!AX305+NB!AX128+SM!AX169+JI!AX145+TU!AX203</f>
        <v>6272950</v>
      </c>
      <c r="AR27" s="698">
        <f>LB!AY467+FR!AY135+JN!AY192+TA!AY104+ŽB!AY78+ČL!AY305+NB!AY128+SM!AY169+JI!AY145+TU!AY203</f>
        <v>1915.6262999999999</v>
      </c>
      <c r="AS27" s="698">
        <f>LB!AZ467+FR!AZ135+JN!AZ192+TA!AZ104+ŽB!AZ78+ČL!AZ305+NB!AZ128+SM!AZ169+JI!AZ145+TU!AZ203</f>
        <v>1542.5677999999998</v>
      </c>
      <c r="AT27" s="699">
        <f>LB!BA467+FR!BA135+JN!BA192+TA!BA104+ŽB!BA78+ČL!BA305+NB!BA128+SM!BA169+JI!BA145+TU!BA203</f>
        <v>373.05849999999998</v>
      </c>
    </row>
    <row r="28" spans="1:46" x14ac:dyDescent="0.2">
      <c r="A28" s="2">
        <v>3113</v>
      </c>
      <c r="B28" s="170">
        <f>LB!I468+FR!I136+JN!I193+TA!I105+ŽB!I79+ČL!I306+NB!I129+SM!I170+JI!I146+TU!I204</f>
        <v>2695226639</v>
      </c>
      <c r="C28" s="16">
        <f>LB!J468+FR!J136+JN!J193+TA!J105+ŽB!J79+ČL!J306+NB!J129+SM!J170+JI!J146+TU!J204</f>
        <v>1962908900</v>
      </c>
      <c r="D28" s="16">
        <f>LB!K468+FR!K136+JN!K193+TA!K105+ŽB!K79+ČL!K306+NB!K129+SM!K170+JI!K146+TU!K204</f>
        <v>663463212</v>
      </c>
      <c r="E28" s="16">
        <f>LB!L468+FR!L136+JN!L193+TA!L105+ŽB!L79+ČL!L306+NB!L129+SM!L170+JI!L146+TU!L204</f>
        <v>19629087</v>
      </c>
      <c r="F28" s="16">
        <f>LB!M468+FR!M136+JN!M193+TA!M105+ŽB!M79+ČL!M306+NB!M129+SM!M170+JI!M146+TU!M204</f>
        <v>49225440</v>
      </c>
      <c r="G28" s="13">
        <f>LB!N468+FR!N136+JN!N193+TA!N105+ŽB!N79+ČL!N306+NB!N129+SM!N170+JI!N146+TU!N204</f>
        <v>3333.5889999999999</v>
      </c>
      <c r="H28" s="13">
        <f>LB!O468+FR!O136+JN!O193+TA!O105+ŽB!O79+ČL!O306+NB!O129+SM!O170+JI!O146+TU!O204</f>
        <v>2667.6705000000002</v>
      </c>
      <c r="I28" s="172">
        <f>LB!P468+FR!P136+JN!P193+TA!P105+ŽB!P79+ČL!P306+NB!P129+SM!P170+JI!P146+TU!P204</f>
        <v>665.91850000000011</v>
      </c>
      <c r="J28" s="170">
        <f>LB!Q468+FR!Q136+JN!Q193+TA!Q105+ŽB!Q79+ČL!Q306+NB!Q129+SM!Q170+JI!Q146+TU!Q204</f>
        <v>-5294850</v>
      </c>
      <c r="K28" s="16">
        <f>LB!R468+FR!R136+JN!R193+TA!R105+ŽB!R79+ČL!R306+NB!R129+SM!R170+JI!R146+TU!R204</f>
        <v>212162528</v>
      </c>
      <c r="L28" s="16">
        <f>LB!S468+FR!S136+JN!S193+TA!S105+ŽB!S79+ČL!S306+NB!S129+SM!S170+JI!S146+TU!S204</f>
        <v>0</v>
      </c>
      <c r="M28" s="16">
        <f>LB!T468+FR!T136+JN!T193+TA!T105+ŽB!T79+ČL!T306+NB!T129+SM!T170+JI!T146+TU!T204</f>
        <v>2097805</v>
      </c>
      <c r="N28" s="16">
        <f>LB!U468+FR!U136+JN!U193+TA!U105+ŽB!U79+ČL!U306+NB!U129+SM!U170+JI!U146+TU!U204</f>
        <v>157725</v>
      </c>
      <c r="O28" s="16">
        <f>LB!V468+FR!V136+JN!V193+TA!V105+ŽB!V79+ČL!V306+NB!V129+SM!V170+JI!V146+TU!V204</f>
        <v>209123208</v>
      </c>
      <c r="P28" s="16">
        <f>LB!W468+FR!W136+JN!W193+TA!W105+ŽB!W79+ČL!W306+NB!W129+SM!W170+JI!W146+TU!W204</f>
        <v>5294850</v>
      </c>
      <c r="Q28" s="16">
        <f>LB!X468+FR!X136+JN!X193+TA!X105+ŽB!X79+ČL!X306+NB!X129+SM!X170+JI!X146+TU!X204</f>
        <v>1089440</v>
      </c>
      <c r="R28" s="16">
        <f>LB!Y468+FR!Y136+JN!Y193+TA!Y105+ŽB!Y79+ČL!Y306+NB!Y129+SM!Y170+JI!Y146+TU!Y204</f>
        <v>365449</v>
      </c>
      <c r="S28" s="16">
        <f>LB!Z468+FR!Z136+JN!Z193+TA!Z105+ŽB!Z79+ČL!Z306+NB!Z129+SM!Z170+JI!Z146+TU!Z204</f>
        <v>6749739</v>
      </c>
      <c r="T28" s="16">
        <f>LB!AA468+FR!AA136+JN!AA193+TA!AA105+ŽB!AA79+ČL!AA306+NB!AA129+SM!AA170+JI!AA146+TU!AA204</f>
        <v>215872947</v>
      </c>
      <c r="U28" s="16">
        <f>LB!AB468+FR!AB136+JN!AB193+TA!AB105+ŽB!AB79+ČL!AB306+NB!AB129+SM!AB170+JI!AB146+TU!AB204</f>
        <v>72841541</v>
      </c>
      <c r="V28" s="16">
        <f>LB!AC468+FR!AC136+JN!AC193+TA!AC105+ŽB!AC79+ČL!AC306+NB!AC129+SM!AC170+JI!AC146+TU!AC204</f>
        <v>2091228</v>
      </c>
      <c r="W28" s="16">
        <f>LB!AD468+FR!AD136+JN!AD193+TA!AD105+ŽB!AD79+ČL!AD306+NB!AD129+SM!AD170+JI!AD146+TU!AD204</f>
        <v>204200</v>
      </c>
      <c r="X28" s="16">
        <f>LB!AE468+FR!AE136+JN!AE193+TA!AE105+ŽB!AE79+ČL!AE306+NB!AE129+SM!AE170+JI!AE146+TU!AE204</f>
        <v>0</v>
      </c>
      <c r="Y28" s="16">
        <f>LB!AF468+FR!AF136+JN!AF193+TA!AF105+ŽB!AF79+ČL!AF306+NB!AF129+SM!AF170+JI!AF146+TU!AF204</f>
        <v>204200</v>
      </c>
      <c r="Z28" s="16">
        <f>LB!AG468+FR!AG136+JN!AG193+TA!AG105+ŽB!AG79+ČL!AG306+NB!AG129+SM!AG170+JI!AG146+TU!AG204</f>
        <v>291009916</v>
      </c>
      <c r="AA28" s="13">
        <f>LB!AH468+FR!AH136+JN!AH193+TA!AH105+ŽB!AH79+ČL!AH306+NB!AH129+SM!AH170+JI!AH146+TU!AH204</f>
        <v>-2.8600000000000003</v>
      </c>
      <c r="AB28" s="13">
        <f>LB!AI468+FR!AI136+JN!AI193+TA!AI105+ŽB!AI79+ČL!AI306+NB!AI129+SM!AI170+JI!AI146+TU!AI204</f>
        <v>-5.7299999999999995</v>
      </c>
      <c r="AC28" s="13">
        <f>LB!AJ468+FR!AJ136+JN!AJ193+TA!AJ105+ŽB!AJ79+ČL!AJ306+NB!AJ129+SM!AJ170+JI!AJ146+TU!AJ204</f>
        <v>605.01</v>
      </c>
      <c r="AD28" s="13">
        <f>LB!AK468+FR!AK136+JN!AK193+TA!AK105+ŽB!AK79+ČL!AK306+NB!AK129+SM!AK170+JI!AK146+TU!AK204</f>
        <v>0</v>
      </c>
      <c r="AE28" s="13">
        <f>LB!AL468+FR!AL136+JN!AL193+TA!AL105+ŽB!AL79+ČL!AL306+NB!AL129+SM!AL170+JI!AL146+TU!AL204</f>
        <v>0</v>
      </c>
      <c r="AF28" s="13">
        <f>LB!AM468+FR!AM136+JN!AM193+TA!AM105+ŽB!AM79+ČL!AM306+NB!AM129+SM!AM170+JI!AM146+TU!AM204</f>
        <v>3.0500000000000003</v>
      </c>
      <c r="AG28" s="13">
        <f>LB!AN468+FR!AN136+JN!AN193+TA!AN105+ŽB!AN79+ČL!AN306+NB!AN129+SM!AN170+JI!AN146+TU!AN204</f>
        <v>0.39729999999999999</v>
      </c>
      <c r="AH28" s="13">
        <f>LB!AO468+FR!AO136+JN!AO193+TA!AO105+ŽB!AO79+ČL!AO306+NB!AO129+SM!AO170+JI!AO146+TU!AO204</f>
        <v>0</v>
      </c>
      <c r="AI28" s="13">
        <f>LB!AP468+FR!AP136+JN!AP193+TA!AP105+ŽB!AP79+ČL!AP306+NB!AP129+SM!AP170+JI!AP146+TU!AP204</f>
        <v>605.5972999999999</v>
      </c>
      <c r="AJ28" s="13">
        <f>LB!AQ468+FR!AQ136+JN!AQ193+TA!AQ105+ŽB!AQ79+ČL!AQ306+NB!AQ129+SM!AQ170+JI!AQ146+TU!AQ204</f>
        <v>-5.7299999999999995</v>
      </c>
      <c r="AK28" s="17">
        <f>LB!AR468+FR!AR136+JN!AR193+TA!AR105+ŽB!AR79+ČL!AR306+NB!AR129+SM!AR170+JI!AR146+TU!AR204</f>
        <v>599.8673</v>
      </c>
      <c r="AL28" s="171">
        <f>LB!AS468+FR!AS136+JN!AS193+TA!AS105+ŽB!AS79+ČL!AS306+NB!AS129+SM!AS170+JI!AS146+TU!AS204</f>
        <v>2986236555</v>
      </c>
      <c r="AM28" s="16">
        <f>LB!AT468+FR!AT136+JN!AT193+TA!AT105+ŽB!AT79+ČL!AT306+NB!AT129+SM!AT170+JI!AT146+TU!AT204</f>
        <v>2172032108</v>
      </c>
      <c r="AN28" s="16">
        <f>LB!AU468+FR!AU136+JN!AU193+TA!AU105+ŽB!AU79+ČL!AU306+NB!AU129+SM!AU170+JI!AU146+TU!AU204</f>
        <v>6749739</v>
      </c>
      <c r="AO28" s="16">
        <f>LB!AV468+FR!AV136+JN!AV193+TA!AV105+ŽB!AV79+ČL!AV306+NB!AV129+SM!AV170+JI!AV146+TU!AV204</f>
        <v>736304753</v>
      </c>
      <c r="AP28" s="16">
        <f>LB!AW468+FR!AW136+JN!AW193+TA!AW105+ŽB!AW79+ČL!AW306+NB!AW129+SM!AW170+JI!AW146+TU!AW204</f>
        <v>21720315</v>
      </c>
      <c r="AQ28" s="16">
        <f>LB!AX468+FR!AX136+JN!AX193+TA!AX105+ŽB!AX79+ČL!AX306+NB!AX129+SM!AX170+JI!AX146+TU!AX204</f>
        <v>49429640</v>
      </c>
      <c r="AR28" s="13">
        <f>LB!AY468+FR!AY136+JN!AY193+TA!AY105+ŽB!AY79+ČL!AY306+NB!AY129+SM!AY170+JI!AY146+TU!AY204</f>
        <v>3933.4563000000003</v>
      </c>
      <c r="AS28" s="13">
        <f>LB!AZ468+FR!AZ136+JN!AZ193+TA!AZ105+ŽB!AZ79+ČL!AZ306+NB!AZ129+SM!AZ170+JI!AZ146+TU!AZ204</f>
        <v>3273.2677999999992</v>
      </c>
      <c r="AT28" s="17">
        <f>LB!BA468+FR!BA136+JN!BA193+TA!BA105+ŽB!BA79+ČL!BA306+NB!BA129+SM!BA170+JI!BA146+TU!BA204</f>
        <v>660.18849999999998</v>
      </c>
    </row>
    <row r="29" spans="1:46" x14ac:dyDescent="0.2">
      <c r="A29" s="2">
        <v>3114</v>
      </c>
      <c r="B29" s="170">
        <f>LB!I469+FR!I137+JN!I194+TA!I106+ŽB!I80+ČL!I307+NB!I130+SM!I171+JI!I147+TU!I205</f>
        <v>180119827</v>
      </c>
      <c r="C29" s="16">
        <f>LB!J469+FR!J137+JN!J194+TA!J106+ŽB!J80+ČL!J307+NB!J130+SM!J171+JI!J147+TU!J205</f>
        <v>132534508</v>
      </c>
      <c r="D29" s="16">
        <f>LB!K469+FR!K137+JN!K194+TA!K106+ŽB!K80+ČL!K307+NB!K130+SM!K171+JI!K147+TU!K205</f>
        <v>44796662</v>
      </c>
      <c r="E29" s="16">
        <f>LB!L469+FR!L137+JN!L194+TA!L106+ŽB!L80+ČL!L307+NB!L130+SM!L171+JI!L147+TU!L205</f>
        <v>1325347</v>
      </c>
      <c r="F29" s="16">
        <f>LB!M469+FR!M137+JN!M194+TA!M106+ŽB!M80+ČL!M307+NB!M130+SM!M171+JI!M147+TU!M205</f>
        <v>1463310</v>
      </c>
      <c r="G29" s="13">
        <f>LB!N469+FR!N137+JN!N194+TA!N106+ŽB!N80+ČL!N307+NB!N130+SM!N171+JI!N147+TU!N205</f>
        <v>241.84500000000003</v>
      </c>
      <c r="H29" s="13">
        <f>LB!O469+FR!O137+JN!O194+TA!O106+ŽB!O80+ČL!O307+NB!O130+SM!O171+JI!O147+TU!O205</f>
        <v>201.58199999999999</v>
      </c>
      <c r="I29" s="172">
        <f>LB!P469+FR!P137+JN!P194+TA!P106+ŽB!P80+ČL!P307+NB!P130+SM!P171+JI!P147+TU!P205</f>
        <v>40.262999999999998</v>
      </c>
      <c r="J29" s="170">
        <f>LB!Q469+FR!Q137+JN!Q194+TA!Q106+ŽB!Q80+ČL!Q307+NB!Q130+SM!Q171+JI!Q147+TU!Q205</f>
        <v>-174850</v>
      </c>
      <c r="K29" s="16">
        <f>LB!R469+FR!R137+JN!R194+TA!R106+ŽB!R80+ČL!R307+NB!R130+SM!R171+JI!R147+TU!R205</f>
        <v>1253101</v>
      </c>
      <c r="L29" s="16">
        <f>LB!S469+FR!S137+JN!S194+TA!S106+ŽB!S80+ČL!S307+NB!S130+SM!S171+JI!S147+TU!S205</f>
        <v>0</v>
      </c>
      <c r="M29" s="16">
        <f>LB!T469+FR!T137+JN!T194+TA!T106+ŽB!T80+ČL!T307+NB!T130+SM!T171+JI!T147+TU!T205</f>
        <v>0</v>
      </c>
      <c r="N29" s="16">
        <f>LB!U469+FR!U137+JN!U194+TA!U106+ŽB!U80+ČL!U307+NB!U130+SM!U171+JI!U147+TU!U205</f>
        <v>126412</v>
      </c>
      <c r="O29" s="16">
        <f>LB!V469+FR!V137+JN!V194+TA!V106+ŽB!V80+ČL!V307+NB!V130+SM!V171+JI!V147+TU!V205</f>
        <v>1204663</v>
      </c>
      <c r="P29" s="16">
        <f>LB!W469+FR!W137+JN!W194+TA!W106+ŽB!W80+ČL!W307+NB!W130+SM!W171+JI!W147+TU!W205</f>
        <v>174850</v>
      </c>
      <c r="Q29" s="16">
        <f>LB!X469+FR!X137+JN!X194+TA!X106+ŽB!X80+ČL!X307+NB!X130+SM!X171+JI!X147+TU!X205</f>
        <v>0</v>
      </c>
      <c r="R29" s="16">
        <f>LB!Y469+FR!Y137+JN!Y194+TA!Y106+ŽB!Y80+ČL!Y307+NB!Y130+SM!Y171+JI!Y147+TU!Y205</f>
        <v>0</v>
      </c>
      <c r="S29" s="16">
        <f>LB!Z469+FR!Z137+JN!Z194+TA!Z106+ŽB!Z80+ČL!Z307+NB!Z130+SM!Z171+JI!Z147+TU!Z205</f>
        <v>174850</v>
      </c>
      <c r="T29" s="16">
        <f>LB!AA469+FR!AA137+JN!AA194+TA!AA106+ŽB!AA80+ČL!AA307+NB!AA130+SM!AA171+JI!AA147+TU!AA205</f>
        <v>1379513</v>
      </c>
      <c r="U29" s="16">
        <f>LB!AB469+FR!AB137+JN!AB194+TA!AB106+ŽB!AB80+ČL!AB307+NB!AB130+SM!AB171+JI!AB147+TU!AB205</f>
        <v>466275</v>
      </c>
      <c r="V29" s="16">
        <f>LB!AC469+FR!AC137+JN!AC194+TA!AC106+ŽB!AC80+ČL!AC307+NB!AC130+SM!AC171+JI!AC147+TU!AC205</f>
        <v>12046</v>
      </c>
      <c r="W29" s="16">
        <f>LB!AD469+FR!AD137+JN!AD194+TA!AD106+ŽB!AD80+ČL!AD307+NB!AD130+SM!AD171+JI!AD147+TU!AD205</f>
        <v>10700</v>
      </c>
      <c r="X29" s="16">
        <f>LB!AE469+FR!AE137+JN!AE194+TA!AE106+ŽB!AE80+ČL!AE307+NB!AE130+SM!AE171+JI!AE147+TU!AE205</f>
        <v>0</v>
      </c>
      <c r="Y29" s="16">
        <f>LB!AF469+FR!AF137+JN!AF194+TA!AF106+ŽB!AF80+ČL!AF307+NB!AF130+SM!AF171+JI!AF147+TU!AF205</f>
        <v>10700</v>
      </c>
      <c r="Z29" s="16">
        <f>LB!AG469+FR!AG137+JN!AG194+TA!AG106+ŽB!AG80+ČL!AG307+NB!AG130+SM!AG171+JI!AG147+TU!AG205</f>
        <v>1868534</v>
      </c>
      <c r="AA29" s="13">
        <f>LB!AH469+FR!AH137+JN!AH194+TA!AH106+ŽB!AH80+ČL!AH307+NB!AH130+SM!AH171+JI!AH147+TU!AH205</f>
        <v>0</v>
      </c>
      <c r="AB29" s="13">
        <f>LB!AI469+FR!AI137+JN!AI194+TA!AI106+ŽB!AI80+ČL!AI307+NB!AI130+SM!AI171+JI!AI147+TU!AI205</f>
        <v>-0.45999999999999996</v>
      </c>
      <c r="AC29" s="13">
        <f>LB!AJ469+FR!AJ137+JN!AJ194+TA!AJ106+ŽB!AJ80+ČL!AJ307+NB!AJ130+SM!AJ171+JI!AJ147+TU!AJ205</f>
        <v>3.57</v>
      </c>
      <c r="AD29" s="13">
        <f>LB!AK469+FR!AK137+JN!AK194+TA!AK106+ŽB!AK80+ČL!AK307+NB!AK130+SM!AK171+JI!AK147+TU!AK205</f>
        <v>0</v>
      </c>
      <c r="AE29" s="13">
        <f>LB!AL469+FR!AL137+JN!AL194+TA!AL106+ŽB!AL80+ČL!AL307+NB!AL130+SM!AL171+JI!AL147+TU!AL205</f>
        <v>0</v>
      </c>
      <c r="AF29" s="13">
        <f>LB!AM469+FR!AM137+JN!AM194+TA!AM106+ŽB!AM80+ČL!AM307+NB!AM130+SM!AM171+JI!AM147+TU!AM205</f>
        <v>0</v>
      </c>
      <c r="AG29" s="13">
        <f>LB!AN469+FR!AN137+JN!AN194+TA!AN106+ŽB!AN80+ČL!AN307+NB!AN130+SM!AN171+JI!AN147+TU!AN205</f>
        <v>0.19</v>
      </c>
      <c r="AH29" s="13">
        <f>LB!AO469+FR!AO137+JN!AO194+TA!AO106+ŽB!AO80+ČL!AO307+NB!AO130+SM!AO171+JI!AO147+TU!AO205</f>
        <v>0</v>
      </c>
      <c r="AI29" s="13">
        <f>LB!AP469+FR!AP137+JN!AP194+TA!AP106+ŽB!AP80+ČL!AP307+NB!AP130+SM!AP171+JI!AP147+TU!AP205</f>
        <v>3.76</v>
      </c>
      <c r="AJ29" s="13">
        <f>LB!AQ469+FR!AQ137+JN!AQ194+TA!AQ106+ŽB!AQ80+ČL!AQ307+NB!AQ130+SM!AQ171+JI!AQ147+TU!AQ205</f>
        <v>-0.45999999999999996</v>
      </c>
      <c r="AK29" s="17">
        <f>LB!AR469+FR!AR137+JN!AR194+TA!AR106+ŽB!AR80+ČL!AR307+NB!AR130+SM!AR171+JI!AR147+TU!AR205</f>
        <v>3.3</v>
      </c>
      <c r="AL29" s="171">
        <f>LB!AS469+FR!AS137+JN!AS194+TA!AS106+ŽB!AS80+ČL!AS307+NB!AS130+SM!AS171+JI!AS147+TU!AS205</f>
        <v>181988361</v>
      </c>
      <c r="AM29" s="16">
        <f>LB!AT469+FR!AT137+JN!AT194+TA!AT106+ŽB!AT80+ČL!AT307+NB!AT130+SM!AT171+JI!AT147+TU!AT205</f>
        <v>133739171</v>
      </c>
      <c r="AN29" s="16">
        <f>LB!AU469+FR!AU137+JN!AU194+TA!AU106+ŽB!AU80+ČL!AU307+NB!AU130+SM!AU171+JI!AU147+TU!AU205</f>
        <v>174850</v>
      </c>
      <c r="AO29" s="16">
        <f>LB!AV469+FR!AV137+JN!AV194+TA!AV106+ŽB!AV80+ČL!AV307+NB!AV130+SM!AV171+JI!AV147+TU!AV205</f>
        <v>45262937</v>
      </c>
      <c r="AP29" s="16">
        <f>LB!AW469+FR!AW137+JN!AW194+TA!AW106+ŽB!AW80+ČL!AW307+NB!AW130+SM!AW171+JI!AW147+TU!AW205</f>
        <v>1337393</v>
      </c>
      <c r="AQ29" s="16">
        <f>LB!AX469+FR!AX137+JN!AX194+TA!AX106+ŽB!AX80+ČL!AX307+NB!AX130+SM!AX171+JI!AX147+TU!AX205</f>
        <v>1474010</v>
      </c>
      <c r="AR29" s="13">
        <f>LB!AY469+FR!AY137+JN!AY194+TA!AY106+ŽB!AY80+ČL!AY307+NB!AY130+SM!AY171+JI!AY147+TU!AY205</f>
        <v>245.14500000000001</v>
      </c>
      <c r="AS29" s="13">
        <f>LB!AZ469+FR!AZ137+JN!AZ194+TA!AZ106+ŽB!AZ80+ČL!AZ307+NB!AZ130+SM!AZ171+JI!AZ147+TU!AZ205</f>
        <v>205.34199999999998</v>
      </c>
      <c r="AT29" s="17">
        <f>LB!BA469+FR!BA137+JN!BA194+TA!BA106+ŽB!BA80+ČL!BA307+NB!BA130+SM!BA171+JI!BA147+TU!BA205</f>
        <v>39.802999999999997</v>
      </c>
    </row>
    <row r="30" spans="1:46" x14ac:dyDescent="0.2">
      <c r="A30" s="2">
        <v>3117</v>
      </c>
      <c r="B30" s="170">
        <f>LB!I470+FR!I138+JN!I195+TA!I107+ŽB!I81+ČL!I308+NB!I131+SM!I172+JI!I148+TU!I206</f>
        <v>261034083</v>
      </c>
      <c r="C30" s="16">
        <f>LB!J470+FR!J138+JN!J195+TA!J107+ŽB!J81+ČL!J308+NB!J131+SM!J172+JI!J148+TU!J206</f>
        <v>190377413</v>
      </c>
      <c r="D30" s="16">
        <f>LB!K470+FR!K138+JN!K195+TA!K107+ŽB!K81+ČL!K308+NB!K131+SM!K172+JI!K148+TU!K206</f>
        <v>64347570</v>
      </c>
      <c r="E30" s="16">
        <f>LB!L470+FR!L138+JN!L195+TA!L107+ŽB!L81+ČL!L308+NB!L131+SM!L172+JI!L148+TU!L206</f>
        <v>1903775</v>
      </c>
      <c r="F30" s="16">
        <f>LB!M470+FR!M138+JN!M195+TA!M107+ŽB!M81+ČL!M308+NB!M131+SM!M172+JI!M148+TU!M206</f>
        <v>4405325</v>
      </c>
      <c r="G30" s="13">
        <f>LB!N470+FR!N138+JN!N195+TA!N107+ŽB!N81+ČL!N308+NB!N131+SM!N172+JI!N148+TU!N206</f>
        <v>356.35170000000005</v>
      </c>
      <c r="H30" s="13">
        <f>LB!O470+FR!O138+JN!O195+TA!O107+ŽB!O81+ČL!O308+NB!O131+SM!O172+JI!O148+TU!O206</f>
        <v>259.82380000000001</v>
      </c>
      <c r="I30" s="172">
        <f>LB!P470+FR!P138+JN!P195+TA!P107+ŽB!P81+ČL!P308+NB!P131+SM!P172+JI!P148+TU!P206</f>
        <v>96.527900000000002</v>
      </c>
      <c r="J30" s="170">
        <f>LB!Q470+FR!Q138+JN!Q195+TA!Q107+ŽB!Q81+ČL!Q308+NB!Q131+SM!Q172+JI!Q148+TU!Q206</f>
        <v>-1194373</v>
      </c>
      <c r="K30" s="16">
        <f>LB!R470+FR!R138+JN!R195+TA!R107+ŽB!R81+ČL!R308+NB!R131+SM!R172+JI!R148+TU!R206</f>
        <v>30007969</v>
      </c>
      <c r="L30" s="16">
        <f>LB!S470+FR!S138+JN!S195+TA!S107+ŽB!S81+ČL!S308+NB!S131+SM!S172+JI!S148+TU!S206</f>
        <v>0</v>
      </c>
      <c r="M30" s="16">
        <f>LB!T470+FR!T138+JN!T195+TA!T107+ŽB!T81+ČL!T308+NB!T131+SM!T172+JI!T148+TU!T206</f>
        <v>61900</v>
      </c>
      <c r="N30" s="16">
        <f>LB!U470+FR!U138+JN!U195+TA!U107+ŽB!U81+ČL!U308+NB!U131+SM!U172+JI!U148+TU!U206</f>
        <v>-108900</v>
      </c>
      <c r="O30" s="16">
        <f>LB!V470+FR!V138+JN!V195+TA!V107+ŽB!V81+ČL!V308+NB!V131+SM!V172+JI!V148+TU!V206</f>
        <v>28766596</v>
      </c>
      <c r="P30" s="16">
        <f>LB!W470+FR!W138+JN!W195+TA!W107+ŽB!W81+ČL!W308+NB!W131+SM!W172+JI!W148+TU!W206</f>
        <v>1194373</v>
      </c>
      <c r="Q30" s="16">
        <f>LB!X470+FR!X138+JN!X195+TA!X107+ŽB!X81+ČL!X308+NB!X131+SM!X172+JI!X148+TU!X206</f>
        <v>210460</v>
      </c>
      <c r="R30" s="16">
        <f>LB!Y470+FR!Y138+JN!Y195+TA!Y107+ŽB!Y81+ČL!Y308+NB!Y131+SM!Y172+JI!Y148+TU!Y206</f>
        <v>220221</v>
      </c>
      <c r="S30" s="16">
        <f>LB!Z470+FR!Z138+JN!Z195+TA!Z107+ŽB!Z81+ČL!Z308+NB!Z131+SM!Z172+JI!Z148+TU!Z206</f>
        <v>1625054</v>
      </c>
      <c r="T30" s="16">
        <f>LB!AA470+FR!AA138+JN!AA195+TA!AA107+ŽB!AA81+ČL!AA308+NB!AA131+SM!AA172+JI!AA148+TU!AA206</f>
        <v>30391650</v>
      </c>
      <c r="U30" s="16">
        <f>LB!AB470+FR!AB138+JN!AB195+TA!AB107+ŽB!AB81+ČL!AB308+NB!AB131+SM!AB172+JI!AB148+TU!AB206</f>
        <v>10197944</v>
      </c>
      <c r="V30" s="16">
        <f>LB!AC470+FR!AC138+JN!AC195+TA!AC107+ŽB!AC81+ČL!AC308+NB!AC131+SM!AC172+JI!AC148+TU!AC206</f>
        <v>287655</v>
      </c>
      <c r="W30" s="16">
        <f>LB!AD470+FR!AD138+JN!AD195+TA!AD107+ŽB!AD81+ČL!AD308+NB!AD131+SM!AD172+JI!AD148+TU!AD206</f>
        <v>12750</v>
      </c>
      <c r="X30" s="16">
        <f>LB!AE470+FR!AE138+JN!AE195+TA!AE107+ŽB!AE81+ČL!AE308+NB!AE131+SM!AE172+JI!AE148+TU!AE206</f>
        <v>0</v>
      </c>
      <c r="Y30" s="16">
        <f>LB!AF470+FR!AF138+JN!AF195+TA!AF107+ŽB!AF81+ČL!AF308+NB!AF131+SM!AF172+JI!AF148+TU!AF206</f>
        <v>12750</v>
      </c>
      <c r="Z30" s="16">
        <f>LB!AG470+FR!AG138+JN!AG195+TA!AG107+ŽB!AG81+ČL!AG308+NB!AG131+SM!AG172+JI!AG148+TU!AG206</f>
        <v>40889999</v>
      </c>
      <c r="AA30" s="13">
        <f>LB!AH470+FR!AH138+JN!AH195+TA!AH107+ŽB!AH81+ČL!AH308+NB!AH131+SM!AH172+JI!AH148+TU!AH206</f>
        <v>-0.54</v>
      </c>
      <c r="AB30" s="13">
        <f>LB!AI470+FR!AI138+JN!AI195+TA!AI107+ŽB!AI81+ČL!AI308+NB!AI131+SM!AI172+JI!AI148+TU!AI206</f>
        <v>-1.78</v>
      </c>
      <c r="AC30" s="13">
        <f>LB!AJ470+FR!AJ138+JN!AJ195+TA!AJ107+ŽB!AJ81+ČL!AJ308+NB!AJ131+SM!AJ172+JI!AJ148+TU!AJ206</f>
        <v>86.679999999999993</v>
      </c>
      <c r="AD30" s="13">
        <f>LB!AK470+FR!AK138+JN!AK195+TA!AK107+ŽB!AK81+ČL!AK308+NB!AK131+SM!AK172+JI!AK148+TU!AK206</f>
        <v>0</v>
      </c>
      <c r="AE30" s="13">
        <f>LB!AL470+FR!AL138+JN!AL195+TA!AL107+ŽB!AL81+ČL!AL308+NB!AL131+SM!AL172+JI!AL148+TU!AL206</f>
        <v>0</v>
      </c>
      <c r="AF30" s="13">
        <f>LB!AM470+FR!AM138+JN!AM195+TA!AM107+ŽB!AM81+ČL!AM308+NB!AM131+SM!AM172+JI!AM148+TU!AM206</f>
        <v>0.09</v>
      </c>
      <c r="AG30" s="13">
        <f>LB!AN470+FR!AN138+JN!AN195+TA!AN107+ŽB!AN81+ČL!AN308+NB!AN131+SM!AN172+JI!AN148+TU!AN206</f>
        <v>0</v>
      </c>
      <c r="AH30" s="13">
        <f>LB!AO470+FR!AO138+JN!AO195+TA!AO107+ŽB!AO81+ČL!AO308+NB!AO131+SM!AO172+JI!AO148+TU!AO206</f>
        <v>0</v>
      </c>
      <c r="AI30" s="13">
        <f>LB!AP470+FR!AP138+JN!AP195+TA!AP107+ŽB!AP81+ČL!AP308+NB!AP131+SM!AP172+JI!AP148+TU!AP206</f>
        <v>86.23</v>
      </c>
      <c r="AJ30" s="13">
        <f>LB!AQ470+FR!AQ138+JN!AQ195+TA!AQ107+ŽB!AQ81+ČL!AQ308+NB!AQ131+SM!AQ172+JI!AQ148+TU!AQ206</f>
        <v>-1.78</v>
      </c>
      <c r="AK30" s="17">
        <f>LB!AR470+FR!AR138+JN!AR195+TA!AR107+ŽB!AR81+ČL!AR308+NB!AR131+SM!AR172+JI!AR148+TU!AR206</f>
        <v>84.45</v>
      </c>
      <c r="AL30" s="171">
        <f>LB!AS470+FR!AS138+JN!AS195+TA!AS107+ŽB!AS81+ČL!AS308+NB!AS131+SM!AS172+JI!AS148+TU!AS206</f>
        <v>301924082</v>
      </c>
      <c r="AM30" s="16">
        <f>LB!AT470+FR!AT138+JN!AT195+TA!AT107+ŽB!AT81+ČL!AT308+NB!AT131+SM!AT172+JI!AT148+TU!AT206</f>
        <v>219144009</v>
      </c>
      <c r="AN30" s="16">
        <f>LB!AU470+FR!AU138+JN!AU195+TA!AU107+ŽB!AU81+ČL!AU308+NB!AU131+SM!AU172+JI!AU148+TU!AU206</f>
        <v>1625054</v>
      </c>
      <c r="AO30" s="16">
        <f>LB!AV470+FR!AV138+JN!AV195+TA!AV107+ŽB!AV81+ČL!AV308+NB!AV131+SM!AV172+JI!AV148+TU!AV206</f>
        <v>74545514</v>
      </c>
      <c r="AP30" s="16">
        <f>LB!AW470+FR!AW138+JN!AW195+TA!AW107+ŽB!AW81+ČL!AW308+NB!AW131+SM!AW172+JI!AW148+TU!AW206</f>
        <v>2191430</v>
      </c>
      <c r="AQ30" s="16">
        <f>LB!AX470+FR!AX138+JN!AX195+TA!AX107+ŽB!AX81+ČL!AX308+NB!AX131+SM!AX172+JI!AX148+TU!AX206</f>
        <v>4418075</v>
      </c>
      <c r="AR30" s="13">
        <f>LB!AY470+FR!AY138+JN!AY195+TA!AY107+ŽB!AY81+ČL!AY308+NB!AY131+SM!AY172+JI!AY148+TU!AY206</f>
        <v>440.80170000000004</v>
      </c>
      <c r="AS30" s="13">
        <f>LB!AZ470+FR!AZ138+JN!AZ195+TA!AZ107+ŽB!AZ81+ČL!AZ308+NB!AZ131+SM!AZ172+JI!AZ148+TU!AZ206</f>
        <v>346.05380000000002</v>
      </c>
      <c r="AT30" s="17">
        <f>LB!BA470+FR!BA138+JN!BA195+TA!BA107+ŽB!BA81+ČL!BA308+NB!BA131+SM!BA172+JI!BA148+TU!BA206</f>
        <v>94.747900000000016</v>
      </c>
    </row>
    <row r="31" spans="1:46" x14ac:dyDescent="0.2">
      <c r="A31" s="2">
        <v>3122</v>
      </c>
      <c r="B31" s="170">
        <f>LB!I471+FR!I139+JN!I196+TA!I108+ŽB!I82+ČL!I309+NB!I132+SM!I173+JI!I149+TU!I207</f>
        <v>9424830</v>
      </c>
      <c r="C31" s="16">
        <f>LB!J471+FR!J139+JN!J196+TA!J108+ŽB!J82+ČL!J309+NB!J132+SM!J173+JI!J149+TU!J207</f>
        <v>6926172</v>
      </c>
      <c r="D31" s="16">
        <f>LB!K471+FR!K139+JN!K196+TA!K108+ŽB!K82+ČL!K309+NB!K132+SM!K173+JI!K149+TU!K207</f>
        <v>2341046</v>
      </c>
      <c r="E31" s="16">
        <f>LB!L471+FR!L139+JN!L196+TA!L108+ŽB!L82+ČL!L309+NB!L132+SM!L173+JI!L149+TU!L207</f>
        <v>69262</v>
      </c>
      <c r="F31" s="16">
        <f>LB!M471+FR!M139+JN!M196+TA!M108+ŽB!M82+ČL!M309+NB!M132+SM!M173+JI!M149+TU!M207</f>
        <v>88350</v>
      </c>
      <c r="G31" s="13">
        <f>LB!N471+FR!N139+JN!N196+TA!N108+ŽB!N82+ČL!N309+NB!N132+SM!N173+JI!N149+TU!N207</f>
        <v>10.754200000000001</v>
      </c>
      <c r="H31" s="13">
        <f>LB!O471+FR!O139+JN!O196+TA!O108+ŽB!O82+ČL!O309+NB!O132+SM!O173+JI!O149+TU!O207</f>
        <v>9.7141999999999999</v>
      </c>
      <c r="I31" s="172">
        <f>LB!P471+FR!P139+JN!P196+TA!P108+ŽB!P82+ČL!P309+NB!P132+SM!P173+JI!P149+TU!P207</f>
        <v>1.04</v>
      </c>
      <c r="J31" s="170">
        <f>LB!Q471+FR!Q139+JN!Q196+TA!Q108+ŽB!Q82+ČL!Q309+NB!Q132+SM!Q173+JI!Q149+TU!Q207</f>
        <v>-39000</v>
      </c>
      <c r="K31" s="16">
        <f>LB!R471+FR!R139+JN!R196+TA!R108+ŽB!R82+ČL!R309+NB!R132+SM!R173+JI!R149+TU!R207</f>
        <v>0</v>
      </c>
      <c r="L31" s="16">
        <f>LB!S471+FR!S139+JN!S196+TA!S108+ŽB!S82+ČL!S309+NB!S132+SM!S173+JI!S149+TU!S207</f>
        <v>0</v>
      </c>
      <c r="M31" s="16">
        <f>LB!T471+FR!T139+JN!T196+TA!T108+ŽB!T82+ČL!T309+NB!T132+SM!T173+JI!T149+TU!T207</f>
        <v>0</v>
      </c>
      <c r="N31" s="16">
        <f>LB!U471+FR!U139+JN!U196+TA!U108+ŽB!U82+ČL!U309+NB!U132+SM!U173+JI!U149+TU!U207</f>
        <v>0</v>
      </c>
      <c r="O31" s="16">
        <f>LB!V471+FR!V139+JN!V196+TA!V108+ŽB!V82+ČL!V309+NB!V132+SM!V173+JI!V149+TU!V207</f>
        <v>-39000</v>
      </c>
      <c r="P31" s="16">
        <f>LB!W471+FR!W139+JN!W196+TA!W108+ŽB!W82+ČL!W309+NB!W132+SM!W173+JI!W149+TU!W207</f>
        <v>39000</v>
      </c>
      <c r="Q31" s="16">
        <f>LB!X471+FR!X139+JN!X196+TA!X108+ŽB!X82+ČL!X309+NB!X132+SM!X173+JI!X149+TU!X207</f>
        <v>125800</v>
      </c>
      <c r="R31" s="16">
        <f>LB!Y471+FR!Y139+JN!Y196+TA!Y108+ŽB!Y82+ČL!Y309+NB!Y132+SM!Y173+JI!Y149+TU!Y207</f>
        <v>0</v>
      </c>
      <c r="S31" s="16">
        <f>LB!Z471+FR!Z139+JN!Z196+TA!Z108+ŽB!Z82+ČL!Z309+NB!Z132+SM!Z173+JI!Z149+TU!Z207</f>
        <v>164800</v>
      </c>
      <c r="T31" s="16">
        <f>LB!AA471+FR!AA139+JN!AA196+TA!AA108+ŽB!AA82+ČL!AA309+NB!AA132+SM!AA173+JI!AA149+TU!AA207</f>
        <v>125800</v>
      </c>
      <c r="U31" s="16">
        <f>LB!AB471+FR!AB139+JN!AB196+TA!AB108+ŽB!AB82+ČL!AB309+NB!AB132+SM!AB173+JI!AB149+TU!AB207</f>
        <v>42520</v>
      </c>
      <c r="V31" s="16">
        <f>LB!AC471+FR!AC139+JN!AC196+TA!AC108+ŽB!AC82+ČL!AC309+NB!AC132+SM!AC173+JI!AC149+TU!AC207</f>
        <v>-390</v>
      </c>
      <c r="W31" s="16">
        <f>LB!AD471+FR!AD139+JN!AD196+TA!AD108+ŽB!AD82+ČL!AD309+NB!AD132+SM!AD173+JI!AD149+TU!AD207</f>
        <v>0</v>
      </c>
      <c r="X31" s="16">
        <f>LB!AE471+FR!AE139+JN!AE196+TA!AE108+ŽB!AE82+ČL!AE309+NB!AE132+SM!AE173+JI!AE149+TU!AE207</f>
        <v>0</v>
      </c>
      <c r="Y31" s="16">
        <f>LB!AF471+FR!AF139+JN!AF196+TA!AF108+ŽB!AF82+ČL!AF309+NB!AF132+SM!AF173+JI!AF149+TU!AF207</f>
        <v>0</v>
      </c>
      <c r="Z31" s="16">
        <f>LB!AG471+FR!AG139+JN!AG196+TA!AG108+ŽB!AG82+ČL!AG309+NB!AG132+SM!AG173+JI!AG149+TU!AG207</f>
        <v>167930</v>
      </c>
      <c r="AA31" s="13">
        <f>LB!AH471+FR!AH139+JN!AH196+TA!AH108+ŽB!AH82+ČL!AH309+NB!AH132+SM!AH173+JI!AH149+TU!AH207</f>
        <v>-0.03</v>
      </c>
      <c r="AB31" s="13">
        <f>LB!AI471+FR!AI139+JN!AI196+TA!AI108+ŽB!AI82+ČL!AI309+NB!AI132+SM!AI173+JI!AI149+TU!AI207</f>
        <v>0</v>
      </c>
      <c r="AC31" s="13">
        <f>LB!AJ471+FR!AJ139+JN!AJ196+TA!AJ108+ŽB!AJ82+ČL!AJ309+NB!AJ132+SM!AJ173+JI!AJ149+TU!AJ207</f>
        <v>0</v>
      </c>
      <c r="AD31" s="13">
        <f>LB!AK471+FR!AK139+JN!AK196+TA!AK108+ŽB!AK82+ČL!AK309+NB!AK132+SM!AK173+JI!AK149+TU!AK207</f>
        <v>0</v>
      </c>
      <c r="AE31" s="13">
        <f>LB!AL471+FR!AL139+JN!AL196+TA!AL108+ŽB!AL82+ČL!AL309+NB!AL132+SM!AL173+JI!AL149+TU!AL207</f>
        <v>0</v>
      </c>
      <c r="AF31" s="13">
        <f>LB!AM471+FR!AM139+JN!AM196+TA!AM108+ŽB!AM82+ČL!AM309+NB!AM132+SM!AM173+JI!AM149+TU!AM207</f>
        <v>0</v>
      </c>
      <c r="AG31" s="13">
        <f>LB!AN471+FR!AN139+JN!AN196+TA!AN108+ŽB!AN82+ČL!AN309+NB!AN132+SM!AN173+JI!AN149+TU!AN207</f>
        <v>0</v>
      </c>
      <c r="AH31" s="13">
        <f>LB!AO471+FR!AO139+JN!AO196+TA!AO108+ŽB!AO82+ČL!AO309+NB!AO132+SM!AO173+JI!AO149+TU!AO207</f>
        <v>0</v>
      </c>
      <c r="AI31" s="13">
        <f>LB!AP471+FR!AP139+JN!AP196+TA!AP108+ŽB!AP82+ČL!AP309+NB!AP132+SM!AP173+JI!AP149+TU!AP207</f>
        <v>-0.03</v>
      </c>
      <c r="AJ31" s="13">
        <f>LB!AQ471+FR!AQ139+JN!AQ196+TA!AQ108+ŽB!AQ82+ČL!AQ309+NB!AQ132+SM!AQ173+JI!AQ149+TU!AQ207</f>
        <v>0</v>
      </c>
      <c r="AK31" s="17">
        <f>LB!AR471+FR!AR139+JN!AR196+TA!AR108+ŽB!AR82+ČL!AR309+NB!AR132+SM!AR173+JI!AR149+TU!AR207</f>
        <v>-0.03</v>
      </c>
      <c r="AL31" s="171">
        <f>LB!AS471+FR!AS139+JN!AS196+TA!AS108+ŽB!AS82+ČL!AS309+NB!AS132+SM!AS173+JI!AS149+TU!AS207</f>
        <v>9592760</v>
      </c>
      <c r="AM31" s="16">
        <f>LB!AT471+FR!AT139+JN!AT196+TA!AT108+ŽB!AT82+ČL!AT309+NB!AT132+SM!AT173+JI!AT149+TU!AT207</f>
        <v>6887172</v>
      </c>
      <c r="AN31" s="16">
        <f>LB!AU471+FR!AU139+JN!AU196+TA!AU108+ŽB!AU82+ČL!AU309+NB!AU132+SM!AU173+JI!AU149+TU!AU207</f>
        <v>164800</v>
      </c>
      <c r="AO31" s="16">
        <f>LB!AV471+FR!AV139+JN!AV196+TA!AV108+ŽB!AV82+ČL!AV309+NB!AV132+SM!AV173+JI!AV149+TU!AV207</f>
        <v>2383566</v>
      </c>
      <c r="AP31" s="16">
        <f>LB!AW471+FR!AW139+JN!AW196+TA!AW108+ŽB!AW82+ČL!AW309+NB!AW132+SM!AW173+JI!AW149+TU!AW207</f>
        <v>68872</v>
      </c>
      <c r="AQ31" s="16">
        <f>LB!AX471+FR!AX139+JN!AX196+TA!AX108+ŽB!AX82+ČL!AX309+NB!AX132+SM!AX173+JI!AX149+TU!AX207</f>
        <v>88350</v>
      </c>
      <c r="AR31" s="13">
        <f>LB!AY471+FR!AY139+JN!AY196+TA!AY108+ŽB!AY82+ČL!AY309+NB!AY132+SM!AY173+JI!AY149+TU!AY207</f>
        <v>10.724200000000002</v>
      </c>
      <c r="AS31" s="13">
        <f>LB!AZ471+FR!AZ139+JN!AZ196+TA!AZ108+ŽB!AZ82+ČL!AZ309+NB!AZ132+SM!AZ173+JI!AZ149+TU!AZ207</f>
        <v>9.6842000000000006</v>
      </c>
      <c r="AT31" s="17">
        <f>LB!BA471+FR!BA139+JN!BA196+TA!BA108+ŽB!BA82+ČL!BA309+NB!BA132+SM!BA173+JI!BA149+TU!BA207</f>
        <v>1.04</v>
      </c>
    </row>
    <row r="32" spans="1:46" x14ac:dyDescent="0.2">
      <c r="A32" s="2">
        <v>3124</v>
      </c>
      <c r="B32" s="170">
        <f>LB!I472+FR!I140+JN!I197+TA!I109+ŽB!I83+ČL!I310+NB!I133+SM!I174+JI!I150+TU!I208</f>
        <v>4304036</v>
      </c>
      <c r="C32" s="16">
        <f>LB!J472+FR!J140+JN!J197+TA!J109+ŽB!J83+ČL!J310+NB!J133+SM!J174+JI!J150+TU!J208</f>
        <v>3176348</v>
      </c>
      <c r="D32" s="16">
        <f>LB!K472+FR!K140+JN!K197+TA!K109+ŽB!K83+ČL!K310+NB!K133+SM!K174+JI!K150+TU!K208</f>
        <v>1073605</v>
      </c>
      <c r="E32" s="16">
        <f>LB!L472+FR!L140+JN!L197+TA!L109+ŽB!L83+ČL!L310+NB!L133+SM!L174+JI!L150+TU!L208</f>
        <v>31763</v>
      </c>
      <c r="F32" s="16">
        <f>LB!M472+FR!M140+JN!M197+TA!M109+ŽB!M83+ČL!M310+NB!M133+SM!M174+JI!M150+TU!M208</f>
        <v>22320</v>
      </c>
      <c r="G32" s="13">
        <f>LB!N472+FR!N140+JN!N197+TA!N109+ŽB!N83+ČL!N310+NB!N133+SM!N174+JI!N150+TU!N208</f>
        <v>5.8062000000000005</v>
      </c>
      <c r="H32" s="13">
        <f>LB!O472+FR!O140+JN!O197+TA!O109+ŽB!O83+ČL!O310+NB!O133+SM!O174+JI!O150+TU!O208</f>
        <v>5.2061999999999999</v>
      </c>
      <c r="I32" s="172">
        <f>LB!P472+FR!P140+JN!P197+TA!P109+ŽB!P83+ČL!P310+NB!P133+SM!P174+JI!P150+TU!P208</f>
        <v>0.6</v>
      </c>
      <c r="J32" s="170">
        <f>LB!Q472+FR!Q140+JN!Q197+TA!Q109+ŽB!Q83+ČL!Q310+NB!Q133+SM!Q174+JI!Q150+TU!Q208</f>
        <v>0</v>
      </c>
      <c r="K32" s="16">
        <f>LB!R472+FR!R140+JN!R197+TA!R109+ŽB!R83+ČL!R310+NB!R133+SM!R174+JI!R150+TU!R208</f>
        <v>0</v>
      </c>
      <c r="L32" s="16">
        <f>LB!S472+FR!S140+JN!S197+TA!S109+ŽB!S83+ČL!S310+NB!S133+SM!S174+JI!S150+TU!S208</f>
        <v>0</v>
      </c>
      <c r="M32" s="16">
        <f>LB!T472+FR!T140+JN!T197+TA!T109+ŽB!T83+ČL!T310+NB!T133+SM!T174+JI!T150+TU!T208</f>
        <v>0</v>
      </c>
      <c r="N32" s="16">
        <f>LB!U472+FR!U140+JN!U197+TA!U109+ŽB!U83+ČL!U310+NB!U133+SM!U174+JI!U150+TU!U208</f>
        <v>0</v>
      </c>
      <c r="O32" s="16">
        <f>LB!V472+FR!V140+JN!V197+TA!V109+ŽB!V83+ČL!V310+NB!V133+SM!V174+JI!V150+TU!V208</f>
        <v>0</v>
      </c>
      <c r="P32" s="16">
        <f>LB!W472+FR!W140+JN!W197+TA!W109+ŽB!W83+ČL!W310+NB!W133+SM!W174+JI!W150+TU!W208</f>
        <v>0</v>
      </c>
      <c r="Q32" s="16">
        <f>LB!X472+FR!X140+JN!X197+TA!X109+ŽB!X83+ČL!X310+NB!X133+SM!X174+JI!X150+TU!X208</f>
        <v>0</v>
      </c>
      <c r="R32" s="16">
        <f>LB!Y472+FR!Y140+JN!Y197+TA!Y109+ŽB!Y83+ČL!Y310+NB!Y133+SM!Y174+JI!Y150+TU!Y208</f>
        <v>0</v>
      </c>
      <c r="S32" s="16">
        <f>LB!Z472+FR!Z140+JN!Z197+TA!Z109+ŽB!Z83+ČL!Z310+NB!Z133+SM!Z174+JI!Z150+TU!Z208</f>
        <v>0</v>
      </c>
      <c r="T32" s="16">
        <f>LB!AA472+FR!AA140+JN!AA197+TA!AA109+ŽB!AA83+ČL!AA310+NB!AA133+SM!AA174+JI!AA150+TU!AA208</f>
        <v>0</v>
      </c>
      <c r="U32" s="16">
        <f>LB!AB472+FR!AB140+JN!AB197+TA!AB109+ŽB!AB83+ČL!AB310+NB!AB133+SM!AB174+JI!AB150+TU!AB208</f>
        <v>0</v>
      </c>
      <c r="V32" s="16">
        <f>LB!AC472+FR!AC140+JN!AC197+TA!AC109+ŽB!AC83+ČL!AC310+NB!AC133+SM!AC174+JI!AC150+TU!AC208</f>
        <v>0</v>
      </c>
      <c r="W32" s="16">
        <f>LB!AD472+FR!AD140+JN!AD197+TA!AD109+ŽB!AD83+ČL!AD310+NB!AD133+SM!AD174+JI!AD150+TU!AD208</f>
        <v>0</v>
      </c>
      <c r="X32" s="16">
        <f>LB!AE472+FR!AE140+JN!AE197+TA!AE109+ŽB!AE83+ČL!AE310+NB!AE133+SM!AE174+JI!AE150+TU!AE208</f>
        <v>0</v>
      </c>
      <c r="Y32" s="16">
        <f>LB!AF472+FR!AF140+JN!AF197+TA!AF109+ŽB!AF83+ČL!AF310+NB!AF133+SM!AF174+JI!AF150+TU!AF208</f>
        <v>0</v>
      </c>
      <c r="Z32" s="16">
        <f>LB!AG472+FR!AG140+JN!AG197+TA!AG109+ŽB!AG83+ČL!AG310+NB!AG133+SM!AG174+JI!AG150+TU!AG208</f>
        <v>0</v>
      </c>
      <c r="AA32" s="13">
        <f>LB!AH472+FR!AH140+JN!AH197+TA!AH109+ŽB!AH83+ČL!AH310+NB!AH133+SM!AH174+JI!AH150+TU!AH208</f>
        <v>0</v>
      </c>
      <c r="AB32" s="13">
        <f>LB!AI472+FR!AI140+JN!AI197+TA!AI109+ŽB!AI83+ČL!AI310+NB!AI133+SM!AI174+JI!AI150+TU!AI208</f>
        <v>0</v>
      </c>
      <c r="AC32" s="13">
        <f>LB!AJ472+FR!AJ140+JN!AJ197+TA!AJ109+ŽB!AJ83+ČL!AJ310+NB!AJ133+SM!AJ174+JI!AJ150+TU!AJ208</f>
        <v>0</v>
      </c>
      <c r="AD32" s="13">
        <f>LB!AK472+FR!AK140+JN!AK197+TA!AK109+ŽB!AK83+ČL!AK310+NB!AK133+SM!AK174+JI!AK150+TU!AK208</f>
        <v>0</v>
      </c>
      <c r="AE32" s="13">
        <f>LB!AL472+FR!AL140+JN!AL197+TA!AL109+ŽB!AL83+ČL!AL310+NB!AL133+SM!AL174+JI!AL150+TU!AL208</f>
        <v>0</v>
      </c>
      <c r="AF32" s="13">
        <f>LB!AM472+FR!AM140+JN!AM197+TA!AM109+ŽB!AM83+ČL!AM310+NB!AM133+SM!AM174+JI!AM150+TU!AM208</f>
        <v>0</v>
      </c>
      <c r="AG32" s="13">
        <f>LB!AN472+FR!AN140+JN!AN197+TA!AN109+ŽB!AN83+ČL!AN310+NB!AN133+SM!AN174+JI!AN150+TU!AN208</f>
        <v>0</v>
      </c>
      <c r="AH32" s="13">
        <f>LB!AO472+FR!AO140+JN!AO197+TA!AO109+ŽB!AO83+ČL!AO310+NB!AO133+SM!AO174+JI!AO150+TU!AO208</f>
        <v>0</v>
      </c>
      <c r="AI32" s="13">
        <f>LB!AP472+FR!AP140+JN!AP197+TA!AP109+ŽB!AP83+ČL!AP310+NB!AP133+SM!AP174+JI!AP150+TU!AP208</f>
        <v>0</v>
      </c>
      <c r="AJ32" s="13">
        <f>LB!AQ472+FR!AQ140+JN!AQ197+TA!AQ109+ŽB!AQ83+ČL!AQ310+NB!AQ133+SM!AQ174+JI!AQ150+TU!AQ208</f>
        <v>0</v>
      </c>
      <c r="AK32" s="17">
        <f>LB!AR472+FR!AR140+JN!AR197+TA!AR109+ŽB!AR83+ČL!AR310+NB!AR133+SM!AR174+JI!AR150+TU!AR208</f>
        <v>0</v>
      </c>
      <c r="AL32" s="171">
        <f>LB!AS472+FR!AS140+JN!AS197+TA!AS109+ŽB!AS83+ČL!AS310+NB!AS133+SM!AS174+JI!AS150+TU!AS208</f>
        <v>4304036</v>
      </c>
      <c r="AM32" s="16">
        <f>LB!AT472+FR!AT140+JN!AT197+TA!AT109+ŽB!AT83+ČL!AT310+NB!AT133+SM!AT174+JI!AT150+TU!AT208</f>
        <v>3176348</v>
      </c>
      <c r="AN32" s="16">
        <f>LB!AU472+FR!AU140+JN!AU197+TA!AU109+ŽB!AU83+ČL!AU310+NB!AU133+SM!AU174+JI!AU150+TU!AU208</f>
        <v>0</v>
      </c>
      <c r="AO32" s="16">
        <f>LB!AV472+FR!AV140+JN!AV197+TA!AV109+ŽB!AV83+ČL!AV310+NB!AV133+SM!AV174+JI!AV150+TU!AV208</f>
        <v>1073605</v>
      </c>
      <c r="AP32" s="16">
        <f>LB!AW472+FR!AW140+JN!AW197+TA!AW109+ŽB!AW83+ČL!AW310+NB!AW133+SM!AW174+JI!AW150+TU!AW208</f>
        <v>31763</v>
      </c>
      <c r="AQ32" s="16">
        <f>LB!AX472+FR!AX140+JN!AX197+TA!AX109+ŽB!AX83+ČL!AX310+NB!AX133+SM!AX174+JI!AX150+TU!AX208</f>
        <v>22320</v>
      </c>
      <c r="AR32" s="13">
        <f>LB!AY472+FR!AY140+JN!AY197+TA!AY109+ŽB!AY83+ČL!AY310+NB!AY133+SM!AY174+JI!AY150+TU!AY208</f>
        <v>5.8062000000000005</v>
      </c>
      <c r="AS32" s="13">
        <f>LB!AZ472+FR!AZ140+JN!AZ197+TA!AZ109+ŽB!AZ83+ČL!AZ310+NB!AZ133+SM!AZ174+JI!AZ150+TU!AZ208</f>
        <v>5.2061999999999999</v>
      </c>
      <c r="AT32" s="17">
        <f>LB!BA472+FR!BA140+JN!BA197+TA!BA109+ŽB!BA83+ČL!BA310+NB!BA133+SM!BA174+JI!BA150+TU!BA208</f>
        <v>0.6</v>
      </c>
    </row>
    <row r="33" spans="1:46" x14ac:dyDescent="0.2">
      <c r="A33" s="2">
        <v>3141</v>
      </c>
      <c r="B33" s="170">
        <f>LB!I473+FR!I141+JN!I198+TA!I110+ŽB!I84+ČL!I311+NB!I134+SM!I175+JI!I151+TU!I209</f>
        <v>389080393</v>
      </c>
      <c r="C33" s="16">
        <f>LB!J473+FR!J141+JN!J198+TA!J110+ŽB!J84+ČL!J311+NB!J134+SM!J175+JI!J151+TU!J209</f>
        <v>286785071</v>
      </c>
      <c r="D33" s="16">
        <f>LB!K473+FR!K141+JN!K198+TA!K110+ŽB!K84+ČL!K311+NB!K134+SM!K175+JI!K151+TU!K209</f>
        <v>96933359</v>
      </c>
      <c r="E33" s="16">
        <f>LB!L473+FR!L141+JN!L198+TA!L110+ŽB!L84+ČL!L311+NB!L134+SM!L175+JI!L151+TU!L209</f>
        <v>2867861</v>
      </c>
      <c r="F33" s="16">
        <f>LB!M473+FR!M141+JN!M198+TA!M110+ŽB!M84+ČL!M311+NB!M134+SM!M175+JI!M151+TU!M209</f>
        <v>2494102</v>
      </c>
      <c r="G33" s="13">
        <f>LB!N473+FR!N141+JN!N198+TA!N110+ŽB!N84+ČL!N311+NB!N134+SM!N175+JI!N151+TU!N209</f>
        <v>921.6629999999999</v>
      </c>
      <c r="H33" s="13">
        <f>LB!O473+FR!O141+JN!O198+TA!O110+ŽB!O84+ČL!O311+NB!O134+SM!O175+JI!O151+TU!O209</f>
        <v>0</v>
      </c>
      <c r="I33" s="172">
        <f>LB!P473+FR!P141+JN!P198+TA!P110+ŽB!P84+ČL!P311+NB!P134+SM!P175+JI!P151+TU!P209</f>
        <v>921.36299999999983</v>
      </c>
      <c r="J33" s="170">
        <f>LB!Q473+FR!Q141+JN!Q198+TA!Q110+ŽB!Q84+ČL!Q311+NB!Q134+SM!Q175+JI!Q151+TU!Q209</f>
        <v>-1304537</v>
      </c>
      <c r="K33" s="16">
        <f>LB!R473+FR!R141+JN!R198+TA!R110+ŽB!R84+ČL!R311+NB!R134+SM!R175+JI!R151+TU!R209</f>
        <v>0</v>
      </c>
      <c r="L33" s="16">
        <f>LB!S473+FR!S141+JN!S198+TA!S110+ŽB!S84+ČL!S311+NB!S134+SM!S175+JI!S151+TU!S209</f>
        <v>0</v>
      </c>
      <c r="M33" s="16">
        <f>LB!T473+FR!T141+JN!T198+TA!T110+ŽB!T84+ČL!T311+NB!T134+SM!T175+JI!T151+TU!T209</f>
        <v>0</v>
      </c>
      <c r="N33" s="16">
        <f>LB!U473+FR!U141+JN!U198+TA!U110+ŽB!U84+ČL!U311+NB!U134+SM!U175+JI!U151+TU!U209</f>
        <v>0</v>
      </c>
      <c r="O33" s="16">
        <f>LB!V473+FR!V141+JN!V198+TA!V110+ŽB!V84+ČL!V311+NB!V134+SM!V175+JI!V151+TU!V209</f>
        <v>-1304537</v>
      </c>
      <c r="P33" s="16">
        <f>LB!W473+FR!W141+JN!W198+TA!W110+ŽB!W84+ČL!W311+NB!W134+SM!W175+JI!W151+TU!W209</f>
        <v>1304537</v>
      </c>
      <c r="Q33" s="16">
        <f>LB!X473+FR!X141+JN!X198+TA!X110+ŽB!X84+ČL!X311+NB!X134+SM!X175+JI!X151+TU!X209</f>
        <v>0</v>
      </c>
      <c r="R33" s="16">
        <f>LB!Y473+FR!Y141+JN!Y198+TA!Y110+ŽB!Y84+ČL!Y311+NB!Y134+SM!Y175+JI!Y151+TU!Y209</f>
        <v>141708</v>
      </c>
      <c r="S33" s="16">
        <f>LB!Z473+FR!Z141+JN!Z198+TA!Z110+ŽB!Z84+ČL!Z311+NB!Z134+SM!Z175+JI!Z151+TU!Z209</f>
        <v>1446245</v>
      </c>
      <c r="T33" s="16">
        <f>LB!AA473+FR!AA141+JN!AA198+TA!AA110+ŽB!AA84+ČL!AA311+NB!AA134+SM!AA175+JI!AA151+TU!AA209</f>
        <v>141708</v>
      </c>
      <c r="U33" s="16">
        <f>LB!AB473+FR!AB141+JN!AB198+TA!AB110+ŽB!AB84+ČL!AB311+NB!AB134+SM!AB175+JI!AB151+TU!AB209</f>
        <v>0</v>
      </c>
      <c r="V33" s="16">
        <f>LB!AC473+FR!AC141+JN!AC198+TA!AC110+ŽB!AC84+ČL!AC311+NB!AC134+SM!AC175+JI!AC151+TU!AC209</f>
        <v>-13057</v>
      </c>
      <c r="W33" s="16">
        <f>LB!AD473+FR!AD141+JN!AD198+TA!AD110+ŽB!AD84+ČL!AD311+NB!AD134+SM!AD175+JI!AD151+TU!AD209</f>
        <v>0</v>
      </c>
      <c r="X33" s="16">
        <f>LB!AE473+FR!AE141+JN!AE198+TA!AE110+ŽB!AE84+ČL!AE311+NB!AE134+SM!AE175+JI!AE151+TU!AE209</f>
        <v>0</v>
      </c>
      <c r="Y33" s="16">
        <f>LB!AF473+FR!AF141+JN!AF198+TA!AF110+ŽB!AF84+ČL!AF311+NB!AF134+SM!AF175+JI!AF151+TU!AF209</f>
        <v>0</v>
      </c>
      <c r="Z33" s="16">
        <f>LB!AG473+FR!AG141+JN!AG198+TA!AG110+ŽB!AG84+ČL!AG311+NB!AG134+SM!AG175+JI!AG151+TU!AG209</f>
        <v>128651</v>
      </c>
      <c r="AA33" s="13">
        <f>LB!AH473+FR!AH141+JN!AH198+TA!AH110+ŽB!AH84+ČL!AH311+NB!AH134+SM!AH175+JI!AH151+TU!AH209</f>
        <v>-0.05</v>
      </c>
      <c r="AB33" s="13">
        <f>LB!AI473+FR!AI141+JN!AI198+TA!AI110+ŽB!AI84+ČL!AI311+NB!AI134+SM!AI175+JI!AI151+TU!AI209</f>
        <v>-1.68</v>
      </c>
      <c r="AC33" s="13">
        <f>LB!AJ473+FR!AJ141+JN!AJ198+TA!AJ110+ŽB!AJ84+ČL!AJ311+NB!AJ134+SM!AJ175+JI!AJ151+TU!AJ209</f>
        <v>0</v>
      </c>
      <c r="AD33" s="13">
        <f>LB!AK473+FR!AK141+JN!AK198+TA!AK110+ŽB!AK84+ČL!AK311+NB!AK134+SM!AK175+JI!AK151+TU!AK209</f>
        <v>0</v>
      </c>
      <c r="AE33" s="13">
        <f>LB!AL473+FR!AL141+JN!AL198+TA!AL110+ŽB!AL84+ČL!AL311+NB!AL134+SM!AL175+JI!AL151+TU!AL209</f>
        <v>0</v>
      </c>
      <c r="AF33" s="13">
        <f>LB!AM473+FR!AM141+JN!AM198+TA!AM110+ŽB!AM84+ČL!AM311+NB!AM134+SM!AM175+JI!AM151+TU!AM209</f>
        <v>0</v>
      </c>
      <c r="AG33" s="13">
        <f>LB!AN473+FR!AN141+JN!AN198+TA!AN110+ŽB!AN84+ČL!AN311+NB!AN134+SM!AN175+JI!AN151+TU!AN209</f>
        <v>0</v>
      </c>
      <c r="AH33" s="13">
        <f>LB!AO473+FR!AO141+JN!AO198+TA!AO110+ŽB!AO84+ČL!AO311+NB!AO134+SM!AO175+JI!AO151+TU!AO209</f>
        <v>2.6399999999999997</v>
      </c>
      <c r="AI33" s="13">
        <f>LB!AP473+FR!AP141+JN!AP198+TA!AP110+ŽB!AP84+ČL!AP311+NB!AP134+SM!AP175+JI!AP151+TU!AP209</f>
        <v>-0.05</v>
      </c>
      <c r="AJ33" s="13">
        <f>LB!AQ473+FR!AQ141+JN!AQ198+TA!AQ110+ŽB!AQ84+ČL!AQ311+NB!AQ134+SM!AQ175+JI!AQ151+TU!AQ209</f>
        <v>0.95999999999999974</v>
      </c>
      <c r="AK33" s="17">
        <f>LB!AR473+FR!AR141+JN!AR198+TA!AR110+ŽB!AR84+ČL!AR311+NB!AR134+SM!AR175+JI!AR151+TU!AR209</f>
        <v>0.90999999999999948</v>
      </c>
      <c r="AL33" s="171">
        <f>LB!AS473+FR!AS141+JN!AS198+TA!AS110+ŽB!AS84+ČL!AS311+NB!AS134+SM!AS175+JI!AS151+TU!AS209</f>
        <v>389209044</v>
      </c>
      <c r="AM33" s="16">
        <f>LB!AT473+FR!AT141+JN!AT198+TA!AT110+ŽB!AT84+ČL!AT311+NB!AT134+SM!AT175+JI!AT151+TU!AT209</f>
        <v>285480534</v>
      </c>
      <c r="AN33" s="16">
        <f>LB!AU473+FR!AU141+JN!AU198+TA!AU110+ŽB!AU84+ČL!AU311+NB!AU134+SM!AU175+JI!AU151+TU!AU209</f>
        <v>1446245</v>
      </c>
      <c r="AO33" s="16">
        <f>LB!AV473+FR!AV141+JN!AV198+TA!AV110+ŽB!AV84+ČL!AV311+NB!AV134+SM!AV175+JI!AV151+TU!AV209</f>
        <v>96933359</v>
      </c>
      <c r="AP33" s="16">
        <f>LB!AW473+FR!AW141+JN!AW198+TA!AW110+ŽB!AW84+ČL!AW311+NB!AW134+SM!AW175+JI!AW151+TU!AW209</f>
        <v>2854804</v>
      </c>
      <c r="AQ33" s="16">
        <f>LB!AX473+FR!AX141+JN!AX198+TA!AX110+ŽB!AX84+ČL!AX311+NB!AX134+SM!AX175+JI!AX151+TU!AX209</f>
        <v>2494102</v>
      </c>
      <c r="AR33" s="13">
        <f>LB!AY473+FR!AY141+JN!AY198+TA!AY110+ŽB!AY84+ČL!AY311+NB!AY134+SM!AY175+JI!AY151+TU!AY209</f>
        <v>922.57299999999975</v>
      </c>
      <c r="AS33" s="13">
        <f>LB!AZ473+FR!AZ141+JN!AZ198+TA!AZ110+ŽB!AZ84+ČL!AZ311+NB!AZ134+SM!AZ175+JI!AZ151+TU!AZ209</f>
        <v>-0.05</v>
      </c>
      <c r="AT33" s="17">
        <f>LB!BA473+FR!BA141+JN!BA198+TA!BA110+ŽB!BA84+ČL!BA311+NB!BA134+SM!BA175+JI!BA151+TU!BA209</f>
        <v>922.32299999999987</v>
      </c>
    </row>
    <row r="34" spans="1:46" x14ac:dyDescent="0.2">
      <c r="A34" s="2">
        <v>3143</v>
      </c>
      <c r="B34" s="170">
        <f>LB!I474+FR!I142+JN!I199+TA!I111+ŽB!I85+ČL!I312+NB!I135+SM!I176+JI!I152+TU!I210</f>
        <v>295236003</v>
      </c>
      <c r="C34" s="16">
        <f>LB!J474+FR!J142+JN!J199+TA!J111+ŽB!J85+ČL!J312+NB!J135+SM!J176+JI!J152+TU!J210</f>
        <v>218753105</v>
      </c>
      <c r="D34" s="16">
        <f>LB!K474+FR!K142+JN!K199+TA!K111+ŽB!K85+ČL!K312+NB!K135+SM!K176+JI!K152+TU!K210</f>
        <v>73938551</v>
      </c>
      <c r="E34" s="16">
        <f>LB!L474+FR!L142+JN!L199+TA!L111+ŽB!L85+ČL!L312+NB!L135+SM!L176+JI!L152+TU!L210</f>
        <v>2187533</v>
      </c>
      <c r="F34" s="16">
        <f>LB!M474+FR!M142+JN!M199+TA!M111+ŽB!M85+ČL!M312+NB!M135+SM!M176+JI!M152+TU!M210</f>
        <v>356814</v>
      </c>
      <c r="G34" s="13">
        <f>LB!N474+FR!N142+JN!N199+TA!N111+ŽB!N85+ČL!N312+NB!N135+SM!N176+JI!N152+TU!N210</f>
        <v>471.5757000000001</v>
      </c>
      <c r="H34" s="13">
        <f>LB!O474+FR!O142+JN!O199+TA!O111+ŽB!O85+ČL!O312+NB!O135+SM!O176+JI!O152+TU!O210</f>
        <v>443.34570000000002</v>
      </c>
      <c r="I34" s="172">
        <f>LB!P474+FR!P142+JN!P199+TA!P111+ŽB!P85+ČL!P312+NB!P135+SM!P176+JI!P152+TU!P210</f>
        <v>28.230000000000004</v>
      </c>
      <c r="J34" s="170">
        <f>LB!Q474+FR!Q142+JN!Q199+TA!Q111+ŽB!Q85+ČL!Q312+NB!Q135+SM!Q176+JI!Q152+TU!Q210</f>
        <v>-877864</v>
      </c>
      <c r="K34" s="16">
        <f>LB!R474+FR!R142+JN!R199+TA!R111+ŽB!R85+ČL!R312+NB!R135+SM!R176+JI!R152+TU!R210</f>
        <v>0</v>
      </c>
      <c r="L34" s="16">
        <f>LB!S474+FR!S142+JN!S199+TA!S111+ŽB!S85+ČL!S312+NB!S135+SM!S176+JI!S152+TU!S210</f>
        <v>0</v>
      </c>
      <c r="M34" s="16">
        <f>LB!T474+FR!T142+JN!T199+TA!T111+ŽB!T85+ČL!T312+NB!T135+SM!T176+JI!T152+TU!T210</f>
        <v>0</v>
      </c>
      <c r="N34" s="16">
        <f>LB!U474+FR!U142+JN!U199+TA!U111+ŽB!U85+ČL!U312+NB!U135+SM!U176+JI!U152+TU!U210</f>
        <v>-59401</v>
      </c>
      <c r="O34" s="16">
        <f>LB!V474+FR!V142+JN!V199+TA!V111+ŽB!V85+ČL!V312+NB!V135+SM!V176+JI!V152+TU!V210</f>
        <v>-937265</v>
      </c>
      <c r="P34" s="16">
        <f>LB!W474+FR!W142+JN!W199+TA!W111+ŽB!W85+ČL!W312+NB!W135+SM!W176+JI!W152+TU!W210</f>
        <v>877864</v>
      </c>
      <c r="Q34" s="16">
        <f>LB!X474+FR!X142+JN!X199+TA!X111+ŽB!X85+ČL!X312+NB!X135+SM!X176+JI!X152+TU!X210</f>
        <v>218460</v>
      </c>
      <c r="R34" s="16">
        <f>LB!Y474+FR!Y142+JN!Y199+TA!Y111+ŽB!Y85+ČL!Y312+NB!Y135+SM!Y176+JI!Y152+TU!Y210</f>
        <v>60000</v>
      </c>
      <c r="S34" s="16">
        <f>LB!Z474+FR!Z142+JN!Z199+TA!Z111+ŽB!Z85+ČL!Z312+NB!Z135+SM!Z176+JI!Z152+TU!Z210</f>
        <v>1156324</v>
      </c>
      <c r="T34" s="16">
        <f>LB!AA474+FR!AA142+JN!AA199+TA!AA111+ŽB!AA85+ČL!AA312+NB!AA135+SM!AA176+JI!AA152+TU!AA210</f>
        <v>219059</v>
      </c>
      <c r="U34" s="16">
        <f>LB!AB474+FR!AB142+JN!AB199+TA!AB111+ŽB!AB85+ČL!AB312+NB!AB135+SM!AB176+JI!AB152+TU!AB210</f>
        <v>53763</v>
      </c>
      <c r="V34" s="16">
        <f>LB!AC474+FR!AC142+JN!AC199+TA!AC111+ŽB!AC85+ČL!AC312+NB!AC135+SM!AC176+JI!AC152+TU!AC210</f>
        <v>-9384</v>
      </c>
      <c r="W34" s="16">
        <f>LB!AD474+FR!AD142+JN!AD199+TA!AD111+ŽB!AD85+ČL!AD312+NB!AD135+SM!AD176+JI!AD152+TU!AD210</f>
        <v>0</v>
      </c>
      <c r="X34" s="16">
        <f>LB!AE474+FR!AE142+JN!AE199+TA!AE111+ŽB!AE85+ČL!AE312+NB!AE135+SM!AE176+JI!AE152+TU!AE210</f>
        <v>0</v>
      </c>
      <c r="Y34" s="16">
        <f>LB!AF474+FR!AF142+JN!AF199+TA!AF111+ŽB!AF85+ČL!AF312+NB!AF135+SM!AF176+JI!AF152+TU!AF210</f>
        <v>0</v>
      </c>
      <c r="Z34" s="16">
        <f>LB!AG474+FR!AG142+JN!AG199+TA!AG111+ŽB!AG85+ČL!AG312+NB!AG135+SM!AG176+JI!AG152+TU!AG210</f>
        <v>263438</v>
      </c>
      <c r="AA34" s="13">
        <f>LB!AH474+FR!AH142+JN!AH199+TA!AH111+ŽB!AH85+ČL!AH312+NB!AH135+SM!AH176+JI!AH152+TU!AH210</f>
        <v>-0.52</v>
      </c>
      <c r="AB34" s="13">
        <f>LB!AI474+FR!AI142+JN!AI199+TA!AI111+ŽB!AI85+ČL!AI312+NB!AI135+SM!AI176+JI!AI152+TU!AI210</f>
        <v>-0.08</v>
      </c>
      <c r="AC34" s="13">
        <f>LB!AJ474+FR!AJ142+JN!AJ199+TA!AJ111+ŽB!AJ85+ČL!AJ312+NB!AJ135+SM!AJ176+JI!AJ152+TU!AJ210</f>
        <v>0</v>
      </c>
      <c r="AD34" s="13">
        <f>LB!AK474+FR!AK142+JN!AK199+TA!AK111+ŽB!AK85+ČL!AK312+NB!AK135+SM!AK176+JI!AK152+TU!AK210</f>
        <v>0</v>
      </c>
      <c r="AE34" s="13">
        <f>LB!AL474+FR!AL142+JN!AL199+TA!AL111+ŽB!AL85+ČL!AL312+NB!AL135+SM!AL176+JI!AL152+TU!AL210</f>
        <v>0</v>
      </c>
      <c r="AF34" s="13">
        <f>LB!AM474+FR!AM142+JN!AM199+TA!AM111+ŽB!AM85+ČL!AM312+NB!AM135+SM!AM176+JI!AM152+TU!AM210</f>
        <v>0</v>
      </c>
      <c r="AG34" s="13">
        <f>LB!AN474+FR!AN142+JN!AN199+TA!AN111+ŽB!AN85+ČL!AN312+NB!AN135+SM!AN176+JI!AN152+TU!AN210</f>
        <v>0</v>
      </c>
      <c r="AH34" s="13">
        <f>LB!AO474+FR!AO142+JN!AO199+TA!AO111+ŽB!AO85+ČL!AO312+NB!AO135+SM!AO176+JI!AO152+TU!AO210</f>
        <v>0</v>
      </c>
      <c r="AI34" s="13">
        <f>LB!AP474+FR!AP142+JN!AP199+TA!AP111+ŽB!AP85+ČL!AP312+NB!AP135+SM!AP176+JI!AP152+TU!AP210</f>
        <v>-0.52</v>
      </c>
      <c r="AJ34" s="13">
        <f>LB!AQ474+FR!AQ142+JN!AQ199+TA!AQ111+ŽB!AQ85+ČL!AQ312+NB!AQ135+SM!AQ176+JI!AQ152+TU!AQ210</f>
        <v>-0.08</v>
      </c>
      <c r="AK34" s="17">
        <f>LB!AR474+FR!AR142+JN!AR199+TA!AR111+ŽB!AR85+ČL!AR312+NB!AR135+SM!AR176+JI!AR152+TU!AR210</f>
        <v>-0.60000000000000009</v>
      </c>
      <c r="AL34" s="171">
        <f>LB!AS474+FR!AS142+JN!AS199+TA!AS111+ŽB!AS85+ČL!AS312+NB!AS135+SM!AS176+JI!AS152+TU!AS210</f>
        <v>295499441</v>
      </c>
      <c r="AM34" s="16">
        <f>LB!AT474+FR!AT142+JN!AT199+TA!AT111+ŽB!AT85+ČL!AT312+NB!AT135+SM!AT176+JI!AT152+TU!AT210</f>
        <v>217815840</v>
      </c>
      <c r="AN34" s="16">
        <f>LB!AU474+FR!AU142+JN!AU199+TA!AU111+ŽB!AU85+ČL!AU312+NB!AU135+SM!AU176+JI!AU152+TU!AU210</f>
        <v>1156324</v>
      </c>
      <c r="AO34" s="16">
        <f>LB!AV474+FR!AV142+JN!AV199+TA!AV111+ŽB!AV85+ČL!AV312+NB!AV135+SM!AV176+JI!AV152+TU!AV210</f>
        <v>73992314</v>
      </c>
      <c r="AP34" s="16">
        <f>LB!AW474+FR!AW142+JN!AW199+TA!AW111+ŽB!AW85+ČL!AW312+NB!AW135+SM!AW176+JI!AW152+TU!AW210</f>
        <v>2178149</v>
      </c>
      <c r="AQ34" s="16">
        <f>LB!AX474+FR!AX142+JN!AX199+TA!AX111+ŽB!AX85+ČL!AX312+NB!AX135+SM!AX176+JI!AX152+TU!AX210</f>
        <v>356814</v>
      </c>
      <c r="AR34" s="13">
        <f>LB!AY474+FR!AY142+JN!AY199+TA!AY111+ŽB!AY85+ČL!AY312+NB!AY135+SM!AY176+JI!AY152+TU!AY210</f>
        <v>470.97570000000013</v>
      </c>
      <c r="AS34" s="13">
        <f>LB!AZ474+FR!AZ142+JN!AZ199+TA!AZ111+ŽB!AZ85+ČL!AZ312+NB!AZ135+SM!AZ176+JI!AZ152+TU!AZ210</f>
        <v>442.8257000000001</v>
      </c>
      <c r="AT34" s="17">
        <f>LB!BA474+FR!BA142+JN!BA199+TA!BA111+ŽB!BA85+ČL!BA312+NB!BA135+SM!BA176+JI!BA152+TU!BA210</f>
        <v>28.150000000000006</v>
      </c>
    </row>
    <row r="35" spans="1:46" x14ac:dyDescent="0.2">
      <c r="A35" s="2">
        <v>3231</v>
      </c>
      <c r="B35" s="170">
        <f>LB!I475+FR!I143+JN!I200+TA!I112+ŽB!I86+ČL!I313+NB!I136+SM!I177+JI!I153+TU!I211</f>
        <v>307262481</v>
      </c>
      <c r="C35" s="16">
        <f>LB!J475+FR!J143+JN!J200+TA!J112+ŽB!J86+ČL!J313+NB!J136+SM!J177+JI!J153+TU!J211</f>
        <v>227471425</v>
      </c>
      <c r="D35" s="16">
        <f>LB!K475+FR!K143+JN!K200+TA!K112+ŽB!K86+ČL!K313+NB!K136+SM!K177+JI!K153+TU!K211</f>
        <v>76885341</v>
      </c>
      <c r="E35" s="16">
        <f>LB!L475+FR!L143+JN!L200+TA!L112+ŽB!L86+ČL!L313+NB!L136+SM!L177+JI!L153+TU!L211</f>
        <v>2274714</v>
      </c>
      <c r="F35" s="16">
        <f>LB!M475+FR!M143+JN!M200+TA!M112+ŽB!M86+ČL!M313+NB!M136+SM!M177+JI!M153+TU!M211</f>
        <v>631001</v>
      </c>
      <c r="G35" s="13">
        <f>LB!N475+FR!N143+JN!N200+TA!N112+ŽB!N86+ČL!N313+NB!N136+SM!N177+JI!N153+TU!N211</f>
        <v>400.80200000000002</v>
      </c>
      <c r="H35" s="13">
        <f>LB!O475+FR!O143+JN!O200+TA!O112+ŽB!O86+ČL!O313+NB!O136+SM!O177+JI!O153+TU!O211</f>
        <v>363.08869999999996</v>
      </c>
      <c r="I35" s="172">
        <f>LB!P475+FR!P143+JN!P200+TA!P112+ŽB!P86+ČL!P313+NB!P136+SM!P177+JI!P153+TU!P211</f>
        <v>37.713299999999997</v>
      </c>
      <c r="J35" s="170">
        <f>LB!Q475+FR!Q143+JN!Q200+TA!Q112+ŽB!Q86+ČL!Q313+NB!Q136+SM!Q177+JI!Q153+TU!Q211</f>
        <v>-461110</v>
      </c>
      <c r="K35" s="16">
        <f>LB!R475+FR!R143+JN!R200+TA!R112+ŽB!R86+ČL!R313+NB!R136+SM!R177+JI!R153+TU!R211</f>
        <v>86612</v>
      </c>
      <c r="L35" s="16">
        <f>LB!S475+FR!S143+JN!S200+TA!S112+ŽB!S86+ČL!S313+NB!S136+SM!S177+JI!S153+TU!S211</f>
        <v>0</v>
      </c>
      <c r="M35" s="16">
        <f>LB!T475+FR!T143+JN!T200+TA!T112+ŽB!T86+ČL!T313+NB!T136+SM!T177+JI!T153+TU!T211</f>
        <v>0</v>
      </c>
      <c r="N35" s="16">
        <f>LB!U475+FR!U143+JN!U200+TA!U112+ŽB!U86+ČL!U313+NB!U136+SM!U177+JI!U153+TU!U211</f>
        <v>0</v>
      </c>
      <c r="O35" s="16">
        <f>LB!V475+FR!V143+JN!V200+TA!V112+ŽB!V86+ČL!V313+NB!V136+SM!V177+JI!V153+TU!V211</f>
        <v>-374498</v>
      </c>
      <c r="P35" s="16">
        <f>LB!W475+FR!W143+JN!W200+TA!W112+ŽB!W86+ČL!W313+NB!W136+SM!W177+JI!W153+TU!W211</f>
        <v>461110</v>
      </c>
      <c r="Q35" s="16">
        <f>LB!X475+FR!X143+JN!X200+TA!X112+ŽB!X86+ČL!X313+NB!X136+SM!X177+JI!X153+TU!X211</f>
        <v>0</v>
      </c>
      <c r="R35" s="16">
        <f>LB!Y475+FR!Y143+JN!Y200+TA!Y112+ŽB!Y86+ČL!Y313+NB!Y136+SM!Y177+JI!Y153+TU!Y211</f>
        <v>0</v>
      </c>
      <c r="S35" s="16">
        <f>LB!Z475+FR!Z143+JN!Z200+TA!Z112+ŽB!Z86+ČL!Z313+NB!Z136+SM!Z177+JI!Z153+TU!Z211</f>
        <v>461110</v>
      </c>
      <c r="T35" s="16">
        <f>LB!AA475+FR!AA143+JN!AA200+TA!AA112+ŽB!AA86+ČL!AA313+NB!AA136+SM!AA177+JI!AA153+TU!AA211</f>
        <v>86612</v>
      </c>
      <c r="U35" s="16">
        <f>LB!AB475+FR!AB143+JN!AB200+TA!AB112+ŽB!AB86+ČL!AB313+NB!AB136+SM!AB177+JI!AB153+TU!AB211</f>
        <v>29275</v>
      </c>
      <c r="V35" s="16">
        <f>LB!AC475+FR!AC143+JN!AC200+TA!AC112+ŽB!AC86+ČL!AC313+NB!AC136+SM!AC177+JI!AC153+TU!AC211</f>
        <v>-3746</v>
      </c>
      <c r="W35" s="16">
        <f>LB!AD475+FR!AD143+JN!AD200+TA!AD112+ŽB!AD86+ČL!AD313+NB!AD136+SM!AD177+JI!AD153+TU!AD211</f>
        <v>0</v>
      </c>
      <c r="X35" s="16">
        <f>LB!AE475+FR!AE143+JN!AE200+TA!AE112+ŽB!AE86+ČL!AE313+NB!AE136+SM!AE177+JI!AE153+TU!AE211</f>
        <v>0</v>
      </c>
      <c r="Y35" s="16">
        <f>LB!AF475+FR!AF143+JN!AF200+TA!AF112+ŽB!AF86+ČL!AF313+NB!AF136+SM!AF177+JI!AF153+TU!AF211</f>
        <v>0</v>
      </c>
      <c r="Z35" s="16">
        <f>LB!AG475+FR!AG143+JN!AG200+TA!AG112+ŽB!AG86+ČL!AG313+NB!AG136+SM!AG177+JI!AG153+TU!AG211</f>
        <v>112141</v>
      </c>
      <c r="AA35" s="13">
        <f>LB!AH475+FR!AH143+JN!AH200+TA!AH112+ŽB!AH86+ČL!AH313+NB!AH136+SM!AH177+JI!AH153+TU!AH211</f>
        <v>-0.4</v>
      </c>
      <c r="AB35" s="13">
        <f>LB!AI475+FR!AI143+JN!AI200+TA!AI112+ŽB!AI86+ČL!AI313+NB!AI136+SM!AI177+JI!AI153+TU!AI211</f>
        <v>-0.48</v>
      </c>
      <c r="AC35" s="13">
        <f>LB!AJ475+FR!AJ143+JN!AJ200+TA!AJ112+ŽB!AJ86+ČL!AJ313+NB!AJ136+SM!AJ177+JI!AJ153+TU!AJ211</f>
        <v>0.25</v>
      </c>
      <c r="AD35" s="13">
        <f>LB!AK475+FR!AK143+JN!AK200+TA!AK112+ŽB!AK86+ČL!AK313+NB!AK136+SM!AK177+JI!AK153+TU!AK211</f>
        <v>0</v>
      </c>
      <c r="AE35" s="13">
        <f>LB!AL475+FR!AL143+JN!AL200+TA!AL112+ŽB!AL86+ČL!AL313+NB!AL136+SM!AL177+JI!AL153+TU!AL211</f>
        <v>0</v>
      </c>
      <c r="AF35" s="13">
        <f>LB!AM475+FR!AM143+JN!AM200+TA!AM112+ŽB!AM86+ČL!AM313+NB!AM136+SM!AM177+JI!AM153+TU!AM211</f>
        <v>0</v>
      </c>
      <c r="AG35" s="13">
        <f>LB!AN475+FR!AN143+JN!AN200+TA!AN112+ŽB!AN86+ČL!AN313+NB!AN136+SM!AN177+JI!AN153+TU!AN211</f>
        <v>0</v>
      </c>
      <c r="AH35" s="13">
        <f>LB!AO475+FR!AO143+JN!AO200+TA!AO112+ŽB!AO86+ČL!AO313+NB!AO136+SM!AO177+JI!AO153+TU!AO211</f>
        <v>0</v>
      </c>
      <c r="AI35" s="13">
        <f>LB!AP475+FR!AP143+JN!AP200+TA!AP112+ŽB!AP86+ČL!AP313+NB!AP136+SM!AP177+JI!AP153+TU!AP211</f>
        <v>-0.15000000000000002</v>
      </c>
      <c r="AJ35" s="13">
        <f>LB!AQ475+FR!AQ143+JN!AQ200+TA!AQ112+ŽB!AQ86+ČL!AQ313+NB!AQ136+SM!AQ177+JI!AQ153+TU!AQ211</f>
        <v>-0.48</v>
      </c>
      <c r="AK35" s="17">
        <f>LB!AR475+FR!AR143+JN!AR200+TA!AR112+ŽB!AR86+ČL!AR313+NB!AR136+SM!AR177+JI!AR153+TU!AR211</f>
        <v>-0.63</v>
      </c>
      <c r="AL35" s="171">
        <f>LB!AS475+FR!AS143+JN!AS200+TA!AS112+ŽB!AS86+ČL!AS313+NB!AS136+SM!AS177+JI!AS153+TU!AS211</f>
        <v>307374622</v>
      </c>
      <c r="AM35" s="16">
        <f>LB!AT475+FR!AT143+JN!AT200+TA!AT112+ŽB!AT86+ČL!AT313+NB!AT136+SM!AT177+JI!AT153+TU!AT211</f>
        <v>227096927</v>
      </c>
      <c r="AN35" s="16">
        <f>LB!AU475+FR!AU143+JN!AU200+TA!AU112+ŽB!AU86+ČL!AU313+NB!AU136+SM!AU177+JI!AU153+TU!AU211</f>
        <v>461110</v>
      </c>
      <c r="AO35" s="16">
        <f>LB!AV475+FR!AV143+JN!AV200+TA!AV112+ŽB!AV86+ČL!AV313+NB!AV136+SM!AV177+JI!AV153+TU!AV211</f>
        <v>76914616</v>
      </c>
      <c r="AP35" s="16">
        <f>LB!AW475+FR!AW143+JN!AW200+TA!AW112+ŽB!AW86+ČL!AW313+NB!AW136+SM!AW177+JI!AW153+TU!AW211</f>
        <v>2270968</v>
      </c>
      <c r="AQ35" s="16">
        <f>LB!AX475+FR!AX143+JN!AX200+TA!AX112+ŽB!AX86+ČL!AX313+NB!AX136+SM!AX177+JI!AX153+TU!AX211</f>
        <v>631001</v>
      </c>
      <c r="AR35" s="13">
        <f>LB!AY475+FR!AY143+JN!AY200+TA!AY112+ŽB!AY86+ČL!AY313+NB!AY136+SM!AY177+JI!AY153+TU!AY211</f>
        <v>400.17200000000003</v>
      </c>
      <c r="AS35" s="13">
        <f>LB!AZ475+FR!AZ143+JN!AZ200+TA!AZ112+ŽB!AZ86+ČL!AZ313+NB!AZ136+SM!AZ177+JI!AZ153+TU!AZ211</f>
        <v>362.93869999999998</v>
      </c>
      <c r="AT35" s="17">
        <f>LB!BA475+FR!BA143+JN!BA200+TA!BA112+ŽB!BA86+ČL!BA313+NB!BA136+SM!BA177+JI!BA153+TU!BA211</f>
        <v>37.2333</v>
      </c>
    </row>
    <row r="36" spans="1:46" ht="13.5" thickBot="1" x14ac:dyDescent="0.25">
      <c r="A36" s="154">
        <v>3233</v>
      </c>
      <c r="B36" s="173">
        <f>LB!I476+FR!I144+JN!I201+TA!I113+ŽB!I87+ČL!I314+NB!I137+SM!I178+JI!I154+TU!I212</f>
        <v>57116260</v>
      </c>
      <c r="C36" s="174">
        <f>LB!J476+FR!J144+JN!J201+TA!J113+ŽB!J87+ČL!J314+NB!J137+SM!J178+JI!J154+TU!J212</f>
        <v>42310528</v>
      </c>
      <c r="D36" s="174">
        <f>LB!K476+FR!K144+JN!K201+TA!K113+ŽB!K87+ČL!K314+NB!K137+SM!K178+JI!K154+TU!K212</f>
        <v>14300958</v>
      </c>
      <c r="E36" s="174">
        <f>LB!L476+FR!L144+JN!L201+TA!L113+ŽB!L87+ČL!L314+NB!L137+SM!L178+JI!L154+TU!L212</f>
        <v>423105</v>
      </c>
      <c r="F36" s="174">
        <f>LB!M476+FR!M144+JN!M201+TA!M113+ŽB!M87+ČL!M314+NB!M137+SM!M178+JI!M154+TU!M212</f>
        <v>81669</v>
      </c>
      <c r="G36" s="175">
        <f>LB!N476+FR!N144+JN!N201+TA!N113+ŽB!N87+ČL!N314+NB!N137+SM!N178+JI!N154+TU!N212</f>
        <v>96.300000000000011</v>
      </c>
      <c r="H36" s="175">
        <f>LB!O476+FR!O144+JN!O201+TA!O113+ŽB!O87+ČL!O314+NB!O137+SM!O178+JI!O154+TU!O212</f>
        <v>60.039999999999992</v>
      </c>
      <c r="I36" s="178">
        <f>LB!P476+FR!P144+JN!P201+TA!P113+ŽB!P87+ČL!P314+NB!P137+SM!P178+JI!P154+TU!P212</f>
        <v>36.26</v>
      </c>
      <c r="J36" s="173">
        <f>LB!Q476+FR!Q144+JN!Q201+TA!Q113+ŽB!Q87+ČL!Q314+NB!Q137+SM!Q178+JI!Q154+TU!Q212</f>
        <v>-2028650</v>
      </c>
      <c r="K36" s="174">
        <f>LB!R476+FR!R144+JN!R201+TA!R113+ŽB!R87+ČL!R314+NB!R137+SM!R178+JI!R154+TU!R212</f>
        <v>0</v>
      </c>
      <c r="L36" s="174">
        <f>LB!S476+FR!S144+JN!S201+TA!S113+ŽB!S87+ČL!S314+NB!S137+SM!S178+JI!S154+TU!S212</f>
        <v>0</v>
      </c>
      <c r="M36" s="174">
        <f>LB!T476+FR!T144+JN!T201+TA!T113+ŽB!T87+ČL!T314+NB!T137+SM!T178+JI!T154+TU!T212</f>
        <v>0</v>
      </c>
      <c r="N36" s="174">
        <f>LB!U476+FR!U144+JN!U201+TA!U113+ŽB!U87+ČL!U314+NB!U137+SM!U178+JI!U154+TU!U212</f>
        <v>0</v>
      </c>
      <c r="O36" s="174">
        <f>LB!V476+FR!V144+JN!V201+TA!V113+ŽB!V87+ČL!V314+NB!V137+SM!V178+JI!V154+TU!V212</f>
        <v>-2028650</v>
      </c>
      <c r="P36" s="174">
        <f>LB!W476+FR!W144+JN!W201+TA!W113+ŽB!W87+ČL!W314+NB!W137+SM!W178+JI!W154+TU!W212</f>
        <v>2028650</v>
      </c>
      <c r="Q36" s="174">
        <f>LB!X476+FR!X144+JN!X201+TA!X113+ŽB!X87+ČL!X314+NB!X137+SM!X178+JI!X154+TU!X212</f>
        <v>0</v>
      </c>
      <c r="R36" s="174">
        <f>LB!Y476+FR!Y144+JN!Y201+TA!Y113+ŽB!Y87+ČL!Y314+NB!Y137+SM!Y178+JI!Y154+TU!Y212</f>
        <v>103022</v>
      </c>
      <c r="S36" s="174">
        <f>LB!Z476+FR!Z144+JN!Z201+TA!Z113+ŽB!Z87+ČL!Z314+NB!Z137+SM!Z178+JI!Z154+TU!Z212</f>
        <v>2131672</v>
      </c>
      <c r="T36" s="174">
        <f>LB!AA476+FR!AA144+JN!AA201+TA!AA113+ŽB!AA87+ČL!AA314+NB!AA137+SM!AA178+JI!AA154+TU!AA212</f>
        <v>103022</v>
      </c>
      <c r="U36" s="174">
        <f>LB!AB476+FR!AB144+JN!AB201+TA!AB113+ŽB!AB87+ČL!AB314+NB!AB137+SM!AB178+JI!AB154+TU!AB212</f>
        <v>0</v>
      </c>
      <c r="V36" s="174">
        <f>LB!AC476+FR!AC144+JN!AC201+TA!AC113+ŽB!AC87+ČL!AC314+NB!AC137+SM!AC178+JI!AC154+TU!AC212</f>
        <v>-20287</v>
      </c>
      <c r="W36" s="174">
        <f>LB!AD476+FR!AD144+JN!AD201+TA!AD113+ŽB!AD87+ČL!AD314+NB!AD137+SM!AD178+JI!AD154+TU!AD212</f>
        <v>0</v>
      </c>
      <c r="X36" s="174">
        <f>LB!AE476+FR!AE144+JN!AE201+TA!AE113+ŽB!AE87+ČL!AE314+NB!AE137+SM!AE178+JI!AE154+TU!AE212</f>
        <v>0</v>
      </c>
      <c r="Y36" s="174">
        <f>LB!AF476+FR!AF144+JN!AF201+TA!AF113+ŽB!AF87+ČL!AF314+NB!AF137+SM!AF178+JI!AF154+TU!AF212</f>
        <v>0</v>
      </c>
      <c r="Z36" s="174">
        <f>LB!AG476+FR!AG144+JN!AG201+TA!AG113+ŽB!AG87+ČL!AG314+NB!AG137+SM!AG178+JI!AG154+TU!AG212</f>
        <v>82735</v>
      </c>
      <c r="AA36" s="175">
        <f>LB!AH476+FR!AH144+JN!AH201+TA!AH113+ŽB!AH87+ČL!AH314+NB!AH137+SM!AH178+JI!AH154+TU!AH212</f>
        <v>-2.94</v>
      </c>
      <c r="AB36" s="175">
        <f>LB!AI476+FR!AI144+JN!AI201+TA!AI113+ŽB!AI87+ČL!AI314+NB!AI137+SM!AI178+JI!AI154+TU!AI212</f>
        <v>-1.6300000000000001</v>
      </c>
      <c r="AC36" s="175">
        <f>LB!AJ476+FR!AJ144+JN!AJ201+TA!AJ113+ŽB!AJ87+ČL!AJ314+NB!AJ137+SM!AJ178+JI!AJ154+TU!AJ212</f>
        <v>0</v>
      </c>
      <c r="AD36" s="175">
        <f>LB!AK476+FR!AK144+JN!AK201+TA!AK113+ŽB!AK87+ČL!AK314+NB!AK137+SM!AK178+JI!AK154+TU!AK212</f>
        <v>0</v>
      </c>
      <c r="AE36" s="175">
        <f>LB!AL476+FR!AL144+JN!AL201+TA!AL113+ŽB!AL87+ČL!AL314+NB!AL137+SM!AL178+JI!AL154+TU!AL212</f>
        <v>0</v>
      </c>
      <c r="AF36" s="175">
        <f>LB!AM476+FR!AM144+JN!AM201+TA!AM113+ŽB!AM87+ČL!AM314+NB!AM137+SM!AM178+JI!AM154+TU!AM212</f>
        <v>0</v>
      </c>
      <c r="AG36" s="175">
        <f>LB!AN476+FR!AN144+JN!AN201+TA!AN113+ŽB!AN87+ČL!AN314+NB!AN137+SM!AN178+JI!AN154+TU!AN212</f>
        <v>0</v>
      </c>
      <c r="AH36" s="175">
        <f>LB!AO476+FR!AO144+JN!AO201+TA!AO113+ŽB!AO87+ČL!AO314+NB!AO137+SM!AO178+JI!AO154+TU!AO212</f>
        <v>0</v>
      </c>
      <c r="AI36" s="175">
        <f>LB!AP476+FR!AP144+JN!AP201+TA!AP113+ŽB!AP87+ČL!AP314+NB!AP137+SM!AP178+JI!AP154+TU!AP212</f>
        <v>-2.94</v>
      </c>
      <c r="AJ36" s="175">
        <f>LB!AQ476+FR!AQ144+JN!AQ201+TA!AQ113+ŽB!AQ87+ČL!AQ314+NB!AQ137+SM!AQ178+JI!AQ154+TU!AQ212</f>
        <v>-1.6300000000000001</v>
      </c>
      <c r="AK36" s="176">
        <f>LB!AR476+FR!AR144+JN!AR201+TA!AR113+ŽB!AR87+ČL!AR314+NB!AR137+SM!AR178+JI!AR154+TU!AR212</f>
        <v>-4.5700000000000012</v>
      </c>
      <c r="AL36" s="177">
        <f>LB!AS476+FR!AS144+JN!AS201+TA!AS113+ŽB!AS87+ČL!AS314+NB!AS137+SM!AS178+JI!AS154+TU!AS212</f>
        <v>57198995</v>
      </c>
      <c r="AM36" s="174">
        <f>LB!AT476+FR!AT144+JN!AT201+TA!AT113+ŽB!AT87+ČL!AT314+NB!AT137+SM!AT178+JI!AT154+TU!AT212</f>
        <v>40281878</v>
      </c>
      <c r="AN36" s="174">
        <f>LB!AU476+FR!AU144+JN!AU201+TA!AU113+ŽB!AU87+ČL!AU314+NB!AU137+SM!AU178+JI!AU154+TU!AU212</f>
        <v>2131672</v>
      </c>
      <c r="AO36" s="174">
        <f>LB!AV476+FR!AV144+JN!AV201+TA!AV113+ŽB!AV87+ČL!AV314+NB!AV137+SM!AV178+JI!AV154+TU!AV212</f>
        <v>14300958</v>
      </c>
      <c r="AP36" s="174">
        <f>LB!AW476+FR!AW144+JN!AW201+TA!AW113+ŽB!AW87+ČL!AW314+NB!AW137+SM!AW178+JI!AW154+TU!AW212</f>
        <v>402818</v>
      </c>
      <c r="AQ36" s="174">
        <f>LB!AX476+FR!AX144+JN!AX201+TA!AX113+ŽB!AX87+ČL!AX314+NB!AX137+SM!AX178+JI!AX154+TU!AX212</f>
        <v>81669</v>
      </c>
      <c r="AR36" s="175">
        <f>LB!AY476+FR!AY144+JN!AY201+TA!AY113+ŽB!AY87+ČL!AY314+NB!AY137+SM!AY178+JI!AY154+TU!AY212</f>
        <v>91.72999999999999</v>
      </c>
      <c r="AS36" s="175">
        <f>LB!AZ476+FR!AZ144+JN!AZ201+TA!AZ113+ŽB!AZ87+ČL!AZ314+NB!AZ137+SM!AZ178+JI!AZ154+TU!AZ212</f>
        <v>57.099999999999994</v>
      </c>
      <c r="AT36" s="176">
        <f>LB!BA476+FR!BA144+JN!BA201+TA!BA113+ŽB!BA87+ČL!BA314+NB!BA137+SM!BA178+JI!BA154+TU!BA212</f>
        <v>34.630000000000003</v>
      </c>
    </row>
    <row r="37" spans="1:46" x14ac:dyDescent="0.2">
      <c r="A37" s="9"/>
      <c r="B37" s="15"/>
      <c r="C37" s="15"/>
      <c r="D37" s="15"/>
      <c r="E37" s="15"/>
      <c r="F37" s="15"/>
      <c r="G37" s="4"/>
      <c r="H37" s="4"/>
      <c r="I37" s="4"/>
      <c r="J37" s="15"/>
      <c r="K37" s="15"/>
      <c r="L37" s="15"/>
      <c r="M37" s="15"/>
    </row>
    <row r="38" spans="1:46" x14ac:dyDescent="0.2">
      <c r="AL38" s="7"/>
      <c r="AM38" s="7"/>
      <c r="AN38" s="7"/>
      <c r="AO38" s="7"/>
      <c r="AP38" s="7"/>
      <c r="AQ38" s="7"/>
    </row>
    <row r="39" spans="1:46" x14ac:dyDescent="0.2">
      <c r="AL39" s="7"/>
      <c r="AM39" s="7"/>
      <c r="AN39" s="7"/>
      <c r="AO39" s="7"/>
      <c r="AP39" s="7"/>
      <c r="AQ39" s="7"/>
    </row>
    <row r="40" spans="1:46" x14ac:dyDescent="0.2">
      <c r="AL40" s="7"/>
      <c r="AM40" s="7"/>
      <c r="AN40" s="7"/>
      <c r="AO40" s="7"/>
      <c r="AP40" s="7"/>
      <c r="AQ40" s="7"/>
    </row>
    <row r="41" spans="1:46" x14ac:dyDescent="0.2">
      <c r="AL41" s="7"/>
      <c r="AM41" s="7"/>
      <c r="AN41" s="7"/>
      <c r="AO41" s="7"/>
      <c r="AP41" s="7"/>
      <c r="AQ41" s="7"/>
    </row>
    <row r="42" spans="1:46" x14ac:dyDescent="0.2">
      <c r="AL42" s="7"/>
      <c r="AM42" s="7"/>
      <c r="AN42" s="7"/>
      <c r="AO42" s="7"/>
      <c r="AP42" s="7"/>
      <c r="AQ42" s="7"/>
    </row>
    <row r="43" spans="1:46" x14ac:dyDescent="0.2">
      <c r="AL43" s="7"/>
      <c r="AM43" s="7"/>
      <c r="AN43" s="7"/>
      <c r="AO43" s="7"/>
      <c r="AP43" s="7"/>
      <c r="AQ43" s="7"/>
    </row>
    <row r="44" spans="1:46" x14ac:dyDescent="0.2">
      <c r="AL44" s="7"/>
      <c r="AM44" s="7"/>
      <c r="AN44" s="7"/>
      <c r="AO44" s="7"/>
      <c r="AP44" s="7"/>
      <c r="AQ44" s="7"/>
    </row>
    <row r="45" spans="1:46" x14ac:dyDescent="0.2">
      <c r="AL45" s="7"/>
      <c r="AM45" s="7"/>
      <c r="AN45" s="7"/>
      <c r="AO45" s="7"/>
      <c r="AP45" s="7"/>
      <c r="AQ45" s="7"/>
    </row>
    <row r="46" spans="1:46" x14ac:dyDescent="0.2">
      <c r="AL46" s="7"/>
      <c r="AM46" s="7"/>
      <c r="AN46" s="7"/>
      <c r="AO46" s="7"/>
      <c r="AP46" s="7"/>
      <c r="AQ46" s="7"/>
    </row>
    <row r="47" spans="1:46" x14ac:dyDescent="0.2">
      <c r="AL47" s="7"/>
      <c r="AM47" s="7"/>
      <c r="AN47" s="7"/>
      <c r="AO47" s="7"/>
      <c r="AP47" s="7"/>
      <c r="AQ47" s="7"/>
    </row>
    <row r="48" spans="1:46" x14ac:dyDescent="0.2">
      <c r="AL48" s="7"/>
      <c r="AM48" s="7"/>
      <c r="AN48" s="7"/>
      <c r="AO48" s="7"/>
      <c r="AP48" s="7"/>
      <c r="AQ48" s="7"/>
    </row>
    <row r="49" spans="38:43" x14ac:dyDescent="0.2">
      <c r="AL49" s="7"/>
      <c r="AM49" s="7"/>
      <c r="AN49" s="7"/>
      <c r="AO49" s="7"/>
      <c r="AP49" s="7"/>
      <c r="AQ49" s="7"/>
    </row>
    <row r="50" spans="38:43" x14ac:dyDescent="0.2">
      <c r="AL50" s="7"/>
      <c r="AM50" s="7"/>
      <c r="AN50" s="7"/>
      <c r="AO50" s="7"/>
      <c r="AP50" s="7"/>
      <c r="AQ50" s="7"/>
    </row>
    <row r="51" spans="38:43" x14ac:dyDescent="0.2">
      <c r="AL51" s="7"/>
      <c r="AM51" s="7"/>
      <c r="AN51" s="7"/>
      <c r="AO51" s="7"/>
      <c r="AP51" s="7"/>
      <c r="AQ51" s="7"/>
    </row>
    <row r="52" spans="38:43" x14ac:dyDescent="0.2">
      <c r="AL52" s="7"/>
      <c r="AM52" s="7"/>
      <c r="AN52" s="7"/>
      <c r="AO52" s="7"/>
      <c r="AP52" s="7"/>
      <c r="AQ52" s="7"/>
    </row>
    <row r="53" spans="38:43" x14ac:dyDescent="0.2">
      <c r="AL53" s="7"/>
      <c r="AM53" s="7"/>
      <c r="AN53" s="7"/>
      <c r="AO53" s="7"/>
      <c r="AP53" s="7"/>
      <c r="AQ53" s="7"/>
    </row>
    <row r="54" spans="38:43" x14ac:dyDescent="0.2">
      <c r="AL54" s="7"/>
      <c r="AM54" s="7"/>
      <c r="AN54" s="7"/>
      <c r="AO54" s="7"/>
      <c r="AP54" s="7"/>
      <c r="AQ54" s="7"/>
    </row>
    <row r="55" spans="38:43" x14ac:dyDescent="0.2">
      <c r="AL55" s="7"/>
      <c r="AM55" s="7"/>
      <c r="AN55" s="7"/>
      <c r="AO55" s="7"/>
      <c r="AP55" s="7"/>
      <c r="AQ55" s="7"/>
    </row>
    <row r="56" spans="38:43" x14ac:dyDescent="0.2">
      <c r="AL56" s="7"/>
      <c r="AM56" s="7"/>
      <c r="AN56" s="7"/>
      <c r="AO56" s="7"/>
      <c r="AP56" s="7"/>
      <c r="AQ56" s="7"/>
    </row>
    <row r="57" spans="38:43" x14ac:dyDescent="0.2">
      <c r="AL57" s="7"/>
      <c r="AM57" s="7"/>
      <c r="AN57" s="7"/>
      <c r="AO57" s="7"/>
      <c r="AP57" s="7"/>
      <c r="AQ57" s="7"/>
    </row>
    <row r="58" spans="38:43" x14ac:dyDescent="0.2">
      <c r="AL58" s="7"/>
      <c r="AM58" s="7"/>
      <c r="AN58" s="7"/>
      <c r="AO58" s="7"/>
      <c r="AP58" s="7"/>
      <c r="AQ58" s="7"/>
    </row>
    <row r="59" spans="38:43" x14ac:dyDescent="0.2">
      <c r="AL59" s="7"/>
      <c r="AM59" s="7"/>
      <c r="AN59" s="7"/>
      <c r="AO59" s="7"/>
      <c r="AP59" s="7"/>
      <c r="AQ59" s="7"/>
    </row>
  </sheetData>
  <mergeCells count="26">
    <mergeCell ref="AL7:AT8"/>
    <mergeCell ref="J8:O10"/>
    <mergeCell ref="P8:S10"/>
    <mergeCell ref="T8:T11"/>
    <mergeCell ref="U8:U11"/>
    <mergeCell ref="V8:V11"/>
    <mergeCell ref="W8:Y10"/>
    <mergeCell ref="Z8:Z11"/>
    <mergeCell ref="AA8:AK8"/>
    <mergeCell ref="AI9:AK10"/>
    <mergeCell ref="AL9:AL11"/>
    <mergeCell ref="AM9:AQ10"/>
    <mergeCell ref="AR9:AR11"/>
    <mergeCell ref="AS9:AT10"/>
    <mergeCell ref="AA9:AB10"/>
    <mergeCell ref="AC9:AC10"/>
    <mergeCell ref="A3:I3"/>
    <mergeCell ref="B9:B11"/>
    <mergeCell ref="B7:I8"/>
    <mergeCell ref="J7:AK7"/>
    <mergeCell ref="C9:F10"/>
    <mergeCell ref="G9:G11"/>
    <mergeCell ref="H9:I10"/>
    <mergeCell ref="AG9:AH10"/>
    <mergeCell ref="AD9:AE9"/>
    <mergeCell ref="AF9:AF10"/>
  </mergeCells>
  <pageMargins left="0.7" right="0.7" top="0.78740157499999996" bottom="0.78740157499999996" header="0.3" footer="0.3"/>
  <pageSetup paperSize="9" scale="2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BC1211"/>
  <sheetViews>
    <sheetView zoomScaleNormal="100" workbookViewId="0">
      <pane xSplit="8" ySplit="11" topLeftCell="I29" activePane="bottomRight" state="frozen"/>
      <selection activeCell="R4" sqref="R4:R5"/>
      <selection pane="topRight" activeCell="R4" sqref="R4:R5"/>
      <selection pane="bottomLeft" activeCell="R4" sqref="R4:R5"/>
      <selection pane="bottomRight" activeCell="F29" sqref="F29"/>
    </sheetView>
  </sheetViews>
  <sheetFormatPr defaultColWidth="9.140625" defaultRowHeight="11.25" x14ac:dyDescent="0.2"/>
  <cols>
    <col min="1" max="1" width="5" style="53" customWidth="1"/>
    <col min="2" max="2" width="4.7109375" style="52" customWidth="1"/>
    <col min="3" max="3" width="8.7109375" style="52" customWidth="1"/>
    <col min="4" max="4" width="7.85546875" style="52" customWidth="1"/>
    <col min="5" max="5" width="29.7109375" style="53" customWidth="1"/>
    <col min="6" max="6" width="4.42578125" style="53" customWidth="1"/>
    <col min="7" max="7" width="10" style="53" customWidth="1"/>
    <col min="8" max="8" width="9.42578125" style="53" customWidth="1"/>
    <col min="9" max="10" width="10.85546875" style="54" customWidth="1"/>
    <col min="11" max="11" width="12.42578125" style="54" customWidth="1"/>
    <col min="12" max="12" width="10.85546875" style="54" customWidth="1"/>
    <col min="13" max="13" width="9.140625" style="54" customWidth="1"/>
    <col min="14" max="14" width="11.42578125" style="89" customWidth="1"/>
    <col min="15" max="16" width="9.28515625" style="89" customWidth="1"/>
    <col min="17" max="17" width="9.140625" style="54" customWidth="1"/>
    <col min="18" max="18" width="9.5703125" style="54" customWidth="1"/>
    <col min="19" max="20" width="9.140625" style="54" customWidth="1"/>
    <col min="21" max="21" width="9.7109375" style="54" customWidth="1"/>
    <col min="22" max="26" width="9.140625" style="54" customWidth="1"/>
    <col min="27" max="27" width="10.140625" style="54" customWidth="1"/>
    <col min="28" max="28" width="9.28515625" style="54" customWidth="1"/>
    <col min="29" max="29" width="9.7109375" style="54" customWidth="1"/>
    <col min="30" max="33" width="9.28515625" style="54" customWidth="1"/>
    <col min="34" max="44" width="9.28515625" style="89" customWidth="1"/>
    <col min="45" max="46" width="10.85546875" style="54" customWidth="1"/>
    <col min="47" max="47" width="9.140625" style="54" customWidth="1"/>
    <col min="48" max="48" width="11.140625" style="54" customWidth="1"/>
    <col min="49" max="50" width="9.140625" style="54" customWidth="1"/>
    <col min="51" max="51" width="11.42578125" style="89" customWidth="1"/>
    <col min="52" max="53" width="9.28515625" style="89" customWidth="1"/>
    <col min="54" max="54" width="9.140625" style="57" customWidth="1"/>
    <col min="55" max="16384" width="9.140625" style="57"/>
  </cols>
  <sheetData>
    <row r="1" spans="1:53" ht="12.75" x14ac:dyDescent="0.2">
      <c r="A1" s="51" t="s">
        <v>2</v>
      </c>
      <c r="B1" s="51"/>
      <c r="C1" s="43"/>
      <c r="D1" s="51"/>
      <c r="E1" s="51"/>
      <c r="I1" s="53"/>
      <c r="J1" s="53"/>
      <c r="K1" s="53"/>
      <c r="L1" s="53"/>
      <c r="M1" s="53"/>
      <c r="N1" s="53"/>
      <c r="O1" s="53"/>
      <c r="P1" s="53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</row>
    <row r="2" spans="1:53" ht="12.75" x14ac:dyDescent="0.2">
      <c r="A2" s="51" t="s">
        <v>3</v>
      </c>
      <c r="B2" s="51"/>
      <c r="C2" s="43"/>
      <c r="D2" s="51"/>
      <c r="E2" s="51"/>
    </row>
    <row r="3" spans="1:53" ht="12" x14ac:dyDescent="0.2">
      <c r="A3" s="784" t="s">
        <v>4</v>
      </c>
      <c r="B3" s="784"/>
      <c r="C3" s="784"/>
      <c r="D3" s="784"/>
      <c r="E3" s="784"/>
      <c r="R3" s="631"/>
      <c r="S3" s="631"/>
      <c r="T3" s="631"/>
    </row>
    <row r="4" spans="1:53" ht="15" customHeight="1" x14ac:dyDescent="0.2">
      <c r="A4" s="51"/>
      <c r="B4" s="51"/>
      <c r="C4" s="51"/>
      <c r="D4" s="51"/>
      <c r="E4" s="51"/>
      <c r="I4" s="53"/>
      <c r="J4" s="53"/>
      <c r="K4" s="53"/>
      <c r="L4" s="53"/>
      <c r="M4" s="53"/>
      <c r="N4" s="184"/>
      <c r="R4" s="712" t="s">
        <v>839</v>
      </c>
      <c r="S4" s="630"/>
      <c r="T4" s="630"/>
    </row>
    <row r="5" spans="1:53" ht="23.25" thickBot="1" x14ac:dyDescent="0.3">
      <c r="A5" s="185" t="s">
        <v>827</v>
      </c>
      <c r="F5" s="271"/>
      <c r="G5" s="271"/>
      <c r="I5" s="53"/>
      <c r="J5" s="53"/>
      <c r="K5" s="53"/>
      <c r="L5" s="53"/>
      <c r="M5" s="53"/>
      <c r="N5" s="184"/>
      <c r="R5" s="713" t="s">
        <v>840</v>
      </c>
      <c r="S5" s="630"/>
      <c r="T5" s="630"/>
    </row>
    <row r="6" spans="1:53" ht="12" customHeight="1" x14ac:dyDescent="0.2">
      <c r="A6" s="766" t="s">
        <v>859</v>
      </c>
      <c r="B6" s="767"/>
      <c r="C6" s="768"/>
      <c r="D6" s="768"/>
      <c r="E6" s="767"/>
      <c r="F6" s="767"/>
      <c r="I6" s="803" t="s">
        <v>828</v>
      </c>
      <c r="J6" s="804"/>
      <c r="K6" s="804"/>
      <c r="L6" s="804"/>
      <c r="M6" s="804"/>
      <c r="N6" s="804"/>
      <c r="O6" s="804"/>
      <c r="P6" s="805"/>
      <c r="Q6" s="809" t="s">
        <v>841</v>
      </c>
      <c r="R6" s="809"/>
      <c r="S6" s="809"/>
      <c r="T6" s="809"/>
      <c r="U6" s="809"/>
      <c r="V6" s="809"/>
      <c r="W6" s="809"/>
      <c r="X6" s="809"/>
      <c r="Y6" s="809"/>
      <c r="Z6" s="809"/>
      <c r="AA6" s="809"/>
      <c r="AB6" s="809"/>
      <c r="AC6" s="809"/>
      <c r="AD6" s="809"/>
      <c r="AE6" s="809"/>
      <c r="AF6" s="809"/>
      <c r="AG6" s="809"/>
      <c r="AH6" s="809"/>
      <c r="AI6" s="809"/>
      <c r="AJ6" s="809"/>
      <c r="AK6" s="809"/>
      <c r="AL6" s="809"/>
      <c r="AM6" s="809"/>
      <c r="AN6" s="809"/>
      <c r="AO6" s="809"/>
      <c r="AP6" s="809"/>
      <c r="AQ6" s="809"/>
      <c r="AR6" s="810"/>
      <c r="AS6" s="811" t="s">
        <v>865</v>
      </c>
      <c r="AT6" s="812"/>
      <c r="AU6" s="812"/>
      <c r="AV6" s="812"/>
      <c r="AW6" s="812"/>
      <c r="AX6" s="812"/>
      <c r="AY6" s="812"/>
      <c r="AZ6" s="812"/>
      <c r="BA6" s="813"/>
    </row>
    <row r="7" spans="1:53" ht="16.5" customHeight="1" thickBot="1" x14ac:dyDescent="0.3">
      <c r="B7" s="6"/>
      <c r="C7"/>
      <c r="D7" s="10"/>
      <c r="E7" s="6"/>
      <c r="I7" s="806"/>
      <c r="J7" s="807"/>
      <c r="K7" s="807"/>
      <c r="L7" s="807"/>
      <c r="M7" s="807"/>
      <c r="N7" s="807"/>
      <c r="O7" s="807"/>
      <c r="P7" s="808"/>
      <c r="Q7" s="817" t="s">
        <v>282</v>
      </c>
      <c r="R7" s="817"/>
      <c r="S7" s="817"/>
      <c r="T7" s="817"/>
      <c r="U7" s="817"/>
      <c r="V7" s="818"/>
      <c r="W7" s="823" t="s">
        <v>283</v>
      </c>
      <c r="X7" s="817"/>
      <c r="Y7" s="817"/>
      <c r="Z7" s="818"/>
      <c r="AA7" s="785" t="s">
        <v>284</v>
      </c>
      <c r="AB7" s="785" t="s">
        <v>5</v>
      </c>
      <c r="AC7" s="785" t="s">
        <v>285</v>
      </c>
      <c r="AD7" s="826"/>
      <c r="AE7" s="826"/>
      <c r="AF7" s="827"/>
      <c r="AG7" s="785" t="s">
        <v>305</v>
      </c>
      <c r="AH7" s="832" t="s">
        <v>850</v>
      </c>
      <c r="AI7" s="833"/>
      <c r="AJ7" s="833"/>
      <c r="AK7" s="833"/>
      <c r="AL7" s="833"/>
      <c r="AM7" s="833"/>
      <c r="AN7" s="833"/>
      <c r="AO7" s="833"/>
      <c r="AP7" s="833"/>
      <c r="AQ7" s="833"/>
      <c r="AR7" s="834"/>
      <c r="AS7" s="814"/>
      <c r="AT7" s="815"/>
      <c r="AU7" s="815"/>
      <c r="AV7" s="815"/>
      <c r="AW7" s="815"/>
      <c r="AX7" s="815"/>
      <c r="AY7" s="815"/>
      <c r="AZ7" s="815"/>
      <c r="BA7" s="816"/>
    </row>
    <row r="8" spans="1:53" ht="20.25" customHeight="1" x14ac:dyDescent="0.2">
      <c r="A8" s="118"/>
      <c r="B8" s="58"/>
      <c r="C8" s="58"/>
      <c r="D8" s="58"/>
      <c r="E8" s="59"/>
      <c r="F8" s="60"/>
      <c r="G8" s="61"/>
      <c r="H8" s="61"/>
      <c r="I8" s="794" t="s">
        <v>6</v>
      </c>
      <c r="J8" s="797" t="s">
        <v>802</v>
      </c>
      <c r="K8" s="798"/>
      <c r="L8" s="798"/>
      <c r="M8" s="799"/>
      <c r="N8" s="773" t="s">
        <v>849</v>
      </c>
      <c r="O8" s="776" t="s">
        <v>803</v>
      </c>
      <c r="P8" s="777"/>
      <c r="Q8" s="819"/>
      <c r="R8" s="819"/>
      <c r="S8" s="819"/>
      <c r="T8" s="819"/>
      <c r="U8" s="819"/>
      <c r="V8" s="820"/>
      <c r="W8" s="824"/>
      <c r="X8" s="819"/>
      <c r="Y8" s="819"/>
      <c r="Z8" s="820"/>
      <c r="AA8" s="786"/>
      <c r="AB8" s="786"/>
      <c r="AC8" s="786"/>
      <c r="AD8" s="828"/>
      <c r="AE8" s="828"/>
      <c r="AF8" s="829"/>
      <c r="AG8" s="786"/>
      <c r="AH8" s="780" t="s">
        <v>286</v>
      </c>
      <c r="AI8" s="781"/>
      <c r="AJ8" s="837" t="s">
        <v>287</v>
      </c>
      <c r="AK8" s="835" t="s">
        <v>842</v>
      </c>
      <c r="AL8" s="836"/>
      <c r="AM8" s="837" t="s">
        <v>820</v>
      </c>
      <c r="AN8" s="780" t="s">
        <v>288</v>
      </c>
      <c r="AO8" s="781"/>
      <c r="AP8" s="788" t="s">
        <v>851</v>
      </c>
      <c r="AQ8" s="789"/>
      <c r="AR8" s="790"/>
      <c r="AS8" s="794" t="s">
        <v>6</v>
      </c>
      <c r="AT8" s="797" t="s">
        <v>802</v>
      </c>
      <c r="AU8" s="798"/>
      <c r="AV8" s="798"/>
      <c r="AW8" s="798"/>
      <c r="AX8" s="799"/>
      <c r="AY8" s="773" t="s">
        <v>849</v>
      </c>
      <c r="AZ8" s="776" t="s">
        <v>804</v>
      </c>
      <c r="BA8" s="777"/>
    </row>
    <row r="9" spans="1:53" ht="12" customHeight="1" thickBot="1" x14ac:dyDescent="0.25">
      <c r="A9" s="119" t="s">
        <v>770</v>
      </c>
      <c r="B9"/>
      <c r="C9"/>
      <c r="D9" s="12"/>
      <c r="E9"/>
      <c r="F9" s="60"/>
      <c r="G9" s="61"/>
      <c r="H9" s="61"/>
      <c r="I9" s="795"/>
      <c r="J9" s="800"/>
      <c r="K9" s="801"/>
      <c r="L9" s="801"/>
      <c r="M9" s="802"/>
      <c r="N9" s="774"/>
      <c r="O9" s="778"/>
      <c r="P9" s="779"/>
      <c r="Q9" s="821"/>
      <c r="R9" s="821"/>
      <c r="S9" s="821"/>
      <c r="T9" s="821"/>
      <c r="U9" s="821"/>
      <c r="V9" s="822"/>
      <c r="W9" s="825"/>
      <c r="X9" s="821"/>
      <c r="Y9" s="821"/>
      <c r="Z9" s="822"/>
      <c r="AA9" s="786"/>
      <c r="AB9" s="786"/>
      <c r="AC9" s="786"/>
      <c r="AD9" s="830"/>
      <c r="AE9" s="830"/>
      <c r="AF9" s="831"/>
      <c r="AG9" s="786"/>
      <c r="AH9" s="782"/>
      <c r="AI9" s="783"/>
      <c r="AJ9" s="838"/>
      <c r="AK9" s="634" t="s">
        <v>817</v>
      </c>
      <c r="AL9" s="634" t="s">
        <v>818</v>
      </c>
      <c r="AM9" s="838"/>
      <c r="AN9" s="782"/>
      <c r="AO9" s="783"/>
      <c r="AP9" s="791"/>
      <c r="AQ9" s="792"/>
      <c r="AR9" s="793"/>
      <c r="AS9" s="795"/>
      <c r="AT9" s="800"/>
      <c r="AU9" s="801"/>
      <c r="AV9" s="801"/>
      <c r="AW9" s="801"/>
      <c r="AX9" s="802"/>
      <c r="AY9" s="774"/>
      <c r="AZ9" s="778"/>
      <c r="BA9" s="779"/>
    </row>
    <row r="10" spans="1:53" ht="41.25" customHeight="1" thickBot="1" x14ac:dyDescent="0.25">
      <c r="A10" s="62" t="s">
        <v>776</v>
      </c>
      <c r="B10" s="63" t="s">
        <v>547</v>
      </c>
      <c r="C10" s="63" t="s">
        <v>548</v>
      </c>
      <c r="D10" s="63" t="s">
        <v>264</v>
      </c>
      <c r="E10" s="166" t="s">
        <v>778</v>
      </c>
      <c r="F10" s="63" t="s">
        <v>0</v>
      </c>
      <c r="G10" s="124" t="s">
        <v>265</v>
      </c>
      <c r="H10" s="37" t="s">
        <v>276</v>
      </c>
      <c r="I10" s="796"/>
      <c r="J10" s="439" t="s">
        <v>274</v>
      </c>
      <c r="K10" s="431" t="s">
        <v>5</v>
      </c>
      <c r="L10" s="431" t="s">
        <v>1</v>
      </c>
      <c r="M10" s="431" t="s">
        <v>7</v>
      </c>
      <c r="N10" s="775"/>
      <c r="O10" s="434" t="s">
        <v>280</v>
      </c>
      <c r="P10" s="435" t="s">
        <v>281</v>
      </c>
      <c r="Q10" s="642" t="s">
        <v>289</v>
      </c>
      <c r="R10" s="433" t="s">
        <v>287</v>
      </c>
      <c r="S10" s="433" t="s">
        <v>819</v>
      </c>
      <c r="T10" s="433" t="s">
        <v>820</v>
      </c>
      <c r="U10" s="433" t="s">
        <v>288</v>
      </c>
      <c r="V10" s="433" t="s">
        <v>821</v>
      </c>
      <c r="W10" s="432" t="s">
        <v>290</v>
      </c>
      <c r="X10" s="433" t="s">
        <v>801</v>
      </c>
      <c r="Y10" s="432" t="s">
        <v>291</v>
      </c>
      <c r="Z10" s="433" t="s">
        <v>768</v>
      </c>
      <c r="AA10" s="787"/>
      <c r="AB10" s="787"/>
      <c r="AC10" s="787"/>
      <c r="AD10" s="433" t="s">
        <v>287</v>
      </c>
      <c r="AE10" s="433" t="s">
        <v>292</v>
      </c>
      <c r="AF10" s="433" t="s">
        <v>769</v>
      </c>
      <c r="AG10" s="787"/>
      <c r="AH10" s="436" t="s">
        <v>280</v>
      </c>
      <c r="AI10" s="437" t="s">
        <v>281</v>
      </c>
      <c r="AJ10" s="436" t="s">
        <v>280</v>
      </c>
      <c r="AK10" s="436" t="s">
        <v>280</v>
      </c>
      <c r="AL10" s="437" t="s">
        <v>281</v>
      </c>
      <c r="AM10" s="436" t="s">
        <v>280</v>
      </c>
      <c r="AN10" s="436" t="s">
        <v>280</v>
      </c>
      <c r="AO10" s="437" t="s">
        <v>281</v>
      </c>
      <c r="AP10" s="436" t="s">
        <v>280</v>
      </c>
      <c r="AQ10" s="437" t="s">
        <v>281</v>
      </c>
      <c r="AR10" s="438" t="s">
        <v>301</v>
      </c>
      <c r="AS10" s="796"/>
      <c r="AT10" s="38" t="s">
        <v>274</v>
      </c>
      <c r="AU10" s="439" t="s">
        <v>283</v>
      </c>
      <c r="AV10" s="431" t="s">
        <v>5</v>
      </c>
      <c r="AW10" s="431" t="s">
        <v>1</v>
      </c>
      <c r="AX10" s="431" t="s">
        <v>7</v>
      </c>
      <c r="AY10" s="775"/>
      <c r="AZ10" s="434" t="s">
        <v>280</v>
      </c>
      <c r="BA10" s="435" t="s">
        <v>281</v>
      </c>
    </row>
    <row r="11" spans="1:53" s="125" customFormat="1" ht="11.25" customHeight="1" thickBot="1" x14ac:dyDescent="0.25">
      <c r="A11" s="136" t="s">
        <v>549</v>
      </c>
      <c r="B11" s="137" t="s">
        <v>550</v>
      </c>
      <c r="C11" s="137" t="s">
        <v>266</v>
      </c>
      <c r="D11" s="137" t="s">
        <v>267</v>
      </c>
      <c r="E11" s="137" t="s">
        <v>551</v>
      </c>
      <c r="F11" s="137" t="s">
        <v>0</v>
      </c>
      <c r="G11" s="137" t="s">
        <v>552</v>
      </c>
      <c r="H11" s="138" t="s">
        <v>772</v>
      </c>
      <c r="I11" s="143" t="s">
        <v>268</v>
      </c>
      <c r="J11" s="144" t="s">
        <v>269</v>
      </c>
      <c r="K11" s="144" t="s">
        <v>270</v>
      </c>
      <c r="L11" s="144" t="s">
        <v>271</v>
      </c>
      <c r="M11" s="144" t="s">
        <v>272</v>
      </c>
      <c r="N11" s="429" t="s">
        <v>273</v>
      </c>
      <c r="O11" s="145" t="s">
        <v>553</v>
      </c>
      <c r="P11" s="183" t="s">
        <v>554</v>
      </c>
      <c r="Q11" s="643" t="s">
        <v>293</v>
      </c>
      <c r="R11" s="144" t="s">
        <v>293</v>
      </c>
      <c r="S11" s="144" t="s">
        <v>293</v>
      </c>
      <c r="T11" s="144" t="s">
        <v>293</v>
      </c>
      <c r="U11" s="144" t="s">
        <v>293</v>
      </c>
      <c r="V11" s="144" t="s">
        <v>293</v>
      </c>
      <c r="W11" s="144" t="s">
        <v>294</v>
      </c>
      <c r="X11" s="144" t="s">
        <v>294</v>
      </c>
      <c r="Y11" s="144" t="s">
        <v>295</v>
      </c>
      <c r="Z11" s="144" t="s">
        <v>294</v>
      </c>
      <c r="AA11" s="144" t="s">
        <v>296</v>
      </c>
      <c r="AB11" s="144" t="s">
        <v>297</v>
      </c>
      <c r="AC11" s="144" t="s">
        <v>298</v>
      </c>
      <c r="AD11" s="144" t="s">
        <v>299</v>
      </c>
      <c r="AE11" s="144" t="s">
        <v>299</v>
      </c>
      <c r="AF11" s="144" t="s">
        <v>299</v>
      </c>
      <c r="AG11" s="144" t="s">
        <v>306</v>
      </c>
      <c r="AH11" s="145" t="s">
        <v>302</v>
      </c>
      <c r="AI11" s="145" t="s">
        <v>303</v>
      </c>
      <c r="AJ11" s="145" t="s">
        <v>302</v>
      </c>
      <c r="AK11" s="145" t="s">
        <v>302</v>
      </c>
      <c r="AL11" s="145" t="s">
        <v>303</v>
      </c>
      <c r="AM11" s="145" t="s">
        <v>302</v>
      </c>
      <c r="AN11" s="145" t="s">
        <v>302</v>
      </c>
      <c r="AO11" s="145" t="s">
        <v>303</v>
      </c>
      <c r="AP11" s="145" t="s">
        <v>302</v>
      </c>
      <c r="AQ11" s="145" t="s">
        <v>303</v>
      </c>
      <c r="AR11" s="183" t="s">
        <v>304</v>
      </c>
      <c r="AS11" s="139" t="s">
        <v>268</v>
      </c>
      <c r="AT11" s="140" t="s">
        <v>269</v>
      </c>
      <c r="AU11" s="140" t="s">
        <v>275</v>
      </c>
      <c r="AV11" s="140" t="s">
        <v>270</v>
      </c>
      <c r="AW11" s="140" t="s">
        <v>271</v>
      </c>
      <c r="AX11" s="140" t="s">
        <v>272</v>
      </c>
      <c r="AY11" s="193" t="s">
        <v>273</v>
      </c>
      <c r="AZ11" s="193" t="s">
        <v>553</v>
      </c>
      <c r="BA11" s="194" t="s">
        <v>554</v>
      </c>
    </row>
    <row r="12" spans="1:53" ht="14.1" customHeight="1" x14ac:dyDescent="0.2">
      <c r="A12" s="126">
        <v>1</v>
      </c>
      <c r="B12" s="127">
        <v>2330</v>
      </c>
      <c r="C12" s="128">
        <v>691009571</v>
      </c>
      <c r="D12" s="127">
        <v>71294511</v>
      </c>
      <c r="E12" s="129" t="s">
        <v>555</v>
      </c>
      <c r="F12" s="126">
        <v>3233</v>
      </c>
      <c r="G12" s="129" t="s">
        <v>314</v>
      </c>
      <c r="H12" s="130" t="s">
        <v>278</v>
      </c>
      <c r="I12" s="440">
        <v>9422150</v>
      </c>
      <c r="J12" s="441">
        <v>6977366</v>
      </c>
      <c r="K12" s="441">
        <v>2358350</v>
      </c>
      <c r="L12" s="441">
        <v>69774</v>
      </c>
      <c r="M12" s="441">
        <v>16660</v>
      </c>
      <c r="N12" s="442">
        <v>16.45</v>
      </c>
      <c r="O12" s="443">
        <v>9.16</v>
      </c>
      <c r="P12" s="586">
        <v>7.29</v>
      </c>
      <c r="Q12" s="444">
        <f t="shared" ref="Q12:Q74" si="0">W12*-1</f>
        <v>-942500</v>
      </c>
      <c r="R12" s="444">
        <v>0</v>
      </c>
      <c r="S12" s="445">
        <v>0</v>
      </c>
      <c r="T12" s="445">
        <v>0</v>
      </c>
      <c r="U12" s="445">
        <v>0</v>
      </c>
      <c r="V12" s="445">
        <f>SUM(Q12:U12)</f>
        <v>-942500</v>
      </c>
      <c r="W12" s="445">
        <v>942500</v>
      </c>
      <c r="X12" s="445">
        <v>0</v>
      </c>
      <c r="Y12" s="445">
        <v>103022</v>
      </c>
      <c r="Z12" s="445">
        <f t="shared" ref="Z12" si="1">SUM(W12:Y12)</f>
        <v>1045522</v>
      </c>
      <c r="AA12" s="445">
        <f t="shared" ref="AA12" si="2">V12+Z12</f>
        <v>103022</v>
      </c>
      <c r="AB12" s="147">
        <f t="shared" ref="AB12" si="3">ROUND((V12+W12+X12)*33.8%,0)</f>
        <v>0</v>
      </c>
      <c r="AC12" s="147">
        <f>ROUND(V12*1%,0)</f>
        <v>-9425</v>
      </c>
      <c r="AD12" s="445">
        <v>0</v>
      </c>
      <c r="AE12" s="445">
        <v>0</v>
      </c>
      <c r="AF12" s="445">
        <f>SUM(AD12:AE12)</f>
        <v>0</v>
      </c>
      <c r="AG12" s="445">
        <f>AA12+AB12+AC12+AF12</f>
        <v>93597</v>
      </c>
      <c r="AH12" s="446">
        <v>-1.24</v>
      </c>
      <c r="AI12" s="446">
        <v>-0.99</v>
      </c>
      <c r="AJ12" s="446">
        <v>0</v>
      </c>
      <c r="AK12" s="446">
        <v>0</v>
      </c>
      <c r="AL12" s="446">
        <v>0</v>
      </c>
      <c r="AM12" s="446">
        <v>0</v>
      </c>
      <c r="AN12" s="446">
        <v>0</v>
      </c>
      <c r="AO12" s="446">
        <v>0</v>
      </c>
      <c r="AP12" s="446">
        <f>AH12+AJ12+AK12+AM12+AN12</f>
        <v>-1.24</v>
      </c>
      <c r="AQ12" s="446">
        <f>AI12+AL12+AO12</f>
        <v>-0.99</v>
      </c>
      <c r="AR12" s="736">
        <f t="shared" ref="AR12" si="4">SUM(AP12:AQ12)</f>
        <v>-2.23</v>
      </c>
      <c r="AS12" s="447">
        <f>I12+AG12</f>
        <v>9515747</v>
      </c>
      <c r="AT12" s="445">
        <f>J12+V12</f>
        <v>6034866</v>
      </c>
      <c r="AU12" s="445">
        <f>Z12</f>
        <v>1045522</v>
      </c>
      <c r="AV12" s="445">
        <f>K12+AB12</f>
        <v>2358350</v>
      </c>
      <c r="AW12" s="445">
        <f>L12+AC12</f>
        <v>60349</v>
      </c>
      <c r="AX12" s="445">
        <f>M12+AF12</f>
        <v>16660</v>
      </c>
      <c r="AY12" s="446">
        <f>N12+AR12</f>
        <v>14.219999999999999</v>
      </c>
      <c r="AZ12" s="446">
        <f>O12+AP12</f>
        <v>7.92</v>
      </c>
      <c r="BA12" s="448">
        <f>P12+AQ12</f>
        <v>6.3</v>
      </c>
    </row>
    <row r="13" spans="1:53" ht="14.1" customHeight="1" x14ac:dyDescent="0.2">
      <c r="A13" s="73">
        <v>1</v>
      </c>
      <c r="B13" s="70">
        <v>2330</v>
      </c>
      <c r="C13" s="71">
        <v>691009571</v>
      </c>
      <c r="D13" s="70">
        <v>71294511</v>
      </c>
      <c r="E13" s="72" t="s">
        <v>556</v>
      </c>
      <c r="F13" s="73"/>
      <c r="G13" s="72"/>
      <c r="H13" s="74"/>
      <c r="I13" s="701">
        <f t="shared" ref="I13:P13" si="5">SUM(I12)</f>
        <v>9422150</v>
      </c>
      <c r="J13" s="75">
        <f t="shared" si="5"/>
        <v>6977366</v>
      </c>
      <c r="K13" s="75">
        <f t="shared" si="5"/>
        <v>2358350</v>
      </c>
      <c r="L13" s="75">
        <f t="shared" si="5"/>
        <v>69774</v>
      </c>
      <c r="M13" s="75">
        <f t="shared" si="5"/>
        <v>16660</v>
      </c>
      <c r="N13" s="76">
        <f t="shared" si="5"/>
        <v>16.45</v>
      </c>
      <c r="O13" s="76">
        <f t="shared" si="5"/>
        <v>9.16</v>
      </c>
      <c r="P13" s="77">
        <f t="shared" si="5"/>
        <v>7.29</v>
      </c>
      <c r="Q13" s="724">
        <f t="shared" ref="Q13:BA13" si="6">SUM(Q12)</f>
        <v>-942500</v>
      </c>
      <c r="R13" s="724">
        <f t="shared" si="6"/>
        <v>0</v>
      </c>
      <c r="S13" s="75">
        <f t="shared" si="6"/>
        <v>0</v>
      </c>
      <c r="T13" s="75">
        <f t="shared" si="6"/>
        <v>0</v>
      </c>
      <c r="U13" s="75">
        <f t="shared" si="6"/>
        <v>0</v>
      </c>
      <c r="V13" s="75">
        <f t="shared" si="6"/>
        <v>-942500</v>
      </c>
      <c r="W13" s="75">
        <f t="shared" si="6"/>
        <v>942500</v>
      </c>
      <c r="X13" s="75">
        <f t="shared" si="6"/>
        <v>0</v>
      </c>
      <c r="Y13" s="75">
        <f t="shared" si="6"/>
        <v>103022</v>
      </c>
      <c r="Z13" s="75">
        <f t="shared" si="6"/>
        <v>1045522</v>
      </c>
      <c r="AA13" s="75">
        <f t="shared" si="6"/>
        <v>103022</v>
      </c>
      <c r="AB13" s="75">
        <f t="shared" si="6"/>
        <v>0</v>
      </c>
      <c r="AC13" s="75">
        <f t="shared" si="6"/>
        <v>-9425</v>
      </c>
      <c r="AD13" s="75">
        <f t="shared" si="6"/>
        <v>0</v>
      </c>
      <c r="AE13" s="75">
        <f t="shared" si="6"/>
        <v>0</v>
      </c>
      <c r="AF13" s="75">
        <f t="shared" si="6"/>
        <v>0</v>
      </c>
      <c r="AG13" s="75">
        <f t="shared" si="6"/>
        <v>93597</v>
      </c>
      <c r="AH13" s="76">
        <f t="shared" si="6"/>
        <v>-1.24</v>
      </c>
      <c r="AI13" s="76">
        <f t="shared" si="6"/>
        <v>-0.99</v>
      </c>
      <c r="AJ13" s="76">
        <f t="shared" si="6"/>
        <v>0</v>
      </c>
      <c r="AK13" s="76">
        <f t="shared" si="6"/>
        <v>0</v>
      </c>
      <c r="AL13" s="76">
        <f t="shared" si="6"/>
        <v>0</v>
      </c>
      <c r="AM13" s="76">
        <f t="shared" si="6"/>
        <v>0</v>
      </c>
      <c r="AN13" s="76">
        <f t="shared" si="6"/>
        <v>0</v>
      </c>
      <c r="AO13" s="76">
        <f t="shared" si="6"/>
        <v>0</v>
      </c>
      <c r="AP13" s="76">
        <f t="shared" si="6"/>
        <v>-1.24</v>
      </c>
      <c r="AQ13" s="76">
        <f t="shared" si="6"/>
        <v>-0.99</v>
      </c>
      <c r="AR13" s="720">
        <f t="shared" si="6"/>
        <v>-2.23</v>
      </c>
      <c r="AS13" s="701">
        <f t="shared" si="6"/>
        <v>9515747</v>
      </c>
      <c r="AT13" s="75">
        <f t="shared" si="6"/>
        <v>6034866</v>
      </c>
      <c r="AU13" s="75">
        <f t="shared" si="6"/>
        <v>1045522</v>
      </c>
      <c r="AV13" s="75">
        <f t="shared" si="6"/>
        <v>2358350</v>
      </c>
      <c r="AW13" s="75">
        <f t="shared" si="6"/>
        <v>60349</v>
      </c>
      <c r="AX13" s="75">
        <f t="shared" si="6"/>
        <v>16660</v>
      </c>
      <c r="AY13" s="76">
        <f t="shared" si="6"/>
        <v>14.219999999999999</v>
      </c>
      <c r="AZ13" s="76">
        <f t="shared" si="6"/>
        <v>7.92</v>
      </c>
      <c r="BA13" s="77">
        <f t="shared" si="6"/>
        <v>6.3</v>
      </c>
    </row>
    <row r="14" spans="1:53" ht="14.1" customHeight="1" x14ac:dyDescent="0.2">
      <c r="A14" s="67">
        <v>2</v>
      </c>
      <c r="B14" s="64">
        <v>2415</v>
      </c>
      <c r="C14" s="65">
        <v>600079465</v>
      </c>
      <c r="D14" s="64">
        <v>72742186</v>
      </c>
      <c r="E14" s="66" t="s">
        <v>557</v>
      </c>
      <c r="F14" s="67">
        <v>3111</v>
      </c>
      <c r="G14" s="66" t="s">
        <v>307</v>
      </c>
      <c r="H14" s="68" t="s">
        <v>277</v>
      </c>
      <c r="I14" s="462">
        <v>7825224</v>
      </c>
      <c r="J14" s="16">
        <v>5776368</v>
      </c>
      <c r="K14" s="457">
        <v>1952412</v>
      </c>
      <c r="L14" s="457">
        <v>57764</v>
      </c>
      <c r="M14" s="16">
        <v>38680</v>
      </c>
      <c r="N14" s="13">
        <v>11.81</v>
      </c>
      <c r="O14" s="13">
        <v>9.33</v>
      </c>
      <c r="P14" s="17">
        <v>2.48</v>
      </c>
      <c r="Q14" s="469">
        <f t="shared" si="0"/>
        <v>-65000</v>
      </c>
      <c r="R14" s="469">
        <v>0</v>
      </c>
      <c r="S14" s="460">
        <v>0</v>
      </c>
      <c r="T14" s="460">
        <v>0</v>
      </c>
      <c r="U14" s="460">
        <v>0</v>
      </c>
      <c r="V14" s="460">
        <f>SUM(Q14:U14)</f>
        <v>-65000</v>
      </c>
      <c r="W14" s="460">
        <v>65000</v>
      </c>
      <c r="X14" s="460">
        <v>0</v>
      </c>
      <c r="Y14" s="460">
        <v>0</v>
      </c>
      <c r="Z14" s="460">
        <f t="shared" ref="Z14:Z17" si="7">SUM(W14:Y14)</f>
        <v>65000</v>
      </c>
      <c r="AA14" s="460">
        <f t="shared" ref="AA14:AA17" si="8">V14+Z14</f>
        <v>0</v>
      </c>
      <c r="AB14" s="69">
        <f t="shared" ref="AB14:AB17" si="9">ROUND((V14+W14+X14)*33.8%,0)</f>
        <v>0</v>
      </c>
      <c r="AC14" s="69">
        <f>ROUND(V14*1%,0)</f>
        <v>-650</v>
      </c>
      <c r="AD14" s="460">
        <v>0</v>
      </c>
      <c r="AE14" s="460">
        <v>0</v>
      </c>
      <c r="AF14" s="460">
        <f>SUM(AD14:AE14)</f>
        <v>0</v>
      </c>
      <c r="AG14" s="460">
        <f>AA14+AB14+AC14+AF14</f>
        <v>-650</v>
      </c>
      <c r="AH14" s="461">
        <v>-0.05</v>
      </c>
      <c r="AI14" s="461">
        <v>-0.05</v>
      </c>
      <c r="AJ14" s="461">
        <v>0</v>
      </c>
      <c r="AK14" s="461">
        <v>0</v>
      </c>
      <c r="AL14" s="461">
        <v>0</v>
      </c>
      <c r="AM14" s="461">
        <v>0</v>
      </c>
      <c r="AN14" s="461">
        <v>0</v>
      </c>
      <c r="AO14" s="461">
        <v>0</v>
      </c>
      <c r="AP14" s="461">
        <f t="shared" ref="AP14:AP76" si="10">AH14+AJ14+AK14+AM14+AN14</f>
        <v>-0.05</v>
      </c>
      <c r="AQ14" s="461">
        <f t="shared" ref="AQ14:AQ76" si="11">AI14+AL14+AO14</f>
        <v>-0.05</v>
      </c>
      <c r="AR14" s="737">
        <f t="shared" ref="AR14:AR76" si="12">SUM(AP14:AQ14)</f>
        <v>-0.1</v>
      </c>
      <c r="AS14" s="470">
        <f t="shared" ref="AS14:AS76" si="13">I14+AG14</f>
        <v>7824574</v>
      </c>
      <c r="AT14" s="460">
        <f t="shared" ref="AT14:AT76" si="14">J14+V14</f>
        <v>5711368</v>
      </c>
      <c r="AU14" s="460">
        <f t="shared" ref="AU14:AU76" si="15">Z14</f>
        <v>65000</v>
      </c>
      <c r="AV14" s="460">
        <f t="shared" ref="AV14:AV76" si="16">K14+AB14</f>
        <v>1952412</v>
      </c>
      <c r="AW14" s="460">
        <f t="shared" ref="AW14:AW76" si="17">L14+AC14</f>
        <v>57114</v>
      </c>
      <c r="AX14" s="460">
        <f t="shared" ref="AX14:AX76" si="18">M14+AF14</f>
        <v>38680</v>
      </c>
      <c r="AY14" s="461">
        <f t="shared" ref="AY14:AY76" si="19">N14+AR14</f>
        <v>11.71</v>
      </c>
      <c r="AZ14" s="461">
        <f t="shared" ref="AZ14:AZ76" si="20">O14+AP14</f>
        <v>9.2799999999999994</v>
      </c>
      <c r="BA14" s="463">
        <f t="shared" ref="BA14:BA76" si="21">P14+AQ14</f>
        <v>2.4300000000000002</v>
      </c>
    </row>
    <row r="15" spans="1:53" ht="14.1" customHeight="1" x14ac:dyDescent="0.2">
      <c r="A15" s="67">
        <v>2</v>
      </c>
      <c r="B15" s="64">
        <v>2415</v>
      </c>
      <c r="C15" s="65">
        <v>600079465</v>
      </c>
      <c r="D15" s="64">
        <v>72742186</v>
      </c>
      <c r="E15" s="66" t="s">
        <v>557</v>
      </c>
      <c r="F15" s="67">
        <v>3111</v>
      </c>
      <c r="G15" s="44" t="s">
        <v>309</v>
      </c>
      <c r="H15" s="68" t="s">
        <v>277</v>
      </c>
      <c r="I15" s="462">
        <v>398205</v>
      </c>
      <c r="J15" s="16">
        <v>295404</v>
      </c>
      <c r="K15" s="457">
        <v>99847</v>
      </c>
      <c r="L15" s="457">
        <v>2954</v>
      </c>
      <c r="M15" s="16">
        <v>0</v>
      </c>
      <c r="N15" s="13">
        <v>1</v>
      </c>
      <c r="O15" s="13">
        <v>1</v>
      </c>
      <c r="P15" s="17">
        <v>0</v>
      </c>
      <c r="Q15" s="469">
        <f t="shared" si="0"/>
        <v>0</v>
      </c>
      <c r="R15" s="469">
        <v>0</v>
      </c>
      <c r="S15" s="460">
        <v>0</v>
      </c>
      <c r="T15" s="460">
        <v>0</v>
      </c>
      <c r="U15" s="460">
        <v>0</v>
      </c>
      <c r="V15" s="460">
        <f>SUM(Q15:U15)</f>
        <v>0</v>
      </c>
      <c r="W15" s="460">
        <v>0</v>
      </c>
      <c r="X15" s="460">
        <v>0</v>
      </c>
      <c r="Y15" s="460">
        <v>0</v>
      </c>
      <c r="Z15" s="460">
        <f t="shared" si="7"/>
        <v>0</v>
      </c>
      <c r="AA15" s="460">
        <f t="shared" si="8"/>
        <v>0</v>
      </c>
      <c r="AB15" s="69">
        <f t="shared" si="9"/>
        <v>0</v>
      </c>
      <c r="AC15" s="69">
        <f t="shared" ref="AC15:AC17" si="22">ROUND(V15*1%,0)</f>
        <v>0</v>
      </c>
      <c r="AD15" s="460">
        <v>0</v>
      </c>
      <c r="AE15" s="460">
        <v>0</v>
      </c>
      <c r="AF15" s="460">
        <f>SUM(AD15:AE15)</f>
        <v>0</v>
      </c>
      <c r="AG15" s="460">
        <f>AA15+AB15+AC15+AF15</f>
        <v>0</v>
      </c>
      <c r="AH15" s="461">
        <v>0</v>
      </c>
      <c r="AI15" s="461">
        <v>0</v>
      </c>
      <c r="AJ15" s="461">
        <v>0</v>
      </c>
      <c r="AK15" s="461">
        <v>0</v>
      </c>
      <c r="AL15" s="461">
        <v>0</v>
      </c>
      <c r="AM15" s="461">
        <v>0</v>
      </c>
      <c r="AN15" s="461">
        <v>0</v>
      </c>
      <c r="AO15" s="461">
        <v>0</v>
      </c>
      <c r="AP15" s="461">
        <f t="shared" si="10"/>
        <v>0</v>
      </c>
      <c r="AQ15" s="461">
        <f t="shared" si="11"/>
        <v>0</v>
      </c>
      <c r="AR15" s="737">
        <f t="shared" si="12"/>
        <v>0</v>
      </c>
      <c r="AS15" s="470">
        <f t="shared" si="13"/>
        <v>398205</v>
      </c>
      <c r="AT15" s="460">
        <f t="shared" si="14"/>
        <v>295404</v>
      </c>
      <c r="AU15" s="460">
        <f t="shared" si="15"/>
        <v>0</v>
      </c>
      <c r="AV15" s="460">
        <f t="shared" si="16"/>
        <v>99847</v>
      </c>
      <c r="AW15" s="460">
        <f t="shared" si="17"/>
        <v>2954</v>
      </c>
      <c r="AX15" s="460">
        <f t="shared" si="18"/>
        <v>0</v>
      </c>
      <c r="AY15" s="461">
        <f t="shared" si="19"/>
        <v>1</v>
      </c>
      <c r="AZ15" s="461">
        <f t="shared" si="20"/>
        <v>1</v>
      </c>
      <c r="BA15" s="463">
        <f t="shared" si="21"/>
        <v>0</v>
      </c>
    </row>
    <row r="16" spans="1:53" ht="14.1" customHeight="1" x14ac:dyDescent="0.2">
      <c r="A16" s="67">
        <v>2</v>
      </c>
      <c r="B16" s="64">
        <v>2415</v>
      </c>
      <c r="C16" s="65">
        <v>600079465</v>
      </c>
      <c r="D16" s="64">
        <v>72742186</v>
      </c>
      <c r="E16" s="66" t="s">
        <v>557</v>
      </c>
      <c r="F16" s="67">
        <v>3111</v>
      </c>
      <c r="G16" s="66" t="s">
        <v>308</v>
      </c>
      <c r="H16" s="68" t="s">
        <v>278</v>
      </c>
      <c r="I16" s="462">
        <v>0</v>
      </c>
      <c r="J16" s="457">
        <v>0</v>
      </c>
      <c r="K16" s="457">
        <v>0</v>
      </c>
      <c r="L16" s="457">
        <v>0</v>
      </c>
      <c r="M16" s="457">
        <v>0</v>
      </c>
      <c r="N16" s="458">
        <v>0</v>
      </c>
      <c r="O16" s="459">
        <v>0</v>
      </c>
      <c r="P16" s="646">
        <v>0</v>
      </c>
      <c r="Q16" s="469">
        <f t="shared" si="0"/>
        <v>0</v>
      </c>
      <c r="R16" s="469">
        <v>946937</v>
      </c>
      <c r="S16" s="460">
        <v>0</v>
      </c>
      <c r="T16" s="460">
        <v>0</v>
      </c>
      <c r="U16" s="460">
        <v>0</v>
      </c>
      <c r="V16" s="460">
        <f>SUM(Q16:U16)</f>
        <v>946937</v>
      </c>
      <c r="W16" s="460">
        <v>0</v>
      </c>
      <c r="X16" s="460">
        <v>0</v>
      </c>
      <c r="Y16" s="460">
        <v>0</v>
      </c>
      <c r="Z16" s="460">
        <f t="shared" si="7"/>
        <v>0</v>
      </c>
      <c r="AA16" s="460">
        <f t="shared" si="8"/>
        <v>946937</v>
      </c>
      <c r="AB16" s="69">
        <f t="shared" si="9"/>
        <v>320065</v>
      </c>
      <c r="AC16" s="69">
        <f t="shared" si="22"/>
        <v>9469</v>
      </c>
      <c r="AD16" s="460">
        <v>0</v>
      </c>
      <c r="AE16" s="460">
        <v>0</v>
      </c>
      <c r="AF16" s="460">
        <f>SUM(AD16:AE16)</f>
        <v>0</v>
      </c>
      <c r="AG16" s="460">
        <f>AA16+AB16+AC16+AF16</f>
        <v>1276471</v>
      </c>
      <c r="AH16" s="461">
        <v>0</v>
      </c>
      <c r="AI16" s="461">
        <v>0</v>
      </c>
      <c r="AJ16" s="461">
        <v>3</v>
      </c>
      <c r="AK16" s="461">
        <v>0</v>
      </c>
      <c r="AL16" s="461">
        <v>0</v>
      </c>
      <c r="AM16" s="461">
        <v>0</v>
      </c>
      <c r="AN16" s="461">
        <v>0</v>
      </c>
      <c r="AO16" s="461">
        <v>0</v>
      </c>
      <c r="AP16" s="461">
        <f t="shared" si="10"/>
        <v>3</v>
      </c>
      <c r="AQ16" s="461">
        <f t="shared" si="11"/>
        <v>0</v>
      </c>
      <c r="AR16" s="737">
        <f t="shared" si="12"/>
        <v>3</v>
      </c>
      <c r="AS16" s="470">
        <f t="shared" si="13"/>
        <v>1276471</v>
      </c>
      <c r="AT16" s="460">
        <f t="shared" si="14"/>
        <v>946937</v>
      </c>
      <c r="AU16" s="460">
        <f t="shared" si="15"/>
        <v>0</v>
      </c>
      <c r="AV16" s="460">
        <f t="shared" si="16"/>
        <v>320065</v>
      </c>
      <c r="AW16" s="460">
        <f t="shared" si="17"/>
        <v>9469</v>
      </c>
      <c r="AX16" s="460">
        <f t="shared" si="18"/>
        <v>0</v>
      </c>
      <c r="AY16" s="461">
        <f t="shared" si="19"/>
        <v>3</v>
      </c>
      <c r="AZ16" s="461">
        <f t="shared" si="20"/>
        <v>3</v>
      </c>
      <c r="BA16" s="463">
        <f t="shared" si="21"/>
        <v>0</v>
      </c>
    </row>
    <row r="17" spans="1:53" ht="14.1" customHeight="1" x14ac:dyDescent="0.2">
      <c r="A17" s="67">
        <v>2</v>
      </c>
      <c r="B17" s="64">
        <v>2415</v>
      </c>
      <c r="C17" s="65">
        <v>600079465</v>
      </c>
      <c r="D17" s="64">
        <v>72742186</v>
      </c>
      <c r="E17" s="66" t="s">
        <v>557</v>
      </c>
      <c r="F17" s="67">
        <v>3141</v>
      </c>
      <c r="G17" s="66" t="s">
        <v>311</v>
      </c>
      <c r="H17" s="68" t="s">
        <v>278</v>
      </c>
      <c r="I17" s="462">
        <v>885131</v>
      </c>
      <c r="J17" s="728">
        <v>653578</v>
      </c>
      <c r="K17" s="457">
        <v>220909</v>
      </c>
      <c r="L17" s="457">
        <v>6536</v>
      </c>
      <c r="M17" s="728">
        <v>4108</v>
      </c>
      <c r="N17" s="458">
        <v>2.1</v>
      </c>
      <c r="O17" s="459">
        <v>0</v>
      </c>
      <c r="P17" s="646">
        <v>2.1</v>
      </c>
      <c r="Q17" s="469">
        <f t="shared" si="0"/>
        <v>0</v>
      </c>
      <c r="R17" s="469">
        <v>0</v>
      </c>
      <c r="S17" s="460">
        <v>0</v>
      </c>
      <c r="T17" s="460">
        <v>0</v>
      </c>
      <c r="U17" s="460">
        <v>0</v>
      </c>
      <c r="V17" s="460">
        <f>SUM(Q17:U17)</f>
        <v>0</v>
      </c>
      <c r="W17" s="460">
        <v>0</v>
      </c>
      <c r="X17" s="460">
        <v>0</v>
      </c>
      <c r="Y17" s="460">
        <v>0</v>
      </c>
      <c r="Z17" s="460">
        <f t="shared" si="7"/>
        <v>0</v>
      </c>
      <c r="AA17" s="460">
        <f t="shared" si="8"/>
        <v>0</v>
      </c>
      <c r="AB17" s="69">
        <f t="shared" si="9"/>
        <v>0</v>
      </c>
      <c r="AC17" s="69">
        <f t="shared" si="22"/>
        <v>0</v>
      </c>
      <c r="AD17" s="460">
        <v>0</v>
      </c>
      <c r="AE17" s="460">
        <v>0</v>
      </c>
      <c r="AF17" s="460">
        <f>SUM(AD17:AE17)</f>
        <v>0</v>
      </c>
      <c r="AG17" s="460">
        <f>AA17+AB17+AC17+AF17</f>
        <v>0</v>
      </c>
      <c r="AH17" s="461">
        <v>0</v>
      </c>
      <c r="AI17" s="461">
        <v>0</v>
      </c>
      <c r="AJ17" s="461">
        <v>0</v>
      </c>
      <c r="AK17" s="461">
        <v>0</v>
      </c>
      <c r="AL17" s="461">
        <v>0</v>
      </c>
      <c r="AM17" s="461">
        <v>0</v>
      </c>
      <c r="AN17" s="461">
        <v>0</v>
      </c>
      <c r="AO17" s="461">
        <v>0</v>
      </c>
      <c r="AP17" s="461">
        <f t="shared" si="10"/>
        <v>0</v>
      </c>
      <c r="AQ17" s="461">
        <f t="shared" si="11"/>
        <v>0</v>
      </c>
      <c r="AR17" s="737">
        <f t="shared" si="12"/>
        <v>0</v>
      </c>
      <c r="AS17" s="470">
        <f t="shared" si="13"/>
        <v>885131</v>
      </c>
      <c r="AT17" s="460">
        <f t="shared" si="14"/>
        <v>653578</v>
      </c>
      <c r="AU17" s="460">
        <f t="shared" si="15"/>
        <v>0</v>
      </c>
      <c r="AV17" s="460">
        <f t="shared" si="16"/>
        <v>220909</v>
      </c>
      <c r="AW17" s="460">
        <f t="shared" si="17"/>
        <v>6536</v>
      </c>
      <c r="AX17" s="460">
        <f t="shared" si="18"/>
        <v>4108</v>
      </c>
      <c r="AY17" s="461">
        <f t="shared" si="19"/>
        <v>2.1</v>
      </c>
      <c r="AZ17" s="461">
        <f t="shared" si="20"/>
        <v>0</v>
      </c>
      <c r="BA17" s="463">
        <f t="shared" si="21"/>
        <v>2.1</v>
      </c>
    </row>
    <row r="18" spans="1:53" ht="14.1" customHeight="1" x14ac:dyDescent="0.2">
      <c r="A18" s="73">
        <v>2</v>
      </c>
      <c r="B18" s="70">
        <v>2415</v>
      </c>
      <c r="C18" s="71">
        <v>600079465</v>
      </c>
      <c r="D18" s="70">
        <v>72742186</v>
      </c>
      <c r="E18" s="72" t="s">
        <v>558</v>
      </c>
      <c r="F18" s="73"/>
      <c r="G18" s="72"/>
      <c r="H18" s="74"/>
      <c r="I18" s="701">
        <f t="shared" ref="I18:P18" si="23">SUM(I14:I17)</f>
        <v>9108560</v>
      </c>
      <c r="J18" s="75">
        <f t="shared" si="23"/>
        <v>6725350</v>
      </c>
      <c r="K18" s="75">
        <f t="shared" si="23"/>
        <v>2273168</v>
      </c>
      <c r="L18" s="75">
        <f t="shared" si="23"/>
        <v>67254</v>
      </c>
      <c r="M18" s="75">
        <f t="shared" si="23"/>
        <v>42788</v>
      </c>
      <c r="N18" s="76">
        <f t="shared" si="23"/>
        <v>14.91</v>
      </c>
      <c r="O18" s="76">
        <f t="shared" si="23"/>
        <v>10.33</v>
      </c>
      <c r="P18" s="77">
        <f t="shared" si="23"/>
        <v>4.58</v>
      </c>
      <c r="Q18" s="724">
        <f t="shared" ref="Q18:BA18" si="24">SUM(Q14:Q17)</f>
        <v>-65000</v>
      </c>
      <c r="R18" s="724">
        <f t="shared" si="24"/>
        <v>946937</v>
      </c>
      <c r="S18" s="75">
        <f t="shared" si="24"/>
        <v>0</v>
      </c>
      <c r="T18" s="75">
        <f t="shared" si="24"/>
        <v>0</v>
      </c>
      <c r="U18" s="75">
        <f t="shared" si="24"/>
        <v>0</v>
      </c>
      <c r="V18" s="75">
        <f t="shared" si="24"/>
        <v>881937</v>
      </c>
      <c r="W18" s="75">
        <f t="shared" si="24"/>
        <v>65000</v>
      </c>
      <c r="X18" s="75">
        <f t="shared" si="24"/>
        <v>0</v>
      </c>
      <c r="Y18" s="75">
        <f t="shared" si="24"/>
        <v>0</v>
      </c>
      <c r="Z18" s="75">
        <f t="shared" si="24"/>
        <v>65000</v>
      </c>
      <c r="AA18" s="75">
        <f t="shared" si="24"/>
        <v>946937</v>
      </c>
      <c r="AB18" s="75">
        <f t="shared" si="24"/>
        <v>320065</v>
      </c>
      <c r="AC18" s="75">
        <f t="shared" si="24"/>
        <v>8819</v>
      </c>
      <c r="AD18" s="75">
        <f t="shared" si="24"/>
        <v>0</v>
      </c>
      <c r="AE18" s="75">
        <f t="shared" si="24"/>
        <v>0</v>
      </c>
      <c r="AF18" s="75">
        <f t="shared" si="24"/>
        <v>0</v>
      </c>
      <c r="AG18" s="75">
        <f t="shared" si="24"/>
        <v>1275821</v>
      </c>
      <c r="AH18" s="76">
        <f t="shared" si="24"/>
        <v>-0.05</v>
      </c>
      <c r="AI18" s="76">
        <f t="shared" si="24"/>
        <v>-0.05</v>
      </c>
      <c r="AJ18" s="76">
        <f t="shared" si="24"/>
        <v>3</v>
      </c>
      <c r="AK18" s="76">
        <f t="shared" si="24"/>
        <v>0</v>
      </c>
      <c r="AL18" s="76">
        <f t="shared" si="24"/>
        <v>0</v>
      </c>
      <c r="AM18" s="76">
        <f t="shared" si="24"/>
        <v>0</v>
      </c>
      <c r="AN18" s="76">
        <f t="shared" si="24"/>
        <v>0</v>
      </c>
      <c r="AO18" s="76">
        <f t="shared" si="24"/>
        <v>0</v>
      </c>
      <c r="AP18" s="76">
        <f t="shared" si="24"/>
        <v>2.95</v>
      </c>
      <c r="AQ18" s="76">
        <f t="shared" si="24"/>
        <v>-0.05</v>
      </c>
      <c r="AR18" s="720">
        <f t="shared" si="24"/>
        <v>2.9</v>
      </c>
      <c r="AS18" s="701">
        <f t="shared" si="24"/>
        <v>10384381</v>
      </c>
      <c r="AT18" s="75">
        <f t="shared" si="24"/>
        <v>7607287</v>
      </c>
      <c r="AU18" s="75">
        <f t="shared" si="24"/>
        <v>65000</v>
      </c>
      <c r="AV18" s="75">
        <f t="shared" si="24"/>
        <v>2593233</v>
      </c>
      <c r="AW18" s="75">
        <f t="shared" si="24"/>
        <v>76073</v>
      </c>
      <c r="AX18" s="75">
        <f t="shared" si="24"/>
        <v>42788</v>
      </c>
      <c r="AY18" s="76">
        <f t="shared" si="24"/>
        <v>17.810000000000002</v>
      </c>
      <c r="AZ18" s="76">
        <f t="shared" si="24"/>
        <v>13.28</v>
      </c>
      <c r="BA18" s="77">
        <f t="shared" si="24"/>
        <v>4.53</v>
      </c>
    </row>
    <row r="19" spans="1:53" ht="14.1" customHeight="1" x14ac:dyDescent="0.2">
      <c r="A19" s="67">
        <v>3</v>
      </c>
      <c r="B19" s="64">
        <v>2442</v>
      </c>
      <c r="C19" s="65">
        <v>600079066</v>
      </c>
      <c r="D19" s="64">
        <v>72742101</v>
      </c>
      <c r="E19" s="66" t="s">
        <v>559</v>
      </c>
      <c r="F19" s="67">
        <v>3111</v>
      </c>
      <c r="G19" s="66" t="s">
        <v>307</v>
      </c>
      <c r="H19" s="68" t="s">
        <v>277</v>
      </c>
      <c r="I19" s="462">
        <v>8572129</v>
      </c>
      <c r="J19" s="16">
        <v>6322573</v>
      </c>
      <c r="K19" s="457">
        <v>2137030</v>
      </c>
      <c r="L19" s="457">
        <v>63226</v>
      </c>
      <c r="M19" s="16">
        <v>49300</v>
      </c>
      <c r="N19" s="13">
        <v>12.99</v>
      </c>
      <c r="O19" s="13">
        <v>10</v>
      </c>
      <c r="P19" s="17">
        <v>2.99</v>
      </c>
      <c r="Q19" s="469">
        <f t="shared" si="0"/>
        <v>-3120</v>
      </c>
      <c r="R19" s="469">
        <v>0</v>
      </c>
      <c r="S19" s="460">
        <v>0</v>
      </c>
      <c r="T19" s="460">
        <v>0</v>
      </c>
      <c r="U19" s="460">
        <v>0</v>
      </c>
      <c r="V19" s="460">
        <f>SUM(Q19:U19)</f>
        <v>-3120</v>
      </c>
      <c r="W19" s="460">
        <v>3120</v>
      </c>
      <c r="X19" s="460">
        <v>0</v>
      </c>
      <c r="Y19" s="460">
        <v>0</v>
      </c>
      <c r="Z19" s="460">
        <f t="shared" ref="Z19:Z21" si="25">SUM(W19:Y19)</f>
        <v>3120</v>
      </c>
      <c r="AA19" s="460">
        <f t="shared" ref="AA19:AA21" si="26">V19+Z19</f>
        <v>0</v>
      </c>
      <c r="AB19" s="69">
        <f t="shared" ref="AB19:AB21" si="27">ROUND((V19+W19+X19)*33.8%,0)</f>
        <v>0</v>
      </c>
      <c r="AC19" s="69">
        <f t="shared" ref="AC19:AC21" si="28">ROUND(V19*1%,0)</f>
        <v>-31</v>
      </c>
      <c r="AD19" s="460">
        <v>0</v>
      </c>
      <c r="AE19" s="460">
        <v>0</v>
      </c>
      <c r="AF19" s="460">
        <f>SUM(AD19:AE19)</f>
        <v>0</v>
      </c>
      <c r="AG19" s="460">
        <f>AA19+AB19+AC19+AF19</f>
        <v>-31</v>
      </c>
      <c r="AH19" s="461">
        <v>0</v>
      </c>
      <c r="AI19" s="461">
        <v>-0.01</v>
      </c>
      <c r="AJ19" s="461">
        <v>0</v>
      </c>
      <c r="AK19" s="461">
        <v>0</v>
      </c>
      <c r="AL19" s="461">
        <v>0</v>
      </c>
      <c r="AM19" s="461">
        <v>0</v>
      </c>
      <c r="AN19" s="461">
        <v>0</v>
      </c>
      <c r="AO19" s="461">
        <v>0</v>
      </c>
      <c r="AP19" s="461">
        <f t="shared" si="10"/>
        <v>0</v>
      </c>
      <c r="AQ19" s="461">
        <f t="shared" si="11"/>
        <v>-0.01</v>
      </c>
      <c r="AR19" s="737">
        <f t="shared" si="12"/>
        <v>-0.01</v>
      </c>
      <c r="AS19" s="470">
        <f t="shared" si="13"/>
        <v>8572098</v>
      </c>
      <c r="AT19" s="460">
        <f t="shared" si="14"/>
        <v>6319453</v>
      </c>
      <c r="AU19" s="460">
        <f t="shared" si="15"/>
        <v>3120</v>
      </c>
      <c r="AV19" s="460">
        <f t="shared" si="16"/>
        <v>2137030</v>
      </c>
      <c r="AW19" s="460">
        <f t="shared" si="17"/>
        <v>63195</v>
      </c>
      <c r="AX19" s="460">
        <f t="shared" si="18"/>
        <v>49300</v>
      </c>
      <c r="AY19" s="461">
        <f t="shared" si="19"/>
        <v>12.98</v>
      </c>
      <c r="AZ19" s="461">
        <f t="shared" si="20"/>
        <v>10</v>
      </c>
      <c r="BA19" s="463">
        <f t="shared" si="21"/>
        <v>2.9800000000000004</v>
      </c>
    </row>
    <row r="20" spans="1:53" ht="14.1" customHeight="1" x14ac:dyDescent="0.2">
      <c r="A20" s="67">
        <v>3</v>
      </c>
      <c r="B20" s="64">
        <v>2442</v>
      </c>
      <c r="C20" s="65">
        <v>600079066</v>
      </c>
      <c r="D20" s="64">
        <v>72742101</v>
      </c>
      <c r="E20" s="66" t="s">
        <v>559</v>
      </c>
      <c r="F20" s="67">
        <v>3111</v>
      </c>
      <c r="G20" s="78" t="s">
        <v>308</v>
      </c>
      <c r="H20" s="68" t="s">
        <v>278</v>
      </c>
      <c r="I20" s="462">
        <v>0</v>
      </c>
      <c r="J20" s="457">
        <v>0</v>
      </c>
      <c r="K20" s="457">
        <v>0</v>
      </c>
      <c r="L20" s="457">
        <v>0</v>
      </c>
      <c r="M20" s="457">
        <v>0</v>
      </c>
      <c r="N20" s="458">
        <v>0</v>
      </c>
      <c r="O20" s="459">
        <v>0</v>
      </c>
      <c r="P20" s="646">
        <v>0</v>
      </c>
      <c r="Q20" s="469">
        <f t="shared" si="0"/>
        <v>0</v>
      </c>
      <c r="R20" s="469">
        <v>692894</v>
      </c>
      <c r="S20" s="460">
        <v>0</v>
      </c>
      <c r="T20" s="460">
        <v>0</v>
      </c>
      <c r="U20" s="460">
        <v>0</v>
      </c>
      <c r="V20" s="460">
        <f>SUM(Q20:U20)</f>
        <v>692894</v>
      </c>
      <c r="W20" s="460">
        <v>0</v>
      </c>
      <c r="X20" s="460">
        <v>0</v>
      </c>
      <c r="Y20" s="460">
        <v>0</v>
      </c>
      <c r="Z20" s="460">
        <f t="shared" si="25"/>
        <v>0</v>
      </c>
      <c r="AA20" s="460">
        <f t="shared" si="26"/>
        <v>692894</v>
      </c>
      <c r="AB20" s="69">
        <f t="shared" si="27"/>
        <v>234198</v>
      </c>
      <c r="AC20" s="69">
        <f t="shared" si="28"/>
        <v>6929</v>
      </c>
      <c r="AD20" s="460">
        <v>0</v>
      </c>
      <c r="AE20" s="460">
        <v>0</v>
      </c>
      <c r="AF20" s="460">
        <f>SUM(AD20:AE20)</f>
        <v>0</v>
      </c>
      <c r="AG20" s="460">
        <f>AA20+AB20+AC20+AF20</f>
        <v>934021</v>
      </c>
      <c r="AH20" s="461">
        <v>0</v>
      </c>
      <c r="AI20" s="461">
        <v>0</v>
      </c>
      <c r="AJ20" s="461">
        <v>2</v>
      </c>
      <c r="AK20" s="461">
        <v>0</v>
      </c>
      <c r="AL20" s="461">
        <v>0</v>
      </c>
      <c r="AM20" s="461">
        <v>0</v>
      </c>
      <c r="AN20" s="461">
        <v>0</v>
      </c>
      <c r="AO20" s="461">
        <v>0</v>
      </c>
      <c r="AP20" s="461">
        <f t="shared" si="10"/>
        <v>2</v>
      </c>
      <c r="AQ20" s="461">
        <f t="shared" si="11"/>
        <v>0</v>
      </c>
      <c r="AR20" s="737">
        <f t="shared" si="12"/>
        <v>2</v>
      </c>
      <c r="AS20" s="470">
        <f t="shared" si="13"/>
        <v>934021</v>
      </c>
      <c r="AT20" s="460">
        <f t="shared" si="14"/>
        <v>692894</v>
      </c>
      <c r="AU20" s="460">
        <f t="shared" si="15"/>
        <v>0</v>
      </c>
      <c r="AV20" s="460">
        <f t="shared" si="16"/>
        <v>234198</v>
      </c>
      <c r="AW20" s="460">
        <f t="shared" si="17"/>
        <v>6929</v>
      </c>
      <c r="AX20" s="460">
        <f t="shared" si="18"/>
        <v>0</v>
      </c>
      <c r="AY20" s="461">
        <f t="shared" si="19"/>
        <v>2</v>
      </c>
      <c r="AZ20" s="461">
        <f t="shared" si="20"/>
        <v>2</v>
      </c>
      <c r="BA20" s="463">
        <f t="shared" si="21"/>
        <v>0</v>
      </c>
    </row>
    <row r="21" spans="1:53" ht="14.1" customHeight="1" x14ac:dyDescent="0.2">
      <c r="A21" s="67">
        <v>3</v>
      </c>
      <c r="B21" s="64">
        <v>2442</v>
      </c>
      <c r="C21" s="65">
        <v>600079066</v>
      </c>
      <c r="D21" s="64">
        <v>72742101</v>
      </c>
      <c r="E21" s="66" t="s">
        <v>559</v>
      </c>
      <c r="F21" s="67">
        <v>3141</v>
      </c>
      <c r="G21" s="66" t="s">
        <v>311</v>
      </c>
      <c r="H21" s="68" t="s">
        <v>278</v>
      </c>
      <c r="I21" s="462">
        <v>1135722</v>
      </c>
      <c r="J21" s="728">
        <v>838203</v>
      </c>
      <c r="K21" s="457">
        <v>283313</v>
      </c>
      <c r="L21" s="457">
        <v>8382</v>
      </c>
      <c r="M21" s="728">
        <v>5824</v>
      </c>
      <c r="N21" s="458">
        <v>2.69</v>
      </c>
      <c r="O21" s="459">
        <v>0</v>
      </c>
      <c r="P21" s="646">
        <v>2.69</v>
      </c>
      <c r="Q21" s="469">
        <f t="shared" si="0"/>
        <v>0</v>
      </c>
      <c r="R21" s="469">
        <v>0</v>
      </c>
      <c r="S21" s="460">
        <v>0</v>
      </c>
      <c r="T21" s="460">
        <v>0</v>
      </c>
      <c r="U21" s="460">
        <v>0</v>
      </c>
      <c r="V21" s="460">
        <f>SUM(Q21:U21)</f>
        <v>0</v>
      </c>
      <c r="W21" s="460">
        <v>0</v>
      </c>
      <c r="X21" s="460">
        <v>0</v>
      </c>
      <c r="Y21" s="460">
        <v>0</v>
      </c>
      <c r="Z21" s="460">
        <f t="shared" si="25"/>
        <v>0</v>
      </c>
      <c r="AA21" s="460">
        <f t="shared" si="26"/>
        <v>0</v>
      </c>
      <c r="AB21" s="69">
        <f t="shared" si="27"/>
        <v>0</v>
      </c>
      <c r="AC21" s="69">
        <f t="shared" si="28"/>
        <v>0</v>
      </c>
      <c r="AD21" s="460">
        <v>0</v>
      </c>
      <c r="AE21" s="460">
        <v>0</v>
      </c>
      <c r="AF21" s="460">
        <f>SUM(AD21:AE21)</f>
        <v>0</v>
      </c>
      <c r="AG21" s="460">
        <f>AA21+AB21+AC21+AF21</f>
        <v>0</v>
      </c>
      <c r="AH21" s="461">
        <v>0</v>
      </c>
      <c r="AI21" s="461">
        <v>0</v>
      </c>
      <c r="AJ21" s="461">
        <v>0</v>
      </c>
      <c r="AK21" s="461">
        <v>0</v>
      </c>
      <c r="AL21" s="461">
        <v>0</v>
      </c>
      <c r="AM21" s="461">
        <v>0</v>
      </c>
      <c r="AN21" s="461">
        <v>0</v>
      </c>
      <c r="AO21" s="461">
        <v>0</v>
      </c>
      <c r="AP21" s="461">
        <f t="shared" si="10"/>
        <v>0</v>
      </c>
      <c r="AQ21" s="461">
        <f t="shared" si="11"/>
        <v>0</v>
      </c>
      <c r="AR21" s="737">
        <f t="shared" si="12"/>
        <v>0</v>
      </c>
      <c r="AS21" s="470">
        <f t="shared" si="13"/>
        <v>1135722</v>
      </c>
      <c r="AT21" s="460">
        <f t="shared" si="14"/>
        <v>838203</v>
      </c>
      <c r="AU21" s="460">
        <f t="shared" si="15"/>
        <v>0</v>
      </c>
      <c r="AV21" s="460">
        <f t="shared" si="16"/>
        <v>283313</v>
      </c>
      <c r="AW21" s="460">
        <f t="shared" si="17"/>
        <v>8382</v>
      </c>
      <c r="AX21" s="460">
        <f t="shared" si="18"/>
        <v>5824</v>
      </c>
      <c r="AY21" s="461">
        <f t="shared" si="19"/>
        <v>2.69</v>
      </c>
      <c r="AZ21" s="461">
        <f t="shared" si="20"/>
        <v>0</v>
      </c>
      <c r="BA21" s="463">
        <f t="shared" si="21"/>
        <v>2.69</v>
      </c>
    </row>
    <row r="22" spans="1:53" ht="14.1" customHeight="1" x14ac:dyDescent="0.2">
      <c r="A22" s="73">
        <v>3</v>
      </c>
      <c r="B22" s="70">
        <v>2442</v>
      </c>
      <c r="C22" s="71">
        <v>600079066</v>
      </c>
      <c r="D22" s="70">
        <v>72742101</v>
      </c>
      <c r="E22" s="72" t="s">
        <v>560</v>
      </c>
      <c r="F22" s="73"/>
      <c r="G22" s="72"/>
      <c r="H22" s="74"/>
      <c r="I22" s="701">
        <f t="shared" ref="I22:P22" si="29">SUM(I19:I21)</f>
        <v>9707851</v>
      </c>
      <c r="J22" s="75">
        <f t="shared" si="29"/>
        <v>7160776</v>
      </c>
      <c r="K22" s="75">
        <f t="shared" si="29"/>
        <v>2420343</v>
      </c>
      <c r="L22" s="75">
        <f t="shared" si="29"/>
        <v>71608</v>
      </c>
      <c r="M22" s="75">
        <f t="shared" si="29"/>
        <v>55124</v>
      </c>
      <c r="N22" s="76">
        <f t="shared" si="29"/>
        <v>15.68</v>
      </c>
      <c r="O22" s="76">
        <f t="shared" si="29"/>
        <v>10</v>
      </c>
      <c r="P22" s="77">
        <f t="shared" si="29"/>
        <v>5.68</v>
      </c>
      <c r="Q22" s="724">
        <f t="shared" ref="Q22:BA22" si="30">SUM(Q19:Q21)</f>
        <v>-3120</v>
      </c>
      <c r="R22" s="724">
        <f t="shared" si="30"/>
        <v>692894</v>
      </c>
      <c r="S22" s="75">
        <f t="shared" si="30"/>
        <v>0</v>
      </c>
      <c r="T22" s="75">
        <f t="shared" si="30"/>
        <v>0</v>
      </c>
      <c r="U22" s="75">
        <f t="shared" si="30"/>
        <v>0</v>
      </c>
      <c r="V22" s="75">
        <f t="shared" si="30"/>
        <v>689774</v>
      </c>
      <c r="W22" s="75">
        <f t="shared" si="30"/>
        <v>3120</v>
      </c>
      <c r="X22" s="75">
        <f t="shared" si="30"/>
        <v>0</v>
      </c>
      <c r="Y22" s="75">
        <f t="shared" si="30"/>
        <v>0</v>
      </c>
      <c r="Z22" s="75">
        <f t="shared" si="30"/>
        <v>3120</v>
      </c>
      <c r="AA22" s="75">
        <f t="shared" si="30"/>
        <v>692894</v>
      </c>
      <c r="AB22" s="75">
        <f t="shared" si="30"/>
        <v>234198</v>
      </c>
      <c r="AC22" s="75">
        <f t="shared" si="30"/>
        <v>6898</v>
      </c>
      <c r="AD22" s="75">
        <f t="shared" si="30"/>
        <v>0</v>
      </c>
      <c r="AE22" s="75">
        <f t="shared" si="30"/>
        <v>0</v>
      </c>
      <c r="AF22" s="75">
        <f t="shared" si="30"/>
        <v>0</v>
      </c>
      <c r="AG22" s="75">
        <f t="shared" si="30"/>
        <v>933990</v>
      </c>
      <c r="AH22" s="76">
        <f t="shared" si="30"/>
        <v>0</v>
      </c>
      <c r="AI22" s="76">
        <f t="shared" si="30"/>
        <v>-0.01</v>
      </c>
      <c r="AJ22" s="76">
        <f t="shared" si="30"/>
        <v>2</v>
      </c>
      <c r="AK22" s="76">
        <f t="shared" si="30"/>
        <v>0</v>
      </c>
      <c r="AL22" s="76">
        <f t="shared" si="30"/>
        <v>0</v>
      </c>
      <c r="AM22" s="76">
        <f t="shared" si="30"/>
        <v>0</v>
      </c>
      <c r="AN22" s="76">
        <f t="shared" si="30"/>
        <v>0</v>
      </c>
      <c r="AO22" s="76">
        <f t="shared" si="30"/>
        <v>0</v>
      </c>
      <c r="AP22" s="76">
        <f t="shared" si="30"/>
        <v>2</v>
      </c>
      <c r="AQ22" s="76">
        <f t="shared" si="30"/>
        <v>-0.01</v>
      </c>
      <c r="AR22" s="720">
        <f t="shared" si="30"/>
        <v>1.99</v>
      </c>
      <c r="AS22" s="701">
        <f t="shared" si="30"/>
        <v>10641841</v>
      </c>
      <c r="AT22" s="75">
        <f t="shared" si="30"/>
        <v>7850550</v>
      </c>
      <c r="AU22" s="75">
        <f t="shared" si="30"/>
        <v>3120</v>
      </c>
      <c r="AV22" s="75">
        <f t="shared" si="30"/>
        <v>2654541</v>
      </c>
      <c r="AW22" s="75">
        <f t="shared" si="30"/>
        <v>78506</v>
      </c>
      <c r="AX22" s="75">
        <f t="shared" si="30"/>
        <v>55124</v>
      </c>
      <c r="AY22" s="76">
        <f t="shared" si="30"/>
        <v>17.670000000000002</v>
      </c>
      <c r="AZ22" s="76">
        <f t="shared" si="30"/>
        <v>12</v>
      </c>
      <c r="BA22" s="77">
        <f t="shared" si="30"/>
        <v>5.67</v>
      </c>
    </row>
    <row r="23" spans="1:53" ht="14.1" customHeight="1" x14ac:dyDescent="0.2">
      <c r="A23" s="67">
        <v>4</v>
      </c>
      <c r="B23" s="64">
        <v>2437</v>
      </c>
      <c r="C23" s="65">
        <v>600079074</v>
      </c>
      <c r="D23" s="64">
        <v>72743221</v>
      </c>
      <c r="E23" s="66" t="s">
        <v>561</v>
      </c>
      <c r="F23" s="67">
        <v>3111</v>
      </c>
      <c r="G23" s="66" t="s">
        <v>307</v>
      </c>
      <c r="H23" s="68" t="s">
        <v>277</v>
      </c>
      <c r="I23" s="462">
        <v>14102140</v>
      </c>
      <c r="J23" s="16">
        <v>10404859</v>
      </c>
      <c r="K23" s="457">
        <v>3516842</v>
      </c>
      <c r="L23" s="457">
        <v>104049</v>
      </c>
      <c r="M23" s="16">
        <v>76390</v>
      </c>
      <c r="N23" s="13">
        <v>21.195</v>
      </c>
      <c r="O23" s="13">
        <v>16.475000000000001</v>
      </c>
      <c r="P23" s="17">
        <v>4.72</v>
      </c>
      <c r="Q23" s="469">
        <f t="shared" si="0"/>
        <v>0</v>
      </c>
      <c r="R23" s="469">
        <v>0</v>
      </c>
      <c r="S23" s="460">
        <v>0</v>
      </c>
      <c r="T23" s="460">
        <v>0</v>
      </c>
      <c r="U23" s="460">
        <v>0</v>
      </c>
      <c r="V23" s="460">
        <f>SUM(Q23:U23)</f>
        <v>0</v>
      </c>
      <c r="W23" s="460">
        <v>0</v>
      </c>
      <c r="X23" s="460">
        <v>0</v>
      </c>
      <c r="Y23" s="460">
        <v>0</v>
      </c>
      <c r="Z23" s="460">
        <f t="shared" ref="Z23:Z26" si="31">SUM(W23:Y23)</f>
        <v>0</v>
      </c>
      <c r="AA23" s="460">
        <f t="shared" ref="AA23:AA26" si="32">V23+Z23</f>
        <v>0</v>
      </c>
      <c r="AB23" s="69">
        <f t="shared" ref="AB23:AB26" si="33">ROUND((V23+W23+X23)*33.8%,0)</f>
        <v>0</v>
      </c>
      <c r="AC23" s="69">
        <f t="shared" ref="AC23:AC26" si="34">ROUND(V23*1%,0)</f>
        <v>0</v>
      </c>
      <c r="AD23" s="460">
        <v>0</v>
      </c>
      <c r="AE23" s="460">
        <v>0</v>
      </c>
      <c r="AF23" s="460">
        <f>SUM(AD23:AE23)</f>
        <v>0</v>
      </c>
      <c r="AG23" s="460">
        <f>AA23+AB23+AC23+AF23</f>
        <v>0</v>
      </c>
      <c r="AH23" s="461">
        <v>0</v>
      </c>
      <c r="AI23" s="461">
        <v>0</v>
      </c>
      <c r="AJ23" s="461">
        <v>0</v>
      </c>
      <c r="AK23" s="461">
        <v>0</v>
      </c>
      <c r="AL23" s="461">
        <v>0</v>
      </c>
      <c r="AM23" s="461">
        <v>0</v>
      </c>
      <c r="AN23" s="461">
        <v>0</v>
      </c>
      <c r="AO23" s="461">
        <v>0</v>
      </c>
      <c r="AP23" s="461">
        <f t="shared" si="10"/>
        <v>0</v>
      </c>
      <c r="AQ23" s="461">
        <f t="shared" si="11"/>
        <v>0</v>
      </c>
      <c r="AR23" s="737">
        <f t="shared" si="12"/>
        <v>0</v>
      </c>
      <c r="AS23" s="470">
        <f t="shared" si="13"/>
        <v>14102140</v>
      </c>
      <c r="AT23" s="460">
        <f t="shared" si="14"/>
        <v>10404859</v>
      </c>
      <c r="AU23" s="460">
        <f t="shared" si="15"/>
        <v>0</v>
      </c>
      <c r="AV23" s="460">
        <f t="shared" si="16"/>
        <v>3516842</v>
      </c>
      <c r="AW23" s="460">
        <f t="shared" si="17"/>
        <v>104049</v>
      </c>
      <c r="AX23" s="460">
        <f t="shared" si="18"/>
        <v>76390</v>
      </c>
      <c r="AY23" s="461">
        <f t="shared" si="19"/>
        <v>21.195</v>
      </c>
      <c r="AZ23" s="461">
        <f t="shared" si="20"/>
        <v>16.475000000000001</v>
      </c>
      <c r="BA23" s="463">
        <f t="shared" si="21"/>
        <v>4.72</v>
      </c>
    </row>
    <row r="24" spans="1:53" ht="14.1" customHeight="1" x14ac:dyDescent="0.2">
      <c r="A24" s="67">
        <v>4</v>
      </c>
      <c r="B24" s="64">
        <v>2437</v>
      </c>
      <c r="C24" s="65">
        <v>600079074</v>
      </c>
      <c r="D24" s="64">
        <v>72743221</v>
      </c>
      <c r="E24" s="66" t="s">
        <v>561</v>
      </c>
      <c r="F24" s="67">
        <v>3111</v>
      </c>
      <c r="G24" s="44" t="s">
        <v>309</v>
      </c>
      <c r="H24" s="68" t="s">
        <v>277</v>
      </c>
      <c r="I24" s="462">
        <v>825526</v>
      </c>
      <c r="J24" s="16">
        <v>612408</v>
      </c>
      <c r="K24" s="457">
        <v>206994</v>
      </c>
      <c r="L24" s="457">
        <v>6124</v>
      </c>
      <c r="M24" s="16">
        <v>0</v>
      </c>
      <c r="N24" s="13">
        <v>2</v>
      </c>
      <c r="O24" s="13">
        <v>2</v>
      </c>
      <c r="P24" s="17">
        <v>0</v>
      </c>
      <c r="Q24" s="469">
        <f t="shared" si="0"/>
        <v>0</v>
      </c>
      <c r="R24" s="469">
        <v>0</v>
      </c>
      <c r="S24" s="460">
        <v>0</v>
      </c>
      <c r="T24" s="460">
        <v>0</v>
      </c>
      <c r="U24" s="460">
        <v>0</v>
      </c>
      <c r="V24" s="460">
        <f>SUM(Q24:U24)</f>
        <v>0</v>
      </c>
      <c r="W24" s="460">
        <v>0</v>
      </c>
      <c r="X24" s="460">
        <v>0</v>
      </c>
      <c r="Y24" s="460">
        <v>0</v>
      </c>
      <c r="Z24" s="460">
        <f t="shared" si="31"/>
        <v>0</v>
      </c>
      <c r="AA24" s="460">
        <f t="shared" si="32"/>
        <v>0</v>
      </c>
      <c r="AB24" s="69">
        <f t="shared" si="33"/>
        <v>0</v>
      </c>
      <c r="AC24" s="69">
        <f t="shared" si="34"/>
        <v>0</v>
      </c>
      <c r="AD24" s="460">
        <v>0</v>
      </c>
      <c r="AE24" s="460">
        <v>0</v>
      </c>
      <c r="AF24" s="460">
        <f>SUM(AD24:AE24)</f>
        <v>0</v>
      </c>
      <c r="AG24" s="460">
        <f>AA24+AB24+AC24+AF24</f>
        <v>0</v>
      </c>
      <c r="AH24" s="461">
        <v>0</v>
      </c>
      <c r="AI24" s="461">
        <v>0</v>
      </c>
      <c r="AJ24" s="461">
        <v>0</v>
      </c>
      <c r="AK24" s="461">
        <v>0</v>
      </c>
      <c r="AL24" s="461">
        <v>0</v>
      </c>
      <c r="AM24" s="461">
        <v>0</v>
      </c>
      <c r="AN24" s="461">
        <v>0</v>
      </c>
      <c r="AO24" s="461">
        <v>0</v>
      </c>
      <c r="AP24" s="461">
        <f t="shared" si="10"/>
        <v>0</v>
      </c>
      <c r="AQ24" s="461">
        <f t="shared" si="11"/>
        <v>0</v>
      </c>
      <c r="AR24" s="737">
        <f t="shared" si="12"/>
        <v>0</v>
      </c>
      <c r="AS24" s="470">
        <f t="shared" si="13"/>
        <v>825526</v>
      </c>
      <c r="AT24" s="460">
        <f t="shared" si="14"/>
        <v>612408</v>
      </c>
      <c r="AU24" s="460">
        <f t="shared" si="15"/>
        <v>0</v>
      </c>
      <c r="AV24" s="460">
        <f t="shared" si="16"/>
        <v>206994</v>
      </c>
      <c r="AW24" s="460">
        <f t="shared" si="17"/>
        <v>6124</v>
      </c>
      <c r="AX24" s="460">
        <f t="shared" si="18"/>
        <v>0</v>
      </c>
      <c r="AY24" s="461">
        <f t="shared" si="19"/>
        <v>2</v>
      </c>
      <c r="AZ24" s="461">
        <f t="shared" si="20"/>
        <v>2</v>
      </c>
      <c r="BA24" s="463">
        <f t="shared" si="21"/>
        <v>0</v>
      </c>
    </row>
    <row r="25" spans="1:53" ht="14.1" customHeight="1" x14ac:dyDescent="0.2">
      <c r="A25" s="67">
        <v>4</v>
      </c>
      <c r="B25" s="64">
        <v>2437</v>
      </c>
      <c r="C25" s="65">
        <v>600079074</v>
      </c>
      <c r="D25" s="64">
        <v>72743221</v>
      </c>
      <c r="E25" s="66" t="s">
        <v>561</v>
      </c>
      <c r="F25" s="67">
        <v>3111</v>
      </c>
      <c r="G25" s="78" t="s">
        <v>308</v>
      </c>
      <c r="H25" s="68" t="s">
        <v>278</v>
      </c>
      <c r="I25" s="462">
        <v>0</v>
      </c>
      <c r="J25" s="457">
        <v>0</v>
      </c>
      <c r="K25" s="457">
        <v>0</v>
      </c>
      <c r="L25" s="457">
        <v>0</v>
      </c>
      <c r="M25" s="457">
        <v>0</v>
      </c>
      <c r="N25" s="458">
        <v>0</v>
      </c>
      <c r="O25" s="459">
        <v>0</v>
      </c>
      <c r="P25" s="646">
        <v>0</v>
      </c>
      <c r="Q25" s="469">
        <f t="shared" si="0"/>
        <v>0</v>
      </c>
      <c r="R25" s="469">
        <v>346447</v>
      </c>
      <c r="S25" s="460">
        <v>0</v>
      </c>
      <c r="T25" s="460">
        <v>0</v>
      </c>
      <c r="U25" s="460">
        <v>0</v>
      </c>
      <c r="V25" s="460">
        <f>SUM(Q25:U25)</f>
        <v>346447</v>
      </c>
      <c r="W25" s="460">
        <v>0</v>
      </c>
      <c r="X25" s="460">
        <v>0</v>
      </c>
      <c r="Y25" s="460">
        <v>0</v>
      </c>
      <c r="Z25" s="460">
        <f t="shared" si="31"/>
        <v>0</v>
      </c>
      <c r="AA25" s="460">
        <f t="shared" si="32"/>
        <v>346447</v>
      </c>
      <c r="AB25" s="69">
        <f t="shared" si="33"/>
        <v>117099</v>
      </c>
      <c r="AC25" s="69">
        <f t="shared" si="34"/>
        <v>3464</v>
      </c>
      <c r="AD25" s="460">
        <v>0</v>
      </c>
      <c r="AE25" s="460">
        <v>0</v>
      </c>
      <c r="AF25" s="460">
        <f>SUM(AD25:AE25)</f>
        <v>0</v>
      </c>
      <c r="AG25" s="460">
        <f>AA25+AB25+AC25+AF25</f>
        <v>467010</v>
      </c>
      <c r="AH25" s="461">
        <v>0</v>
      </c>
      <c r="AI25" s="461">
        <v>0</v>
      </c>
      <c r="AJ25" s="461">
        <v>1</v>
      </c>
      <c r="AK25" s="461">
        <v>0</v>
      </c>
      <c r="AL25" s="461">
        <v>0</v>
      </c>
      <c r="AM25" s="461">
        <v>0</v>
      </c>
      <c r="AN25" s="461">
        <v>0</v>
      </c>
      <c r="AO25" s="461">
        <v>0</v>
      </c>
      <c r="AP25" s="461">
        <f t="shared" si="10"/>
        <v>1</v>
      </c>
      <c r="AQ25" s="461">
        <f t="shared" si="11"/>
        <v>0</v>
      </c>
      <c r="AR25" s="737">
        <f t="shared" si="12"/>
        <v>1</v>
      </c>
      <c r="AS25" s="470">
        <f t="shared" si="13"/>
        <v>467010</v>
      </c>
      <c r="AT25" s="460">
        <f t="shared" si="14"/>
        <v>346447</v>
      </c>
      <c r="AU25" s="460">
        <f t="shared" si="15"/>
        <v>0</v>
      </c>
      <c r="AV25" s="460">
        <f t="shared" si="16"/>
        <v>117099</v>
      </c>
      <c r="AW25" s="460">
        <f t="shared" si="17"/>
        <v>3464</v>
      </c>
      <c r="AX25" s="460">
        <f t="shared" si="18"/>
        <v>0</v>
      </c>
      <c r="AY25" s="461">
        <f t="shared" si="19"/>
        <v>1</v>
      </c>
      <c r="AZ25" s="461">
        <f t="shared" si="20"/>
        <v>1</v>
      </c>
      <c r="BA25" s="463">
        <f t="shared" si="21"/>
        <v>0</v>
      </c>
    </row>
    <row r="26" spans="1:53" ht="14.1" customHeight="1" x14ac:dyDescent="0.2">
      <c r="A26" s="67">
        <v>4</v>
      </c>
      <c r="B26" s="64">
        <v>2437</v>
      </c>
      <c r="C26" s="65">
        <v>600079074</v>
      </c>
      <c r="D26" s="64">
        <v>72743221</v>
      </c>
      <c r="E26" s="66" t="s">
        <v>561</v>
      </c>
      <c r="F26" s="67">
        <v>3141</v>
      </c>
      <c r="G26" s="66" t="s">
        <v>311</v>
      </c>
      <c r="H26" s="68" t="s">
        <v>278</v>
      </c>
      <c r="I26" s="462">
        <v>1516246</v>
      </c>
      <c r="J26" s="728">
        <v>1118755</v>
      </c>
      <c r="K26" s="457">
        <v>378139</v>
      </c>
      <c r="L26" s="457">
        <v>11188</v>
      </c>
      <c r="M26" s="728">
        <v>8164</v>
      </c>
      <c r="N26" s="458">
        <v>3.6</v>
      </c>
      <c r="O26" s="459">
        <v>0</v>
      </c>
      <c r="P26" s="646">
        <v>3.6</v>
      </c>
      <c r="Q26" s="469">
        <f t="shared" si="0"/>
        <v>0</v>
      </c>
      <c r="R26" s="469">
        <v>0</v>
      </c>
      <c r="S26" s="460">
        <v>0</v>
      </c>
      <c r="T26" s="460">
        <v>0</v>
      </c>
      <c r="U26" s="460">
        <v>0</v>
      </c>
      <c r="V26" s="460">
        <f>SUM(Q26:U26)</f>
        <v>0</v>
      </c>
      <c r="W26" s="460">
        <v>0</v>
      </c>
      <c r="X26" s="460">
        <v>0</v>
      </c>
      <c r="Y26" s="460">
        <v>0</v>
      </c>
      <c r="Z26" s="460">
        <f t="shared" si="31"/>
        <v>0</v>
      </c>
      <c r="AA26" s="460">
        <f t="shared" si="32"/>
        <v>0</v>
      </c>
      <c r="AB26" s="69">
        <f t="shared" si="33"/>
        <v>0</v>
      </c>
      <c r="AC26" s="69">
        <f t="shared" si="34"/>
        <v>0</v>
      </c>
      <c r="AD26" s="460">
        <v>0</v>
      </c>
      <c r="AE26" s="460">
        <v>0</v>
      </c>
      <c r="AF26" s="460">
        <f>SUM(AD26:AE26)</f>
        <v>0</v>
      </c>
      <c r="AG26" s="460">
        <f>AA26+AB26+AC26+AF26</f>
        <v>0</v>
      </c>
      <c r="AH26" s="461">
        <v>0</v>
      </c>
      <c r="AI26" s="461">
        <v>0</v>
      </c>
      <c r="AJ26" s="461">
        <v>0</v>
      </c>
      <c r="AK26" s="461">
        <v>0</v>
      </c>
      <c r="AL26" s="461">
        <v>0</v>
      </c>
      <c r="AM26" s="461">
        <v>0</v>
      </c>
      <c r="AN26" s="461">
        <v>0</v>
      </c>
      <c r="AO26" s="461">
        <v>0</v>
      </c>
      <c r="AP26" s="461">
        <f t="shared" si="10"/>
        <v>0</v>
      </c>
      <c r="AQ26" s="461">
        <f t="shared" si="11"/>
        <v>0</v>
      </c>
      <c r="AR26" s="737">
        <f t="shared" si="12"/>
        <v>0</v>
      </c>
      <c r="AS26" s="470">
        <f t="shared" si="13"/>
        <v>1516246</v>
      </c>
      <c r="AT26" s="460">
        <f t="shared" si="14"/>
        <v>1118755</v>
      </c>
      <c r="AU26" s="460">
        <f t="shared" si="15"/>
        <v>0</v>
      </c>
      <c r="AV26" s="460">
        <f t="shared" si="16"/>
        <v>378139</v>
      </c>
      <c r="AW26" s="460">
        <f t="shared" si="17"/>
        <v>11188</v>
      </c>
      <c r="AX26" s="460">
        <f t="shared" si="18"/>
        <v>8164</v>
      </c>
      <c r="AY26" s="461">
        <f t="shared" si="19"/>
        <v>3.6</v>
      </c>
      <c r="AZ26" s="461">
        <f t="shared" si="20"/>
        <v>0</v>
      </c>
      <c r="BA26" s="463">
        <f t="shared" si="21"/>
        <v>3.6</v>
      </c>
    </row>
    <row r="27" spans="1:53" ht="14.1" customHeight="1" x14ac:dyDescent="0.2">
      <c r="A27" s="73">
        <v>4</v>
      </c>
      <c r="B27" s="70">
        <v>2437</v>
      </c>
      <c r="C27" s="71">
        <v>600079074</v>
      </c>
      <c r="D27" s="70">
        <v>72743221</v>
      </c>
      <c r="E27" s="72" t="s">
        <v>562</v>
      </c>
      <c r="F27" s="73"/>
      <c r="G27" s="72"/>
      <c r="H27" s="74"/>
      <c r="I27" s="701">
        <f t="shared" ref="I27:P27" si="35">SUM(I23:I26)</f>
        <v>16443912</v>
      </c>
      <c r="J27" s="75">
        <f t="shared" si="35"/>
        <v>12136022</v>
      </c>
      <c r="K27" s="75">
        <f t="shared" si="35"/>
        <v>4101975</v>
      </c>
      <c r="L27" s="75">
        <f t="shared" si="35"/>
        <v>121361</v>
      </c>
      <c r="M27" s="75">
        <f t="shared" si="35"/>
        <v>84554</v>
      </c>
      <c r="N27" s="76">
        <f t="shared" si="35"/>
        <v>26.795000000000002</v>
      </c>
      <c r="O27" s="76">
        <f t="shared" si="35"/>
        <v>18.475000000000001</v>
      </c>
      <c r="P27" s="77">
        <f t="shared" si="35"/>
        <v>8.32</v>
      </c>
      <c r="Q27" s="724">
        <f t="shared" ref="Q27:BA27" si="36">SUM(Q23:Q26)</f>
        <v>0</v>
      </c>
      <c r="R27" s="724">
        <f t="shared" si="36"/>
        <v>346447</v>
      </c>
      <c r="S27" s="75">
        <f t="shared" si="36"/>
        <v>0</v>
      </c>
      <c r="T27" s="75">
        <f t="shared" si="36"/>
        <v>0</v>
      </c>
      <c r="U27" s="75">
        <f t="shared" si="36"/>
        <v>0</v>
      </c>
      <c r="V27" s="75">
        <f t="shared" si="36"/>
        <v>346447</v>
      </c>
      <c r="W27" s="75">
        <f t="shared" si="36"/>
        <v>0</v>
      </c>
      <c r="X27" s="75">
        <f t="shared" si="36"/>
        <v>0</v>
      </c>
      <c r="Y27" s="75">
        <f t="shared" si="36"/>
        <v>0</v>
      </c>
      <c r="Z27" s="75">
        <f t="shared" si="36"/>
        <v>0</v>
      </c>
      <c r="AA27" s="75">
        <f t="shared" si="36"/>
        <v>346447</v>
      </c>
      <c r="AB27" s="75">
        <f t="shared" si="36"/>
        <v>117099</v>
      </c>
      <c r="AC27" s="75">
        <f t="shared" si="36"/>
        <v>3464</v>
      </c>
      <c r="AD27" s="75">
        <f t="shared" si="36"/>
        <v>0</v>
      </c>
      <c r="AE27" s="75">
        <f t="shared" si="36"/>
        <v>0</v>
      </c>
      <c r="AF27" s="75">
        <f t="shared" si="36"/>
        <v>0</v>
      </c>
      <c r="AG27" s="75">
        <f t="shared" si="36"/>
        <v>467010</v>
      </c>
      <c r="AH27" s="76">
        <f t="shared" si="36"/>
        <v>0</v>
      </c>
      <c r="AI27" s="76">
        <f t="shared" si="36"/>
        <v>0</v>
      </c>
      <c r="AJ27" s="76">
        <f t="shared" si="36"/>
        <v>1</v>
      </c>
      <c r="AK27" s="76">
        <f t="shared" si="36"/>
        <v>0</v>
      </c>
      <c r="AL27" s="76">
        <f t="shared" si="36"/>
        <v>0</v>
      </c>
      <c r="AM27" s="76">
        <f t="shared" si="36"/>
        <v>0</v>
      </c>
      <c r="AN27" s="76">
        <f t="shared" si="36"/>
        <v>0</v>
      </c>
      <c r="AO27" s="76">
        <f t="shared" si="36"/>
        <v>0</v>
      </c>
      <c r="AP27" s="76">
        <f t="shared" si="36"/>
        <v>1</v>
      </c>
      <c r="AQ27" s="76">
        <f t="shared" si="36"/>
        <v>0</v>
      </c>
      <c r="AR27" s="720">
        <f t="shared" si="36"/>
        <v>1</v>
      </c>
      <c r="AS27" s="701">
        <f t="shared" si="36"/>
        <v>16910922</v>
      </c>
      <c r="AT27" s="75">
        <f t="shared" si="36"/>
        <v>12482469</v>
      </c>
      <c r="AU27" s="75">
        <f t="shared" si="36"/>
        <v>0</v>
      </c>
      <c r="AV27" s="75">
        <f t="shared" si="36"/>
        <v>4219074</v>
      </c>
      <c r="AW27" s="75">
        <f t="shared" si="36"/>
        <v>124825</v>
      </c>
      <c r="AX27" s="75">
        <f t="shared" si="36"/>
        <v>84554</v>
      </c>
      <c r="AY27" s="76">
        <f t="shared" si="36"/>
        <v>27.795000000000002</v>
      </c>
      <c r="AZ27" s="76">
        <f t="shared" si="36"/>
        <v>19.475000000000001</v>
      </c>
      <c r="BA27" s="77">
        <f t="shared" si="36"/>
        <v>8.32</v>
      </c>
    </row>
    <row r="28" spans="1:53" ht="14.1" customHeight="1" x14ac:dyDescent="0.2">
      <c r="A28" s="67">
        <v>5</v>
      </c>
      <c r="B28" s="64">
        <v>2411</v>
      </c>
      <c r="C28" s="65">
        <v>600079554</v>
      </c>
      <c r="D28" s="64">
        <v>72742666</v>
      </c>
      <c r="E28" s="66" t="s">
        <v>563</v>
      </c>
      <c r="F28" s="67">
        <v>3111</v>
      </c>
      <c r="G28" s="66" t="s">
        <v>307</v>
      </c>
      <c r="H28" s="68" t="s">
        <v>277</v>
      </c>
      <c r="I28" s="462">
        <v>7248867</v>
      </c>
      <c r="J28" s="16">
        <v>5351088</v>
      </c>
      <c r="K28" s="457">
        <v>1808668</v>
      </c>
      <c r="L28" s="457">
        <v>53511</v>
      </c>
      <c r="M28" s="16">
        <v>35600</v>
      </c>
      <c r="N28" s="13">
        <v>10.8193</v>
      </c>
      <c r="O28" s="13">
        <v>8.4192999999999998</v>
      </c>
      <c r="P28" s="17">
        <v>2.4000000000000004</v>
      </c>
      <c r="Q28" s="469">
        <f t="shared" si="0"/>
        <v>0</v>
      </c>
      <c r="R28" s="469">
        <v>0</v>
      </c>
      <c r="S28" s="460">
        <v>0</v>
      </c>
      <c r="T28" s="460">
        <v>0</v>
      </c>
      <c r="U28" s="460">
        <v>0</v>
      </c>
      <c r="V28" s="460">
        <f>SUM(Q28:U28)</f>
        <v>0</v>
      </c>
      <c r="W28" s="460">
        <v>0</v>
      </c>
      <c r="X28" s="460">
        <v>0</v>
      </c>
      <c r="Y28" s="460">
        <v>0</v>
      </c>
      <c r="Z28" s="460">
        <f t="shared" ref="Z28:Z30" si="37">SUM(W28:Y28)</f>
        <v>0</v>
      </c>
      <c r="AA28" s="460">
        <f t="shared" ref="AA28:AA30" si="38">V28+Z28</f>
        <v>0</v>
      </c>
      <c r="AB28" s="69">
        <f t="shared" ref="AB28:AB30" si="39">ROUND((V28+W28+X28)*33.8%,0)</f>
        <v>0</v>
      </c>
      <c r="AC28" s="69">
        <f t="shared" ref="AC28:AC30" si="40">ROUND(V28*1%,0)</f>
        <v>0</v>
      </c>
      <c r="AD28" s="460">
        <v>0</v>
      </c>
      <c r="AE28" s="460">
        <v>0</v>
      </c>
      <c r="AF28" s="460">
        <f>SUM(AD28:AE28)</f>
        <v>0</v>
      </c>
      <c r="AG28" s="460">
        <f>AA28+AB28+AC28+AF28</f>
        <v>0</v>
      </c>
      <c r="AH28" s="461">
        <v>0</v>
      </c>
      <c r="AI28" s="461">
        <v>0</v>
      </c>
      <c r="AJ28" s="461">
        <v>0</v>
      </c>
      <c r="AK28" s="461">
        <v>0</v>
      </c>
      <c r="AL28" s="461">
        <v>0</v>
      </c>
      <c r="AM28" s="461">
        <v>0</v>
      </c>
      <c r="AN28" s="461">
        <v>0</v>
      </c>
      <c r="AO28" s="461">
        <v>0</v>
      </c>
      <c r="AP28" s="461">
        <f t="shared" si="10"/>
        <v>0</v>
      </c>
      <c r="AQ28" s="461">
        <f t="shared" si="11"/>
        <v>0</v>
      </c>
      <c r="AR28" s="737">
        <f t="shared" si="12"/>
        <v>0</v>
      </c>
      <c r="AS28" s="470">
        <f t="shared" si="13"/>
        <v>7248867</v>
      </c>
      <c r="AT28" s="460">
        <f t="shared" si="14"/>
        <v>5351088</v>
      </c>
      <c r="AU28" s="460">
        <f t="shared" si="15"/>
        <v>0</v>
      </c>
      <c r="AV28" s="460">
        <f t="shared" si="16"/>
        <v>1808668</v>
      </c>
      <c r="AW28" s="460">
        <f t="shared" si="17"/>
        <v>53511</v>
      </c>
      <c r="AX28" s="460">
        <f t="shared" si="18"/>
        <v>35600</v>
      </c>
      <c r="AY28" s="461">
        <f t="shared" si="19"/>
        <v>10.8193</v>
      </c>
      <c r="AZ28" s="461">
        <f t="shared" si="20"/>
        <v>8.4192999999999998</v>
      </c>
      <c r="BA28" s="463">
        <f t="shared" si="21"/>
        <v>2.4000000000000004</v>
      </c>
    </row>
    <row r="29" spans="1:53" ht="14.1" customHeight="1" x14ac:dyDescent="0.2">
      <c r="A29" s="67">
        <v>5</v>
      </c>
      <c r="B29" s="64">
        <v>2411</v>
      </c>
      <c r="C29" s="65">
        <v>600079554</v>
      </c>
      <c r="D29" s="64">
        <v>72742666</v>
      </c>
      <c r="E29" s="66" t="s">
        <v>563</v>
      </c>
      <c r="F29" s="67">
        <v>3111</v>
      </c>
      <c r="G29" s="66" t="s">
        <v>308</v>
      </c>
      <c r="H29" s="68" t="s">
        <v>278</v>
      </c>
      <c r="I29" s="462">
        <v>0</v>
      </c>
      <c r="J29" s="457">
        <v>0</v>
      </c>
      <c r="K29" s="457">
        <v>0</v>
      </c>
      <c r="L29" s="457">
        <v>0</v>
      </c>
      <c r="M29" s="457">
        <v>0</v>
      </c>
      <c r="N29" s="458">
        <v>0</v>
      </c>
      <c r="O29" s="459">
        <v>0</v>
      </c>
      <c r="P29" s="646">
        <v>0</v>
      </c>
      <c r="Q29" s="469">
        <f t="shared" si="0"/>
        <v>0</v>
      </c>
      <c r="R29" s="469">
        <v>0</v>
      </c>
      <c r="S29" s="460">
        <v>0</v>
      </c>
      <c r="T29" s="460">
        <v>0</v>
      </c>
      <c r="U29" s="460">
        <v>0</v>
      </c>
      <c r="V29" s="460">
        <f>SUM(Q29:U29)</f>
        <v>0</v>
      </c>
      <c r="W29" s="460">
        <v>0</v>
      </c>
      <c r="X29" s="460">
        <v>0</v>
      </c>
      <c r="Y29" s="460">
        <v>0</v>
      </c>
      <c r="Z29" s="460">
        <f t="shared" si="37"/>
        <v>0</v>
      </c>
      <c r="AA29" s="460">
        <f t="shared" si="38"/>
        <v>0</v>
      </c>
      <c r="AB29" s="69">
        <f t="shared" si="39"/>
        <v>0</v>
      </c>
      <c r="AC29" s="69">
        <f t="shared" si="40"/>
        <v>0</v>
      </c>
      <c r="AD29" s="460">
        <v>0</v>
      </c>
      <c r="AE29" s="460">
        <v>0</v>
      </c>
      <c r="AF29" s="460">
        <f>SUM(AD29:AE29)</f>
        <v>0</v>
      </c>
      <c r="AG29" s="460">
        <f>AA29+AB29+AC29+AF29</f>
        <v>0</v>
      </c>
      <c r="AH29" s="461">
        <v>0</v>
      </c>
      <c r="AI29" s="461">
        <v>0</v>
      </c>
      <c r="AJ29" s="461">
        <v>0</v>
      </c>
      <c r="AK29" s="461">
        <v>0</v>
      </c>
      <c r="AL29" s="461">
        <v>0</v>
      </c>
      <c r="AM29" s="461">
        <v>0</v>
      </c>
      <c r="AN29" s="461">
        <v>0</v>
      </c>
      <c r="AO29" s="461">
        <v>0</v>
      </c>
      <c r="AP29" s="461">
        <f t="shared" si="10"/>
        <v>0</v>
      </c>
      <c r="AQ29" s="461">
        <f t="shared" si="11"/>
        <v>0</v>
      </c>
      <c r="AR29" s="737">
        <f t="shared" si="12"/>
        <v>0</v>
      </c>
      <c r="AS29" s="470">
        <f t="shared" si="13"/>
        <v>0</v>
      </c>
      <c r="AT29" s="460">
        <f t="shared" si="14"/>
        <v>0</v>
      </c>
      <c r="AU29" s="460">
        <f t="shared" si="15"/>
        <v>0</v>
      </c>
      <c r="AV29" s="460">
        <f t="shared" si="16"/>
        <v>0</v>
      </c>
      <c r="AW29" s="460">
        <f t="shared" si="17"/>
        <v>0</v>
      </c>
      <c r="AX29" s="460">
        <f t="shared" si="18"/>
        <v>0</v>
      </c>
      <c r="AY29" s="461">
        <f t="shared" si="19"/>
        <v>0</v>
      </c>
      <c r="AZ29" s="461">
        <f t="shared" si="20"/>
        <v>0</v>
      </c>
      <c r="BA29" s="463">
        <f t="shared" si="21"/>
        <v>0</v>
      </c>
    </row>
    <row r="30" spans="1:53" ht="14.1" customHeight="1" x14ac:dyDescent="0.2">
      <c r="A30" s="67">
        <v>5</v>
      </c>
      <c r="B30" s="64">
        <v>2411</v>
      </c>
      <c r="C30" s="65">
        <v>600079554</v>
      </c>
      <c r="D30" s="64">
        <v>72742666</v>
      </c>
      <c r="E30" s="66" t="s">
        <v>563</v>
      </c>
      <c r="F30" s="67">
        <v>3141</v>
      </c>
      <c r="G30" s="66" t="s">
        <v>311</v>
      </c>
      <c r="H30" s="68" t="s">
        <v>278</v>
      </c>
      <c r="I30" s="462">
        <v>968629</v>
      </c>
      <c r="J30" s="728">
        <v>715096</v>
      </c>
      <c r="K30" s="457">
        <v>241702</v>
      </c>
      <c r="L30" s="457">
        <v>7151</v>
      </c>
      <c r="M30" s="728">
        <v>4680</v>
      </c>
      <c r="N30" s="458">
        <v>2.2999999999999998</v>
      </c>
      <c r="O30" s="459">
        <v>0</v>
      </c>
      <c r="P30" s="646">
        <v>2.2999999999999998</v>
      </c>
      <c r="Q30" s="469">
        <f t="shared" si="0"/>
        <v>0</v>
      </c>
      <c r="R30" s="469">
        <v>0</v>
      </c>
      <c r="S30" s="460">
        <v>0</v>
      </c>
      <c r="T30" s="460">
        <v>0</v>
      </c>
      <c r="U30" s="460">
        <v>0</v>
      </c>
      <c r="V30" s="460">
        <f>SUM(Q30:U30)</f>
        <v>0</v>
      </c>
      <c r="W30" s="460">
        <v>0</v>
      </c>
      <c r="X30" s="460">
        <v>0</v>
      </c>
      <c r="Y30" s="460">
        <v>0</v>
      </c>
      <c r="Z30" s="460">
        <f t="shared" si="37"/>
        <v>0</v>
      </c>
      <c r="AA30" s="460">
        <f t="shared" si="38"/>
        <v>0</v>
      </c>
      <c r="AB30" s="69">
        <f t="shared" si="39"/>
        <v>0</v>
      </c>
      <c r="AC30" s="69">
        <f t="shared" si="40"/>
        <v>0</v>
      </c>
      <c r="AD30" s="460">
        <v>0</v>
      </c>
      <c r="AE30" s="460">
        <v>0</v>
      </c>
      <c r="AF30" s="460">
        <f>SUM(AD30:AE30)</f>
        <v>0</v>
      </c>
      <c r="AG30" s="460">
        <f>AA30+AB30+AC30+AF30</f>
        <v>0</v>
      </c>
      <c r="AH30" s="461">
        <v>0</v>
      </c>
      <c r="AI30" s="461">
        <v>0</v>
      </c>
      <c r="AJ30" s="461">
        <v>0</v>
      </c>
      <c r="AK30" s="461">
        <v>0</v>
      </c>
      <c r="AL30" s="461">
        <v>0</v>
      </c>
      <c r="AM30" s="461">
        <v>0</v>
      </c>
      <c r="AN30" s="461">
        <v>0</v>
      </c>
      <c r="AO30" s="461">
        <v>0</v>
      </c>
      <c r="AP30" s="461">
        <f t="shared" si="10"/>
        <v>0</v>
      </c>
      <c r="AQ30" s="461">
        <f t="shared" si="11"/>
        <v>0</v>
      </c>
      <c r="AR30" s="737">
        <f t="shared" si="12"/>
        <v>0</v>
      </c>
      <c r="AS30" s="470">
        <f t="shared" si="13"/>
        <v>968629</v>
      </c>
      <c r="AT30" s="460">
        <f t="shared" si="14"/>
        <v>715096</v>
      </c>
      <c r="AU30" s="460">
        <f t="shared" si="15"/>
        <v>0</v>
      </c>
      <c r="AV30" s="460">
        <f t="shared" si="16"/>
        <v>241702</v>
      </c>
      <c r="AW30" s="460">
        <f t="shared" si="17"/>
        <v>7151</v>
      </c>
      <c r="AX30" s="460">
        <f t="shared" si="18"/>
        <v>4680</v>
      </c>
      <c r="AY30" s="461">
        <f t="shared" si="19"/>
        <v>2.2999999999999998</v>
      </c>
      <c r="AZ30" s="461">
        <f t="shared" si="20"/>
        <v>0</v>
      </c>
      <c r="BA30" s="463">
        <f t="shared" si="21"/>
        <v>2.2999999999999998</v>
      </c>
    </row>
    <row r="31" spans="1:53" ht="14.1" customHeight="1" x14ac:dyDescent="0.2">
      <c r="A31" s="73">
        <v>5</v>
      </c>
      <c r="B31" s="70">
        <v>2411</v>
      </c>
      <c r="C31" s="71">
        <v>600079554</v>
      </c>
      <c r="D31" s="70">
        <v>72742666</v>
      </c>
      <c r="E31" s="72" t="s">
        <v>564</v>
      </c>
      <c r="F31" s="73"/>
      <c r="G31" s="72"/>
      <c r="H31" s="74"/>
      <c r="I31" s="701">
        <f t="shared" ref="I31:P31" si="41">SUM(I28:I30)</f>
        <v>8217496</v>
      </c>
      <c r="J31" s="75">
        <f t="shared" si="41"/>
        <v>6066184</v>
      </c>
      <c r="K31" s="75">
        <f t="shared" si="41"/>
        <v>2050370</v>
      </c>
      <c r="L31" s="75">
        <f t="shared" si="41"/>
        <v>60662</v>
      </c>
      <c r="M31" s="75">
        <f t="shared" si="41"/>
        <v>40280</v>
      </c>
      <c r="N31" s="76">
        <f t="shared" si="41"/>
        <v>13.119299999999999</v>
      </c>
      <c r="O31" s="76">
        <f t="shared" si="41"/>
        <v>8.4192999999999998</v>
      </c>
      <c r="P31" s="77">
        <f t="shared" si="41"/>
        <v>4.7</v>
      </c>
      <c r="Q31" s="724">
        <f t="shared" ref="Q31:BA31" si="42">SUM(Q28:Q30)</f>
        <v>0</v>
      </c>
      <c r="R31" s="724">
        <f t="shared" si="42"/>
        <v>0</v>
      </c>
      <c r="S31" s="75">
        <f t="shared" si="42"/>
        <v>0</v>
      </c>
      <c r="T31" s="75">
        <f t="shared" si="42"/>
        <v>0</v>
      </c>
      <c r="U31" s="75">
        <f t="shared" si="42"/>
        <v>0</v>
      </c>
      <c r="V31" s="75">
        <f t="shared" si="42"/>
        <v>0</v>
      </c>
      <c r="W31" s="75">
        <f t="shared" si="42"/>
        <v>0</v>
      </c>
      <c r="X31" s="75">
        <f t="shared" si="42"/>
        <v>0</v>
      </c>
      <c r="Y31" s="75">
        <f t="shared" si="42"/>
        <v>0</v>
      </c>
      <c r="Z31" s="75">
        <f t="shared" si="42"/>
        <v>0</v>
      </c>
      <c r="AA31" s="75">
        <f t="shared" si="42"/>
        <v>0</v>
      </c>
      <c r="AB31" s="75">
        <f t="shared" si="42"/>
        <v>0</v>
      </c>
      <c r="AC31" s="75">
        <f t="shared" si="42"/>
        <v>0</v>
      </c>
      <c r="AD31" s="75">
        <f t="shared" si="42"/>
        <v>0</v>
      </c>
      <c r="AE31" s="75">
        <f t="shared" si="42"/>
        <v>0</v>
      </c>
      <c r="AF31" s="75">
        <f t="shared" si="42"/>
        <v>0</v>
      </c>
      <c r="AG31" s="75">
        <f t="shared" si="42"/>
        <v>0</v>
      </c>
      <c r="AH31" s="76">
        <f t="shared" si="42"/>
        <v>0</v>
      </c>
      <c r="AI31" s="76">
        <f t="shared" si="42"/>
        <v>0</v>
      </c>
      <c r="AJ31" s="76">
        <f t="shared" si="42"/>
        <v>0</v>
      </c>
      <c r="AK31" s="76">
        <f t="shared" si="42"/>
        <v>0</v>
      </c>
      <c r="AL31" s="76">
        <f t="shared" si="42"/>
        <v>0</v>
      </c>
      <c r="AM31" s="76">
        <f t="shared" si="42"/>
        <v>0</v>
      </c>
      <c r="AN31" s="76">
        <f t="shared" si="42"/>
        <v>0</v>
      </c>
      <c r="AO31" s="76">
        <f t="shared" si="42"/>
        <v>0</v>
      </c>
      <c r="AP31" s="76">
        <f t="shared" si="42"/>
        <v>0</v>
      </c>
      <c r="AQ31" s="76">
        <f t="shared" si="42"/>
        <v>0</v>
      </c>
      <c r="AR31" s="720">
        <f t="shared" si="42"/>
        <v>0</v>
      </c>
      <c r="AS31" s="701">
        <f t="shared" si="42"/>
        <v>8217496</v>
      </c>
      <c r="AT31" s="75">
        <f t="shared" si="42"/>
        <v>6066184</v>
      </c>
      <c r="AU31" s="75">
        <f t="shared" si="42"/>
        <v>0</v>
      </c>
      <c r="AV31" s="75">
        <f t="shared" si="42"/>
        <v>2050370</v>
      </c>
      <c r="AW31" s="75">
        <f t="shared" si="42"/>
        <v>60662</v>
      </c>
      <c r="AX31" s="75">
        <f t="shared" si="42"/>
        <v>40280</v>
      </c>
      <c r="AY31" s="76">
        <f t="shared" si="42"/>
        <v>13.119299999999999</v>
      </c>
      <c r="AZ31" s="76">
        <f t="shared" si="42"/>
        <v>8.4192999999999998</v>
      </c>
      <c r="BA31" s="77">
        <f t="shared" si="42"/>
        <v>4.7</v>
      </c>
    </row>
    <row r="32" spans="1:53" ht="14.1" customHeight="1" x14ac:dyDescent="0.2">
      <c r="A32" s="67">
        <v>6</v>
      </c>
      <c r="B32" s="64">
        <v>2407</v>
      </c>
      <c r="C32" s="65">
        <v>600079520</v>
      </c>
      <c r="D32" s="64">
        <v>72741465</v>
      </c>
      <c r="E32" s="66" t="s">
        <v>565</v>
      </c>
      <c r="F32" s="67">
        <v>3111</v>
      </c>
      <c r="G32" s="66" t="s">
        <v>307</v>
      </c>
      <c r="H32" s="68" t="s">
        <v>277</v>
      </c>
      <c r="I32" s="462">
        <v>14723175</v>
      </c>
      <c r="J32" s="16">
        <v>10865560</v>
      </c>
      <c r="K32" s="457">
        <v>3672559</v>
      </c>
      <c r="L32" s="457">
        <v>108656</v>
      </c>
      <c r="M32" s="16">
        <v>76400</v>
      </c>
      <c r="N32" s="13">
        <v>22.011600000000001</v>
      </c>
      <c r="O32" s="13">
        <v>17.451599999999999</v>
      </c>
      <c r="P32" s="17">
        <v>4.5600000000000005</v>
      </c>
      <c r="Q32" s="469">
        <f t="shared" si="0"/>
        <v>0</v>
      </c>
      <c r="R32" s="469">
        <v>0</v>
      </c>
      <c r="S32" s="460">
        <v>0</v>
      </c>
      <c r="T32" s="460">
        <v>0</v>
      </c>
      <c r="U32" s="460">
        <v>0</v>
      </c>
      <c r="V32" s="460">
        <f>SUM(Q32:U32)</f>
        <v>0</v>
      </c>
      <c r="W32" s="460">
        <v>0</v>
      </c>
      <c r="X32" s="460">
        <v>0</v>
      </c>
      <c r="Y32" s="460">
        <v>0</v>
      </c>
      <c r="Z32" s="460">
        <f t="shared" ref="Z32:Z34" si="43">SUM(W32:Y32)</f>
        <v>0</v>
      </c>
      <c r="AA32" s="460">
        <f t="shared" ref="AA32:AA34" si="44">V32+Z32</f>
        <v>0</v>
      </c>
      <c r="AB32" s="69">
        <f t="shared" ref="AB32:AB34" si="45">ROUND((V32+W32+X32)*33.8%,0)</f>
        <v>0</v>
      </c>
      <c r="AC32" s="69">
        <f t="shared" ref="AC32:AC34" si="46">ROUND(V32*1%,0)</f>
        <v>0</v>
      </c>
      <c r="AD32" s="460">
        <v>0</v>
      </c>
      <c r="AE32" s="460">
        <v>0</v>
      </c>
      <c r="AF32" s="460">
        <f>SUM(AD32:AE32)</f>
        <v>0</v>
      </c>
      <c r="AG32" s="460">
        <f>AA32+AB32+AC32+AF32</f>
        <v>0</v>
      </c>
      <c r="AH32" s="461">
        <v>0</v>
      </c>
      <c r="AI32" s="461">
        <v>0</v>
      </c>
      <c r="AJ32" s="461">
        <v>0</v>
      </c>
      <c r="AK32" s="461">
        <v>0</v>
      </c>
      <c r="AL32" s="461">
        <v>0</v>
      </c>
      <c r="AM32" s="461">
        <v>0</v>
      </c>
      <c r="AN32" s="461">
        <v>0</v>
      </c>
      <c r="AO32" s="461">
        <v>0</v>
      </c>
      <c r="AP32" s="461">
        <f t="shared" si="10"/>
        <v>0</v>
      </c>
      <c r="AQ32" s="461">
        <f t="shared" si="11"/>
        <v>0</v>
      </c>
      <c r="AR32" s="737">
        <f t="shared" si="12"/>
        <v>0</v>
      </c>
      <c r="AS32" s="470">
        <f t="shared" si="13"/>
        <v>14723175</v>
      </c>
      <c r="AT32" s="460">
        <f t="shared" si="14"/>
        <v>10865560</v>
      </c>
      <c r="AU32" s="460">
        <f t="shared" si="15"/>
        <v>0</v>
      </c>
      <c r="AV32" s="460">
        <f t="shared" si="16"/>
        <v>3672559</v>
      </c>
      <c r="AW32" s="460">
        <f t="shared" si="17"/>
        <v>108656</v>
      </c>
      <c r="AX32" s="460">
        <f t="shared" si="18"/>
        <v>76400</v>
      </c>
      <c r="AY32" s="461">
        <f t="shared" si="19"/>
        <v>22.011600000000001</v>
      </c>
      <c r="AZ32" s="461">
        <f t="shared" si="20"/>
        <v>17.451599999999999</v>
      </c>
      <c r="BA32" s="463">
        <f t="shared" si="21"/>
        <v>4.5600000000000005</v>
      </c>
    </row>
    <row r="33" spans="1:53" ht="14.1" customHeight="1" x14ac:dyDescent="0.2">
      <c r="A33" s="67">
        <v>6</v>
      </c>
      <c r="B33" s="64">
        <v>2407</v>
      </c>
      <c r="C33" s="65">
        <v>600079520</v>
      </c>
      <c r="D33" s="64">
        <v>72741465</v>
      </c>
      <c r="E33" s="66" t="s">
        <v>565</v>
      </c>
      <c r="F33" s="67">
        <v>3111</v>
      </c>
      <c r="G33" s="78" t="s">
        <v>308</v>
      </c>
      <c r="H33" s="68" t="s">
        <v>278</v>
      </c>
      <c r="I33" s="462">
        <v>0</v>
      </c>
      <c r="J33" s="457">
        <v>0</v>
      </c>
      <c r="K33" s="457">
        <v>0</v>
      </c>
      <c r="L33" s="457">
        <v>0</v>
      </c>
      <c r="M33" s="457">
        <v>0</v>
      </c>
      <c r="N33" s="458">
        <v>0</v>
      </c>
      <c r="O33" s="459">
        <v>0</v>
      </c>
      <c r="P33" s="646">
        <v>0</v>
      </c>
      <c r="Q33" s="469">
        <f t="shared" si="0"/>
        <v>0</v>
      </c>
      <c r="R33" s="469">
        <v>346447</v>
      </c>
      <c r="S33" s="460">
        <v>0</v>
      </c>
      <c r="T33" s="460">
        <v>0</v>
      </c>
      <c r="U33" s="460">
        <v>0</v>
      </c>
      <c r="V33" s="460">
        <f>SUM(Q33:U33)</f>
        <v>346447</v>
      </c>
      <c r="W33" s="460">
        <v>0</v>
      </c>
      <c r="X33" s="460">
        <v>0</v>
      </c>
      <c r="Y33" s="460">
        <v>0</v>
      </c>
      <c r="Z33" s="460">
        <f t="shared" si="43"/>
        <v>0</v>
      </c>
      <c r="AA33" s="460">
        <f t="shared" si="44"/>
        <v>346447</v>
      </c>
      <c r="AB33" s="69">
        <f t="shared" si="45"/>
        <v>117099</v>
      </c>
      <c r="AC33" s="69">
        <f t="shared" si="46"/>
        <v>3464</v>
      </c>
      <c r="AD33" s="460">
        <v>0</v>
      </c>
      <c r="AE33" s="460">
        <v>0</v>
      </c>
      <c r="AF33" s="460">
        <f>SUM(AD33:AE33)</f>
        <v>0</v>
      </c>
      <c r="AG33" s="460">
        <f>AA33+AB33+AC33+AF33</f>
        <v>467010</v>
      </c>
      <c r="AH33" s="461">
        <v>0</v>
      </c>
      <c r="AI33" s="461">
        <v>0</v>
      </c>
      <c r="AJ33" s="461">
        <v>1</v>
      </c>
      <c r="AK33" s="461">
        <v>0</v>
      </c>
      <c r="AL33" s="461">
        <v>0</v>
      </c>
      <c r="AM33" s="461">
        <v>0</v>
      </c>
      <c r="AN33" s="461">
        <v>0</v>
      </c>
      <c r="AO33" s="461">
        <v>0</v>
      </c>
      <c r="AP33" s="461">
        <f t="shared" si="10"/>
        <v>1</v>
      </c>
      <c r="AQ33" s="461">
        <f t="shared" si="11"/>
        <v>0</v>
      </c>
      <c r="AR33" s="737">
        <f t="shared" si="12"/>
        <v>1</v>
      </c>
      <c r="AS33" s="470">
        <f t="shared" si="13"/>
        <v>467010</v>
      </c>
      <c r="AT33" s="460">
        <f t="shared" si="14"/>
        <v>346447</v>
      </c>
      <c r="AU33" s="460">
        <f t="shared" si="15"/>
        <v>0</v>
      </c>
      <c r="AV33" s="460">
        <f t="shared" si="16"/>
        <v>117099</v>
      </c>
      <c r="AW33" s="460">
        <f t="shared" si="17"/>
        <v>3464</v>
      </c>
      <c r="AX33" s="460">
        <f t="shared" si="18"/>
        <v>0</v>
      </c>
      <c r="AY33" s="461">
        <f t="shared" si="19"/>
        <v>1</v>
      </c>
      <c r="AZ33" s="461">
        <f t="shared" si="20"/>
        <v>1</v>
      </c>
      <c r="BA33" s="463">
        <f t="shared" si="21"/>
        <v>0</v>
      </c>
    </row>
    <row r="34" spans="1:53" ht="14.1" customHeight="1" x14ac:dyDescent="0.2">
      <c r="A34" s="67">
        <v>6</v>
      </c>
      <c r="B34" s="64">
        <v>2407</v>
      </c>
      <c r="C34" s="65">
        <v>600079520</v>
      </c>
      <c r="D34" s="64">
        <v>72741465</v>
      </c>
      <c r="E34" s="66" t="s">
        <v>565</v>
      </c>
      <c r="F34" s="67">
        <v>3141</v>
      </c>
      <c r="G34" s="66" t="s">
        <v>311</v>
      </c>
      <c r="H34" s="68" t="s">
        <v>278</v>
      </c>
      <c r="I34" s="462">
        <v>1834423</v>
      </c>
      <c r="J34" s="728">
        <v>1353480</v>
      </c>
      <c r="K34" s="457">
        <v>457476</v>
      </c>
      <c r="L34" s="457">
        <v>13535</v>
      </c>
      <c r="M34" s="728">
        <v>9932</v>
      </c>
      <c r="N34" s="458">
        <v>4.3499999999999996</v>
      </c>
      <c r="O34" s="459">
        <v>0</v>
      </c>
      <c r="P34" s="646">
        <v>4.3499999999999996</v>
      </c>
      <c r="Q34" s="469">
        <f t="shared" si="0"/>
        <v>0</v>
      </c>
      <c r="R34" s="469">
        <v>0</v>
      </c>
      <c r="S34" s="460">
        <v>0</v>
      </c>
      <c r="T34" s="460">
        <v>0</v>
      </c>
      <c r="U34" s="460">
        <v>0</v>
      </c>
      <c r="V34" s="460">
        <f>SUM(Q34:U34)</f>
        <v>0</v>
      </c>
      <c r="W34" s="460">
        <v>0</v>
      </c>
      <c r="X34" s="460">
        <v>0</v>
      </c>
      <c r="Y34" s="460">
        <v>0</v>
      </c>
      <c r="Z34" s="460">
        <f t="shared" si="43"/>
        <v>0</v>
      </c>
      <c r="AA34" s="460">
        <f t="shared" si="44"/>
        <v>0</v>
      </c>
      <c r="AB34" s="69">
        <f t="shared" si="45"/>
        <v>0</v>
      </c>
      <c r="AC34" s="69">
        <f t="shared" si="46"/>
        <v>0</v>
      </c>
      <c r="AD34" s="460">
        <v>0</v>
      </c>
      <c r="AE34" s="460">
        <v>0</v>
      </c>
      <c r="AF34" s="460">
        <f>SUM(AD34:AE34)</f>
        <v>0</v>
      </c>
      <c r="AG34" s="460">
        <f>AA34+AB34+AC34+AF34</f>
        <v>0</v>
      </c>
      <c r="AH34" s="461">
        <v>0</v>
      </c>
      <c r="AI34" s="461">
        <v>0</v>
      </c>
      <c r="AJ34" s="461">
        <v>0</v>
      </c>
      <c r="AK34" s="461">
        <v>0</v>
      </c>
      <c r="AL34" s="461">
        <v>0</v>
      </c>
      <c r="AM34" s="461">
        <v>0</v>
      </c>
      <c r="AN34" s="461">
        <v>0</v>
      </c>
      <c r="AO34" s="461">
        <v>0</v>
      </c>
      <c r="AP34" s="461">
        <f t="shared" si="10"/>
        <v>0</v>
      </c>
      <c r="AQ34" s="461">
        <f t="shared" si="11"/>
        <v>0</v>
      </c>
      <c r="AR34" s="737">
        <f t="shared" si="12"/>
        <v>0</v>
      </c>
      <c r="AS34" s="470">
        <f t="shared" si="13"/>
        <v>1834423</v>
      </c>
      <c r="AT34" s="460">
        <f t="shared" si="14"/>
        <v>1353480</v>
      </c>
      <c r="AU34" s="460">
        <f t="shared" si="15"/>
        <v>0</v>
      </c>
      <c r="AV34" s="460">
        <f t="shared" si="16"/>
        <v>457476</v>
      </c>
      <c r="AW34" s="460">
        <f t="shared" si="17"/>
        <v>13535</v>
      </c>
      <c r="AX34" s="460">
        <f t="shared" si="18"/>
        <v>9932</v>
      </c>
      <c r="AY34" s="461">
        <f t="shared" si="19"/>
        <v>4.3499999999999996</v>
      </c>
      <c r="AZ34" s="461">
        <f t="shared" si="20"/>
        <v>0</v>
      </c>
      <c r="BA34" s="463">
        <f t="shared" si="21"/>
        <v>4.3499999999999996</v>
      </c>
    </row>
    <row r="35" spans="1:53" ht="14.1" customHeight="1" x14ac:dyDescent="0.2">
      <c r="A35" s="73">
        <v>6</v>
      </c>
      <c r="B35" s="70">
        <v>2407</v>
      </c>
      <c r="C35" s="71">
        <v>600079520</v>
      </c>
      <c r="D35" s="70">
        <v>72741465</v>
      </c>
      <c r="E35" s="72" t="s">
        <v>566</v>
      </c>
      <c r="F35" s="73"/>
      <c r="G35" s="72"/>
      <c r="H35" s="74"/>
      <c r="I35" s="701">
        <f t="shared" ref="I35:P35" si="47">SUM(I32:I34)</f>
        <v>16557598</v>
      </c>
      <c r="J35" s="75">
        <f t="shared" si="47"/>
        <v>12219040</v>
      </c>
      <c r="K35" s="75">
        <f t="shared" si="47"/>
        <v>4130035</v>
      </c>
      <c r="L35" s="75">
        <f t="shared" si="47"/>
        <v>122191</v>
      </c>
      <c r="M35" s="75">
        <f t="shared" si="47"/>
        <v>86332</v>
      </c>
      <c r="N35" s="76">
        <f t="shared" si="47"/>
        <v>26.361600000000003</v>
      </c>
      <c r="O35" s="76">
        <f t="shared" si="47"/>
        <v>17.451599999999999</v>
      </c>
      <c r="P35" s="77">
        <f t="shared" si="47"/>
        <v>8.91</v>
      </c>
      <c r="Q35" s="724">
        <f t="shared" ref="Q35:BA35" si="48">SUM(Q32:Q34)</f>
        <v>0</v>
      </c>
      <c r="R35" s="724">
        <f t="shared" si="48"/>
        <v>346447</v>
      </c>
      <c r="S35" s="75">
        <f t="shared" si="48"/>
        <v>0</v>
      </c>
      <c r="T35" s="75">
        <f t="shared" si="48"/>
        <v>0</v>
      </c>
      <c r="U35" s="75">
        <f t="shared" si="48"/>
        <v>0</v>
      </c>
      <c r="V35" s="75">
        <f t="shared" si="48"/>
        <v>346447</v>
      </c>
      <c r="W35" s="75">
        <f t="shared" si="48"/>
        <v>0</v>
      </c>
      <c r="X35" s="75">
        <f t="shared" si="48"/>
        <v>0</v>
      </c>
      <c r="Y35" s="75">
        <f t="shared" si="48"/>
        <v>0</v>
      </c>
      <c r="Z35" s="75">
        <f t="shared" si="48"/>
        <v>0</v>
      </c>
      <c r="AA35" s="75">
        <f t="shared" si="48"/>
        <v>346447</v>
      </c>
      <c r="AB35" s="75">
        <f t="shared" si="48"/>
        <v>117099</v>
      </c>
      <c r="AC35" s="75">
        <f t="shared" si="48"/>
        <v>3464</v>
      </c>
      <c r="AD35" s="75">
        <f t="shared" si="48"/>
        <v>0</v>
      </c>
      <c r="AE35" s="75">
        <f t="shared" si="48"/>
        <v>0</v>
      </c>
      <c r="AF35" s="75">
        <f t="shared" si="48"/>
        <v>0</v>
      </c>
      <c r="AG35" s="75">
        <f t="shared" si="48"/>
        <v>467010</v>
      </c>
      <c r="AH35" s="76">
        <f t="shared" si="48"/>
        <v>0</v>
      </c>
      <c r="AI35" s="76">
        <f t="shared" si="48"/>
        <v>0</v>
      </c>
      <c r="AJ35" s="76">
        <f t="shared" si="48"/>
        <v>1</v>
      </c>
      <c r="AK35" s="76">
        <f t="shared" si="48"/>
        <v>0</v>
      </c>
      <c r="AL35" s="76">
        <f t="shared" si="48"/>
        <v>0</v>
      </c>
      <c r="AM35" s="76">
        <f t="shared" si="48"/>
        <v>0</v>
      </c>
      <c r="AN35" s="76">
        <f t="shared" si="48"/>
        <v>0</v>
      </c>
      <c r="AO35" s="76">
        <f t="shared" si="48"/>
        <v>0</v>
      </c>
      <c r="AP35" s="76">
        <f t="shared" si="48"/>
        <v>1</v>
      </c>
      <c r="AQ35" s="76">
        <f t="shared" si="48"/>
        <v>0</v>
      </c>
      <c r="AR35" s="720">
        <f t="shared" si="48"/>
        <v>1</v>
      </c>
      <c r="AS35" s="701">
        <f t="shared" si="48"/>
        <v>17024608</v>
      </c>
      <c r="AT35" s="75">
        <f t="shared" si="48"/>
        <v>12565487</v>
      </c>
      <c r="AU35" s="75">
        <f t="shared" si="48"/>
        <v>0</v>
      </c>
      <c r="AV35" s="75">
        <f t="shared" si="48"/>
        <v>4247134</v>
      </c>
      <c r="AW35" s="75">
        <f t="shared" si="48"/>
        <v>125655</v>
      </c>
      <c r="AX35" s="75">
        <f t="shared" si="48"/>
        <v>86332</v>
      </c>
      <c r="AY35" s="76">
        <f t="shared" si="48"/>
        <v>27.361600000000003</v>
      </c>
      <c r="AZ35" s="76">
        <f t="shared" si="48"/>
        <v>18.451599999999999</v>
      </c>
      <c r="BA35" s="77">
        <f t="shared" si="48"/>
        <v>8.91</v>
      </c>
    </row>
    <row r="36" spans="1:53" ht="14.1" customHeight="1" x14ac:dyDescent="0.2">
      <c r="A36" s="67">
        <v>7</v>
      </c>
      <c r="B36" s="64">
        <v>2422</v>
      </c>
      <c r="C36" s="65">
        <v>600079082</v>
      </c>
      <c r="D36" s="64">
        <v>72742585</v>
      </c>
      <c r="E36" s="66" t="s">
        <v>567</v>
      </c>
      <c r="F36" s="67">
        <v>3111</v>
      </c>
      <c r="G36" s="66" t="s">
        <v>307</v>
      </c>
      <c r="H36" s="68" t="s">
        <v>277</v>
      </c>
      <c r="I36" s="462">
        <v>9148002</v>
      </c>
      <c r="J36" s="16">
        <v>6753414</v>
      </c>
      <c r="K36" s="457">
        <v>2282654</v>
      </c>
      <c r="L36" s="457">
        <v>67534</v>
      </c>
      <c r="M36" s="16">
        <v>44400</v>
      </c>
      <c r="N36" s="13">
        <v>13.828800000000001</v>
      </c>
      <c r="O36" s="13">
        <v>10.838800000000001</v>
      </c>
      <c r="P36" s="17">
        <v>2.99</v>
      </c>
      <c r="Q36" s="469">
        <f t="shared" si="0"/>
        <v>-39650</v>
      </c>
      <c r="R36" s="469">
        <v>0</v>
      </c>
      <c r="S36" s="460">
        <v>0</v>
      </c>
      <c r="T36" s="460">
        <v>0</v>
      </c>
      <c r="U36" s="460">
        <v>0</v>
      </c>
      <c r="V36" s="460">
        <f>SUM(Q36:U36)</f>
        <v>-39650</v>
      </c>
      <c r="W36" s="460">
        <v>39650</v>
      </c>
      <c r="X36" s="460">
        <v>0</v>
      </c>
      <c r="Y36" s="460">
        <v>0</v>
      </c>
      <c r="Z36" s="460">
        <f t="shared" ref="Z36:Z38" si="49">SUM(W36:Y36)</f>
        <v>39650</v>
      </c>
      <c r="AA36" s="460">
        <f t="shared" ref="AA36:AA38" si="50">V36+Z36</f>
        <v>0</v>
      </c>
      <c r="AB36" s="69">
        <f t="shared" ref="AB36:AB38" si="51">ROUND((V36+W36+X36)*33.8%,0)</f>
        <v>0</v>
      </c>
      <c r="AC36" s="69">
        <f t="shared" ref="AC36:AC38" si="52">ROUND(V36*1%,0)</f>
        <v>-397</v>
      </c>
      <c r="AD36" s="460">
        <v>0</v>
      </c>
      <c r="AE36" s="460">
        <v>0</v>
      </c>
      <c r="AF36" s="460">
        <f>SUM(AD36:AE36)</f>
        <v>0</v>
      </c>
      <c r="AG36" s="460">
        <f>AA36+AB36+AC36+AF36</f>
        <v>-397</v>
      </c>
      <c r="AH36" s="461">
        <v>0</v>
      </c>
      <c r="AI36" s="461">
        <v>-0.08</v>
      </c>
      <c r="AJ36" s="461">
        <v>0</v>
      </c>
      <c r="AK36" s="461">
        <v>0</v>
      </c>
      <c r="AL36" s="461">
        <v>0</v>
      </c>
      <c r="AM36" s="461">
        <v>0</v>
      </c>
      <c r="AN36" s="461">
        <v>0</v>
      </c>
      <c r="AO36" s="461">
        <v>0</v>
      </c>
      <c r="AP36" s="461">
        <f t="shared" si="10"/>
        <v>0</v>
      </c>
      <c r="AQ36" s="461">
        <f t="shared" si="11"/>
        <v>-0.08</v>
      </c>
      <c r="AR36" s="737">
        <f t="shared" si="12"/>
        <v>-0.08</v>
      </c>
      <c r="AS36" s="470">
        <f t="shared" si="13"/>
        <v>9147605</v>
      </c>
      <c r="AT36" s="460">
        <f t="shared" si="14"/>
        <v>6713764</v>
      </c>
      <c r="AU36" s="460">
        <f t="shared" si="15"/>
        <v>39650</v>
      </c>
      <c r="AV36" s="460">
        <f t="shared" si="16"/>
        <v>2282654</v>
      </c>
      <c r="AW36" s="460">
        <f t="shared" si="17"/>
        <v>67137</v>
      </c>
      <c r="AX36" s="460">
        <f t="shared" si="18"/>
        <v>44400</v>
      </c>
      <c r="AY36" s="461">
        <f t="shared" si="19"/>
        <v>13.748800000000001</v>
      </c>
      <c r="AZ36" s="461">
        <f t="shared" si="20"/>
        <v>10.838800000000001</v>
      </c>
      <c r="BA36" s="463">
        <f t="shared" si="21"/>
        <v>2.91</v>
      </c>
    </row>
    <row r="37" spans="1:53" ht="14.1" customHeight="1" x14ac:dyDescent="0.2">
      <c r="A37" s="67">
        <v>7</v>
      </c>
      <c r="B37" s="64">
        <v>2422</v>
      </c>
      <c r="C37" s="65">
        <v>600079082</v>
      </c>
      <c r="D37" s="64">
        <v>72742585</v>
      </c>
      <c r="E37" s="66" t="s">
        <v>567</v>
      </c>
      <c r="F37" s="67">
        <v>3111</v>
      </c>
      <c r="G37" s="78" t="s">
        <v>308</v>
      </c>
      <c r="H37" s="68" t="s">
        <v>278</v>
      </c>
      <c r="I37" s="462">
        <v>0</v>
      </c>
      <c r="J37" s="457">
        <v>0</v>
      </c>
      <c r="K37" s="457">
        <v>0</v>
      </c>
      <c r="L37" s="457">
        <v>0</v>
      </c>
      <c r="M37" s="457">
        <v>0</v>
      </c>
      <c r="N37" s="458">
        <v>0</v>
      </c>
      <c r="O37" s="459">
        <v>0</v>
      </c>
      <c r="P37" s="646">
        <v>0</v>
      </c>
      <c r="Q37" s="469">
        <f t="shared" si="0"/>
        <v>0</v>
      </c>
      <c r="R37" s="469">
        <v>346447</v>
      </c>
      <c r="S37" s="460">
        <v>0</v>
      </c>
      <c r="T37" s="460">
        <v>0</v>
      </c>
      <c r="U37" s="460">
        <v>0</v>
      </c>
      <c r="V37" s="460">
        <f>SUM(Q37:U37)</f>
        <v>346447</v>
      </c>
      <c r="W37" s="460">
        <v>0</v>
      </c>
      <c r="X37" s="460">
        <v>0</v>
      </c>
      <c r="Y37" s="460">
        <v>0</v>
      </c>
      <c r="Z37" s="460">
        <f t="shared" si="49"/>
        <v>0</v>
      </c>
      <c r="AA37" s="460">
        <f t="shared" si="50"/>
        <v>346447</v>
      </c>
      <c r="AB37" s="69">
        <f t="shared" si="51"/>
        <v>117099</v>
      </c>
      <c r="AC37" s="69">
        <f t="shared" si="52"/>
        <v>3464</v>
      </c>
      <c r="AD37" s="460">
        <v>0</v>
      </c>
      <c r="AE37" s="460">
        <v>0</v>
      </c>
      <c r="AF37" s="460">
        <f>SUM(AD37:AE37)</f>
        <v>0</v>
      </c>
      <c r="AG37" s="460">
        <f>AA37+AB37+AC37+AF37</f>
        <v>467010</v>
      </c>
      <c r="AH37" s="461">
        <v>0</v>
      </c>
      <c r="AI37" s="461">
        <v>0</v>
      </c>
      <c r="AJ37" s="461">
        <v>1</v>
      </c>
      <c r="AK37" s="461">
        <v>0</v>
      </c>
      <c r="AL37" s="461">
        <v>0</v>
      </c>
      <c r="AM37" s="461">
        <v>0</v>
      </c>
      <c r="AN37" s="461">
        <v>0</v>
      </c>
      <c r="AO37" s="461">
        <v>0</v>
      </c>
      <c r="AP37" s="461">
        <f t="shared" si="10"/>
        <v>1</v>
      </c>
      <c r="AQ37" s="461">
        <f t="shared" si="11"/>
        <v>0</v>
      </c>
      <c r="AR37" s="737">
        <f t="shared" si="12"/>
        <v>1</v>
      </c>
      <c r="AS37" s="470">
        <f t="shared" si="13"/>
        <v>467010</v>
      </c>
      <c r="AT37" s="460">
        <f t="shared" si="14"/>
        <v>346447</v>
      </c>
      <c r="AU37" s="460">
        <f t="shared" si="15"/>
        <v>0</v>
      </c>
      <c r="AV37" s="460">
        <f t="shared" si="16"/>
        <v>117099</v>
      </c>
      <c r="AW37" s="460">
        <f t="shared" si="17"/>
        <v>3464</v>
      </c>
      <c r="AX37" s="460">
        <f t="shared" si="18"/>
        <v>0</v>
      </c>
      <c r="AY37" s="461">
        <f t="shared" si="19"/>
        <v>1</v>
      </c>
      <c r="AZ37" s="461">
        <f t="shared" si="20"/>
        <v>1</v>
      </c>
      <c r="BA37" s="463">
        <f t="shared" si="21"/>
        <v>0</v>
      </c>
    </row>
    <row r="38" spans="1:53" ht="14.1" customHeight="1" x14ac:dyDescent="0.2">
      <c r="A38" s="67">
        <v>7</v>
      </c>
      <c r="B38" s="64">
        <v>2422</v>
      </c>
      <c r="C38" s="65">
        <v>600079082</v>
      </c>
      <c r="D38" s="64">
        <v>72742585</v>
      </c>
      <c r="E38" s="66" t="s">
        <v>567</v>
      </c>
      <c r="F38" s="67">
        <v>3141</v>
      </c>
      <c r="G38" s="66" t="s">
        <v>311</v>
      </c>
      <c r="H38" s="68" t="s">
        <v>278</v>
      </c>
      <c r="I38" s="462">
        <v>1128009</v>
      </c>
      <c r="J38" s="728">
        <v>832520</v>
      </c>
      <c r="K38" s="457">
        <v>281392</v>
      </c>
      <c r="L38" s="457">
        <v>8325</v>
      </c>
      <c r="M38" s="728">
        <v>5772</v>
      </c>
      <c r="N38" s="458">
        <v>2.68</v>
      </c>
      <c r="O38" s="459">
        <v>0</v>
      </c>
      <c r="P38" s="646">
        <v>2.68</v>
      </c>
      <c r="Q38" s="469">
        <f t="shared" si="0"/>
        <v>-2600</v>
      </c>
      <c r="R38" s="469">
        <v>0</v>
      </c>
      <c r="S38" s="460">
        <v>0</v>
      </c>
      <c r="T38" s="460">
        <v>0</v>
      </c>
      <c r="U38" s="460">
        <v>0</v>
      </c>
      <c r="V38" s="460">
        <f>SUM(Q38:U38)</f>
        <v>-2600</v>
      </c>
      <c r="W38" s="460">
        <v>2600</v>
      </c>
      <c r="X38" s="460">
        <v>0</v>
      </c>
      <c r="Y38" s="460">
        <v>0</v>
      </c>
      <c r="Z38" s="460">
        <f t="shared" si="49"/>
        <v>2600</v>
      </c>
      <c r="AA38" s="460">
        <f t="shared" si="50"/>
        <v>0</v>
      </c>
      <c r="AB38" s="69">
        <f t="shared" si="51"/>
        <v>0</v>
      </c>
      <c r="AC38" s="69">
        <f t="shared" si="52"/>
        <v>-26</v>
      </c>
      <c r="AD38" s="460">
        <v>0</v>
      </c>
      <c r="AE38" s="460">
        <v>0</v>
      </c>
      <c r="AF38" s="460">
        <f>SUM(AD38:AE38)</f>
        <v>0</v>
      </c>
      <c r="AG38" s="460">
        <f>AA38+AB38+AC38+AF38</f>
        <v>-26</v>
      </c>
      <c r="AH38" s="461">
        <v>0</v>
      </c>
      <c r="AI38" s="461">
        <v>0</v>
      </c>
      <c r="AJ38" s="461">
        <v>0</v>
      </c>
      <c r="AK38" s="461">
        <v>0</v>
      </c>
      <c r="AL38" s="461">
        <v>0</v>
      </c>
      <c r="AM38" s="461">
        <v>0</v>
      </c>
      <c r="AN38" s="461">
        <v>0</v>
      </c>
      <c r="AO38" s="461">
        <v>0</v>
      </c>
      <c r="AP38" s="461">
        <f t="shared" si="10"/>
        <v>0</v>
      </c>
      <c r="AQ38" s="461">
        <f t="shared" si="11"/>
        <v>0</v>
      </c>
      <c r="AR38" s="737">
        <f t="shared" si="12"/>
        <v>0</v>
      </c>
      <c r="AS38" s="470">
        <f t="shared" si="13"/>
        <v>1127983</v>
      </c>
      <c r="AT38" s="460">
        <f t="shared" si="14"/>
        <v>829920</v>
      </c>
      <c r="AU38" s="460">
        <f t="shared" si="15"/>
        <v>2600</v>
      </c>
      <c r="AV38" s="460">
        <f t="shared" si="16"/>
        <v>281392</v>
      </c>
      <c r="AW38" s="460">
        <f t="shared" si="17"/>
        <v>8299</v>
      </c>
      <c r="AX38" s="460">
        <f t="shared" si="18"/>
        <v>5772</v>
      </c>
      <c r="AY38" s="461">
        <f t="shared" si="19"/>
        <v>2.68</v>
      </c>
      <c r="AZ38" s="461">
        <f t="shared" si="20"/>
        <v>0</v>
      </c>
      <c r="BA38" s="463">
        <f t="shared" si="21"/>
        <v>2.68</v>
      </c>
    </row>
    <row r="39" spans="1:53" ht="14.1" customHeight="1" x14ac:dyDescent="0.2">
      <c r="A39" s="73">
        <v>7</v>
      </c>
      <c r="B39" s="70">
        <v>2422</v>
      </c>
      <c r="C39" s="71">
        <v>600079082</v>
      </c>
      <c r="D39" s="70">
        <v>72742585</v>
      </c>
      <c r="E39" s="72" t="s">
        <v>568</v>
      </c>
      <c r="F39" s="73"/>
      <c r="G39" s="72"/>
      <c r="H39" s="74"/>
      <c r="I39" s="701">
        <f t="shared" ref="I39:P39" si="53">SUM(I36:I38)</f>
        <v>10276011</v>
      </c>
      <c r="J39" s="75">
        <f t="shared" si="53"/>
        <v>7585934</v>
      </c>
      <c r="K39" s="75">
        <f t="shared" si="53"/>
        <v>2564046</v>
      </c>
      <c r="L39" s="75">
        <f t="shared" si="53"/>
        <v>75859</v>
      </c>
      <c r="M39" s="75">
        <f t="shared" si="53"/>
        <v>50172</v>
      </c>
      <c r="N39" s="76">
        <f t="shared" si="53"/>
        <v>16.508800000000001</v>
      </c>
      <c r="O39" s="76">
        <f t="shared" si="53"/>
        <v>10.838800000000001</v>
      </c>
      <c r="P39" s="77">
        <f t="shared" si="53"/>
        <v>5.67</v>
      </c>
      <c r="Q39" s="724">
        <f t="shared" ref="Q39:BA39" si="54">SUM(Q36:Q38)</f>
        <v>-42250</v>
      </c>
      <c r="R39" s="724">
        <f t="shared" si="54"/>
        <v>346447</v>
      </c>
      <c r="S39" s="75">
        <f t="shared" si="54"/>
        <v>0</v>
      </c>
      <c r="T39" s="75">
        <f t="shared" si="54"/>
        <v>0</v>
      </c>
      <c r="U39" s="75">
        <f t="shared" si="54"/>
        <v>0</v>
      </c>
      <c r="V39" s="75">
        <f t="shared" si="54"/>
        <v>304197</v>
      </c>
      <c r="W39" s="75">
        <f t="shared" si="54"/>
        <v>42250</v>
      </c>
      <c r="X39" s="75">
        <f t="shared" si="54"/>
        <v>0</v>
      </c>
      <c r="Y39" s="75">
        <f t="shared" si="54"/>
        <v>0</v>
      </c>
      <c r="Z39" s="75">
        <f t="shared" si="54"/>
        <v>42250</v>
      </c>
      <c r="AA39" s="75">
        <f t="shared" si="54"/>
        <v>346447</v>
      </c>
      <c r="AB39" s="75">
        <f t="shared" si="54"/>
        <v>117099</v>
      </c>
      <c r="AC39" s="75">
        <f t="shared" si="54"/>
        <v>3041</v>
      </c>
      <c r="AD39" s="75">
        <f t="shared" si="54"/>
        <v>0</v>
      </c>
      <c r="AE39" s="75">
        <f t="shared" si="54"/>
        <v>0</v>
      </c>
      <c r="AF39" s="75">
        <f t="shared" si="54"/>
        <v>0</v>
      </c>
      <c r="AG39" s="75">
        <f t="shared" si="54"/>
        <v>466587</v>
      </c>
      <c r="AH39" s="76">
        <f t="shared" si="54"/>
        <v>0</v>
      </c>
      <c r="AI39" s="76">
        <f t="shared" si="54"/>
        <v>-0.08</v>
      </c>
      <c r="AJ39" s="76">
        <f t="shared" si="54"/>
        <v>1</v>
      </c>
      <c r="AK39" s="76">
        <f t="shared" si="54"/>
        <v>0</v>
      </c>
      <c r="AL39" s="76">
        <f t="shared" si="54"/>
        <v>0</v>
      </c>
      <c r="AM39" s="76">
        <f t="shared" si="54"/>
        <v>0</v>
      </c>
      <c r="AN39" s="76">
        <f t="shared" si="54"/>
        <v>0</v>
      </c>
      <c r="AO39" s="76">
        <f t="shared" si="54"/>
        <v>0</v>
      </c>
      <c r="AP39" s="76">
        <f t="shared" si="54"/>
        <v>1</v>
      </c>
      <c r="AQ39" s="76">
        <f t="shared" si="54"/>
        <v>-0.08</v>
      </c>
      <c r="AR39" s="720">
        <f t="shared" si="54"/>
        <v>0.92</v>
      </c>
      <c r="AS39" s="701">
        <f t="shared" si="54"/>
        <v>10742598</v>
      </c>
      <c r="AT39" s="75">
        <f t="shared" si="54"/>
        <v>7890131</v>
      </c>
      <c r="AU39" s="75">
        <f t="shared" si="54"/>
        <v>42250</v>
      </c>
      <c r="AV39" s="75">
        <f t="shared" si="54"/>
        <v>2681145</v>
      </c>
      <c r="AW39" s="75">
        <f t="shared" si="54"/>
        <v>78900</v>
      </c>
      <c r="AX39" s="75">
        <f t="shared" si="54"/>
        <v>50172</v>
      </c>
      <c r="AY39" s="76">
        <f t="shared" si="54"/>
        <v>17.428800000000003</v>
      </c>
      <c r="AZ39" s="76">
        <f t="shared" si="54"/>
        <v>11.838800000000001</v>
      </c>
      <c r="BA39" s="77">
        <f t="shared" si="54"/>
        <v>5.59</v>
      </c>
    </row>
    <row r="40" spans="1:53" ht="14.1" customHeight="1" x14ac:dyDescent="0.2">
      <c r="A40" s="67">
        <v>8</v>
      </c>
      <c r="B40" s="64">
        <v>2427</v>
      </c>
      <c r="C40" s="65">
        <v>600079091</v>
      </c>
      <c r="D40" s="64">
        <v>72741627</v>
      </c>
      <c r="E40" s="66" t="s">
        <v>569</v>
      </c>
      <c r="F40" s="67">
        <v>3111</v>
      </c>
      <c r="G40" s="66" t="s">
        <v>307</v>
      </c>
      <c r="H40" s="68" t="s">
        <v>277</v>
      </c>
      <c r="I40" s="462">
        <v>5459027</v>
      </c>
      <c r="J40" s="16">
        <v>4029842</v>
      </c>
      <c r="K40" s="457">
        <v>1362087</v>
      </c>
      <c r="L40" s="457">
        <v>40298</v>
      </c>
      <c r="M40" s="16">
        <v>26800</v>
      </c>
      <c r="N40" s="13">
        <v>8.0417999999999985</v>
      </c>
      <c r="O40" s="13">
        <v>6.2417999999999996</v>
      </c>
      <c r="P40" s="17">
        <v>1.7999999999999998</v>
      </c>
      <c r="Q40" s="469">
        <f t="shared" si="0"/>
        <v>0</v>
      </c>
      <c r="R40" s="469">
        <v>0</v>
      </c>
      <c r="S40" s="460">
        <v>0</v>
      </c>
      <c r="T40" s="460">
        <v>0</v>
      </c>
      <c r="U40" s="460">
        <v>0</v>
      </c>
      <c r="V40" s="460">
        <f>SUM(Q40:U40)</f>
        <v>0</v>
      </c>
      <c r="W40" s="460">
        <v>0</v>
      </c>
      <c r="X40" s="460">
        <v>0</v>
      </c>
      <c r="Y40" s="460">
        <v>0</v>
      </c>
      <c r="Z40" s="460">
        <f t="shared" ref="Z40:Z41" si="55">SUM(W40:Y40)</f>
        <v>0</v>
      </c>
      <c r="AA40" s="460">
        <f t="shared" ref="AA40:AA41" si="56">V40+Z40</f>
        <v>0</v>
      </c>
      <c r="AB40" s="69">
        <f t="shared" ref="AB40:AB41" si="57">ROUND((V40+W40+X40)*33.8%,0)</f>
        <v>0</v>
      </c>
      <c r="AC40" s="69">
        <f t="shared" ref="AC40:AC41" si="58">ROUND(V40*1%,0)</f>
        <v>0</v>
      </c>
      <c r="AD40" s="460">
        <v>0</v>
      </c>
      <c r="AE40" s="460">
        <v>0</v>
      </c>
      <c r="AF40" s="460">
        <f>SUM(AD40:AE40)</f>
        <v>0</v>
      </c>
      <c r="AG40" s="460">
        <f>AA40+AB40+AC40+AF40</f>
        <v>0</v>
      </c>
      <c r="AH40" s="461">
        <v>0</v>
      </c>
      <c r="AI40" s="461">
        <v>0</v>
      </c>
      <c r="AJ40" s="461">
        <v>0</v>
      </c>
      <c r="AK40" s="461">
        <v>0</v>
      </c>
      <c r="AL40" s="461">
        <v>0</v>
      </c>
      <c r="AM40" s="461">
        <v>0</v>
      </c>
      <c r="AN40" s="461">
        <v>0</v>
      </c>
      <c r="AO40" s="461">
        <v>0</v>
      </c>
      <c r="AP40" s="461">
        <f t="shared" si="10"/>
        <v>0</v>
      </c>
      <c r="AQ40" s="461">
        <f t="shared" si="11"/>
        <v>0</v>
      </c>
      <c r="AR40" s="737">
        <f t="shared" si="12"/>
        <v>0</v>
      </c>
      <c r="AS40" s="470">
        <f t="shared" si="13"/>
        <v>5459027</v>
      </c>
      <c r="AT40" s="460">
        <f t="shared" si="14"/>
        <v>4029842</v>
      </c>
      <c r="AU40" s="460">
        <f t="shared" si="15"/>
        <v>0</v>
      </c>
      <c r="AV40" s="460">
        <f t="shared" si="16"/>
        <v>1362087</v>
      </c>
      <c r="AW40" s="460">
        <f t="shared" si="17"/>
        <v>40298</v>
      </c>
      <c r="AX40" s="460">
        <f t="shared" si="18"/>
        <v>26800</v>
      </c>
      <c r="AY40" s="461">
        <f t="shared" si="19"/>
        <v>8.0417999999999985</v>
      </c>
      <c r="AZ40" s="461">
        <f t="shared" si="20"/>
        <v>6.2417999999999996</v>
      </c>
      <c r="BA40" s="463">
        <f t="shared" si="21"/>
        <v>1.7999999999999998</v>
      </c>
    </row>
    <row r="41" spans="1:53" ht="14.1" customHeight="1" x14ac:dyDescent="0.2">
      <c r="A41" s="67">
        <v>8</v>
      </c>
      <c r="B41" s="64">
        <v>2427</v>
      </c>
      <c r="C41" s="65">
        <v>600079091</v>
      </c>
      <c r="D41" s="64">
        <v>72741627</v>
      </c>
      <c r="E41" s="66" t="s">
        <v>569</v>
      </c>
      <c r="F41" s="67">
        <v>3141</v>
      </c>
      <c r="G41" s="66" t="s">
        <v>311</v>
      </c>
      <c r="H41" s="68" t="s">
        <v>278</v>
      </c>
      <c r="I41" s="462">
        <v>317526</v>
      </c>
      <c r="J41" s="728">
        <v>233863</v>
      </c>
      <c r="K41" s="457">
        <v>79046</v>
      </c>
      <c r="L41" s="457">
        <v>2339</v>
      </c>
      <c r="M41" s="728">
        <v>2278</v>
      </c>
      <c r="N41" s="458">
        <v>0.75</v>
      </c>
      <c r="O41" s="459">
        <v>0</v>
      </c>
      <c r="P41" s="646">
        <v>0.75</v>
      </c>
      <c r="Q41" s="469">
        <f t="shared" si="0"/>
        <v>0</v>
      </c>
      <c r="R41" s="469">
        <v>0</v>
      </c>
      <c r="S41" s="460">
        <v>0</v>
      </c>
      <c r="T41" s="460">
        <v>0</v>
      </c>
      <c r="U41" s="460">
        <v>0</v>
      </c>
      <c r="V41" s="460">
        <f>SUM(Q41:U41)</f>
        <v>0</v>
      </c>
      <c r="W41" s="460">
        <v>0</v>
      </c>
      <c r="X41" s="460">
        <v>0</v>
      </c>
      <c r="Y41" s="460">
        <v>0</v>
      </c>
      <c r="Z41" s="460">
        <f t="shared" si="55"/>
        <v>0</v>
      </c>
      <c r="AA41" s="460">
        <f t="shared" si="56"/>
        <v>0</v>
      </c>
      <c r="AB41" s="69">
        <f t="shared" si="57"/>
        <v>0</v>
      </c>
      <c r="AC41" s="69">
        <f t="shared" si="58"/>
        <v>0</v>
      </c>
      <c r="AD41" s="460">
        <v>0</v>
      </c>
      <c r="AE41" s="460">
        <v>0</v>
      </c>
      <c r="AF41" s="460">
        <f>SUM(AD41:AE41)</f>
        <v>0</v>
      </c>
      <c r="AG41" s="460">
        <f>AA41+AB41+AC41+AF41</f>
        <v>0</v>
      </c>
      <c r="AH41" s="461">
        <v>0</v>
      </c>
      <c r="AI41" s="461">
        <v>0</v>
      </c>
      <c r="AJ41" s="461">
        <v>0</v>
      </c>
      <c r="AK41" s="461">
        <v>0</v>
      </c>
      <c r="AL41" s="461">
        <v>0</v>
      </c>
      <c r="AM41" s="461">
        <v>0</v>
      </c>
      <c r="AN41" s="461">
        <v>0</v>
      </c>
      <c r="AO41" s="461">
        <v>0</v>
      </c>
      <c r="AP41" s="461">
        <f t="shared" si="10"/>
        <v>0</v>
      </c>
      <c r="AQ41" s="461">
        <f t="shared" si="11"/>
        <v>0</v>
      </c>
      <c r="AR41" s="737">
        <f t="shared" si="12"/>
        <v>0</v>
      </c>
      <c r="AS41" s="470">
        <f t="shared" si="13"/>
        <v>317526</v>
      </c>
      <c r="AT41" s="460">
        <f t="shared" si="14"/>
        <v>233863</v>
      </c>
      <c r="AU41" s="460">
        <f t="shared" si="15"/>
        <v>0</v>
      </c>
      <c r="AV41" s="460">
        <f t="shared" si="16"/>
        <v>79046</v>
      </c>
      <c r="AW41" s="460">
        <f t="shared" si="17"/>
        <v>2339</v>
      </c>
      <c r="AX41" s="460">
        <f t="shared" si="18"/>
        <v>2278</v>
      </c>
      <c r="AY41" s="461">
        <f t="shared" si="19"/>
        <v>0.75</v>
      </c>
      <c r="AZ41" s="461">
        <f t="shared" si="20"/>
        <v>0</v>
      </c>
      <c r="BA41" s="463">
        <f t="shared" si="21"/>
        <v>0.75</v>
      </c>
    </row>
    <row r="42" spans="1:53" ht="14.1" customHeight="1" x14ac:dyDescent="0.2">
      <c r="A42" s="73">
        <v>8</v>
      </c>
      <c r="B42" s="70">
        <v>2427</v>
      </c>
      <c r="C42" s="71">
        <v>600079091</v>
      </c>
      <c r="D42" s="70">
        <v>72741627</v>
      </c>
      <c r="E42" s="72" t="s">
        <v>570</v>
      </c>
      <c r="F42" s="73"/>
      <c r="G42" s="72"/>
      <c r="H42" s="74"/>
      <c r="I42" s="701">
        <f t="shared" ref="I42:P42" si="59">SUM(I40:I41)</f>
        <v>5776553</v>
      </c>
      <c r="J42" s="75">
        <f t="shared" si="59"/>
        <v>4263705</v>
      </c>
      <c r="K42" s="75">
        <f t="shared" si="59"/>
        <v>1441133</v>
      </c>
      <c r="L42" s="75">
        <f t="shared" si="59"/>
        <v>42637</v>
      </c>
      <c r="M42" s="75">
        <f t="shared" si="59"/>
        <v>29078</v>
      </c>
      <c r="N42" s="76">
        <f t="shared" si="59"/>
        <v>8.7917999999999985</v>
      </c>
      <c r="O42" s="76">
        <f t="shared" si="59"/>
        <v>6.2417999999999996</v>
      </c>
      <c r="P42" s="77">
        <f t="shared" si="59"/>
        <v>2.5499999999999998</v>
      </c>
      <c r="Q42" s="724">
        <f t="shared" ref="Q42:BA42" si="60">SUM(Q40:Q41)</f>
        <v>0</v>
      </c>
      <c r="R42" s="724">
        <f t="shared" si="60"/>
        <v>0</v>
      </c>
      <c r="S42" s="75">
        <f t="shared" si="60"/>
        <v>0</v>
      </c>
      <c r="T42" s="75">
        <f t="shared" si="60"/>
        <v>0</v>
      </c>
      <c r="U42" s="75">
        <f t="shared" si="60"/>
        <v>0</v>
      </c>
      <c r="V42" s="75">
        <f t="shared" si="60"/>
        <v>0</v>
      </c>
      <c r="W42" s="75">
        <f t="shared" si="60"/>
        <v>0</v>
      </c>
      <c r="X42" s="75">
        <f t="shared" si="60"/>
        <v>0</v>
      </c>
      <c r="Y42" s="75">
        <f t="shared" si="60"/>
        <v>0</v>
      </c>
      <c r="Z42" s="75">
        <f t="shared" si="60"/>
        <v>0</v>
      </c>
      <c r="AA42" s="75">
        <f t="shared" si="60"/>
        <v>0</v>
      </c>
      <c r="AB42" s="75">
        <f t="shared" si="60"/>
        <v>0</v>
      </c>
      <c r="AC42" s="75">
        <f t="shared" si="60"/>
        <v>0</v>
      </c>
      <c r="AD42" s="75">
        <f t="shared" si="60"/>
        <v>0</v>
      </c>
      <c r="AE42" s="75">
        <f t="shared" si="60"/>
        <v>0</v>
      </c>
      <c r="AF42" s="75">
        <f t="shared" si="60"/>
        <v>0</v>
      </c>
      <c r="AG42" s="75">
        <f t="shared" si="60"/>
        <v>0</v>
      </c>
      <c r="AH42" s="76">
        <f t="shared" si="60"/>
        <v>0</v>
      </c>
      <c r="AI42" s="76">
        <f t="shared" si="60"/>
        <v>0</v>
      </c>
      <c r="AJ42" s="76">
        <f t="shared" si="60"/>
        <v>0</v>
      </c>
      <c r="AK42" s="76">
        <f t="shared" si="60"/>
        <v>0</v>
      </c>
      <c r="AL42" s="76">
        <f t="shared" si="60"/>
        <v>0</v>
      </c>
      <c r="AM42" s="76">
        <f t="shared" si="60"/>
        <v>0</v>
      </c>
      <c r="AN42" s="76">
        <f t="shared" si="60"/>
        <v>0</v>
      </c>
      <c r="AO42" s="76">
        <f t="shared" si="60"/>
        <v>0</v>
      </c>
      <c r="AP42" s="76">
        <f t="shared" si="60"/>
        <v>0</v>
      </c>
      <c r="AQ42" s="76">
        <f t="shared" si="60"/>
        <v>0</v>
      </c>
      <c r="AR42" s="720">
        <f t="shared" si="60"/>
        <v>0</v>
      </c>
      <c r="AS42" s="701">
        <f t="shared" si="60"/>
        <v>5776553</v>
      </c>
      <c r="AT42" s="75">
        <f t="shared" si="60"/>
        <v>4263705</v>
      </c>
      <c r="AU42" s="75">
        <f t="shared" si="60"/>
        <v>0</v>
      </c>
      <c r="AV42" s="75">
        <f t="shared" si="60"/>
        <v>1441133</v>
      </c>
      <c r="AW42" s="75">
        <f t="shared" si="60"/>
        <v>42637</v>
      </c>
      <c r="AX42" s="75">
        <f t="shared" si="60"/>
        <v>29078</v>
      </c>
      <c r="AY42" s="76">
        <f t="shared" si="60"/>
        <v>8.7917999999999985</v>
      </c>
      <c r="AZ42" s="76">
        <f t="shared" si="60"/>
        <v>6.2417999999999996</v>
      </c>
      <c r="BA42" s="77">
        <f t="shared" si="60"/>
        <v>2.5499999999999998</v>
      </c>
    </row>
    <row r="43" spans="1:53" ht="14.1" customHeight="1" x14ac:dyDescent="0.2">
      <c r="A43" s="67">
        <v>9</v>
      </c>
      <c r="B43" s="64">
        <v>2327</v>
      </c>
      <c r="C43" s="65">
        <v>691002606</v>
      </c>
      <c r="D43" s="64">
        <v>72076950</v>
      </c>
      <c r="E43" s="66" t="s">
        <v>571</v>
      </c>
      <c r="F43" s="67">
        <v>3111</v>
      </c>
      <c r="G43" s="66" t="s">
        <v>307</v>
      </c>
      <c r="H43" s="68" t="s">
        <v>277</v>
      </c>
      <c r="I43" s="462">
        <v>9407067</v>
      </c>
      <c r="J43" s="16">
        <v>6945302</v>
      </c>
      <c r="K43" s="457">
        <v>2347512</v>
      </c>
      <c r="L43" s="457">
        <v>69453</v>
      </c>
      <c r="M43" s="16">
        <v>44800</v>
      </c>
      <c r="N43" s="13">
        <v>14.1996</v>
      </c>
      <c r="O43" s="13">
        <v>11.2096</v>
      </c>
      <c r="P43" s="17">
        <v>2.99</v>
      </c>
      <c r="Q43" s="469">
        <f t="shared" si="0"/>
        <v>0</v>
      </c>
      <c r="R43" s="469">
        <v>0</v>
      </c>
      <c r="S43" s="460">
        <v>0</v>
      </c>
      <c r="T43" s="460">
        <v>0</v>
      </c>
      <c r="U43" s="460">
        <v>0</v>
      </c>
      <c r="V43" s="460">
        <f>SUM(Q43:U43)</f>
        <v>0</v>
      </c>
      <c r="W43" s="460">
        <v>0</v>
      </c>
      <c r="X43" s="460">
        <v>0</v>
      </c>
      <c r="Y43" s="460">
        <v>0</v>
      </c>
      <c r="Z43" s="460">
        <f t="shared" ref="Z43:Z45" si="61">SUM(W43:Y43)</f>
        <v>0</v>
      </c>
      <c r="AA43" s="460">
        <f t="shared" ref="AA43:AA45" si="62">V43+Z43</f>
        <v>0</v>
      </c>
      <c r="AB43" s="69">
        <f t="shared" ref="AB43:AB45" si="63">ROUND((V43+W43+X43)*33.8%,0)</f>
        <v>0</v>
      </c>
      <c r="AC43" s="69">
        <f t="shared" ref="AC43:AC45" si="64">ROUND(V43*1%,0)</f>
        <v>0</v>
      </c>
      <c r="AD43" s="460">
        <v>0</v>
      </c>
      <c r="AE43" s="460">
        <v>0</v>
      </c>
      <c r="AF43" s="460">
        <f>SUM(AD43:AE43)</f>
        <v>0</v>
      </c>
      <c r="AG43" s="460">
        <f>AA43+AB43+AC43+AF43</f>
        <v>0</v>
      </c>
      <c r="AH43" s="461">
        <v>0</v>
      </c>
      <c r="AI43" s="461">
        <v>0</v>
      </c>
      <c r="AJ43" s="461">
        <v>0</v>
      </c>
      <c r="AK43" s="461">
        <v>0</v>
      </c>
      <c r="AL43" s="461">
        <v>0</v>
      </c>
      <c r="AM43" s="461">
        <v>0</v>
      </c>
      <c r="AN43" s="461">
        <v>0</v>
      </c>
      <c r="AO43" s="461">
        <v>0</v>
      </c>
      <c r="AP43" s="461">
        <f t="shared" si="10"/>
        <v>0</v>
      </c>
      <c r="AQ43" s="461">
        <f t="shared" si="11"/>
        <v>0</v>
      </c>
      <c r="AR43" s="737">
        <f t="shared" si="12"/>
        <v>0</v>
      </c>
      <c r="AS43" s="470">
        <f t="shared" si="13"/>
        <v>9407067</v>
      </c>
      <c r="AT43" s="460">
        <f t="shared" si="14"/>
        <v>6945302</v>
      </c>
      <c r="AU43" s="460">
        <f t="shared" si="15"/>
        <v>0</v>
      </c>
      <c r="AV43" s="460">
        <f t="shared" si="16"/>
        <v>2347512</v>
      </c>
      <c r="AW43" s="460">
        <f t="shared" si="17"/>
        <v>69453</v>
      </c>
      <c r="AX43" s="460">
        <f t="shared" si="18"/>
        <v>44800</v>
      </c>
      <c r="AY43" s="461">
        <f t="shared" si="19"/>
        <v>14.1996</v>
      </c>
      <c r="AZ43" s="461">
        <f t="shared" si="20"/>
        <v>11.2096</v>
      </c>
      <c r="BA43" s="463">
        <f t="shared" si="21"/>
        <v>2.99</v>
      </c>
    </row>
    <row r="44" spans="1:53" ht="14.1" customHeight="1" x14ac:dyDescent="0.2">
      <c r="A44" s="67">
        <v>9</v>
      </c>
      <c r="B44" s="64">
        <v>2327</v>
      </c>
      <c r="C44" s="65">
        <v>691002606</v>
      </c>
      <c r="D44" s="64">
        <v>72076950</v>
      </c>
      <c r="E44" s="66" t="s">
        <v>571</v>
      </c>
      <c r="F44" s="67">
        <v>3111</v>
      </c>
      <c r="G44" s="78" t="s">
        <v>308</v>
      </c>
      <c r="H44" s="68" t="s">
        <v>278</v>
      </c>
      <c r="I44" s="462">
        <v>0</v>
      </c>
      <c r="J44" s="457">
        <v>0</v>
      </c>
      <c r="K44" s="457">
        <v>0</v>
      </c>
      <c r="L44" s="457">
        <v>0</v>
      </c>
      <c r="M44" s="457">
        <v>0</v>
      </c>
      <c r="N44" s="458">
        <v>0</v>
      </c>
      <c r="O44" s="459">
        <v>0</v>
      </c>
      <c r="P44" s="646">
        <v>0</v>
      </c>
      <c r="Q44" s="469">
        <f t="shared" si="0"/>
        <v>0</v>
      </c>
      <c r="R44" s="469">
        <v>692894</v>
      </c>
      <c r="S44" s="460">
        <v>0</v>
      </c>
      <c r="T44" s="460">
        <v>0</v>
      </c>
      <c r="U44" s="460">
        <v>0</v>
      </c>
      <c r="V44" s="460">
        <f>SUM(Q44:U44)</f>
        <v>692894</v>
      </c>
      <c r="W44" s="460">
        <v>0</v>
      </c>
      <c r="X44" s="460">
        <v>0</v>
      </c>
      <c r="Y44" s="460">
        <v>0</v>
      </c>
      <c r="Z44" s="460">
        <f t="shared" si="61"/>
        <v>0</v>
      </c>
      <c r="AA44" s="460">
        <f t="shared" si="62"/>
        <v>692894</v>
      </c>
      <c r="AB44" s="69">
        <f t="shared" si="63"/>
        <v>234198</v>
      </c>
      <c r="AC44" s="69">
        <f t="shared" si="64"/>
        <v>6929</v>
      </c>
      <c r="AD44" s="460">
        <v>0</v>
      </c>
      <c r="AE44" s="460">
        <v>0</v>
      </c>
      <c r="AF44" s="460">
        <f>SUM(AD44:AE44)</f>
        <v>0</v>
      </c>
      <c r="AG44" s="460">
        <f>AA44+AB44+AC44+AF44</f>
        <v>934021</v>
      </c>
      <c r="AH44" s="461">
        <v>0</v>
      </c>
      <c r="AI44" s="461">
        <v>0</v>
      </c>
      <c r="AJ44" s="461">
        <v>2</v>
      </c>
      <c r="AK44" s="461">
        <v>0</v>
      </c>
      <c r="AL44" s="461">
        <v>0</v>
      </c>
      <c r="AM44" s="461">
        <v>0</v>
      </c>
      <c r="AN44" s="461">
        <v>0</v>
      </c>
      <c r="AO44" s="461">
        <v>0</v>
      </c>
      <c r="AP44" s="461">
        <f t="shared" si="10"/>
        <v>2</v>
      </c>
      <c r="AQ44" s="461">
        <f t="shared" si="11"/>
        <v>0</v>
      </c>
      <c r="AR44" s="737">
        <f t="shared" si="12"/>
        <v>2</v>
      </c>
      <c r="AS44" s="470">
        <f t="shared" si="13"/>
        <v>934021</v>
      </c>
      <c r="AT44" s="460">
        <f t="shared" si="14"/>
        <v>692894</v>
      </c>
      <c r="AU44" s="460">
        <f t="shared" si="15"/>
        <v>0</v>
      </c>
      <c r="AV44" s="460">
        <f t="shared" si="16"/>
        <v>234198</v>
      </c>
      <c r="AW44" s="460">
        <f t="shared" si="17"/>
        <v>6929</v>
      </c>
      <c r="AX44" s="460">
        <f t="shared" si="18"/>
        <v>0</v>
      </c>
      <c r="AY44" s="461">
        <f t="shared" si="19"/>
        <v>2</v>
      </c>
      <c r="AZ44" s="461">
        <f t="shared" si="20"/>
        <v>2</v>
      </c>
      <c r="BA44" s="463">
        <f t="shared" si="21"/>
        <v>0</v>
      </c>
    </row>
    <row r="45" spans="1:53" ht="14.1" customHeight="1" x14ac:dyDescent="0.2">
      <c r="A45" s="67">
        <v>9</v>
      </c>
      <c r="B45" s="64">
        <v>2327</v>
      </c>
      <c r="C45" s="65">
        <v>691002606</v>
      </c>
      <c r="D45" s="64">
        <v>72076950</v>
      </c>
      <c r="E45" s="66" t="s">
        <v>571</v>
      </c>
      <c r="F45" s="67">
        <v>3141</v>
      </c>
      <c r="G45" s="66" t="s">
        <v>311</v>
      </c>
      <c r="H45" s="68" t="s">
        <v>278</v>
      </c>
      <c r="I45" s="462">
        <v>1151204</v>
      </c>
      <c r="J45" s="728">
        <v>849611</v>
      </c>
      <c r="K45" s="457">
        <v>287169</v>
      </c>
      <c r="L45" s="457">
        <v>8496</v>
      </c>
      <c r="M45" s="728">
        <v>5928</v>
      </c>
      <c r="N45" s="458">
        <v>2.73</v>
      </c>
      <c r="O45" s="459">
        <v>0</v>
      </c>
      <c r="P45" s="646">
        <v>2.73</v>
      </c>
      <c r="Q45" s="469">
        <f t="shared" si="0"/>
        <v>0</v>
      </c>
      <c r="R45" s="469">
        <v>0</v>
      </c>
      <c r="S45" s="460">
        <v>0</v>
      </c>
      <c r="T45" s="460">
        <v>0</v>
      </c>
      <c r="U45" s="460">
        <v>0</v>
      </c>
      <c r="V45" s="460">
        <f>SUM(Q45:U45)</f>
        <v>0</v>
      </c>
      <c r="W45" s="460">
        <v>0</v>
      </c>
      <c r="X45" s="460">
        <v>0</v>
      </c>
      <c r="Y45" s="460">
        <v>0</v>
      </c>
      <c r="Z45" s="460">
        <f t="shared" si="61"/>
        <v>0</v>
      </c>
      <c r="AA45" s="460">
        <f t="shared" si="62"/>
        <v>0</v>
      </c>
      <c r="AB45" s="69">
        <f t="shared" si="63"/>
        <v>0</v>
      </c>
      <c r="AC45" s="69">
        <f t="shared" si="64"/>
        <v>0</v>
      </c>
      <c r="AD45" s="460">
        <v>0</v>
      </c>
      <c r="AE45" s="460">
        <v>0</v>
      </c>
      <c r="AF45" s="460">
        <f>SUM(AD45:AE45)</f>
        <v>0</v>
      </c>
      <c r="AG45" s="460">
        <f>AA45+AB45+AC45+AF45</f>
        <v>0</v>
      </c>
      <c r="AH45" s="461">
        <v>0</v>
      </c>
      <c r="AI45" s="461">
        <v>0</v>
      </c>
      <c r="AJ45" s="461">
        <v>0</v>
      </c>
      <c r="AK45" s="461">
        <v>0</v>
      </c>
      <c r="AL45" s="461">
        <v>0</v>
      </c>
      <c r="AM45" s="461">
        <v>0</v>
      </c>
      <c r="AN45" s="461">
        <v>0</v>
      </c>
      <c r="AO45" s="461">
        <v>0</v>
      </c>
      <c r="AP45" s="461">
        <f t="shared" si="10"/>
        <v>0</v>
      </c>
      <c r="AQ45" s="461">
        <f t="shared" si="11"/>
        <v>0</v>
      </c>
      <c r="AR45" s="737">
        <f t="shared" si="12"/>
        <v>0</v>
      </c>
      <c r="AS45" s="470">
        <f t="shared" si="13"/>
        <v>1151204</v>
      </c>
      <c r="AT45" s="460">
        <f t="shared" si="14"/>
        <v>849611</v>
      </c>
      <c r="AU45" s="460">
        <f t="shared" si="15"/>
        <v>0</v>
      </c>
      <c r="AV45" s="460">
        <f t="shared" si="16"/>
        <v>287169</v>
      </c>
      <c r="AW45" s="460">
        <f t="shared" si="17"/>
        <v>8496</v>
      </c>
      <c r="AX45" s="460">
        <f t="shared" si="18"/>
        <v>5928</v>
      </c>
      <c r="AY45" s="461">
        <f t="shared" si="19"/>
        <v>2.73</v>
      </c>
      <c r="AZ45" s="461">
        <f t="shared" si="20"/>
        <v>0</v>
      </c>
      <c r="BA45" s="463">
        <f t="shared" si="21"/>
        <v>2.73</v>
      </c>
    </row>
    <row r="46" spans="1:53" ht="14.1" customHeight="1" x14ac:dyDescent="0.2">
      <c r="A46" s="73">
        <v>9</v>
      </c>
      <c r="B46" s="70">
        <v>2327</v>
      </c>
      <c r="C46" s="71">
        <v>691002606</v>
      </c>
      <c r="D46" s="70">
        <v>72076950</v>
      </c>
      <c r="E46" s="72" t="s">
        <v>572</v>
      </c>
      <c r="F46" s="73"/>
      <c r="G46" s="72"/>
      <c r="H46" s="74"/>
      <c r="I46" s="701">
        <f t="shared" ref="I46:P46" si="65">SUM(I43:I45)</f>
        <v>10558271</v>
      </c>
      <c r="J46" s="75">
        <f t="shared" si="65"/>
        <v>7794913</v>
      </c>
      <c r="K46" s="75">
        <f t="shared" si="65"/>
        <v>2634681</v>
      </c>
      <c r="L46" s="75">
        <f t="shared" si="65"/>
        <v>77949</v>
      </c>
      <c r="M46" s="75">
        <f t="shared" si="65"/>
        <v>50728</v>
      </c>
      <c r="N46" s="76">
        <f t="shared" si="65"/>
        <v>16.929600000000001</v>
      </c>
      <c r="O46" s="76">
        <f t="shared" si="65"/>
        <v>11.2096</v>
      </c>
      <c r="P46" s="77">
        <f t="shared" si="65"/>
        <v>5.7200000000000006</v>
      </c>
      <c r="Q46" s="724">
        <f t="shared" ref="Q46:BA46" si="66">SUM(Q43:Q45)</f>
        <v>0</v>
      </c>
      <c r="R46" s="724">
        <f t="shared" si="66"/>
        <v>692894</v>
      </c>
      <c r="S46" s="75">
        <f t="shared" si="66"/>
        <v>0</v>
      </c>
      <c r="T46" s="75">
        <f t="shared" si="66"/>
        <v>0</v>
      </c>
      <c r="U46" s="75">
        <f t="shared" si="66"/>
        <v>0</v>
      </c>
      <c r="V46" s="75">
        <f t="shared" si="66"/>
        <v>692894</v>
      </c>
      <c r="W46" s="75">
        <f t="shared" si="66"/>
        <v>0</v>
      </c>
      <c r="X46" s="75">
        <f t="shared" si="66"/>
        <v>0</v>
      </c>
      <c r="Y46" s="75">
        <f t="shared" si="66"/>
        <v>0</v>
      </c>
      <c r="Z46" s="75">
        <f t="shared" si="66"/>
        <v>0</v>
      </c>
      <c r="AA46" s="75">
        <f t="shared" si="66"/>
        <v>692894</v>
      </c>
      <c r="AB46" s="75">
        <f t="shared" si="66"/>
        <v>234198</v>
      </c>
      <c r="AC46" s="75">
        <f t="shared" si="66"/>
        <v>6929</v>
      </c>
      <c r="AD46" s="75">
        <f t="shared" si="66"/>
        <v>0</v>
      </c>
      <c r="AE46" s="75">
        <f t="shared" si="66"/>
        <v>0</v>
      </c>
      <c r="AF46" s="75">
        <f t="shared" si="66"/>
        <v>0</v>
      </c>
      <c r="AG46" s="75">
        <f t="shared" si="66"/>
        <v>934021</v>
      </c>
      <c r="AH46" s="76">
        <f t="shared" si="66"/>
        <v>0</v>
      </c>
      <c r="AI46" s="76">
        <f t="shared" si="66"/>
        <v>0</v>
      </c>
      <c r="AJ46" s="76">
        <f t="shared" si="66"/>
        <v>2</v>
      </c>
      <c r="AK46" s="76">
        <f t="shared" si="66"/>
        <v>0</v>
      </c>
      <c r="AL46" s="76">
        <f t="shared" si="66"/>
        <v>0</v>
      </c>
      <c r="AM46" s="76">
        <f t="shared" si="66"/>
        <v>0</v>
      </c>
      <c r="AN46" s="76">
        <f t="shared" si="66"/>
        <v>0</v>
      </c>
      <c r="AO46" s="76">
        <f t="shared" si="66"/>
        <v>0</v>
      </c>
      <c r="AP46" s="76">
        <f t="shared" si="66"/>
        <v>2</v>
      </c>
      <c r="AQ46" s="76">
        <f t="shared" si="66"/>
        <v>0</v>
      </c>
      <c r="AR46" s="720">
        <f t="shared" si="66"/>
        <v>2</v>
      </c>
      <c r="AS46" s="701">
        <f t="shared" si="66"/>
        <v>11492292</v>
      </c>
      <c r="AT46" s="75">
        <f t="shared" si="66"/>
        <v>8487807</v>
      </c>
      <c r="AU46" s="75">
        <f t="shared" si="66"/>
        <v>0</v>
      </c>
      <c r="AV46" s="75">
        <f t="shared" si="66"/>
        <v>2868879</v>
      </c>
      <c r="AW46" s="75">
        <f t="shared" si="66"/>
        <v>84878</v>
      </c>
      <c r="AX46" s="75">
        <f t="shared" si="66"/>
        <v>50728</v>
      </c>
      <c r="AY46" s="76">
        <f t="shared" si="66"/>
        <v>18.929600000000001</v>
      </c>
      <c r="AZ46" s="76">
        <f t="shared" si="66"/>
        <v>13.2096</v>
      </c>
      <c r="BA46" s="77">
        <f t="shared" si="66"/>
        <v>5.7200000000000006</v>
      </c>
    </row>
    <row r="47" spans="1:53" ht="14.1" customHeight="1" x14ac:dyDescent="0.2">
      <c r="A47" s="67">
        <v>10</v>
      </c>
      <c r="B47" s="64">
        <v>2321</v>
      </c>
      <c r="C47" s="65">
        <v>600079287</v>
      </c>
      <c r="D47" s="64">
        <v>72742976</v>
      </c>
      <c r="E47" s="66" t="s">
        <v>573</v>
      </c>
      <c r="F47" s="67">
        <v>3111</v>
      </c>
      <c r="G47" s="66" t="s">
        <v>307</v>
      </c>
      <c r="H47" s="68" t="s">
        <v>277</v>
      </c>
      <c r="I47" s="462">
        <v>9190994</v>
      </c>
      <c r="J47" s="16">
        <v>6775366</v>
      </c>
      <c r="K47" s="457">
        <v>2290074</v>
      </c>
      <c r="L47" s="457">
        <v>67754</v>
      </c>
      <c r="M47" s="16">
        <v>57800</v>
      </c>
      <c r="N47" s="13">
        <v>13.8416</v>
      </c>
      <c r="O47" s="13">
        <v>10.451599999999999</v>
      </c>
      <c r="P47" s="17">
        <v>3.39</v>
      </c>
      <c r="Q47" s="469">
        <f t="shared" si="0"/>
        <v>0</v>
      </c>
      <c r="R47" s="469">
        <v>0</v>
      </c>
      <c r="S47" s="460">
        <v>0</v>
      </c>
      <c r="T47" s="460">
        <v>0</v>
      </c>
      <c r="U47" s="460">
        <v>0</v>
      </c>
      <c r="V47" s="460">
        <f>SUM(Q47:U47)</f>
        <v>0</v>
      </c>
      <c r="W47" s="460">
        <v>0</v>
      </c>
      <c r="X47" s="460">
        <v>0</v>
      </c>
      <c r="Y47" s="460">
        <v>0</v>
      </c>
      <c r="Z47" s="460">
        <f t="shared" ref="Z47:Z48" si="67">SUM(W47:Y47)</f>
        <v>0</v>
      </c>
      <c r="AA47" s="460">
        <f t="shared" ref="AA47:AA48" si="68">V47+Z47</f>
        <v>0</v>
      </c>
      <c r="AB47" s="69">
        <f t="shared" ref="AB47:AB48" si="69">ROUND((V47+W47+X47)*33.8%,0)</f>
        <v>0</v>
      </c>
      <c r="AC47" s="69">
        <f t="shared" ref="AC47:AC48" si="70">ROUND(V47*1%,0)</f>
        <v>0</v>
      </c>
      <c r="AD47" s="460">
        <v>0</v>
      </c>
      <c r="AE47" s="460">
        <v>0</v>
      </c>
      <c r="AF47" s="460">
        <f>SUM(AD47:AE47)</f>
        <v>0</v>
      </c>
      <c r="AG47" s="460">
        <f>AA47+AB47+AC47+AF47</f>
        <v>0</v>
      </c>
      <c r="AH47" s="461">
        <v>0</v>
      </c>
      <c r="AI47" s="461">
        <v>0</v>
      </c>
      <c r="AJ47" s="461">
        <v>0</v>
      </c>
      <c r="AK47" s="461">
        <v>0</v>
      </c>
      <c r="AL47" s="461">
        <v>0</v>
      </c>
      <c r="AM47" s="461">
        <v>0</v>
      </c>
      <c r="AN47" s="461">
        <v>0</v>
      </c>
      <c r="AO47" s="461">
        <v>0</v>
      </c>
      <c r="AP47" s="461">
        <f t="shared" si="10"/>
        <v>0</v>
      </c>
      <c r="AQ47" s="461">
        <f t="shared" si="11"/>
        <v>0</v>
      </c>
      <c r="AR47" s="737">
        <f t="shared" si="12"/>
        <v>0</v>
      </c>
      <c r="AS47" s="470">
        <f t="shared" si="13"/>
        <v>9190994</v>
      </c>
      <c r="AT47" s="460">
        <f t="shared" si="14"/>
        <v>6775366</v>
      </c>
      <c r="AU47" s="460">
        <f t="shared" si="15"/>
        <v>0</v>
      </c>
      <c r="AV47" s="460">
        <f t="shared" si="16"/>
        <v>2290074</v>
      </c>
      <c r="AW47" s="460">
        <f t="shared" si="17"/>
        <v>67754</v>
      </c>
      <c r="AX47" s="460">
        <f t="shared" si="18"/>
        <v>57800</v>
      </c>
      <c r="AY47" s="461">
        <f t="shared" si="19"/>
        <v>13.8416</v>
      </c>
      <c r="AZ47" s="461">
        <f t="shared" si="20"/>
        <v>10.451599999999999</v>
      </c>
      <c r="BA47" s="463">
        <f t="shared" si="21"/>
        <v>3.39</v>
      </c>
    </row>
    <row r="48" spans="1:53" ht="14.1" customHeight="1" x14ac:dyDescent="0.2">
      <c r="A48" s="67">
        <v>10</v>
      </c>
      <c r="B48" s="64">
        <v>2321</v>
      </c>
      <c r="C48" s="65">
        <v>600079287</v>
      </c>
      <c r="D48" s="64">
        <v>72742976</v>
      </c>
      <c r="E48" s="66" t="s">
        <v>573</v>
      </c>
      <c r="F48" s="67">
        <v>3141</v>
      </c>
      <c r="G48" s="66" t="s">
        <v>311</v>
      </c>
      <c r="H48" s="68" t="s">
        <v>278</v>
      </c>
      <c r="I48" s="462">
        <v>1478081</v>
      </c>
      <c r="J48" s="728">
        <v>1091793</v>
      </c>
      <c r="K48" s="457">
        <v>369026</v>
      </c>
      <c r="L48" s="457">
        <v>10918</v>
      </c>
      <c r="M48" s="728">
        <v>6344</v>
      </c>
      <c r="N48" s="458">
        <v>3.51</v>
      </c>
      <c r="O48" s="459">
        <v>0</v>
      </c>
      <c r="P48" s="646">
        <v>3.51</v>
      </c>
      <c r="Q48" s="469">
        <f t="shared" si="0"/>
        <v>0</v>
      </c>
      <c r="R48" s="469">
        <v>0</v>
      </c>
      <c r="S48" s="460">
        <v>0</v>
      </c>
      <c r="T48" s="460">
        <v>0</v>
      </c>
      <c r="U48" s="460">
        <v>0</v>
      </c>
      <c r="V48" s="460">
        <f>SUM(Q48:U48)</f>
        <v>0</v>
      </c>
      <c r="W48" s="460">
        <v>0</v>
      </c>
      <c r="X48" s="460">
        <v>0</v>
      </c>
      <c r="Y48" s="460">
        <v>0</v>
      </c>
      <c r="Z48" s="460">
        <f t="shared" si="67"/>
        <v>0</v>
      </c>
      <c r="AA48" s="460">
        <f t="shared" si="68"/>
        <v>0</v>
      </c>
      <c r="AB48" s="69">
        <f t="shared" si="69"/>
        <v>0</v>
      </c>
      <c r="AC48" s="69">
        <f t="shared" si="70"/>
        <v>0</v>
      </c>
      <c r="AD48" s="460">
        <v>0</v>
      </c>
      <c r="AE48" s="460">
        <v>0</v>
      </c>
      <c r="AF48" s="460">
        <f>SUM(AD48:AE48)</f>
        <v>0</v>
      </c>
      <c r="AG48" s="460">
        <f>AA48+AB48+AC48+AF48</f>
        <v>0</v>
      </c>
      <c r="AH48" s="461">
        <v>0</v>
      </c>
      <c r="AI48" s="461">
        <v>0</v>
      </c>
      <c r="AJ48" s="461">
        <v>0</v>
      </c>
      <c r="AK48" s="461">
        <v>0</v>
      </c>
      <c r="AL48" s="461">
        <v>0</v>
      </c>
      <c r="AM48" s="461">
        <v>0</v>
      </c>
      <c r="AN48" s="461">
        <v>0</v>
      </c>
      <c r="AO48" s="461">
        <v>0</v>
      </c>
      <c r="AP48" s="461">
        <f t="shared" si="10"/>
        <v>0</v>
      </c>
      <c r="AQ48" s="461">
        <f t="shared" si="11"/>
        <v>0</v>
      </c>
      <c r="AR48" s="737">
        <f t="shared" si="12"/>
        <v>0</v>
      </c>
      <c r="AS48" s="470">
        <f t="shared" si="13"/>
        <v>1478081</v>
      </c>
      <c r="AT48" s="460">
        <f t="shared" si="14"/>
        <v>1091793</v>
      </c>
      <c r="AU48" s="460">
        <f t="shared" si="15"/>
        <v>0</v>
      </c>
      <c r="AV48" s="460">
        <f t="shared" si="16"/>
        <v>369026</v>
      </c>
      <c r="AW48" s="460">
        <f t="shared" si="17"/>
        <v>10918</v>
      </c>
      <c r="AX48" s="460">
        <f t="shared" si="18"/>
        <v>6344</v>
      </c>
      <c r="AY48" s="461">
        <f t="shared" si="19"/>
        <v>3.51</v>
      </c>
      <c r="AZ48" s="461">
        <f t="shared" si="20"/>
        <v>0</v>
      </c>
      <c r="BA48" s="463">
        <f t="shared" si="21"/>
        <v>3.51</v>
      </c>
    </row>
    <row r="49" spans="1:53" ht="14.1" customHeight="1" x14ac:dyDescent="0.2">
      <c r="A49" s="73">
        <v>10</v>
      </c>
      <c r="B49" s="70">
        <v>2321</v>
      </c>
      <c r="C49" s="71">
        <v>600079287</v>
      </c>
      <c r="D49" s="70">
        <v>72742976</v>
      </c>
      <c r="E49" s="72" t="s">
        <v>574</v>
      </c>
      <c r="F49" s="73"/>
      <c r="G49" s="72"/>
      <c r="H49" s="74"/>
      <c r="I49" s="701">
        <f t="shared" ref="I49:P49" si="71">SUM(I47:I48)</f>
        <v>10669075</v>
      </c>
      <c r="J49" s="75">
        <f t="shared" si="71"/>
        <v>7867159</v>
      </c>
      <c r="K49" s="75">
        <f t="shared" si="71"/>
        <v>2659100</v>
      </c>
      <c r="L49" s="75">
        <f t="shared" si="71"/>
        <v>78672</v>
      </c>
      <c r="M49" s="75">
        <f t="shared" si="71"/>
        <v>64144</v>
      </c>
      <c r="N49" s="76">
        <f t="shared" si="71"/>
        <v>17.351599999999998</v>
      </c>
      <c r="O49" s="76">
        <f t="shared" si="71"/>
        <v>10.451599999999999</v>
      </c>
      <c r="P49" s="77">
        <f t="shared" si="71"/>
        <v>6.9</v>
      </c>
      <c r="Q49" s="724">
        <f t="shared" ref="Q49:BA49" si="72">SUM(Q47:Q48)</f>
        <v>0</v>
      </c>
      <c r="R49" s="724">
        <f t="shared" si="72"/>
        <v>0</v>
      </c>
      <c r="S49" s="75">
        <f t="shared" si="72"/>
        <v>0</v>
      </c>
      <c r="T49" s="75">
        <f t="shared" si="72"/>
        <v>0</v>
      </c>
      <c r="U49" s="75">
        <f t="shared" si="72"/>
        <v>0</v>
      </c>
      <c r="V49" s="75">
        <f t="shared" si="72"/>
        <v>0</v>
      </c>
      <c r="W49" s="75">
        <f t="shared" si="72"/>
        <v>0</v>
      </c>
      <c r="X49" s="75">
        <f t="shared" si="72"/>
        <v>0</v>
      </c>
      <c r="Y49" s="75">
        <f t="shared" si="72"/>
        <v>0</v>
      </c>
      <c r="Z49" s="75">
        <f t="shared" si="72"/>
        <v>0</v>
      </c>
      <c r="AA49" s="75">
        <f t="shared" si="72"/>
        <v>0</v>
      </c>
      <c r="AB49" s="75">
        <f t="shared" si="72"/>
        <v>0</v>
      </c>
      <c r="AC49" s="75">
        <f t="shared" si="72"/>
        <v>0</v>
      </c>
      <c r="AD49" s="75">
        <f t="shared" si="72"/>
        <v>0</v>
      </c>
      <c r="AE49" s="75">
        <f t="shared" si="72"/>
        <v>0</v>
      </c>
      <c r="AF49" s="75">
        <f t="shared" si="72"/>
        <v>0</v>
      </c>
      <c r="AG49" s="75">
        <f t="shared" si="72"/>
        <v>0</v>
      </c>
      <c r="AH49" s="76">
        <f t="shared" si="72"/>
        <v>0</v>
      </c>
      <c r="AI49" s="76">
        <f t="shared" si="72"/>
        <v>0</v>
      </c>
      <c r="AJ49" s="76">
        <f t="shared" si="72"/>
        <v>0</v>
      </c>
      <c r="AK49" s="76">
        <f t="shared" si="72"/>
        <v>0</v>
      </c>
      <c r="AL49" s="76">
        <f t="shared" si="72"/>
        <v>0</v>
      </c>
      <c r="AM49" s="76">
        <f t="shared" si="72"/>
        <v>0</v>
      </c>
      <c r="AN49" s="76">
        <f t="shared" si="72"/>
        <v>0</v>
      </c>
      <c r="AO49" s="76">
        <f t="shared" si="72"/>
        <v>0</v>
      </c>
      <c r="AP49" s="76">
        <f t="shared" si="72"/>
        <v>0</v>
      </c>
      <c r="AQ49" s="76">
        <f t="shared" si="72"/>
        <v>0</v>
      </c>
      <c r="AR49" s="720">
        <f t="shared" si="72"/>
        <v>0</v>
      </c>
      <c r="AS49" s="701">
        <f t="shared" si="72"/>
        <v>10669075</v>
      </c>
      <c r="AT49" s="75">
        <f t="shared" si="72"/>
        <v>7867159</v>
      </c>
      <c r="AU49" s="75">
        <f t="shared" si="72"/>
        <v>0</v>
      </c>
      <c r="AV49" s="75">
        <f t="shared" si="72"/>
        <v>2659100</v>
      </c>
      <c r="AW49" s="75">
        <f t="shared" si="72"/>
        <v>78672</v>
      </c>
      <c r="AX49" s="75">
        <f t="shared" si="72"/>
        <v>64144</v>
      </c>
      <c r="AY49" s="76">
        <f t="shared" si="72"/>
        <v>17.351599999999998</v>
      </c>
      <c r="AZ49" s="76">
        <f t="shared" si="72"/>
        <v>10.451599999999999</v>
      </c>
      <c r="BA49" s="77">
        <f t="shared" si="72"/>
        <v>6.9</v>
      </c>
    </row>
    <row r="50" spans="1:53" ht="14.1" customHeight="1" x14ac:dyDescent="0.2">
      <c r="A50" s="67">
        <v>11</v>
      </c>
      <c r="B50" s="64">
        <v>2423</v>
      </c>
      <c r="C50" s="65">
        <v>600079368</v>
      </c>
      <c r="D50" s="64">
        <v>72742828</v>
      </c>
      <c r="E50" s="66" t="s">
        <v>575</v>
      </c>
      <c r="F50" s="67">
        <v>3111</v>
      </c>
      <c r="G50" s="66" t="s">
        <v>307</v>
      </c>
      <c r="H50" s="68" t="s">
        <v>277</v>
      </c>
      <c r="I50" s="462">
        <v>3704986</v>
      </c>
      <c r="J50" s="16">
        <v>2733669</v>
      </c>
      <c r="K50" s="457">
        <v>923980</v>
      </c>
      <c r="L50" s="457">
        <v>27337</v>
      </c>
      <c r="M50" s="16">
        <v>20000</v>
      </c>
      <c r="N50" s="13">
        <v>5.4257999999999997</v>
      </c>
      <c r="O50" s="13">
        <v>4.2257999999999996</v>
      </c>
      <c r="P50" s="17">
        <v>1.2000000000000002</v>
      </c>
      <c r="Q50" s="469">
        <f t="shared" si="0"/>
        <v>-13000</v>
      </c>
      <c r="R50" s="469">
        <v>0</v>
      </c>
      <c r="S50" s="460">
        <v>0</v>
      </c>
      <c r="T50" s="460">
        <v>0</v>
      </c>
      <c r="U50" s="460">
        <v>0</v>
      </c>
      <c r="V50" s="460">
        <f>SUM(Q50:U50)</f>
        <v>-13000</v>
      </c>
      <c r="W50" s="460">
        <v>13000</v>
      </c>
      <c r="X50" s="460">
        <v>0</v>
      </c>
      <c r="Y50" s="460">
        <v>0</v>
      </c>
      <c r="Z50" s="460">
        <f t="shared" ref="Z50:Z51" si="73">SUM(W50:Y50)</f>
        <v>13000</v>
      </c>
      <c r="AA50" s="460">
        <f t="shared" ref="AA50:AA51" si="74">V50+Z50</f>
        <v>0</v>
      </c>
      <c r="AB50" s="69">
        <f t="shared" ref="AB50:AB51" si="75">ROUND((V50+W50+X50)*33.8%,0)</f>
        <v>0</v>
      </c>
      <c r="AC50" s="69">
        <f t="shared" ref="AC50:AC51" si="76">ROUND(V50*1%,0)</f>
        <v>-130</v>
      </c>
      <c r="AD50" s="460">
        <v>0</v>
      </c>
      <c r="AE50" s="460">
        <v>0</v>
      </c>
      <c r="AF50" s="460">
        <f>SUM(AD50:AE50)</f>
        <v>0</v>
      </c>
      <c r="AG50" s="460">
        <f>AA50+AB50+AC50+AF50</f>
        <v>-130</v>
      </c>
      <c r="AH50" s="461">
        <v>0</v>
      </c>
      <c r="AI50" s="461">
        <v>-0.05</v>
      </c>
      <c r="AJ50" s="461">
        <v>0</v>
      </c>
      <c r="AK50" s="461">
        <v>0</v>
      </c>
      <c r="AL50" s="461">
        <v>0</v>
      </c>
      <c r="AM50" s="461">
        <v>0</v>
      </c>
      <c r="AN50" s="461">
        <v>0</v>
      </c>
      <c r="AO50" s="461">
        <v>0</v>
      </c>
      <c r="AP50" s="461">
        <f t="shared" si="10"/>
        <v>0</v>
      </c>
      <c r="AQ50" s="461">
        <f t="shared" si="11"/>
        <v>-0.05</v>
      </c>
      <c r="AR50" s="737">
        <f t="shared" si="12"/>
        <v>-0.05</v>
      </c>
      <c r="AS50" s="470">
        <f t="shared" si="13"/>
        <v>3704856</v>
      </c>
      <c r="AT50" s="460">
        <f t="shared" si="14"/>
        <v>2720669</v>
      </c>
      <c r="AU50" s="460">
        <f t="shared" si="15"/>
        <v>13000</v>
      </c>
      <c r="AV50" s="460">
        <f t="shared" si="16"/>
        <v>923980</v>
      </c>
      <c r="AW50" s="460">
        <f t="shared" si="17"/>
        <v>27207</v>
      </c>
      <c r="AX50" s="460">
        <f t="shared" si="18"/>
        <v>20000</v>
      </c>
      <c r="AY50" s="461">
        <f t="shared" si="19"/>
        <v>5.3757999999999999</v>
      </c>
      <c r="AZ50" s="461">
        <f t="shared" si="20"/>
        <v>4.2257999999999996</v>
      </c>
      <c r="BA50" s="463">
        <f t="shared" si="21"/>
        <v>1.1500000000000001</v>
      </c>
    </row>
    <row r="51" spans="1:53" ht="14.1" customHeight="1" x14ac:dyDescent="0.2">
      <c r="A51" s="67">
        <v>11</v>
      </c>
      <c r="B51" s="64">
        <v>2423</v>
      </c>
      <c r="C51" s="65">
        <v>600079368</v>
      </c>
      <c r="D51" s="64">
        <v>72742828</v>
      </c>
      <c r="E51" s="66" t="s">
        <v>575</v>
      </c>
      <c r="F51" s="67">
        <v>3141</v>
      </c>
      <c r="G51" s="66" t="s">
        <v>311</v>
      </c>
      <c r="H51" s="68" t="s">
        <v>278</v>
      </c>
      <c r="I51" s="462">
        <v>649380</v>
      </c>
      <c r="J51" s="728">
        <v>479807</v>
      </c>
      <c r="K51" s="457">
        <v>162175</v>
      </c>
      <c r="L51" s="457">
        <v>4798</v>
      </c>
      <c r="M51" s="728">
        <v>2600</v>
      </c>
      <c r="N51" s="458">
        <v>1.54</v>
      </c>
      <c r="O51" s="459">
        <v>0</v>
      </c>
      <c r="P51" s="646">
        <v>1.54</v>
      </c>
      <c r="Q51" s="469">
        <f t="shared" si="0"/>
        <v>0</v>
      </c>
      <c r="R51" s="469">
        <v>0</v>
      </c>
      <c r="S51" s="460">
        <v>0</v>
      </c>
      <c r="T51" s="460">
        <v>0</v>
      </c>
      <c r="U51" s="460">
        <v>0</v>
      </c>
      <c r="V51" s="460">
        <f>SUM(Q51:U51)</f>
        <v>0</v>
      </c>
      <c r="W51" s="460">
        <v>0</v>
      </c>
      <c r="X51" s="460">
        <v>0</v>
      </c>
      <c r="Y51" s="460">
        <v>0</v>
      </c>
      <c r="Z51" s="460">
        <f t="shared" si="73"/>
        <v>0</v>
      </c>
      <c r="AA51" s="460">
        <f t="shared" si="74"/>
        <v>0</v>
      </c>
      <c r="AB51" s="69">
        <f t="shared" si="75"/>
        <v>0</v>
      </c>
      <c r="AC51" s="69">
        <f t="shared" si="76"/>
        <v>0</v>
      </c>
      <c r="AD51" s="460">
        <v>0</v>
      </c>
      <c r="AE51" s="460">
        <v>0</v>
      </c>
      <c r="AF51" s="460">
        <f>SUM(AD51:AE51)</f>
        <v>0</v>
      </c>
      <c r="AG51" s="460">
        <f>AA51+AB51+AC51+AF51</f>
        <v>0</v>
      </c>
      <c r="AH51" s="461">
        <v>0</v>
      </c>
      <c r="AI51" s="461">
        <v>0</v>
      </c>
      <c r="AJ51" s="461">
        <v>0</v>
      </c>
      <c r="AK51" s="461">
        <v>0</v>
      </c>
      <c r="AL51" s="461">
        <v>0</v>
      </c>
      <c r="AM51" s="461">
        <v>0</v>
      </c>
      <c r="AN51" s="461">
        <v>0</v>
      </c>
      <c r="AO51" s="461">
        <v>0</v>
      </c>
      <c r="AP51" s="461">
        <f t="shared" si="10"/>
        <v>0</v>
      </c>
      <c r="AQ51" s="461">
        <f t="shared" si="11"/>
        <v>0</v>
      </c>
      <c r="AR51" s="737">
        <f t="shared" si="12"/>
        <v>0</v>
      </c>
      <c r="AS51" s="470">
        <f t="shared" si="13"/>
        <v>649380</v>
      </c>
      <c r="AT51" s="460">
        <f t="shared" si="14"/>
        <v>479807</v>
      </c>
      <c r="AU51" s="460">
        <f t="shared" si="15"/>
        <v>0</v>
      </c>
      <c r="AV51" s="460">
        <f t="shared" si="16"/>
        <v>162175</v>
      </c>
      <c r="AW51" s="460">
        <f t="shared" si="17"/>
        <v>4798</v>
      </c>
      <c r="AX51" s="460">
        <f t="shared" si="18"/>
        <v>2600</v>
      </c>
      <c r="AY51" s="461">
        <f t="shared" si="19"/>
        <v>1.54</v>
      </c>
      <c r="AZ51" s="461">
        <f t="shared" si="20"/>
        <v>0</v>
      </c>
      <c r="BA51" s="463">
        <f t="shared" si="21"/>
        <v>1.54</v>
      </c>
    </row>
    <row r="52" spans="1:53" ht="14.1" customHeight="1" x14ac:dyDescent="0.2">
      <c r="A52" s="73">
        <v>11</v>
      </c>
      <c r="B52" s="70">
        <v>2423</v>
      </c>
      <c r="C52" s="71">
        <v>600079368</v>
      </c>
      <c r="D52" s="70">
        <v>72742828</v>
      </c>
      <c r="E52" s="72" t="s">
        <v>576</v>
      </c>
      <c r="F52" s="73"/>
      <c r="G52" s="72"/>
      <c r="H52" s="74"/>
      <c r="I52" s="701">
        <f t="shared" ref="I52:P52" si="77">SUM(I50:I51)</f>
        <v>4354366</v>
      </c>
      <c r="J52" s="75">
        <f t="shared" si="77"/>
        <v>3213476</v>
      </c>
      <c r="K52" s="75">
        <f t="shared" si="77"/>
        <v>1086155</v>
      </c>
      <c r="L52" s="75">
        <f t="shared" si="77"/>
        <v>32135</v>
      </c>
      <c r="M52" s="75">
        <f t="shared" si="77"/>
        <v>22600</v>
      </c>
      <c r="N52" s="76">
        <f t="shared" si="77"/>
        <v>6.9657999999999998</v>
      </c>
      <c r="O52" s="76">
        <f t="shared" si="77"/>
        <v>4.2257999999999996</v>
      </c>
      <c r="P52" s="77">
        <f t="shared" si="77"/>
        <v>2.74</v>
      </c>
      <c r="Q52" s="724">
        <f t="shared" ref="Q52:BA52" si="78">SUM(Q50:Q51)</f>
        <v>-13000</v>
      </c>
      <c r="R52" s="724">
        <f t="shared" si="78"/>
        <v>0</v>
      </c>
      <c r="S52" s="75">
        <f t="shared" si="78"/>
        <v>0</v>
      </c>
      <c r="T52" s="75">
        <f t="shared" si="78"/>
        <v>0</v>
      </c>
      <c r="U52" s="75">
        <f t="shared" si="78"/>
        <v>0</v>
      </c>
      <c r="V52" s="75">
        <f t="shared" si="78"/>
        <v>-13000</v>
      </c>
      <c r="W52" s="75">
        <f t="shared" si="78"/>
        <v>13000</v>
      </c>
      <c r="X52" s="75">
        <f t="shared" si="78"/>
        <v>0</v>
      </c>
      <c r="Y52" s="75">
        <f t="shared" si="78"/>
        <v>0</v>
      </c>
      <c r="Z52" s="75">
        <f t="shared" si="78"/>
        <v>13000</v>
      </c>
      <c r="AA52" s="75">
        <f t="shared" si="78"/>
        <v>0</v>
      </c>
      <c r="AB52" s="75">
        <f t="shared" si="78"/>
        <v>0</v>
      </c>
      <c r="AC52" s="75">
        <f t="shared" si="78"/>
        <v>-130</v>
      </c>
      <c r="AD52" s="75">
        <f t="shared" si="78"/>
        <v>0</v>
      </c>
      <c r="AE52" s="75">
        <f t="shared" si="78"/>
        <v>0</v>
      </c>
      <c r="AF52" s="75">
        <f t="shared" si="78"/>
        <v>0</v>
      </c>
      <c r="AG52" s="75">
        <f t="shared" si="78"/>
        <v>-130</v>
      </c>
      <c r="AH52" s="76">
        <f t="shared" si="78"/>
        <v>0</v>
      </c>
      <c r="AI52" s="76">
        <f t="shared" si="78"/>
        <v>-0.05</v>
      </c>
      <c r="AJ52" s="76">
        <f t="shared" si="78"/>
        <v>0</v>
      </c>
      <c r="AK52" s="76">
        <f t="shared" si="78"/>
        <v>0</v>
      </c>
      <c r="AL52" s="76">
        <f t="shared" si="78"/>
        <v>0</v>
      </c>
      <c r="AM52" s="76">
        <f t="shared" si="78"/>
        <v>0</v>
      </c>
      <c r="AN52" s="76">
        <f t="shared" si="78"/>
        <v>0</v>
      </c>
      <c r="AO52" s="76">
        <f t="shared" si="78"/>
        <v>0</v>
      </c>
      <c r="AP52" s="76">
        <f t="shared" si="78"/>
        <v>0</v>
      </c>
      <c r="AQ52" s="76">
        <f t="shared" si="78"/>
        <v>-0.05</v>
      </c>
      <c r="AR52" s="720">
        <f t="shared" si="78"/>
        <v>-0.05</v>
      </c>
      <c r="AS52" s="701">
        <f t="shared" si="78"/>
        <v>4354236</v>
      </c>
      <c r="AT52" s="75">
        <f t="shared" si="78"/>
        <v>3200476</v>
      </c>
      <c r="AU52" s="75">
        <f t="shared" si="78"/>
        <v>13000</v>
      </c>
      <c r="AV52" s="75">
        <f t="shared" si="78"/>
        <v>1086155</v>
      </c>
      <c r="AW52" s="75">
        <f t="shared" si="78"/>
        <v>32005</v>
      </c>
      <c r="AX52" s="75">
        <f t="shared" si="78"/>
        <v>22600</v>
      </c>
      <c r="AY52" s="76">
        <f t="shared" si="78"/>
        <v>6.9157999999999999</v>
      </c>
      <c r="AZ52" s="76">
        <f t="shared" si="78"/>
        <v>4.2257999999999996</v>
      </c>
      <c r="BA52" s="77">
        <f t="shared" si="78"/>
        <v>2.6900000000000004</v>
      </c>
    </row>
    <row r="53" spans="1:53" ht="14.1" customHeight="1" x14ac:dyDescent="0.2">
      <c r="A53" s="67">
        <v>12</v>
      </c>
      <c r="B53" s="64">
        <v>2428</v>
      </c>
      <c r="C53" s="65">
        <v>600079112</v>
      </c>
      <c r="D53" s="64">
        <v>72743140</v>
      </c>
      <c r="E53" s="66" t="s">
        <v>577</v>
      </c>
      <c r="F53" s="67">
        <v>3111</v>
      </c>
      <c r="G53" s="66" t="s">
        <v>307</v>
      </c>
      <c r="H53" s="68" t="s">
        <v>277</v>
      </c>
      <c r="I53" s="462">
        <v>7527706</v>
      </c>
      <c r="J53" s="16">
        <v>5552527</v>
      </c>
      <c r="K53" s="457">
        <v>1876754</v>
      </c>
      <c r="L53" s="457">
        <v>55525</v>
      </c>
      <c r="M53" s="16">
        <v>42900</v>
      </c>
      <c r="N53" s="13">
        <v>11.174200000000001</v>
      </c>
      <c r="O53" s="13">
        <v>8.7742000000000004</v>
      </c>
      <c r="P53" s="17">
        <v>2.4000000000000004</v>
      </c>
      <c r="Q53" s="469">
        <f t="shared" si="0"/>
        <v>0</v>
      </c>
      <c r="R53" s="469">
        <v>0</v>
      </c>
      <c r="S53" s="460">
        <v>0</v>
      </c>
      <c r="T53" s="460">
        <v>0</v>
      </c>
      <c r="U53" s="460">
        <v>0</v>
      </c>
      <c r="V53" s="460">
        <f>SUM(Q53:U53)</f>
        <v>0</v>
      </c>
      <c r="W53" s="460">
        <v>0</v>
      </c>
      <c r="X53" s="460">
        <v>0</v>
      </c>
      <c r="Y53" s="460">
        <v>0</v>
      </c>
      <c r="Z53" s="460">
        <f t="shared" ref="Z53:Z54" si="79">SUM(W53:Y53)</f>
        <v>0</v>
      </c>
      <c r="AA53" s="460">
        <f t="shared" ref="AA53:AA54" si="80">V53+Z53</f>
        <v>0</v>
      </c>
      <c r="AB53" s="69">
        <f t="shared" ref="AB53:AB54" si="81">ROUND((V53+W53+X53)*33.8%,0)</f>
        <v>0</v>
      </c>
      <c r="AC53" s="69">
        <f t="shared" ref="AC53:AC54" si="82">ROUND(V53*1%,0)</f>
        <v>0</v>
      </c>
      <c r="AD53" s="460">
        <v>0</v>
      </c>
      <c r="AE53" s="460">
        <v>0</v>
      </c>
      <c r="AF53" s="460">
        <f>SUM(AD53:AE53)</f>
        <v>0</v>
      </c>
      <c r="AG53" s="460">
        <f>AA53+AB53+AC53+AF53</f>
        <v>0</v>
      </c>
      <c r="AH53" s="461">
        <v>0</v>
      </c>
      <c r="AI53" s="461">
        <v>0</v>
      </c>
      <c r="AJ53" s="461">
        <v>0</v>
      </c>
      <c r="AK53" s="461">
        <v>0</v>
      </c>
      <c r="AL53" s="461">
        <v>0</v>
      </c>
      <c r="AM53" s="461">
        <v>0</v>
      </c>
      <c r="AN53" s="461">
        <v>0</v>
      </c>
      <c r="AO53" s="461">
        <v>0</v>
      </c>
      <c r="AP53" s="461">
        <f t="shared" si="10"/>
        <v>0</v>
      </c>
      <c r="AQ53" s="461">
        <f t="shared" si="11"/>
        <v>0</v>
      </c>
      <c r="AR53" s="737">
        <f t="shared" si="12"/>
        <v>0</v>
      </c>
      <c r="AS53" s="470">
        <f t="shared" si="13"/>
        <v>7527706</v>
      </c>
      <c r="AT53" s="460">
        <f t="shared" si="14"/>
        <v>5552527</v>
      </c>
      <c r="AU53" s="460">
        <f t="shared" si="15"/>
        <v>0</v>
      </c>
      <c r="AV53" s="460">
        <f t="shared" si="16"/>
        <v>1876754</v>
      </c>
      <c r="AW53" s="460">
        <f t="shared" si="17"/>
        <v>55525</v>
      </c>
      <c r="AX53" s="460">
        <f t="shared" si="18"/>
        <v>42900</v>
      </c>
      <c r="AY53" s="461">
        <f t="shared" si="19"/>
        <v>11.174200000000001</v>
      </c>
      <c r="AZ53" s="461">
        <f t="shared" si="20"/>
        <v>8.7742000000000004</v>
      </c>
      <c r="BA53" s="463">
        <f t="shared" si="21"/>
        <v>2.4000000000000004</v>
      </c>
    </row>
    <row r="54" spans="1:53" ht="14.1" customHeight="1" x14ac:dyDescent="0.2">
      <c r="A54" s="67">
        <v>12</v>
      </c>
      <c r="B54" s="64">
        <v>2428</v>
      </c>
      <c r="C54" s="65">
        <v>600079112</v>
      </c>
      <c r="D54" s="64">
        <v>72743140</v>
      </c>
      <c r="E54" s="66" t="s">
        <v>577</v>
      </c>
      <c r="F54" s="67">
        <v>3141</v>
      </c>
      <c r="G54" s="66" t="s">
        <v>311</v>
      </c>
      <c r="H54" s="68" t="s">
        <v>278</v>
      </c>
      <c r="I54" s="462">
        <v>1013897</v>
      </c>
      <c r="J54" s="728">
        <v>748446</v>
      </c>
      <c r="K54" s="457">
        <v>252975</v>
      </c>
      <c r="L54" s="457">
        <v>7484</v>
      </c>
      <c r="M54" s="728">
        <v>4992</v>
      </c>
      <c r="N54" s="458">
        <v>2.41</v>
      </c>
      <c r="O54" s="459">
        <v>0</v>
      </c>
      <c r="P54" s="646">
        <v>2.41</v>
      </c>
      <c r="Q54" s="469">
        <f t="shared" si="0"/>
        <v>0</v>
      </c>
      <c r="R54" s="469">
        <v>0</v>
      </c>
      <c r="S54" s="460">
        <v>0</v>
      </c>
      <c r="T54" s="460">
        <v>0</v>
      </c>
      <c r="U54" s="460">
        <v>0</v>
      </c>
      <c r="V54" s="460">
        <f>SUM(Q54:U54)</f>
        <v>0</v>
      </c>
      <c r="W54" s="460">
        <v>0</v>
      </c>
      <c r="X54" s="460">
        <v>0</v>
      </c>
      <c r="Y54" s="460">
        <v>0</v>
      </c>
      <c r="Z54" s="460">
        <f t="shared" si="79"/>
        <v>0</v>
      </c>
      <c r="AA54" s="460">
        <f t="shared" si="80"/>
        <v>0</v>
      </c>
      <c r="AB54" s="69">
        <f t="shared" si="81"/>
        <v>0</v>
      </c>
      <c r="AC54" s="69">
        <f t="shared" si="82"/>
        <v>0</v>
      </c>
      <c r="AD54" s="460">
        <v>0</v>
      </c>
      <c r="AE54" s="460">
        <v>0</v>
      </c>
      <c r="AF54" s="460">
        <f>SUM(AD54:AE54)</f>
        <v>0</v>
      </c>
      <c r="AG54" s="460">
        <f>AA54+AB54+AC54+AF54</f>
        <v>0</v>
      </c>
      <c r="AH54" s="461">
        <v>0</v>
      </c>
      <c r="AI54" s="461">
        <v>0</v>
      </c>
      <c r="AJ54" s="461">
        <v>0</v>
      </c>
      <c r="AK54" s="461">
        <v>0</v>
      </c>
      <c r="AL54" s="461">
        <v>0</v>
      </c>
      <c r="AM54" s="461">
        <v>0</v>
      </c>
      <c r="AN54" s="461">
        <v>0</v>
      </c>
      <c r="AO54" s="461">
        <v>0</v>
      </c>
      <c r="AP54" s="461">
        <f t="shared" si="10"/>
        <v>0</v>
      </c>
      <c r="AQ54" s="461">
        <f t="shared" si="11"/>
        <v>0</v>
      </c>
      <c r="AR54" s="737">
        <f t="shared" si="12"/>
        <v>0</v>
      </c>
      <c r="AS54" s="470">
        <f t="shared" si="13"/>
        <v>1013897</v>
      </c>
      <c r="AT54" s="460">
        <f t="shared" si="14"/>
        <v>748446</v>
      </c>
      <c r="AU54" s="460">
        <f t="shared" si="15"/>
        <v>0</v>
      </c>
      <c r="AV54" s="460">
        <f t="shared" si="16"/>
        <v>252975</v>
      </c>
      <c r="AW54" s="460">
        <f t="shared" si="17"/>
        <v>7484</v>
      </c>
      <c r="AX54" s="460">
        <f t="shared" si="18"/>
        <v>4992</v>
      </c>
      <c r="AY54" s="461">
        <f t="shared" si="19"/>
        <v>2.41</v>
      </c>
      <c r="AZ54" s="461">
        <f t="shared" si="20"/>
        <v>0</v>
      </c>
      <c r="BA54" s="463">
        <f t="shared" si="21"/>
        <v>2.41</v>
      </c>
    </row>
    <row r="55" spans="1:53" ht="14.1" customHeight="1" x14ac:dyDescent="0.2">
      <c r="A55" s="73">
        <v>12</v>
      </c>
      <c r="B55" s="70">
        <v>2428</v>
      </c>
      <c r="C55" s="71">
        <v>600079112</v>
      </c>
      <c r="D55" s="70">
        <v>72743140</v>
      </c>
      <c r="E55" s="72" t="s">
        <v>578</v>
      </c>
      <c r="F55" s="73"/>
      <c r="G55" s="72"/>
      <c r="H55" s="74"/>
      <c r="I55" s="701">
        <f t="shared" ref="I55:P55" si="83">SUM(I53:I54)</f>
        <v>8541603</v>
      </c>
      <c r="J55" s="75">
        <f t="shared" si="83"/>
        <v>6300973</v>
      </c>
      <c r="K55" s="75">
        <f t="shared" si="83"/>
        <v>2129729</v>
      </c>
      <c r="L55" s="75">
        <f t="shared" si="83"/>
        <v>63009</v>
      </c>
      <c r="M55" s="75">
        <f t="shared" si="83"/>
        <v>47892</v>
      </c>
      <c r="N55" s="76">
        <f t="shared" si="83"/>
        <v>13.584200000000001</v>
      </c>
      <c r="O55" s="76">
        <f t="shared" si="83"/>
        <v>8.7742000000000004</v>
      </c>
      <c r="P55" s="77">
        <f t="shared" si="83"/>
        <v>4.8100000000000005</v>
      </c>
      <c r="Q55" s="724">
        <f t="shared" ref="Q55:BA55" si="84">SUM(Q53:Q54)</f>
        <v>0</v>
      </c>
      <c r="R55" s="724">
        <f t="shared" si="84"/>
        <v>0</v>
      </c>
      <c r="S55" s="75">
        <f t="shared" si="84"/>
        <v>0</v>
      </c>
      <c r="T55" s="75">
        <f t="shared" si="84"/>
        <v>0</v>
      </c>
      <c r="U55" s="75">
        <f t="shared" si="84"/>
        <v>0</v>
      </c>
      <c r="V55" s="75">
        <f t="shared" si="84"/>
        <v>0</v>
      </c>
      <c r="W55" s="75">
        <f t="shared" si="84"/>
        <v>0</v>
      </c>
      <c r="X55" s="75">
        <f t="shared" si="84"/>
        <v>0</v>
      </c>
      <c r="Y55" s="75">
        <f t="shared" si="84"/>
        <v>0</v>
      </c>
      <c r="Z55" s="75">
        <f t="shared" si="84"/>
        <v>0</v>
      </c>
      <c r="AA55" s="75">
        <f t="shared" si="84"/>
        <v>0</v>
      </c>
      <c r="AB55" s="75">
        <f t="shared" si="84"/>
        <v>0</v>
      </c>
      <c r="AC55" s="75">
        <f t="shared" si="84"/>
        <v>0</v>
      </c>
      <c r="AD55" s="75">
        <f t="shared" si="84"/>
        <v>0</v>
      </c>
      <c r="AE55" s="75">
        <f t="shared" si="84"/>
        <v>0</v>
      </c>
      <c r="AF55" s="75">
        <f t="shared" si="84"/>
        <v>0</v>
      </c>
      <c r="AG55" s="75">
        <f t="shared" si="84"/>
        <v>0</v>
      </c>
      <c r="AH55" s="76">
        <f t="shared" si="84"/>
        <v>0</v>
      </c>
      <c r="AI55" s="76">
        <f t="shared" si="84"/>
        <v>0</v>
      </c>
      <c r="AJ55" s="76">
        <f t="shared" si="84"/>
        <v>0</v>
      </c>
      <c r="AK55" s="76">
        <f t="shared" si="84"/>
        <v>0</v>
      </c>
      <c r="AL55" s="76">
        <f t="shared" si="84"/>
        <v>0</v>
      </c>
      <c r="AM55" s="76">
        <f t="shared" si="84"/>
        <v>0</v>
      </c>
      <c r="AN55" s="76">
        <f t="shared" si="84"/>
        <v>0</v>
      </c>
      <c r="AO55" s="76">
        <f t="shared" si="84"/>
        <v>0</v>
      </c>
      <c r="AP55" s="76">
        <f t="shared" si="84"/>
        <v>0</v>
      </c>
      <c r="AQ55" s="76">
        <f t="shared" si="84"/>
        <v>0</v>
      </c>
      <c r="AR55" s="720">
        <f t="shared" si="84"/>
        <v>0</v>
      </c>
      <c r="AS55" s="701">
        <f t="shared" si="84"/>
        <v>8541603</v>
      </c>
      <c r="AT55" s="75">
        <f t="shared" si="84"/>
        <v>6300973</v>
      </c>
      <c r="AU55" s="75">
        <f t="shared" si="84"/>
        <v>0</v>
      </c>
      <c r="AV55" s="75">
        <f t="shared" si="84"/>
        <v>2129729</v>
      </c>
      <c r="AW55" s="75">
        <f t="shared" si="84"/>
        <v>63009</v>
      </c>
      <c r="AX55" s="75">
        <f t="shared" si="84"/>
        <v>47892</v>
      </c>
      <c r="AY55" s="76">
        <f t="shared" si="84"/>
        <v>13.584200000000001</v>
      </c>
      <c r="AZ55" s="76">
        <f t="shared" si="84"/>
        <v>8.7742000000000004</v>
      </c>
      <c r="BA55" s="77">
        <f t="shared" si="84"/>
        <v>4.8100000000000005</v>
      </c>
    </row>
    <row r="56" spans="1:53" ht="14.1" customHeight="1" x14ac:dyDescent="0.2">
      <c r="A56" s="67">
        <v>13</v>
      </c>
      <c r="B56" s="64">
        <v>2413</v>
      </c>
      <c r="C56" s="65">
        <v>600079601</v>
      </c>
      <c r="D56" s="64">
        <v>72742909</v>
      </c>
      <c r="E56" s="66" t="s">
        <v>579</v>
      </c>
      <c r="F56" s="67">
        <v>3111</v>
      </c>
      <c r="G56" s="66" t="s">
        <v>307</v>
      </c>
      <c r="H56" s="68" t="s">
        <v>277</v>
      </c>
      <c r="I56" s="462">
        <v>5311695</v>
      </c>
      <c r="J56" s="16">
        <v>3920249</v>
      </c>
      <c r="K56" s="457">
        <v>1325044</v>
      </c>
      <c r="L56" s="457">
        <v>39202</v>
      </c>
      <c r="M56" s="16">
        <v>27200</v>
      </c>
      <c r="N56" s="13">
        <v>8.0419</v>
      </c>
      <c r="O56" s="13">
        <v>6.2419000000000002</v>
      </c>
      <c r="P56" s="17">
        <v>1.7999999999999998</v>
      </c>
      <c r="Q56" s="469">
        <f t="shared" si="0"/>
        <v>0</v>
      </c>
      <c r="R56" s="469">
        <v>0</v>
      </c>
      <c r="S56" s="460">
        <v>0</v>
      </c>
      <c r="T56" s="460">
        <v>0</v>
      </c>
      <c r="U56" s="460">
        <v>0</v>
      </c>
      <c r="V56" s="460">
        <f>SUM(Q56:U56)</f>
        <v>0</v>
      </c>
      <c r="W56" s="460">
        <v>0</v>
      </c>
      <c r="X56" s="460">
        <v>0</v>
      </c>
      <c r="Y56" s="460">
        <v>0</v>
      </c>
      <c r="Z56" s="460">
        <f t="shared" ref="Z56:Z58" si="85">SUM(W56:Y56)</f>
        <v>0</v>
      </c>
      <c r="AA56" s="460">
        <f t="shared" ref="AA56:AA58" si="86">V56+Z56</f>
        <v>0</v>
      </c>
      <c r="AB56" s="69">
        <f t="shared" ref="AB56:AB58" si="87">ROUND((V56+W56+X56)*33.8%,0)</f>
        <v>0</v>
      </c>
      <c r="AC56" s="69">
        <f t="shared" ref="AC56:AC58" si="88">ROUND(V56*1%,0)</f>
        <v>0</v>
      </c>
      <c r="AD56" s="460">
        <v>0</v>
      </c>
      <c r="AE56" s="460">
        <v>0</v>
      </c>
      <c r="AF56" s="460">
        <f>SUM(AD56:AE56)</f>
        <v>0</v>
      </c>
      <c r="AG56" s="460">
        <f>AA56+AB56+AC56+AF56</f>
        <v>0</v>
      </c>
      <c r="AH56" s="461">
        <v>0</v>
      </c>
      <c r="AI56" s="461">
        <v>0</v>
      </c>
      <c r="AJ56" s="461">
        <v>0</v>
      </c>
      <c r="AK56" s="461">
        <v>0</v>
      </c>
      <c r="AL56" s="461">
        <v>0</v>
      </c>
      <c r="AM56" s="461">
        <v>0</v>
      </c>
      <c r="AN56" s="461">
        <v>0</v>
      </c>
      <c r="AO56" s="461">
        <v>0</v>
      </c>
      <c r="AP56" s="461">
        <f t="shared" si="10"/>
        <v>0</v>
      </c>
      <c r="AQ56" s="461">
        <f t="shared" si="11"/>
        <v>0</v>
      </c>
      <c r="AR56" s="737">
        <f t="shared" si="12"/>
        <v>0</v>
      </c>
      <c r="AS56" s="470">
        <f t="shared" si="13"/>
        <v>5311695</v>
      </c>
      <c r="AT56" s="460">
        <f t="shared" si="14"/>
        <v>3920249</v>
      </c>
      <c r="AU56" s="460">
        <f t="shared" si="15"/>
        <v>0</v>
      </c>
      <c r="AV56" s="460">
        <f t="shared" si="16"/>
        <v>1325044</v>
      </c>
      <c r="AW56" s="460">
        <f t="shared" si="17"/>
        <v>39202</v>
      </c>
      <c r="AX56" s="460">
        <f t="shared" si="18"/>
        <v>27200</v>
      </c>
      <c r="AY56" s="461">
        <f t="shared" si="19"/>
        <v>8.0419</v>
      </c>
      <c r="AZ56" s="461">
        <f t="shared" si="20"/>
        <v>6.2419000000000002</v>
      </c>
      <c r="BA56" s="463">
        <f t="shared" si="21"/>
        <v>1.7999999999999998</v>
      </c>
    </row>
    <row r="57" spans="1:53" ht="14.1" customHeight="1" x14ac:dyDescent="0.2">
      <c r="A57" s="67">
        <v>13</v>
      </c>
      <c r="B57" s="64">
        <v>2413</v>
      </c>
      <c r="C57" s="65">
        <v>600079601</v>
      </c>
      <c r="D57" s="64">
        <v>72742909</v>
      </c>
      <c r="E57" s="66" t="s">
        <v>579</v>
      </c>
      <c r="F57" s="67">
        <v>3111</v>
      </c>
      <c r="G57" s="78" t="s">
        <v>308</v>
      </c>
      <c r="H57" s="68" t="s">
        <v>278</v>
      </c>
      <c r="I57" s="462">
        <v>0</v>
      </c>
      <c r="J57" s="457">
        <v>0</v>
      </c>
      <c r="K57" s="457">
        <v>0</v>
      </c>
      <c r="L57" s="457">
        <v>0</v>
      </c>
      <c r="M57" s="457">
        <v>0</v>
      </c>
      <c r="N57" s="458">
        <v>0</v>
      </c>
      <c r="O57" s="459">
        <v>0</v>
      </c>
      <c r="P57" s="646">
        <v>0</v>
      </c>
      <c r="Q57" s="469">
        <f t="shared" si="0"/>
        <v>0</v>
      </c>
      <c r="R57" s="469">
        <v>0</v>
      </c>
      <c r="S57" s="460">
        <v>0</v>
      </c>
      <c r="T57" s="460">
        <v>0</v>
      </c>
      <c r="U57" s="460">
        <v>0</v>
      </c>
      <c r="V57" s="460">
        <f>SUM(Q57:U57)</f>
        <v>0</v>
      </c>
      <c r="W57" s="460">
        <v>0</v>
      </c>
      <c r="X57" s="460">
        <v>0</v>
      </c>
      <c r="Y57" s="460">
        <v>0</v>
      </c>
      <c r="Z57" s="460">
        <f t="shared" si="85"/>
        <v>0</v>
      </c>
      <c r="AA57" s="460">
        <f t="shared" si="86"/>
        <v>0</v>
      </c>
      <c r="AB57" s="69">
        <f t="shared" si="87"/>
        <v>0</v>
      </c>
      <c r="AC57" s="69">
        <f t="shared" si="88"/>
        <v>0</v>
      </c>
      <c r="AD57" s="460">
        <v>0</v>
      </c>
      <c r="AE57" s="460">
        <v>0</v>
      </c>
      <c r="AF57" s="460">
        <f>SUM(AD57:AE57)</f>
        <v>0</v>
      </c>
      <c r="AG57" s="460">
        <f>AA57+AB57+AC57+AF57</f>
        <v>0</v>
      </c>
      <c r="AH57" s="461">
        <v>0</v>
      </c>
      <c r="AI57" s="461">
        <v>0</v>
      </c>
      <c r="AJ57" s="461">
        <v>0</v>
      </c>
      <c r="AK57" s="461">
        <v>0</v>
      </c>
      <c r="AL57" s="461">
        <v>0</v>
      </c>
      <c r="AM57" s="461">
        <v>0</v>
      </c>
      <c r="AN57" s="461">
        <v>0</v>
      </c>
      <c r="AO57" s="461">
        <v>0</v>
      </c>
      <c r="AP57" s="461">
        <f t="shared" si="10"/>
        <v>0</v>
      </c>
      <c r="AQ57" s="461">
        <f t="shared" si="11"/>
        <v>0</v>
      </c>
      <c r="AR57" s="737">
        <f t="shared" si="12"/>
        <v>0</v>
      </c>
      <c r="AS57" s="470">
        <f t="shared" si="13"/>
        <v>0</v>
      </c>
      <c r="AT57" s="460">
        <f t="shared" si="14"/>
        <v>0</v>
      </c>
      <c r="AU57" s="460">
        <f t="shared" si="15"/>
        <v>0</v>
      </c>
      <c r="AV57" s="460">
        <f t="shared" si="16"/>
        <v>0</v>
      </c>
      <c r="AW57" s="460">
        <f t="shared" si="17"/>
        <v>0</v>
      </c>
      <c r="AX57" s="460">
        <f t="shared" si="18"/>
        <v>0</v>
      </c>
      <c r="AY57" s="461">
        <f t="shared" si="19"/>
        <v>0</v>
      </c>
      <c r="AZ57" s="461">
        <f t="shared" si="20"/>
        <v>0</v>
      </c>
      <c r="BA57" s="463">
        <f t="shared" si="21"/>
        <v>0</v>
      </c>
    </row>
    <row r="58" spans="1:53" ht="14.1" customHeight="1" x14ac:dyDescent="0.2">
      <c r="A58" s="67">
        <v>13</v>
      </c>
      <c r="B58" s="64">
        <v>2413</v>
      </c>
      <c r="C58" s="65">
        <v>600079601</v>
      </c>
      <c r="D58" s="64">
        <v>72742909</v>
      </c>
      <c r="E58" s="66" t="s">
        <v>579</v>
      </c>
      <c r="F58" s="67">
        <v>3141</v>
      </c>
      <c r="G58" s="66" t="s">
        <v>311</v>
      </c>
      <c r="H58" s="68" t="s">
        <v>278</v>
      </c>
      <c r="I58" s="462">
        <v>799550</v>
      </c>
      <c r="J58" s="728">
        <v>590515</v>
      </c>
      <c r="K58" s="457">
        <v>199594</v>
      </c>
      <c r="L58" s="457">
        <v>5905</v>
      </c>
      <c r="M58" s="728">
        <v>3536</v>
      </c>
      <c r="N58" s="458">
        <v>1.9</v>
      </c>
      <c r="O58" s="459">
        <v>0</v>
      </c>
      <c r="P58" s="646">
        <v>1.9</v>
      </c>
      <c r="Q58" s="469">
        <f t="shared" si="0"/>
        <v>0</v>
      </c>
      <c r="R58" s="469">
        <v>0</v>
      </c>
      <c r="S58" s="460">
        <v>0</v>
      </c>
      <c r="T58" s="460">
        <v>0</v>
      </c>
      <c r="U58" s="460">
        <v>0</v>
      </c>
      <c r="V58" s="460">
        <f>SUM(Q58:U58)</f>
        <v>0</v>
      </c>
      <c r="W58" s="460">
        <v>0</v>
      </c>
      <c r="X58" s="460">
        <v>0</v>
      </c>
      <c r="Y58" s="460">
        <v>0</v>
      </c>
      <c r="Z58" s="460">
        <f t="shared" si="85"/>
        <v>0</v>
      </c>
      <c r="AA58" s="460">
        <f t="shared" si="86"/>
        <v>0</v>
      </c>
      <c r="AB58" s="69">
        <f t="shared" si="87"/>
        <v>0</v>
      </c>
      <c r="AC58" s="69">
        <f t="shared" si="88"/>
        <v>0</v>
      </c>
      <c r="AD58" s="460">
        <v>0</v>
      </c>
      <c r="AE58" s="460">
        <v>0</v>
      </c>
      <c r="AF58" s="460">
        <f>SUM(AD58:AE58)</f>
        <v>0</v>
      </c>
      <c r="AG58" s="460">
        <f>AA58+AB58+AC58+AF58</f>
        <v>0</v>
      </c>
      <c r="AH58" s="461">
        <v>0</v>
      </c>
      <c r="AI58" s="461">
        <v>0</v>
      </c>
      <c r="AJ58" s="461">
        <v>0</v>
      </c>
      <c r="AK58" s="461">
        <v>0</v>
      </c>
      <c r="AL58" s="461">
        <v>0</v>
      </c>
      <c r="AM58" s="461">
        <v>0</v>
      </c>
      <c r="AN58" s="461">
        <v>0</v>
      </c>
      <c r="AO58" s="461">
        <v>0</v>
      </c>
      <c r="AP58" s="461">
        <f t="shared" si="10"/>
        <v>0</v>
      </c>
      <c r="AQ58" s="461">
        <f t="shared" si="11"/>
        <v>0</v>
      </c>
      <c r="AR58" s="737">
        <f t="shared" si="12"/>
        <v>0</v>
      </c>
      <c r="AS58" s="470">
        <f t="shared" si="13"/>
        <v>799550</v>
      </c>
      <c r="AT58" s="460">
        <f t="shared" si="14"/>
        <v>590515</v>
      </c>
      <c r="AU58" s="460">
        <f t="shared" si="15"/>
        <v>0</v>
      </c>
      <c r="AV58" s="460">
        <f t="shared" si="16"/>
        <v>199594</v>
      </c>
      <c r="AW58" s="460">
        <f t="shared" si="17"/>
        <v>5905</v>
      </c>
      <c r="AX58" s="460">
        <f t="shared" si="18"/>
        <v>3536</v>
      </c>
      <c r="AY58" s="461">
        <f t="shared" si="19"/>
        <v>1.9</v>
      </c>
      <c r="AZ58" s="461">
        <f t="shared" si="20"/>
        <v>0</v>
      </c>
      <c r="BA58" s="463">
        <f t="shared" si="21"/>
        <v>1.9</v>
      </c>
    </row>
    <row r="59" spans="1:53" ht="14.1" customHeight="1" x14ac:dyDescent="0.2">
      <c r="A59" s="73">
        <v>13</v>
      </c>
      <c r="B59" s="70">
        <v>2413</v>
      </c>
      <c r="C59" s="71">
        <v>600079601</v>
      </c>
      <c r="D59" s="70">
        <v>72742909</v>
      </c>
      <c r="E59" s="72" t="s">
        <v>580</v>
      </c>
      <c r="F59" s="73"/>
      <c r="G59" s="72"/>
      <c r="H59" s="74"/>
      <c r="I59" s="701">
        <f t="shared" ref="I59:P59" si="89">SUM(I56:I58)</f>
        <v>6111245</v>
      </c>
      <c r="J59" s="75">
        <f t="shared" si="89"/>
        <v>4510764</v>
      </c>
      <c r="K59" s="75">
        <f t="shared" si="89"/>
        <v>1524638</v>
      </c>
      <c r="L59" s="75">
        <f t="shared" si="89"/>
        <v>45107</v>
      </c>
      <c r="M59" s="75">
        <f t="shared" si="89"/>
        <v>30736</v>
      </c>
      <c r="N59" s="76">
        <f t="shared" si="89"/>
        <v>9.9419000000000004</v>
      </c>
      <c r="O59" s="76">
        <f t="shared" si="89"/>
        <v>6.2419000000000002</v>
      </c>
      <c r="P59" s="77">
        <f t="shared" si="89"/>
        <v>3.6999999999999997</v>
      </c>
      <c r="Q59" s="724">
        <f t="shared" ref="Q59:BA59" si="90">SUM(Q56:Q58)</f>
        <v>0</v>
      </c>
      <c r="R59" s="724">
        <f t="shared" si="90"/>
        <v>0</v>
      </c>
      <c r="S59" s="75">
        <f t="shared" si="90"/>
        <v>0</v>
      </c>
      <c r="T59" s="75">
        <f t="shared" si="90"/>
        <v>0</v>
      </c>
      <c r="U59" s="75">
        <f t="shared" si="90"/>
        <v>0</v>
      </c>
      <c r="V59" s="75">
        <f t="shared" si="90"/>
        <v>0</v>
      </c>
      <c r="W59" s="75">
        <f t="shared" si="90"/>
        <v>0</v>
      </c>
      <c r="X59" s="75">
        <f t="shared" si="90"/>
        <v>0</v>
      </c>
      <c r="Y59" s="75">
        <f t="shared" si="90"/>
        <v>0</v>
      </c>
      <c r="Z59" s="75">
        <f t="shared" si="90"/>
        <v>0</v>
      </c>
      <c r="AA59" s="75">
        <f t="shared" si="90"/>
        <v>0</v>
      </c>
      <c r="AB59" s="75">
        <f t="shared" si="90"/>
        <v>0</v>
      </c>
      <c r="AC59" s="75">
        <f t="shared" si="90"/>
        <v>0</v>
      </c>
      <c r="AD59" s="75">
        <f t="shared" si="90"/>
        <v>0</v>
      </c>
      <c r="AE59" s="75">
        <f t="shared" si="90"/>
        <v>0</v>
      </c>
      <c r="AF59" s="75">
        <f t="shared" si="90"/>
        <v>0</v>
      </c>
      <c r="AG59" s="75">
        <f t="shared" si="90"/>
        <v>0</v>
      </c>
      <c r="AH59" s="76">
        <f t="shared" si="90"/>
        <v>0</v>
      </c>
      <c r="AI59" s="76">
        <f t="shared" si="90"/>
        <v>0</v>
      </c>
      <c r="AJ59" s="76">
        <f t="shared" si="90"/>
        <v>0</v>
      </c>
      <c r="AK59" s="76">
        <f t="shared" si="90"/>
        <v>0</v>
      </c>
      <c r="AL59" s="76">
        <f t="shared" si="90"/>
        <v>0</v>
      </c>
      <c r="AM59" s="76">
        <f t="shared" si="90"/>
        <v>0</v>
      </c>
      <c r="AN59" s="76">
        <f t="shared" si="90"/>
        <v>0</v>
      </c>
      <c r="AO59" s="76">
        <f t="shared" si="90"/>
        <v>0</v>
      </c>
      <c r="AP59" s="76">
        <f t="shared" si="90"/>
        <v>0</v>
      </c>
      <c r="AQ59" s="76">
        <f t="shared" si="90"/>
        <v>0</v>
      </c>
      <c r="AR59" s="720">
        <f t="shared" si="90"/>
        <v>0</v>
      </c>
      <c r="AS59" s="701">
        <f t="shared" si="90"/>
        <v>6111245</v>
      </c>
      <c r="AT59" s="75">
        <f t="shared" si="90"/>
        <v>4510764</v>
      </c>
      <c r="AU59" s="75">
        <f t="shared" si="90"/>
        <v>0</v>
      </c>
      <c r="AV59" s="75">
        <f t="shared" si="90"/>
        <v>1524638</v>
      </c>
      <c r="AW59" s="75">
        <f t="shared" si="90"/>
        <v>45107</v>
      </c>
      <c r="AX59" s="75">
        <f t="shared" si="90"/>
        <v>30736</v>
      </c>
      <c r="AY59" s="76">
        <f t="shared" si="90"/>
        <v>9.9419000000000004</v>
      </c>
      <c r="AZ59" s="76">
        <f t="shared" si="90"/>
        <v>6.2419000000000002</v>
      </c>
      <c r="BA59" s="77">
        <f t="shared" si="90"/>
        <v>3.6999999999999997</v>
      </c>
    </row>
    <row r="60" spans="1:53" ht="14.1" customHeight="1" x14ac:dyDescent="0.2">
      <c r="A60" s="67">
        <v>14</v>
      </c>
      <c r="B60" s="64">
        <v>2410</v>
      </c>
      <c r="C60" s="65">
        <v>600079121</v>
      </c>
      <c r="D60" s="64">
        <v>72742348</v>
      </c>
      <c r="E60" s="66" t="s">
        <v>581</v>
      </c>
      <c r="F60" s="67">
        <v>3111</v>
      </c>
      <c r="G60" s="66" t="s">
        <v>307</v>
      </c>
      <c r="H60" s="68" t="s">
        <v>277</v>
      </c>
      <c r="I60" s="462">
        <v>7471967</v>
      </c>
      <c r="J60" s="16">
        <v>5511652</v>
      </c>
      <c r="K60" s="457">
        <v>1862938</v>
      </c>
      <c r="L60" s="457">
        <v>55117</v>
      </c>
      <c r="M60" s="16">
        <v>42260</v>
      </c>
      <c r="N60" s="13">
        <v>11.060600000000001</v>
      </c>
      <c r="O60" s="13">
        <v>8.5806000000000004</v>
      </c>
      <c r="P60" s="17">
        <v>2.48</v>
      </c>
      <c r="Q60" s="469">
        <f t="shared" si="0"/>
        <v>-12285</v>
      </c>
      <c r="R60" s="469">
        <v>0</v>
      </c>
      <c r="S60" s="460">
        <v>0</v>
      </c>
      <c r="T60" s="460">
        <v>0</v>
      </c>
      <c r="U60" s="460">
        <v>0</v>
      </c>
      <c r="V60" s="460">
        <f>SUM(Q60:U60)</f>
        <v>-12285</v>
      </c>
      <c r="W60" s="460">
        <v>12285</v>
      </c>
      <c r="X60" s="460">
        <v>0</v>
      </c>
      <c r="Y60" s="460">
        <v>0</v>
      </c>
      <c r="Z60" s="460">
        <f t="shared" ref="Z60:Z62" si="91">SUM(W60:Y60)</f>
        <v>12285</v>
      </c>
      <c r="AA60" s="460">
        <f t="shared" ref="AA60:AA62" si="92">V60+Z60</f>
        <v>0</v>
      </c>
      <c r="AB60" s="69">
        <f t="shared" ref="AB60:AB62" si="93">ROUND((V60+W60+X60)*33.8%,0)</f>
        <v>0</v>
      </c>
      <c r="AC60" s="69">
        <f t="shared" ref="AC60:AC62" si="94">ROUND(V60*1%,0)</f>
        <v>-123</v>
      </c>
      <c r="AD60" s="460">
        <v>0</v>
      </c>
      <c r="AE60" s="460">
        <v>0</v>
      </c>
      <c r="AF60" s="460">
        <f>SUM(AD60:AE60)</f>
        <v>0</v>
      </c>
      <c r="AG60" s="460">
        <f>AA60+AB60+AC60+AF60</f>
        <v>-123</v>
      </c>
      <c r="AH60" s="461">
        <v>-0.02</v>
      </c>
      <c r="AI60" s="461">
        <v>0</v>
      </c>
      <c r="AJ60" s="461">
        <v>0</v>
      </c>
      <c r="AK60" s="461">
        <v>0</v>
      </c>
      <c r="AL60" s="461">
        <v>0</v>
      </c>
      <c r="AM60" s="461">
        <v>0</v>
      </c>
      <c r="AN60" s="461">
        <v>0</v>
      </c>
      <c r="AO60" s="461">
        <v>0</v>
      </c>
      <c r="AP60" s="461">
        <f t="shared" si="10"/>
        <v>-0.02</v>
      </c>
      <c r="AQ60" s="461">
        <f t="shared" si="11"/>
        <v>0</v>
      </c>
      <c r="AR60" s="737">
        <f t="shared" si="12"/>
        <v>-0.02</v>
      </c>
      <c r="AS60" s="470">
        <f t="shared" si="13"/>
        <v>7471844</v>
      </c>
      <c r="AT60" s="460">
        <f t="shared" si="14"/>
        <v>5499367</v>
      </c>
      <c r="AU60" s="460">
        <f t="shared" si="15"/>
        <v>12285</v>
      </c>
      <c r="AV60" s="460">
        <f t="shared" si="16"/>
        <v>1862938</v>
      </c>
      <c r="AW60" s="460">
        <f t="shared" si="17"/>
        <v>54994</v>
      </c>
      <c r="AX60" s="460">
        <f t="shared" si="18"/>
        <v>42260</v>
      </c>
      <c r="AY60" s="461">
        <f t="shared" si="19"/>
        <v>11.040600000000001</v>
      </c>
      <c r="AZ60" s="461">
        <f t="shared" si="20"/>
        <v>8.5606000000000009</v>
      </c>
      <c r="BA60" s="463">
        <f t="shared" si="21"/>
        <v>2.48</v>
      </c>
    </row>
    <row r="61" spans="1:53" ht="14.1" customHeight="1" x14ac:dyDescent="0.2">
      <c r="A61" s="67">
        <v>14</v>
      </c>
      <c r="B61" s="64">
        <v>2410</v>
      </c>
      <c r="C61" s="65">
        <v>600079121</v>
      </c>
      <c r="D61" s="64">
        <v>72742348</v>
      </c>
      <c r="E61" s="66" t="s">
        <v>581</v>
      </c>
      <c r="F61" s="67">
        <v>3111</v>
      </c>
      <c r="G61" s="44" t="s">
        <v>309</v>
      </c>
      <c r="H61" s="68" t="s">
        <v>277</v>
      </c>
      <c r="I61" s="462">
        <v>413895</v>
      </c>
      <c r="J61" s="16">
        <v>307044</v>
      </c>
      <c r="K61" s="457">
        <v>103781</v>
      </c>
      <c r="L61" s="457">
        <v>3070</v>
      </c>
      <c r="M61" s="16">
        <v>0</v>
      </c>
      <c r="N61" s="13">
        <v>1</v>
      </c>
      <c r="O61" s="13">
        <v>1</v>
      </c>
      <c r="P61" s="17">
        <v>0</v>
      </c>
      <c r="Q61" s="469">
        <f t="shared" si="0"/>
        <v>0</v>
      </c>
      <c r="R61" s="469">
        <v>0</v>
      </c>
      <c r="S61" s="460">
        <v>0</v>
      </c>
      <c r="T61" s="460">
        <v>0</v>
      </c>
      <c r="U61" s="460">
        <v>0</v>
      </c>
      <c r="V61" s="460">
        <f>SUM(Q61:U61)</f>
        <v>0</v>
      </c>
      <c r="W61" s="460">
        <v>0</v>
      </c>
      <c r="X61" s="460">
        <v>0</v>
      </c>
      <c r="Y61" s="460">
        <v>0</v>
      </c>
      <c r="Z61" s="460">
        <f t="shared" si="91"/>
        <v>0</v>
      </c>
      <c r="AA61" s="460">
        <f t="shared" si="92"/>
        <v>0</v>
      </c>
      <c r="AB61" s="69">
        <f t="shared" si="93"/>
        <v>0</v>
      </c>
      <c r="AC61" s="69">
        <f t="shared" si="94"/>
        <v>0</v>
      </c>
      <c r="AD61" s="460">
        <v>0</v>
      </c>
      <c r="AE61" s="460">
        <v>0</v>
      </c>
      <c r="AF61" s="460">
        <f>SUM(AD61:AE61)</f>
        <v>0</v>
      </c>
      <c r="AG61" s="460">
        <f>AA61+AB61+AC61+AF61</f>
        <v>0</v>
      </c>
      <c r="AH61" s="461">
        <v>0</v>
      </c>
      <c r="AI61" s="461">
        <v>0</v>
      </c>
      <c r="AJ61" s="461">
        <v>0</v>
      </c>
      <c r="AK61" s="461">
        <v>0</v>
      </c>
      <c r="AL61" s="461">
        <v>0</v>
      </c>
      <c r="AM61" s="461">
        <v>0</v>
      </c>
      <c r="AN61" s="461">
        <v>0</v>
      </c>
      <c r="AO61" s="461">
        <v>0</v>
      </c>
      <c r="AP61" s="461">
        <f t="shared" si="10"/>
        <v>0</v>
      </c>
      <c r="AQ61" s="461">
        <f t="shared" si="11"/>
        <v>0</v>
      </c>
      <c r="AR61" s="737">
        <f t="shared" si="12"/>
        <v>0</v>
      </c>
      <c r="AS61" s="470">
        <f t="shared" si="13"/>
        <v>413895</v>
      </c>
      <c r="AT61" s="460">
        <f t="shared" si="14"/>
        <v>307044</v>
      </c>
      <c r="AU61" s="460">
        <f t="shared" si="15"/>
        <v>0</v>
      </c>
      <c r="AV61" s="460">
        <f t="shared" si="16"/>
        <v>103781</v>
      </c>
      <c r="AW61" s="460">
        <f t="shared" si="17"/>
        <v>3070</v>
      </c>
      <c r="AX61" s="460">
        <f t="shared" si="18"/>
        <v>0</v>
      </c>
      <c r="AY61" s="461">
        <f t="shared" si="19"/>
        <v>1</v>
      </c>
      <c r="AZ61" s="461">
        <f t="shared" si="20"/>
        <v>1</v>
      </c>
      <c r="BA61" s="463">
        <f t="shared" si="21"/>
        <v>0</v>
      </c>
    </row>
    <row r="62" spans="1:53" ht="14.1" customHeight="1" x14ac:dyDescent="0.2">
      <c r="A62" s="67">
        <v>14</v>
      </c>
      <c r="B62" s="64">
        <v>2410</v>
      </c>
      <c r="C62" s="65">
        <v>600079121</v>
      </c>
      <c r="D62" s="64">
        <v>72742348</v>
      </c>
      <c r="E62" s="66" t="s">
        <v>581</v>
      </c>
      <c r="F62" s="67">
        <v>3141</v>
      </c>
      <c r="G62" s="66" t="s">
        <v>311</v>
      </c>
      <c r="H62" s="68" t="s">
        <v>278</v>
      </c>
      <c r="I62" s="462">
        <v>930822</v>
      </c>
      <c r="J62" s="728">
        <v>687242</v>
      </c>
      <c r="K62" s="457">
        <v>232288</v>
      </c>
      <c r="L62" s="457">
        <v>6872</v>
      </c>
      <c r="M62" s="728">
        <v>4420</v>
      </c>
      <c r="N62" s="458">
        <v>2.21</v>
      </c>
      <c r="O62" s="459">
        <v>0</v>
      </c>
      <c r="P62" s="646">
        <v>2.21</v>
      </c>
      <c r="Q62" s="469">
        <f t="shared" si="0"/>
        <v>0</v>
      </c>
      <c r="R62" s="469">
        <v>0</v>
      </c>
      <c r="S62" s="460">
        <v>0</v>
      </c>
      <c r="T62" s="460">
        <v>0</v>
      </c>
      <c r="U62" s="460">
        <v>0</v>
      </c>
      <c r="V62" s="460">
        <f>SUM(Q62:U62)</f>
        <v>0</v>
      </c>
      <c r="W62" s="460">
        <v>0</v>
      </c>
      <c r="X62" s="460">
        <v>0</v>
      </c>
      <c r="Y62" s="460">
        <v>0</v>
      </c>
      <c r="Z62" s="460">
        <f t="shared" si="91"/>
        <v>0</v>
      </c>
      <c r="AA62" s="460">
        <f t="shared" si="92"/>
        <v>0</v>
      </c>
      <c r="AB62" s="69">
        <f t="shared" si="93"/>
        <v>0</v>
      </c>
      <c r="AC62" s="69">
        <f t="shared" si="94"/>
        <v>0</v>
      </c>
      <c r="AD62" s="460">
        <v>0</v>
      </c>
      <c r="AE62" s="460">
        <v>0</v>
      </c>
      <c r="AF62" s="460">
        <f>SUM(AD62:AE62)</f>
        <v>0</v>
      </c>
      <c r="AG62" s="460">
        <f>AA62+AB62+AC62+AF62</f>
        <v>0</v>
      </c>
      <c r="AH62" s="461">
        <v>0</v>
      </c>
      <c r="AI62" s="461">
        <v>0</v>
      </c>
      <c r="AJ62" s="461">
        <v>0</v>
      </c>
      <c r="AK62" s="461">
        <v>0</v>
      </c>
      <c r="AL62" s="461">
        <v>0</v>
      </c>
      <c r="AM62" s="461">
        <v>0</v>
      </c>
      <c r="AN62" s="461">
        <v>0</v>
      </c>
      <c r="AO62" s="461">
        <v>0</v>
      </c>
      <c r="AP62" s="461">
        <f t="shared" si="10"/>
        <v>0</v>
      </c>
      <c r="AQ62" s="461">
        <f t="shared" si="11"/>
        <v>0</v>
      </c>
      <c r="AR62" s="737">
        <f t="shared" si="12"/>
        <v>0</v>
      </c>
      <c r="AS62" s="470">
        <f t="shared" si="13"/>
        <v>930822</v>
      </c>
      <c r="AT62" s="460">
        <f t="shared" si="14"/>
        <v>687242</v>
      </c>
      <c r="AU62" s="460">
        <f t="shared" si="15"/>
        <v>0</v>
      </c>
      <c r="AV62" s="460">
        <f t="shared" si="16"/>
        <v>232288</v>
      </c>
      <c r="AW62" s="460">
        <f t="shared" si="17"/>
        <v>6872</v>
      </c>
      <c r="AX62" s="460">
        <f t="shared" si="18"/>
        <v>4420</v>
      </c>
      <c r="AY62" s="461">
        <f t="shared" si="19"/>
        <v>2.21</v>
      </c>
      <c r="AZ62" s="461">
        <f t="shared" si="20"/>
        <v>0</v>
      </c>
      <c r="BA62" s="463">
        <f t="shared" si="21"/>
        <v>2.21</v>
      </c>
    </row>
    <row r="63" spans="1:53" ht="14.1" customHeight="1" x14ac:dyDescent="0.2">
      <c r="A63" s="73">
        <v>14</v>
      </c>
      <c r="B63" s="70">
        <v>2410</v>
      </c>
      <c r="C63" s="71">
        <v>600079121</v>
      </c>
      <c r="D63" s="70">
        <v>72742348</v>
      </c>
      <c r="E63" s="72" t="s">
        <v>582</v>
      </c>
      <c r="F63" s="73"/>
      <c r="G63" s="72"/>
      <c r="H63" s="74"/>
      <c r="I63" s="701">
        <f t="shared" ref="I63:P63" si="95">SUM(I60:I62)</f>
        <v>8816684</v>
      </c>
      <c r="J63" s="75">
        <f t="shared" si="95"/>
        <v>6505938</v>
      </c>
      <c r="K63" s="75">
        <f t="shared" si="95"/>
        <v>2199007</v>
      </c>
      <c r="L63" s="75">
        <f t="shared" si="95"/>
        <v>65059</v>
      </c>
      <c r="M63" s="75">
        <f t="shared" si="95"/>
        <v>46680</v>
      </c>
      <c r="N63" s="76">
        <f t="shared" si="95"/>
        <v>14.270600000000002</v>
      </c>
      <c r="O63" s="76">
        <f t="shared" si="95"/>
        <v>9.5806000000000004</v>
      </c>
      <c r="P63" s="77">
        <f t="shared" si="95"/>
        <v>4.6899999999999995</v>
      </c>
      <c r="Q63" s="724">
        <f t="shared" ref="Q63:BA63" si="96">SUM(Q60:Q62)</f>
        <v>-12285</v>
      </c>
      <c r="R63" s="724">
        <f t="shared" si="96"/>
        <v>0</v>
      </c>
      <c r="S63" s="75">
        <f t="shared" si="96"/>
        <v>0</v>
      </c>
      <c r="T63" s="75">
        <f t="shared" si="96"/>
        <v>0</v>
      </c>
      <c r="U63" s="75">
        <f t="shared" si="96"/>
        <v>0</v>
      </c>
      <c r="V63" s="75">
        <f t="shared" si="96"/>
        <v>-12285</v>
      </c>
      <c r="W63" s="75">
        <f t="shared" si="96"/>
        <v>12285</v>
      </c>
      <c r="X63" s="75">
        <f t="shared" si="96"/>
        <v>0</v>
      </c>
      <c r="Y63" s="75">
        <f t="shared" si="96"/>
        <v>0</v>
      </c>
      <c r="Z63" s="75">
        <f t="shared" si="96"/>
        <v>12285</v>
      </c>
      <c r="AA63" s="75">
        <f t="shared" si="96"/>
        <v>0</v>
      </c>
      <c r="AB63" s="75">
        <f t="shared" si="96"/>
        <v>0</v>
      </c>
      <c r="AC63" s="75">
        <f t="shared" si="96"/>
        <v>-123</v>
      </c>
      <c r="AD63" s="75">
        <f t="shared" si="96"/>
        <v>0</v>
      </c>
      <c r="AE63" s="75">
        <f t="shared" si="96"/>
        <v>0</v>
      </c>
      <c r="AF63" s="75">
        <f t="shared" si="96"/>
        <v>0</v>
      </c>
      <c r="AG63" s="75">
        <f t="shared" si="96"/>
        <v>-123</v>
      </c>
      <c r="AH63" s="76">
        <f t="shared" si="96"/>
        <v>-0.02</v>
      </c>
      <c r="AI63" s="76">
        <f t="shared" si="96"/>
        <v>0</v>
      </c>
      <c r="AJ63" s="76">
        <f t="shared" si="96"/>
        <v>0</v>
      </c>
      <c r="AK63" s="76">
        <f t="shared" si="96"/>
        <v>0</v>
      </c>
      <c r="AL63" s="76">
        <f t="shared" si="96"/>
        <v>0</v>
      </c>
      <c r="AM63" s="76">
        <f t="shared" si="96"/>
        <v>0</v>
      </c>
      <c r="AN63" s="76">
        <f t="shared" si="96"/>
        <v>0</v>
      </c>
      <c r="AO63" s="76">
        <f t="shared" si="96"/>
        <v>0</v>
      </c>
      <c r="AP63" s="76">
        <f t="shared" si="96"/>
        <v>-0.02</v>
      </c>
      <c r="AQ63" s="76">
        <f t="shared" si="96"/>
        <v>0</v>
      </c>
      <c r="AR63" s="720">
        <f t="shared" si="96"/>
        <v>-0.02</v>
      </c>
      <c r="AS63" s="701">
        <f t="shared" si="96"/>
        <v>8816561</v>
      </c>
      <c r="AT63" s="75">
        <f t="shared" si="96"/>
        <v>6493653</v>
      </c>
      <c r="AU63" s="75">
        <f t="shared" si="96"/>
        <v>12285</v>
      </c>
      <c r="AV63" s="75">
        <f t="shared" si="96"/>
        <v>2199007</v>
      </c>
      <c r="AW63" s="75">
        <f t="shared" si="96"/>
        <v>64936</v>
      </c>
      <c r="AX63" s="75">
        <f t="shared" si="96"/>
        <v>46680</v>
      </c>
      <c r="AY63" s="76">
        <f t="shared" si="96"/>
        <v>14.250600000000002</v>
      </c>
      <c r="AZ63" s="76">
        <f t="shared" si="96"/>
        <v>9.5606000000000009</v>
      </c>
      <c r="BA63" s="77">
        <f t="shared" si="96"/>
        <v>4.6899999999999995</v>
      </c>
    </row>
    <row r="64" spans="1:53" ht="14.1" customHeight="1" x14ac:dyDescent="0.2">
      <c r="A64" s="67">
        <v>15</v>
      </c>
      <c r="B64" s="64">
        <v>2436</v>
      </c>
      <c r="C64" s="65">
        <v>600079538</v>
      </c>
      <c r="D64" s="64">
        <v>72741546</v>
      </c>
      <c r="E64" s="66" t="s">
        <v>583</v>
      </c>
      <c r="F64" s="67">
        <v>3111</v>
      </c>
      <c r="G64" s="66" t="s">
        <v>307</v>
      </c>
      <c r="H64" s="68" t="s">
        <v>277</v>
      </c>
      <c r="I64" s="462">
        <v>8456193</v>
      </c>
      <c r="J64" s="16">
        <v>6238348</v>
      </c>
      <c r="K64" s="457">
        <v>2108562</v>
      </c>
      <c r="L64" s="457">
        <v>62383</v>
      </c>
      <c r="M64" s="16">
        <v>46900</v>
      </c>
      <c r="N64" s="13">
        <v>13.35</v>
      </c>
      <c r="O64" s="13">
        <v>10.36</v>
      </c>
      <c r="P64" s="17">
        <v>2.99</v>
      </c>
      <c r="Q64" s="469">
        <f t="shared" si="0"/>
        <v>-52000</v>
      </c>
      <c r="R64" s="469">
        <v>0</v>
      </c>
      <c r="S64" s="460">
        <v>0</v>
      </c>
      <c r="T64" s="460">
        <v>0</v>
      </c>
      <c r="U64" s="460">
        <v>0</v>
      </c>
      <c r="V64" s="460">
        <f>SUM(Q64:U64)</f>
        <v>-52000</v>
      </c>
      <c r="W64" s="460">
        <v>52000</v>
      </c>
      <c r="X64" s="460">
        <v>0</v>
      </c>
      <c r="Y64" s="460">
        <v>0</v>
      </c>
      <c r="Z64" s="460">
        <f t="shared" ref="Z64:Z66" si="97">SUM(W64:Y64)</f>
        <v>52000</v>
      </c>
      <c r="AA64" s="460">
        <f t="shared" ref="AA64:AA66" si="98">V64+Z64</f>
        <v>0</v>
      </c>
      <c r="AB64" s="69">
        <f t="shared" ref="AB64:AB66" si="99">ROUND((V64+W64+X64)*33.8%,0)</f>
        <v>0</v>
      </c>
      <c r="AC64" s="69">
        <f t="shared" ref="AC64:AC66" si="100">ROUND(V64*1%,0)</f>
        <v>-520</v>
      </c>
      <c r="AD64" s="460">
        <v>0</v>
      </c>
      <c r="AE64" s="460">
        <v>0</v>
      </c>
      <c r="AF64" s="460">
        <f>SUM(AD64:AE64)</f>
        <v>0</v>
      </c>
      <c r="AG64" s="460">
        <f>AA64+AB64+AC64+AF64</f>
        <v>-520</v>
      </c>
      <c r="AH64" s="461">
        <v>0</v>
      </c>
      <c r="AI64" s="461">
        <v>-0.12</v>
      </c>
      <c r="AJ64" s="461">
        <v>0</v>
      </c>
      <c r="AK64" s="461">
        <v>0</v>
      </c>
      <c r="AL64" s="461">
        <v>0</v>
      </c>
      <c r="AM64" s="461">
        <v>0</v>
      </c>
      <c r="AN64" s="461">
        <v>0</v>
      </c>
      <c r="AO64" s="461">
        <v>0</v>
      </c>
      <c r="AP64" s="461">
        <f t="shared" si="10"/>
        <v>0</v>
      </c>
      <c r="AQ64" s="461">
        <f t="shared" si="11"/>
        <v>-0.12</v>
      </c>
      <c r="AR64" s="737">
        <f t="shared" si="12"/>
        <v>-0.12</v>
      </c>
      <c r="AS64" s="470">
        <f t="shared" si="13"/>
        <v>8455673</v>
      </c>
      <c r="AT64" s="460">
        <f t="shared" si="14"/>
        <v>6186348</v>
      </c>
      <c r="AU64" s="460">
        <f t="shared" si="15"/>
        <v>52000</v>
      </c>
      <c r="AV64" s="460">
        <f t="shared" si="16"/>
        <v>2108562</v>
      </c>
      <c r="AW64" s="460">
        <f t="shared" si="17"/>
        <v>61863</v>
      </c>
      <c r="AX64" s="460">
        <f t="shared" si="18"/>
        <v>46900</v>
      </c>
      <c r="AY64" s="461">
        <f t="shared" si="19"/>
        <v>13.23</v>
      </c>
      <c r="AZ64" s="461">
        <f t="shared" si="20"/>
        <v>10.36</v>
      </c>
      <c r="BA64" s="463">
        <f t="shared" si="21"/>
        <v>2.87</v>
      </c>
    </row>
    <row r="65" spans="1:53" ht="14.1" customHeight="1" x14ac:dyDescent="0.2">
      <c r="A65" s="67">
        <v>15</v>
      </c>
      <c r="B65" s="64">
        <v>2436</v>
      </c>
      <c r="C65" s="65">
        <v>600079538</v>
      </c>
      <c r="D65" s="64">
        <v>72741546</v>
      </c>
      <c r="E65" s="66" t="s">
        <v>583</v>
      </c>
      <c r="F65" s="67">
        <v>3111</v>
      </c>
      <c r="G65" s="78" t="s">
        <v>308</v>
      </c>
      <c r="H65" s="68" t="s">
        <v>278</v>
      </c>
      <c r="I65" s="462">
        <v>0</v>
      </c>
      <c r="J65" s="457">
        <v>0</v>
      </c>
      <c r="K65" s="457">
        <v>0</v>
      </c>
      <c r="L65" s="457">
        <v>0</v>
      </c>
      <c r="M65" s="457">
        <v>0</v>
      </c>
      <c r="N65" s="458">
        <v>0</v>
      </c>
      <c r="O65" s="459">
        <v>0</v>
      </c>
      <c r="P65" s="646">
        <v>0</v>
      </c>
      <c r="Q65" s="469">
        <f t="shared" si="0"/>
        <v>0</v>
      </c>
      <c r="R65" s="469">
        <v>444576</v>
      </c>
      <c r="S65" s="460">
        <v>0</v>
      </c>
      <c r="T65" s="460">
        <v>0</v>
      </c>
      <c r="U65" s="460">
        <v>0</v>
      </c>
      <c r="V65" s="460">
        <f>SUM(Q65:U65)</f>
        <v>444576</v>
      </c>
      <c r="W65" s="460">
        <v>0</v>
      </c>
      <c r="X65" s="460">
        <v>0</v>
      </c>
      <c r="Y65" s="460">
        <v>0</v>
      </c>
      <c r="Z65" s="460">
        <f t="shared" si="97"/>
        <v>0</v>
      </c>
      <c r="AA65" s="460">
        <f t="shared" si="98"/>
        <v>444576</v>
      </c>
      <c r="AB65" s="69">
        <f t="shared" si="99"/>
        <v>150267</v>
      </c>
      <c r="AC65" s="69">
        <f t="shared" si="100"/>
        <v>4446</v>
      </c>
      <c r="AD65" s="460">
        <v>0</v>
      </c>
      <c r="AE65" s="460">
        <v>0</v>
      </c>
      <c r="AF65" s="460">
        <f>SUM(AD65:AE65)</f>
        <v>0</v>
      </c>
      <c r="AG65" s="460">
        <f>AA65+AB65+AC65+AF65</f>
        <v>599289</v>
      </c>
      <c r="AH65" s="461">
        <v>0</v>
      </c>
      <c r="AI65" s="461">
        <v>0</v>
      </c>
      <c r="AJ65" s="461">
        <v>1.75</v>
      </c>
      <c r="AK65" s="461">
        <v>0</v>
      </c>
      <c r="AL65" s="461">
        <v>0</v>
      </c>
      <c r="AM65" s="461">
        <v>0</v>
      </c>
      <c r="AN65" s="461">
        <v>0</v>
      </c>
      <c r="AO65" s="461">
        <v>0</v>
      </c>
      <c r="AP65" s="461">
        <f t="shared" si="10"/>
        <v>1.75</v>
      </c>
      <c r="AQ65" s="461">
        <f t="shared" si="11"/>
        <v>0</v>
      </c>
      <c r="AR65" s="737">
        <f t="shared" si="12"/>
        <v>1.75</v>
      </c>
      <c r="AS65" s="470">
        <f t="shared" si="13"/>
        <v>599289</v>
      </c>
      <c r="AT65" s="460">
        <f t="shared" si="14"/>
        <v>444576</v>
      </c>
      <c r="AU65" s="460">
        <f t="shared" si="15"/>
        <v>0</v>
      </c>
      <c r="AV65" s="460">
        <f t="shared" si="16"/>
        <v>150267</v>
      </c>
      <c r="AW65" s="460">
        <f t="shared" si="17"/>
        <v>4446</v>
      </c>
      <c r="AX65" s="460">
        <f t="shared" si="18"/>
        <v>0</v>
      </c>
      <c r="AY65" s="461">
        <f t="shared" si="19"/>
        <v>1.75</v>
      </c>
      <c r="AZ65" s="461">
        <f t="shared" si="20"/>
        <v>1.75</v>
      </c>
      <c r="BA65" s="463">
        <f t="shared" si="21"/>
        <v>0</v>
      </c>
    </row>
    <row r="66" spans="1:53" ht="14.1" customHeight="1" x14ac:dyDescent="0.2">
      <c r="A66" s="67">
        <v>15</v>
      </c>
      <c r="B66" s="64">
        <v>2436</v>
      </c>
      <c r="C66" s="65">
        <v>600079538</v>
      </c>
      <c r="D66" s="64">
        <v>72741546</v>
      </c>
      <c r="E66" s="66" t="s">
        <v>583</v>
      </c>
      <c r="F66" s="67">
        <v>3141</v>
      </c>
      <c r="G66" s="66" t="s">
        <v>311</v>
      </c>
      <c r="H66" s="68" t="s">
        <v>278</v>
      </c>
      <c r="I66" s="462">
        <v>1082069</v>
      </c>
      <c r="J66" s="728">
        <v>798671</v>
      </c>
      <c r="K66" s="457">
        <v>269951</v>
      </c>
      <c r="L66" s="457">
        <v>7987</v>
      </c>
      <c r="M66" s="728">
        <v>5460</v>
      </c>
      <c r="N66" s="458">
        <v>2.57</v>
      </c>
      <c r="O66" s="459">
        <v>0</v>
      </c>
      <c r="P66" s="646">
        <v>2.57</v>
      </c>
      <c r="Q66" s="469">
        <f t="shared" si="0"/>
        <v>0</v>
      </c>
      <c r="R66" s="469">
        <v>0</v>
      </c>
      <c r="S66" s="460">
        <v>0</v>
      </c>
      <c r="T66" s="460">
        <v>0</v>
      </c>
      <c r="U66" s="460">
        <v>0</v>
      </c>
      <c r="V66" s="460">
        <f>SUM(Q66:U66)</f>
        <v>0</v>
      </c>
      <c r="W66" s="460">
        <v>0</v>
      </c>
      <c r="X66" s="460">
        <v>0</v>
      </c>
      <c r="Y66" s="460">
        <v>0</v>
      </c>
      <c r="Z66" s="460">
        <f t="shared" si="97"/>
        <v>0</v>
      </c>
      <c r="AA66" s="460">
        <f t="shared" si="98"/>
        <v>0</v>
      </c>
      <c r="AB66" s="69">
        <f t="shared" si="99"/>
        <v>0</v>
      </c>
      <c r="AC66" s="69">
        <f t="shared" si="100"/>
        <v>0</v>
      </c>
      <c r="AD66" s="460">
        <v>0</v>
      </c>
      <c r="AE66" s="460">
        <v>0</v>
      </c>
      <c r="AF66" s="460">
        <f>SUM(AD66:AE66)</f>
        <v>0</v>
      </c>
      <c r="AG66" s="460">
        <f>AA66+AB66+AC66+AF66</f>
        <v>0</v>
      </c>
      <c r="AH66" s="461">
        <v>0</v>
      </c>
      <c r="AI66" s="461">
        <v>0</v>
      </c>
      <c r="AJ66" s="461">
        <v>0</v>
      </c>
      <c r="AK66" s="461">
        <v>0</v>
      </c>
      <c r="AL66" s="461">
        <v>0</v>
      </c>
      <c r="AM66" s="461">
        <v>0</v>
      </c>
      <c r="AN66" s="461">
        <v>0</v>
      </c>
      <c r="AO66" s="461">
        <v>0</v>
      </c>
      <c r="AP66" s="461">
        <f t="shared" si="10"/>
        <v>0</v>
      </c>
      <c r="AQ66" s="461">
        <f t="shared" si="11"/>
        <v>0</v>
      </c>
      <c r="AR66" s="737">
        <f t="shared" si="12"/>
        <v>0</v>
      </c>
      <c r="AS66" s="470">
        <f t="shared" si="13"/>
        <v>1082069</v>
      </c>
      <c r="AT66" s="460">
        <f t="shared" si="14"/>
        <v>798671</v>
      </c>
      <c r="AU66" s="460">
        <f t="shared" si="15"/>
        <v>0</v>
      </c>
      <c r="AV66" s="460">
        <f t="shared" si="16"/>
        <v>269951</v>
      </c>
      <c r="AW66" s="460">
        <f t="shared" si="17"/>
        <v>7987</v>
      </c>
      <c r="AX66" s="460">
        <f t="shared" si="18"/>
        <v>5460</v>
      </c>
      <c r="AY66" s="461">
        <f t="shared" si="19"/>
        <v>2.57</v>
      </c>
      <c r="AZ66" s="461">
        <f t="shared" si="20"/>
        <v>0</v>
      </c>
      <c r="BA66" s="463">
        <f t="shared" si="21"/>
        <v>2.57</v>
      </c>
    </row>
    <row r="67" spans="1:53" ht="14.1" customHeight="1" x14ac:dyDescent="0.2">
      <c r="A67" s="73">
        <v>15</v>
      </c>
      <c r="B67" s="70">
        <v>2436</v>
      </c>
      <c r="C67" s="71">
        <v>600079538</v>
      </c>
      <c r="D67" s="70">
        <v>72741546</v>
      </c>
      <c r="E67" s="72" t="s">
        <v>584</v>
      </c>
      <c r="F67" s="73"/>
      <c r="G67" s="72"/>
      <c r="H67" s="74"/>
      <c r="I67" s="701">
        <f t="shared" ref="I67:P67" si="101">SUM(I64:I66)</f>
        <v>9538262</v>
      </c>
      <c r="J67" s="75">
        <f t="shared" si="101"/>
        <v>7037019</v>
      </c>
      <c r="K67" s="75">
        <f t="shared" si="101"/>
        <v>2378513</v>
      </c>
      <c r="L67" s="75">
        <f t="shared" si="101"/>
        <v>70370</v>
      </c>
      <c r="M67" s="75">
        <f t="shared" si="101"/>
        <v>52360</v>
      </c>
      <c r="N67" s="76">
        <f t="shared" si="101"/>
        <v>15.92</v>
      </c>
      <c r="O67" s="76">
        <f t="shared" si="101"/>
        <v>10.36</v>
      </c>
      <c r="P67" s="77">
        <f t="shared" si="101"/>
        <v>5.5600000000000005</v>
      </c>
      <c r="Q67" s="724">
        <f t="shared" ref="Q67:BA67" si="102">SUM(Q64:Q66)</f>
        <v>-52000</v>
      </c>
      <c r="R67" s="724">
        <f t="shared" si="102"/>
        <v>444576</v>
      </c>
      <c r="S67" s="75">
        <f t="shared" si="102"/>
        <v>0</v>
      </c>
      <c r="T67" s="75">
        <f t="shared" si="102"/>
        <v>0</v>
      </c>
      <c r="U67" s="75">
        <f t="shared" si="102"/>
        <v>0</v>
      </c>
      <c r="V67" s="75">
        <f t="shared" si="102"/>
        <v>392576</v>
      </c>
      <c r="W67" s="75">
        <f t="shared" si="102"/>
        <v>52000</v>
      </c>
      <c r="X67" s="75">
        <f t="shared" si="102"/>
        <v>0</v>
      </c>
      <c r="Y67" s="75">
        <f t="shared" si="102"/>
        <v>0</v>
      </c>
      <c r="Z67" s="75">
        <f t="shared" si="102"/>
        <v>52000</v>
      </c>
      <c r="AA67" s="75">
        <f t="shared" si="102"/>
        <v>444576</v>
      </c>
      <c r="AB67" s="75">
        <f t="shared" si="102"/>
        <v>150267</v>
      </c>
      <c r="AC67" s="75">
        <f t="shared" si="102"/>
        <v>3926</v>
      </c>
      <c r="AD67" s="75">
        <f t="shared" si="102"/>
        <v>0</v>
      </c>
      <c r="AE67" s="75">
        <f t="shared" si="102"/>
        <v>0</v>
      </c>
      <c r="AF67" s="75">
        <f t="shared" si="102"/>
        <v>0</v>
      </c>
      <c r="AG67" s="75">
        <f t="shared" si="102"/>
        <v>598769</v>
      </c>
      <c r="AH67" s="76">
        <f t="shared" si="102"/>
        <v>0</v>
      </c>
      <c r="AI67" s="76">
        <f t="shared" si="102"/>
        <v>-0.12</v>
      </c>
      <c r="AJ67" s="76">
        <f t="shared" si="102"/>
        <v>1.75</v>
      </c>
      <c r="AK67" s="76">
        <f t="shared" si="102"/>
        <v>0</v>
      </c>
      <c r="AL67" s="76">
        <f t="shared" si="102"/>
        <v>0</v>
      </c>
      <c r="AM67" s="76">
        <f t="shared" si="102"/>
        <v>0</v>
      </c>
      <c r="AN67" s="76">
        <f t="shared" si="102"/>
        <v>0</v>
      </c>
      <c r="AO67" s="76">
        <f t="shared" si="102"/>
        <v>0</v>
      </c>
      <c r="AP67" s="76">
        <f t="shared" si="102"/>
        <v>1.75</v>
      </c>
      <c r="AQ67" s="76">
        <f t="shared" si="102"/>
        <v>-0.12</v>
      </c>
      <c r="AR67" s="720">
        <f t="shared" si="102"/>
        <v>1.63</v>
      </c>
      <c r="AS67" s="701">
        <f t="shared" si="102"/>
        <v>10137031</v>
      </c>
      <c r="AT67" s="75">
        <f t="shared" si="102"/>
        <v>7429595</v>
      </c>
      <c r="AU67" s="75">
        <f t="shared" si="102"/>
        <v>52000</v>
      </c>
      <c r="AV67" s="75">
        <f t="shared" si="102"/>
        <v>2528780</v>
      </c>
      <c r="AW67" s="75">
        <f t="shared" si="102"/>
        <v>74296</v>
      </c>
      <c r="AX67" s="75">
        <f t="shared" si="102"/>
        <v>52360</v>
      </c>
      <c r="AY67" s="76">
        <f t="shared" si="102"/>
        <v>17.55</v>
      </c>
      <c r="AZ67" s="76">
        <f t="shared" si="102"/>
        <v>12.11</v>
      </c>
      <c r="BA67" s="77">
        <f t="shared" si="102"/>
        <v>5.4399999999999995</v>
      </c>
    </row>
    <row r="68" spans="1:53" ht="14.1" customHeight="1" x14ac:dyDescent="0.2">
      <c r="A68" s="67">
        <v>16</v>
      </c>
      <c r="B68" s="64">
        <v>2424</v>
      </c>
      <c r="C68" s="65">
        <v>600079147</v>
      </c>
      <c r="D68" s="64">
        <v>72741945</v>
      </c>
      <c r="E68" s="66" t="s">
        <v>585</v>
      </c>
      <c r="F68" s="67">
        <v>3111</v>
      </c>
      <c r="G68" s="66" t="s">
        <v>307</v>
      </c>
      <c r="H68" s="68" t="s">
        <v>277</v>
      </c>
      <c r="I68" s="462">
        <v>3474096</v>
      </c>
      <c r="J68" s="16">
        <v>2562979</v>
      </c>
      <c r="K68" s="457">
        <v>866287</v>
      </c>
      <c r="L68" s="457">
        <v>25630</v>
      </c>
      <c r="M68" s="16">
        <v>19200</v>
      </c>
      <c r="N68" s="13">
        <v>5.2</v>
      </c>
      <c r="O68" s="13">
        <v>4</v>
      </c>
      <c r="P68" s="17">
        <v>1.2000000000000002</v>
      </c>
      <c r="Q68" s="469">
        <f t="shared" si="0"/>
        <v>0</v>
      </c>
      <c r="R68" s="469">
        <v>0</v>
      </c>
      <c r="S68" s="460">
        <v>0</v>
      </c>
      <c r="T68" s="460">
        <v>0</v>
      </c>
      <c r="U68" s="460">
        <v>0</v>
      </c>
      <c r="V68" s="460">
        <f>SUM(Q68:U68)</f>
        <v>0</v>
      </c>
      <c r="W68" s="460">
        <v>0</v>
      </c>
      <c r="X68" s="460">
        <v>0</v>
      </c>
      <c r="Y68" s="460">
        <v>0</v>
      </c>
      <c r="Z68" s="460">
        <f t="shared" ref="Z68:Z69" si="103">SUM(W68:Y68)</f>
        <v>0</v>
      </c>
      <c r="AA68" s="460">
        <f t="shared" ref="AA68:AA69" si="104">V68+Z68</f>
        <v>0</v>
      </c>
      <c r="AB68" s="69">
        <f t="shared" ref="AB68:AB69" si="105">ROUND((V68+W68+X68)*33.8%,0)</f>
        <v>0</v>
      </c>
      <c r="AC68" s="69">
        <f t="shared" ref="AC68:AC69" si="106">ROUND(V68*1%,0)</f>
        <v>0</v>
      </c>
      <c r="AD68" s="460">
        <v>0</v>
      </c>
      <c r="AE68" s="460">
        <v>0</v>
      </c>
      <c r="AF68" s="460">
        <f>SUM(AD68:AE68)</f>
        <v>0</v>
      </c>
      <c r="AG68" s="460">
        <f>AA68+AB68+AC68+AF68</f>
        <v>0</v>
      </c>
      <c r="AH68" s="461">
        <v>0</v>
      </c>
      <c r="AI68" s="461">
        <v>0</v>
      </c>
      <c r="AJ68" s="461">
        <v>0</v>
      </c>
      <c r="AK68" s="461">
        <v>0</v>
      </c>
      <c r="AL68" s="461">
        <v>0</v>
      </c>
      <c r="AM68" s="461">
        <v>0</v>
      </c>
      <c r="AN68" s="461">
        <v>0</v>
      </c>
      <c r="AO68" s="461">
        <v>0</v>
      </c>
      <c r="AP68" s="461">
        <f t="shared" si="10"/>
        <v>0</v>
      </c>
      <c r="AQ68" s="461">
        <f t="shared" si="11"/>
        <v>0</v>
      </c>
      <c r="AR68" s="737">
        <f t="shared" si="12"/>
        <v>0</v>
      </c>
      <c r="AS68" s="470">
        <f t="shared" si="13"/>
        <v>3474096</v>
      </c>
      <c r="AT68" s="460">
        <f t="shared" si="14"/>
        <v>2562979</v>
      </c>
      <c r="AU68" s="460">
        <f t="shared" si="15"/>
        <v>0</v>
      </c>
      <c r="AV68" s="460">
        <f t="shared" si="16"/>
        <v>866287</v>
      </c>
      <c r="AW68" s="460">
        <f t="shared" si="17"/>
        <v>25630</v>
      </c>
      <c r="AX68" s="460">
        <f t="shared" si="18"/>
        <v>19200</v>
      </c>
      <c r="AY68" s="461">
        <f t="shared" si="19"/>
        <v>5.2</v>
      </c>
      <c r="AZ68" s="461">
        <f t="shared" si="20"/>
        <v>4</v>
      </c>
      <c r="BA68" s="463">
        <f t="shared" si="21"/>
        <v>1.2000000000000002</v>
      </c>
    </row>
    <row r="69" spans="1:53" ht="14.1" customHeight="1" x14ac:dyDescent="0.2">
      <c r="A69" s="67">
        <v>16</v>
      </c>
      <c r="B69" s="64">
        <v>2424</v>
      </c>
      <c r="C69" s="65">
        <v>600079147</v>
      </c>
      <c r="D69" s="64">
        <v>72741945</v>
      </c>
      <c r="E69" s="66" t="s">
        <v>585</v>
      </c>
      <c r="F69" s="67">
        <v>3141</v>
      </c>
      <c r="G69" s="66" t="s">
        <v>311</v>
      </c>
      <c r="H69" s="68" t="s">
        <v>278</v>
      </c>
      <c r="I69" s="462">
        <v>631479</v>
      </c>
      <c r="J69" s="728">
        <v>466605</v>
      </c>
      <c r="K69" s="457">
        <v>157712</v>
      </c>
      <c r="L69" s="457">
        <v>4666</v>
      </c>
      <c r="M69" s="728">
        <v>2496</v>
      </c>
      <c r="N69" s="458">
        <v>1.5</v>
      </c>
      <c r="O69" s="459">
        <v>0</v>
      </c>
      <c r="P69" s="646">
        <v>1.5</v>
      </c>
      <c r="Q69" s="469">
        <f t="shared" si="0"/>
        <v>0</v>
      </c>
      <c r="R69" s="469">
        <v>0</v>
      </c>
      <c r="S69" s="460">
        <v>0</v>
      </c>
      <c r="T69" s="460">
        <v>0</v>
      </c>
      <c r="U69" s="460">
        <v>0</v>
      </c>
      <c r="V69" s="460">
        <f>SUM(Q69:U69)</f>
        <v>0</v>
      </c>
      <c r="W69" s="460">
        <v>0</v>
      </c>
      <c r="X69" s="460">
        <v>0</v>
      </c>
      <c r="Y69" s="460">
        <v>0</v>
      </c>
      <c r="Z69" s="460">
        <f t="shared" si="103"/>
        <v>0</v>
      </c>
      <c r="AA69" s="460">
        <f t="shared" si="104"/>
        <v>0</v>
      </c>
      <c r="AB69" s="69">
        <f t="shared" si="105"/>
        <v>0</v>
      </c>
      <c r="AC69" s="69">
        <f t="shared" si="106"/>
        <v>0</v>
      </c>
      <c r="AD69" s="460">
        <v>0</v>
      </c>
      <c r="AE69" s="460">
        <v>0</v>
      </c>
      <c r="AF69" s="460">
        <f>SUM(AD69:AE69)</f>
        <v>0</v>
      </c>
      <c r="AG69" s="460">
        <f>AA69+AB69+AC69+AF69</f>
        <v>0</v>
      </c>
      <c r="AH69" s="461">
        <v>0</v>
      </c>
      <c r="AI69" s="461">
        <v>0</v>
      </c>
      <c r="AJ69" s="461">
        <v>0</v>
      </c>
      <c r="AK69" s="461">
        <v>0</v>
      </c>
      <c r="AL69" s="461">
        <v>0</v>
      </c>
      <c r="AM69" s="461">
        <v>0</v>
      </c>
      <c r="AN69" s="461">
        <v>0</v>
      </c>
      <c r="AO69" s="461">
        <v>0</v>
      </c>
      <c r="AP69" s="461">
        <f t="shared" si="10"/>
        <v>0</v>
      </c>
      <c r="AQ69" s="461">
        <f t="shared" si="11"/>
        <v>0</v>
      </c>
      <c r="AR69" s="737">
        <f t="shared" si="12"/>
        <v>0</v>
      </c>
      <c r="AS69" s="470">
        <f t="shared" si="13"/>
        <v>631479</v>
      </c>
      <c r="AT69" s="460">
        <f t="shared" si="14"/>
        <v>466605</v>
      </c>
      <c r="AU69" s="460">
        <f t="shared" si="15"/>
        <v>0</v>
      </c>
      <c r="AV69" s="460">
        <f t="shared" si="16"/>
        <v>157712</v>
      </c>
      <c r="AW69" s="460">
        <f t="shared" si="17"/>
        <v>4666</v>
      </c>
      <c r="AX69" s="460">
        <f t="shared" si="18"/>
        <v>2496</v>
      </c>
      <c r="AY69" s="461">
        <f t="shared" si="19"/>
        <v>1.5</v>
      </c>
      <c r="AZ69" s="461">
        <f t="shared" si="20"/>
        <v>0</v>
      </c>
      <c r="BA69" s="463">
        <f t="shared" si="21"/>
        <v>1.5</v>
      </c>
    </row>
    <row r="70" spans="1:53" ht="14.1" customHeight="1" x14ac:dyDescent="0.2">
      <c r="A70" s="73">
        <v>16</v>
      </c>
      <c r="B70" s="70">
        <v>2424</v>
      </c>
      <c r="C70" s="71">
        <v>600079147</v>
      </c>
      <c r="D70" s="70">
        <v>72741945</v>
      </c>
      <c r="E70" s="72" t="s">
        <v>586</v>
      </c>
      <c r="F70" s="73"/>
      <c r="G70" s="72"/>
      <c r="H70" s="74"/>
      <c r="I70" s="701">
        <f t="shared" ref="I70:P70" si="107">SUM(I68:I69)</f>
        <v>4105575</v>
      </c>
      <c r="J70" s="75">
        <f t="shared" si="107"/>
        <v>3029584</v>
      </c>
      <c r="K70" s="75">
        <f t="shared" si="107"/>
        <v>1023999</v>
      </c>
      <c r="L70" s="75">
        <f t="shared" si="107"/>
        <v>30296</v>
      </c>
      <c r="M70" s="75">
        <f t="shared" si="107"/>
        <v>21696</v>
      </c>
      <c r="N70" s="76">
        <f t="shared" si="107"/>
        <v>6.7</v>
      </c>
      <c r="O70" s="76">
        <f t="shared" si="107"/>
        <v>4</v>
      </c>
      <c r="P70" s="77">
        <f t="shared" si="107"/>
        <v>2.7</v>
      </c>
      <c r="Q70" s="724">
        <f t="shared" ref="Q70:BA70" si="108">SUM(Q68:Q69)</f>
        <v>0</v>
      </c>
      <c r="R70" s="724">
        <f t="shared" si="108"/>
        <v>0</v>
      </c>
      <c r="S70" s="75">
        <f t="shared" si="108"/>
        <v>0</v>
      </c>
      <c r="T70" s="75">
        <f t="shared" si="108"/>
        <v>0</v>
      </c>
      <c r="U70" s="75">
        <f t="shared" si="108"/>
        <v>0</v>
      </c>
      <c r="V70" s="75">
        <f t="shared" si="108"/>
        <v>0</v>
      </c>
      <c r="W70" s="75">
        <f t="shared" si="108"/>
        <v>0</v>
      </c>
      <c r="X70" s="75">
        <f t="shared" si="108"/>
        <v>0</v>
      </c>
      <c r="Y70" s="75">
        <f t="shared" si="108"/>
        <v>0</v>
      </c>
      <c r="Z70" s="75">
        <f t="shared" si="108"/>
        <v>0</v>
      </c>
      <c r="AA70" s="75">
        <f t="shared" si="108"/>
        <v>0</v>
      </c>
      <c r="AB70" s="75">
        <f t="shared" si="108"/>
        <v>0</v>
      </c>
      <c r="AC70" s="75">
        <f t="shared" si="108"/>
        <v>0</v>
      </c>
      <c r="AD70" s="75">
        <f t="shared" si="108"/>
        <v>0</v>
      </c>
      <c r="AE70" s="75">
        <f t="shared" si="108"/>
        <v>0</v>
      </c>
      <c r="AF70" s="75">
        <f t="shared" si="108"/>
        <v>0</v>
      </c>
      <c r="AG70" s="75">
        <f t="shared" si="108"/>
        <v>0</v>
      </c>
      <c r="AH70" s="76">
        <f t="shared" si="108"/>
        <v>0</v>
      </c>
      <c r="AI70" s="76">
        <f t="shared" si="108"/>
        <v>0</v>
      </c>
      <c r="AJ70" s="76">
        <f t="shared" si="108"/>
        <v>0</v>
      </c>
      <c r="AK70" s="76">
        <f t="shared" si="108"/>
        <v>0</v>
      </c>
      <c r="AL70" s="76">
        <f t="shared" si="108"/>
        <v>0</v>
      </c>
      <c r="AM70" s="76">
        <f t="shared" si="108"/>
        <v>0</v>
      </c>
      <c r="AN70" s="76">
        <f t="shared" si="108"/>
        <v>0</v>
      </c>
      <c r="AO70" s="76">
        <f t="shared" si="108"/>
        <v>0</v>
      </c>
      <c r="AP70" s="76">
        <f t="shared" si="108"/>
        <v>0</v>
      </c>
      <c r="AQ70" s="76">
        <f t="shared" si="108"/>
        <v>0</v>
      </c>
      <c r="AR70" s="720">
        <f t="shared" si="108"/>
        <v>0</v>
      </c>
      <c r="AS70" s="701">
        <f t="shared" si="108"/>
        <v>4105575</v>
      </c>
      <c r="AT70" s="75">
        <f t="shared" si="108"/>
        <v>3029584</v>
      </c>
      <c r="AU70" s="75">
        <f t="shared" si="108"/>
        <v>0</v>
      </c>
      <c r="AV70" s="75">
        <f t="shared" si="108"/>
        <v>1023999</v>
      </c>
      <c r="AW70" s="75">
        <f t="shared" si="108"/>
        <v>30296</v>
      </c>
      <c r="AX70" s="75">
        <f t="shared" si="108"/>
        <v>21696</v>
      </c>
      <c r="AY70" s="76">
        <f t="shared" si="108"/>
        <v>6.7</v>
      </c>
      <c r="AZ70" s="76">
        <f t="shared" si="108"/>
        <v>4</v>
      </c>
      <c r="BA70" s="77">
        <f t="shared" si="108"/>
        <v>2.7</v>
      </c>
    </row>
    <row r="71" spans="1:53" ht="14.1" customHeight="1" x14ac:dyDescent="0.2">
      <c r="A71" s="67">
        <v>17</v>
      </c>
      <c r="B71" s="64">
        <v>2417</v>
      </c>
      <c r="C71" s="65">
        <v>600079562</v>
      </c>
      <c r="D71" s="64">
        <v>72742810</v>
      </c>
      <c r="E71" s="66" t="s">
        <v>587</v>
      </c>
      <c r="F71" s="67">
        <v>3111</v>
      </c>
      <c r="G71" s="66" t="s">
        <v>307</v>
      </c>
      <c r="H71" s="68" t="s">
        <v>277</v>
      </c>
      <c r="I71" s="462">
        <v>17505954</v>
      </c>
      <c r="J71" s="16">
        <v>12906857</v>
      </c>
      <c r="K71" s="457">
        <v>4362518</v>
      </c>
      <c r="L71" s="457">
        <v>129069</v>
      </c>
      <c r="M71" s="16">
        <v>107510</v>
      </c>
      <c r="N71" s="13">
        <v>27.02</v>
      </c>
      <c r="O71" s="13">
        <v>21</v>
      </c>
      <c r="P71" s="17">
        <v>6.02</v>
      </c>
      <c r="Q71" s="469">
        <f t="shared" si="0"/>
        <v>0</v>
      </c>
      <c r="R71" s="469">
        <v>0</v>
      </c>
      <c r="S71" s="460">
        <v>0</v>
      </c>
      <c r="T71" s="460">
        <v>0</v>
      </c>
      <c r="U71" s="460">
        <v>0</v>
      </c>
      <c r="V71" s="460">
        <f>SUM(Q71:U71)</f>
        <v>0</v>
      </c>
      <c r="W71" s="460">
        <v>0</v>
      </c>
      <c r="X71" s="460">
        <v>0</v>
      </c>
      <c r="Y71" s="460">
        <v>0</v>
      </c>
      <c r="Z71" s="460">
        <f t="shared" ref="Z71:Z74" si="109">SUM(W71:Y71)</f>
        <v>0</v>
      </c>
      <c r="AA71" s="460">
        <f t="shared" ref="AA71:AA74" si="110">V71+Z71</f>
        <v>0</v>
      </c>
      <c r="AB71" s="69">
        <f t="shared" ref="AB71:AB74" si="111">ROUND((V71+W71+X71)*33.8%,0)</f>
        <v>0</v>
      </c>
      <c r="AC71" s="69">
        <f t="shared" ref="AC71:AC74" si="112">ROUND(V71*1%,0)</f>
        <v>0</v>
      </c>
      <c r="AD71" s="460">
        <v>0</v>
      </c>
      <c r="AE71" s="460">
        <v>0</v>
      </c>
      <c r="AF71" s="460">
        <f>SUM(AD71:AE71)</f>
        <v>0</v>
      </c>
      <c r="AG71" s="460">
        <f>AA71+AB71+AC71+AF71</f>
        <v>0</v>
      </c>
      <c r="AH71" s="461">
        <v>0</v>
      </c>
      <c r="AI71" s="461">
        <v>0</v>
      </c>
      <c r="AJ71" s="461">
        <v>0</v>
      </c>
      <c r="AK71" s="461">
        <v>0</v>
      </c>
      <c r="AL71" s="461">
        <v>0</v>
      </c>
      <c r="AM71" s="461">
        <v>0</v>
      </c>
      <c r="AN71" s="461">
        <v>0</v>
      </c>
      <c r="AO71" s="461">
        <v>0</v>
      </c>
      <c r="AP71" s="461">
        <f t="shared" si="10"/>
        <v>0</v>
      </c>
      <c r="AQ71" s="461">
        <f t="shared" si="11"/>
        <v>0</v>
      </c>
      <c r="AR71" s="737">
        <f t="shared" si="12"/>
        <v>0</v>
      </c>
      <c r="AS71" s="470">
        <f t="shared" si="13"/>
        <v>17505954</v>
      </c>
      <c r="AT71" s="460">
        <f t="shared" si="14"/>
        <v>12906857</v>
      </c>
      <c r="AU71" s="460">
        <f t="shared" si="15"/>
        <v>0</v>
      </c>
      <c r="AV71" s="460">
        <f t="shared" si="16"/>
        <v>4362518</v>
      </c>
      <c r="AW71" s="460">
        <f t="shared" si="17"/>
        <v>129069</v>
      </c>
      <c r="AX71" s="460">
        <f t="shared" si="18"/>
        <v>107510</v>
      </c>
      <c r="AY71" s="461">
        <f t="shared" si="19"/>
        <v>27.02</v>
      </c>
      <c r="AZ71" s="461">
        <f t="shared" si="20"/>
        <v>21</v>
      </c>
      <c r="BA71" s="463">
        <f t="shared" si="21"/>
        <v>6.02</v>
      </c>
    </row>
    <row r="72" spans="1:53" ht="14.1" customHeight="1" x14ac:dyDescent="0.2">
      <c r="A72" s="67">
        <v>17</v>
      </c>
      <c r="B72" s="64">
        <v>2417</v>
      </c>
      <c r="C72" s="65">
        <v>600079562</v>
      </c>
      <c r="D72" s="64">
        <v>72742810</v>
      </c>
      <c r="E72" s="66" t="s">
        <v>587</v>
      </c>
      <c r="F72" s="67">
        <v>3111</v>
      </c>
      <c r="G72" s="44" t="s">
        <v>309</v>
      </c>
      <c r="H72" s="68" t="s">
        <v>277</v>
      </c>
      <c r="I72" s="462">
        <v>1239906</v>
      </c>
      <c r="J72" s="16">
        <v>919812</v>
      </c>
      <c r="K72" s="457">
        <v>310896</v>
      </c>
      <c r="L72" s="457">
        <v>9198</v>
      </c>
      <c r="M72" s="16">
        <v>0</v>
      </c>
      <c r="N72" s="13">
        <v>3</v>
      </c>
      <c r="O72" s="13">
        <v>3</v>
      </c>
      <c r="P72" s="17">
        <v>0</v>
      </c>
      <c r="Q72" s="469">
        <f t="shared" si="0"/>
        <v>0</v>
      </c>
      <c r="R72" s="469">
        <v>0</v>
      </c>
      <c r="S72" s="460">
        <v>0</v>
      </c>
      <c r="T72" s="460">
        <v>0</v>
      </c>
      <c r="U72" s="460">
        <v>0</v>
      </c>
      <c r="V72" s="460">
        <f>SUM(Q72:U72)</f>
        <v>0</v>
      </c>
      <c r="W72" s="460">
        <v>0</v>
      </c>
      <c r="X72" s="460">
        <v>0</v>
      </c>
      <c r="Y72" s="460">
        <v>0</v>
      </c>
      <c r="Z72" s="460">
        <f t="shared" si="109"/>
        <v>0</v>
      </c>
      <c r="AA72" s="460">
        <f t="shared" si="110"/>
        <v>0</v>
      </c>
      <c r="AB72" s="69">
        <f t="shared" si="111"/>
        <v>0</v>
      </c>
      <c r="AC72" s="69">
        <f t="shared" si="112"/>
        <v>0</v>
      </c>
      <c r="AD72" s="460">
        <v>0</v>
      </c>
      <c r="AE72" s="460">
        <v>0</v>
      </c>
      <c r="AF72" s="460">
        <f>SUM(AD72:AE72)</f>
        <v>0</v>
      </c>
      <c r="AG72" s="460">
        <f>AA72+AB72+AC72+AF72</f>
        <v>0</v>
      </c>
      <c r="AH72" s="461">
        <v>0</v>
      </c>
      <c r="AI72" s="461">
        <v>0</v>
      </c>
      <c r="AJ72" s="461">
        <v>0</v>
      </c>
      <c r="AK72" s="461">
        <v>0</v>
      </c>
      <c r="AL72" s="461">
        <v>0</v>
      </c>
      <c r="AM72" s="461">
        <v>0</v>
      </c>
      <c r="AN72" s="461">
        <v>0</v>
      </c>
      <c r="AO72" s="461">
        <v>0</v>
      </c>
      <c r="AP72" s="461">
        <f t="shared" si="10"/>
        <v>0</v>
      </c>
      <c r="AQ72" s="461">
        <f t="shared" si="11"/>
        <v>0</v>
      </c>
      <c r="AR72" s="737">
        <f t="shared" si="12"/>
        <v>0</v>
      </c>
      <c r="AS72" s="470">
        <f t="shared" si="13"/>
        <v>1239906</v>
      </c>
      <c r="AT72" s="460">
        <f t="shared" si="14"/>
        <v>919812</v>
      </c>
      <c r="AU72" s="460">
        <f t="shared" si="15"/>
        <v>0</v>
      </c>
      <c r="AV72" s="460">
        <f t="shared" si="16"/>
        <v>310896</v>
      </c>
      <c r="AW72" s="460">
        <f t="shared" si="17"/>
        <v>9198</v>
      </c>
      <c r="AX72" s="460">
        <f t="shared" si="18"/>
        <v>0</v>
      </c>
      <c r="AY72" s="461">
        <f t="shared" si="19"/>
        <v>3</v>
      </c>
      <c r="AZ72" s="461">
        <f t="shared" si="20"/>
        <v>3</v>
      </c>
      <c r="BA72" s="463">
        <f t="shared" si="21"/>
        <v>0</v>
      </c>
    </row>
    <row r="73" spans="1:53" ht="14.1" customHeight="1" x14ac:dyDescent="0.2">
      <c r="A73" s="67">
        <v>17</v>
      </c>
      <c r="B73" s="64">
        <v>2417</v>
      </c>
      <c r="C73" s="65">
        <v>600079562</v>
      </c>
      <c r="D73" s="64">
        <v>72742810</v>
      </c>
      <c r="E73" s="66" t="s">
        <v>587</v>
      </c>
      <c r="F73" s="67">
        <v>3111</v>
      </c>
      <c r="G73" s="44" t="s">
        <v>308</v>
      </c>
      <c r="H73" s="68" t="s">
        <v>278</v>
      </c>
      <c r="I73" s="462">
        <v>0</v>
      </c>
      <c r="J73" s="457">
        <v>0</v>
      </c>
      <c r="K73" s="457">
        <v>0</v>
      </c>
      <c r="L73" s="457">
        <v>0</v>
      </c>
      <c r="M73" s="457">
        <v>0</v>
      </c>
      <c r="N73" s="458">
        <v>0</v>
      </c>
      <c r="O73" s="459">
        <v>0</v>
      </c>
      <c r="P73" s="646">
        <v>0</v>
      </c>
      <c r="Q73" s="469">
        <f t="shared" si="0"/>
        <v>0</v>
      </c>
      <c r="R73" s="469">
        <v>692894</v>
      </c>
      <c r="S73" s="460">
        <v>0</v>
      </c>
      <c r="T73" s="460">
        <v>0</v>
      </c>
      <c r="U73" s="460">
        <v>0</v>
      </c>
      <c r="V73" s="460">
        <f>SUM(Q73:U73)</f>
        <v>692894</v>
      </c>
      <c r="W73" s="460">
        <v>0</v>
      </c>
      <c r="X73" s="460">
        <v>0</v>
      </c>
      <c r="Y73" s="460">
        <v>0</v>
      </c>
      <c r="Z73" s="460">
        <f t="shared" si="109"/>
        <v>0</v>
      </c>
      <c r="AA73" s="460">
        <f t="shared" si="110"/>
        <v>692894</v>
      </c>
      <c r="AB73" s="69">
        <f t="shared" si="111"/>
        <v>234198</v>
      </c>
      <c r="AC73" s="69">
        <f t="shared" si="112"/>
        <v>6929</v>
      </c>
      <c r="AD73" s="460">
        <v>0</v>
      </c>
      <c r="AE73" s="460">
        <v>0</v>
      </c>
      <c r="AF73" s="460">
        <f>SUM(AD73:AE73)</f>
        <v>0</v>
      </c>
      <c r="AG73" s="460">
        <f>AA73+AB73+AC73+AF73</f>
        <v>934021</v>
      </c>
      <c r="AH73" s="461">
        <v>0</v>
      </c>
      <c r="AI73" s="461">
        <v>0</v>
      </c>
      <c r="AJ73" s="461">
        <v>2</v>
      </c>
      <c r="AK73" s="461">
        <v>0</v>
      </c>
      <c r="AL73" s="461">
        <v>0</v>
      </c>
      <c r="AM73" s="461">
        <v>0</v>
      </c>
      <c r="AN73" s="461">
        <v>0</v>
      </c>
      <c r="AO73" s="461">
        <v>0</v>
      </c>
      <c r="AP73" s="461">
        <f t="shared" si="10"/>
        <v>2</v>
      </c>
      <c r="AQ73" s="461">
        <f t="shared" si="11"/>
        <v>0</v>
      </c>
      <c r="AR73" s="737">
        <f t="shared" si="12"/>
        <v>2</v>
      </c>
      <c r="AS73" s="470">
        <f t="shared" si="13"/>
        <v>934021</v>
      </c>
      <c r="AT73" s="460">
        <f t="shared" si="14"/>
        <v>692894</v>
      </c>
      <c r="AU73" s="460">
        <f t="shared" si="15"/>
        <v>0</v>
      </c>
      <c r="AV73" s="460">
        <f t="shared" si="16"/>
        <v>234198</v>
      </c>
      <c r="AW73" s="460">
        <f t="shared" si="17"/>
        <v>6929</v>
      </c>
      <c r="AX73" s="460">
        <f t="shared" si="18"/>
        <v>0</v>
      </c>
      <c r="AY73" s="461">
        <f t="shared" si="19"/>
        <v>2</v>
      </c>
      <c r="AZ73" s="461">
        <f t="shared" si="20"/>
        <v>2</v>
      </c>
      <c r="BA73" s="463">
        <f t="shared" si="21"/>
        <v>0</v>
      </c>
    </row>
    <row r="74" spans="1:53" ht="14.1" customHeight="1" x14ac:dyDescent="0.2">
      <c r="A74" s="67">
        <v>17</v>
      </c>
      <c r="B74" s="64">
        <v>2417</v>
      </c>
      <c r="C74" s="65">
        <v>600079562</v>
      </c>
      <c r="D74" s="64">
        <v>72742810</v>
      </c>
      <c r="E74" s="66" t="s">
        <v>587</v>
      </c>
      <c r="F74" s="67">
        <v>3141</v>
      </c>
      <c r="G74" s="66" t="s">
        <v>311</v>
      </c>
      <c r="H74" s="68" t="s">
        <v>278</v>
      </c>
      <c r="I74" s="462">
        <v>1930731</v>
      </c>
      <c r="J74" s="457">
        <v>1425311</v>
      </c>
      <c r="K74" s="457">
        <v>481755</v>
      </c>
      <c r="L74" s="457">
        <v>14253</v>
      </c>
      <c r="M74" s="457">
        <v>9412</v>
      </c>
      <c r="N74" s="458">
        <v>4.58</v>
      </c>
      <c r="O74" s="459">
        <v>0</v>
      </c>
      <c r="P74" s="646">
        <v>4.58</v>
      </c>
      <c r="Q74" s="469">
        <f t="shared" si="0"/>
        <v>0</v>
      </c>
      <c r="R74" s="469">
        <v>0</v>
      </c>
      <c r="S74" s="460">
        <v>0</v>
      </c>
      <c r="T74" s="460">
        <v>0</v>
      </c>
      <c r="U74" s="460">
        <v>0</v>
      </c>
      <c r="V74" s="460">
        <f>SUM(Q74:U74)</f>
        <v>0</v>
      </c>
      <c r="W74" s="460">
        <v>0</v>
      </c>
      <c r="X74" s="460">
        <v>0</v>
      </c>
      <c r="Y74" s="460">
        <v>0</v>
      </c>
      <c r="Z74" s="460">
        <f t="shared" si="109"/>
        <v>0</v>
      </c>
      <c r="AA74" s="460">
        <f t="shared" si="110"/>
        <v>0</v>
      </c>
      <c r="AB74" s="69">
        <f t="shared" si="111"/>
        <v>0</v>
      </c>
      <c r="AC74" s="69">
        <f t="shared" si="112"/>
        <v>0</v>
      </c>
      <c r="AD74" s="460">
        <v>0</v>
      </c>
      <c r="AE74" s="460">
        <v>0</v>
      </c>
      <c r="AF74" s="460">
        <f>SUM(AD74:AE74)</f>
        <v>0</v>
      </c>
      <c r="AG74" s="460">
        <f>AA74+AB74+AC74+AF74</f>
        <v>0</v>
      </c>
      <c r="AH74" s="461">
        <v>0</v>
      </c>
      <c r="AI74" s="461">
        <v>0</v>
      </c>
      <c r="AJ74" s="461">
        <v>0</v>
      </c>
      <c r="AK74" s="461">
        <v>0</v>
      </c>
      <c r="AL74" s="461">
        <v>0</v>
      </c>
      <c r="AM74" s="461">
        <v>0</v>
      </c>
      <c r="AN74" s="461">
        <v>0</v>
      </c>
      <c r="AO74" s="461">
        <v>0</v>
      </c>
      <c r="AP74" s="461">
        <f t="shared" si="10"/>
        <v>0</v>
      </c>
      <c r="AQ74" s="461">
        <f t="shared" si="11"/>
        <v>0</v>
      </c>
      <c r="AR74" s="737">
        <f t="shared" si="12"/>
        <v>0</v>
      </c>
      <c r="AS74" s="470">
        <f t="shared" si="13"/>
        <v>1930731</v>
      </c>
      <c r="AT74" s="460">
        <f t="shared" si="14"/>
        <v>1425311</v>
      </c>
      <c r="AU74" s="460">
        <f t="shared" si="15"/>
        <v>0</v>
      </c>
      <c r="AV74" s="460">
        <f t="shared" si="16"/>
        <v>481755</v>
      </c>
      <c r="AW74" s="460">
        <f t="shared" si="17"/>
        <v>14253</v>
      </c>
      <c r="AX74" s="460">
        <f t="shared" si="18"/>
        <v>9412</v>
      </c>
      <c r="AY74" s="461">
        <f t="shared" si="19"/>
        <v>4.58</v>
      </c>
      <c r="AZ74" s="461">
        <f t="shared" si="20"/>
        <v>0</v>
      </c>
      <c r="BA74" s="463">
        <f t="shared" si="21"/>
        <v>4.58</v>
      </c>
    </row>
    <row r="75" spans="1:53" ht="14.1" customHeight="1" x14ac:dyDescent="0.2">
      <c r="A75" s="73">
        <v>17</v>
      </c>
      <c r="B75" s="70">
        <v>2417</v>
      </c>
      <c r="C75" s="71">
        <v>600079562</v>
      </c>
      <c r="D75" s="70">
        <v>72742810</v>
      </c>
      <c r="E75" s="72" t="s">
        <v>588</v>
      </c>
      <c r="F75" s="73"/>
      <c r="G75" s="72"/>
      <c r="H75" s="74"/>
      <c r="I75" s="701">
        <f t="shared" ref="I75:P75" si="113">SUM(I71:I74)</f>
        <v>20676591</v>
      </c>
      <c r="J75" s="75">
        <f t="shared" si="113"/>
        <v>15251980</v>
      </c>
      <c r="K75" s="75">
        <f t="shared" si="113"/>
        <v>5155169</v>
      </c>
      <c r="L75" s="75">
        <f t="shared" si="113"/>
        <v>152520</v>
      </c>
      <c r="M75" s="75">
        <f t="shared" si="113"/>
        <v>116922</v>
      </c>
      <c r="N75" s="76">
        <f t="shared" si="113"/>
        <v>34.6</v>
      </c>
      <c r="O75" s="76">
        <f t="shared" si="113"/>
        <v>24</v>
      </c>
      <c r="P75" s="77">
        <f t="shared" si="113"/>
        <v>10.6</v>
      </c>
      <c r="Q75" s="724">
        <f t="shared" ref="Q75:BA75" si="114">SUM(Q71:Q74)</f>
        <v>0</v>
      </c>
      <c r="R75" s="724">
        <f t="shared" si="114"/>
        <v>692894</v>
      </c>
      <c r="S75" s="75">
        <f t="shared" si="114"/>
        <v>0</v>
      </c>
      <c r="T75" s="75">
        <f t="shared" si="114"/>
        <v>0</v>
      </c>
      <c r="U75" s="75">
        <f t="shared" si="114"/>
        <v>0</v>
      </c>
      <c r="V75" s="75">
        <f t="shared" si="114"/>
        <v>692894</v>
      </c>
      <c r="W75" s="75">
        <f t="shared" si="114"/>
        <v>0</v>
      </c>
      <c r="X75" s="75">
        <f t="shared" si="114"/>
        <v>0</v>
      </c>
      <c r="Y75" s="75">
        <f t="shared" si="114"/>
        <v>0</v>
      </c>
      <c r="Z75" s="75">
        <f t="shared" si="114"/>
        <v>0</v>
      </c>
      <c r="AA75" s="75">
        <f t="shared" si="114"/>
        <v>692894</v>
      </c>
      <c r="AB75" s="75">
        <f t="shared" si="114"/>
        <v>234198</v>
      </c>
      <c r="AC75" s="75">
        <f t="shared" si="114"/>
        <v>6929</v>
      </c>
      <c r="AD75" s="75">
        <f t="shared" si="114"/>
        <v>0</v>
      </c>
      <c r="AE75" s="75">
        <f t="shared" si="114"/>
        <v>0</v>
      </c>
      <c r="AF75" s="75">
        <f t="shared" si="114"/>
        <v>0</v>
      </c>
      <c r="AG75" s="75">
        <f t="shared" si="114"/>
        <v>934021</v>
      </c>
      <c r="AH75" s="76">
        <f t="shared" si="114"/>
        <v>0</v>
      </c>
      <c r="AI75" s="76">
        <f t="shared" si="114"/>
        <v>0</v>
      </c>
      <c r="AJ75" s="76">
        <f t="shared" si="114"/>
        <v>2</v>
      </c>
      <c r="AK75" s="76">
        <f t="shared" si="114"/>
        <v>0</v>
      </c>
      <c r="AL75" s="76">
        <f t="shared" si="114"/>
        <v>0</v>
      </c>
      <c r="AM75" s="76">
        <f t="shared" si="114"/>
        <v>0</v>
      </c>
      <c r="AN75" s="76">
        <f t="shared" si="114"/>
        <v>0</v>
      </c>
      <c r="AO75" s="76">
        <f t="shared" si="114"/>
        <v>0</v>
      </c>
      <c r="AP75" s="76">
        <f t="shared" si="114"/>
        <v>2</v>
      </c>
      <c r="AQ75" s="76">
        <f t="shared" si="114"/>
        <v>0</v>
      </c>
      <c r="AR75" s="720">
        <f t="shared" si="114"/>
        <v>2</v>
      </c>
      <c r="AS75" s="701">
        <f t="shared" si="114"/>
        <v>21610612</v>
      </c>
      <c r="AT75" s="75">
        <f t="shared" si="114"/>
        <v>15944874</v>
      </c>
      <c r="AU75" s="75">
        <f t="shared" si="114"/>
        <v>0</v>
      </c>
      <c r="AV75" s="75">
        <f t="shared" si="114"/>
        <v>5389367</v>
      </c>
      <c r="AW75" s="75">
        <f t="shared" si="114"/>
        <v>159449</v>
      </c>
      <c r="AX75" s="75">
        <f t="shared" si="114"/>
        <v>116922</v>
      </c>
      <c r="AY75" s="76">
        <f t="shared" si="114"/>
        <v>36.599999999999994</v>
      </c>
      <c r="AZ75" s="76">
        <f t="shared" si="114"/>
        <v>26</v>
      </c>
      <c r="BA75" s="77">
        <f t="shared" si="114"/>
        <v>10.6</v>
      </c>
    </row>
    <row r="76" spans="1:53" ht="14.1" customHeight="1" x14ac:dyDescent="0.2">
      <c r="A76" s="67">
        <v>18</v>
      </c>
      <c r="B76" s="64">
        <v>2416</v>
      </c>
      <c r="C76" s="65">
        <v>600079571</v>
      </c>
      <c r="D76" s="64">
        <v>72742895</v>
      </c>
      <c r="E76" s="66" t="s">
        <v>589</v>
      </c>
      <c r="F76" s="67">
        <v>3111</v>
      </c>
      <c r="G76" s="66" t="s">
        <v>307</v>
      </c>
      <c r="H76" s="68" t="s">
        <v>277</v>
      </c>
      <c r="I76" s="462">
        <v>5480954</v>
      </c>
      <c r="J76" s="16">
        <v>4038237</v>
      </c>
      <c r="K76" s="457">
        <v>1364924</v>
      </c>
      <c r="L76" s="457">
        <v>40383</v>
      </c>
      <c r="M76" s="16">
        <v>37410</v>
      </c>
      <c r="N76" s="13">
        <v>8.36</v>
      </c>
      <c r="O76" s="13">
        <v>6.5</v>
      </c>
      <c r="P76" s="17">
        <v>1.8599999999999999</v>
      </c>
      <c r="Q76" s="469">
        <f t="shared" ref="Q76:Q138" si="115">W76*-1</f>
        <v>-48750</v>
      </c>
      <c r="R76" s="469">
        <v>0</v>
      </c>
      <c r="S76" s="460">
        <v>0</v>
      </c>
      <c r="T76" s="460">
        <v>0</v>
      </c>
      <c r="U76" s="460">
        <v>0</v>
      </c>
      <c r="V76" s="460">
        <f>SUM(Q76:U76)</f>
        <v>-48750</v>
      </c>
      <c r="W76" s="460">
        <v>48750</v>
      </c>
      <c r="X76" s="460">
        <v>0</v>
      </c>
      <c r="Y76" s="460">
        <v>0</v>
      </c>
      <c r="Z76" s="460">
        <f t="shared" ref="Z76:Z78" si="116">SUM(W76:Y76)</f>
        <v>48750</v>
      </c>
      <c r="AA76" s="460">
        <f t="shared" ref="AA76:AA78" si="117">V76+Z76</f>
        <v>0</v>
      </c>
      <c r="AB76" s="69">
        <f t="shared" ref="AB76:AB78" si="118">ROUND((V76+W76+X76)*33.8%,0)</f>
        <v>0</v>
      </c>
      <c r="AC76" s="69">
        <f t="shared" ref="AC76:AC78" si="119">ROUND(V76*1%,0)</f>
        <v>-488</v>
      </c>
      <c r="AD76" s="460">
        <v>0</v>
      </c>
      <c r="AE76" s="460">
        <v>0</v>
      </c>
      <c r="AF76" s="460">
        <f>SUM(AD76:AE76)</f>
        <v>0</v>
      </c>
      <c r="AG76" s="460">
        <f>AA76+AB76+AC76+AF76</f>
        <v>-488</v>
      </c>
      <c r="AH76" s="461">
        <v>0</v>
      </c>
      <c r="AI76" s="461">
        <v>-0.17</v>
      </c>
      <c r="AJ76" s="461">
        <v>0</v>
      </c>
      <c r="AK76" s="461">
        <v>0</v>
      </c>
      <c r="AL76" s="461">
        <v>0</v>
      </c>
      <c r="AM76" s="461">
        <v>0</v>
      </c>
      <c r="AN76" s="461">
        <v>0</v>
      </c>
      <c r="AO76" s="461">
        <v>0</v>
      </c>
      <c r="AP76" s="461">
        <f t="shared" si="10"/>
        <v>0</v>
      </c>
      <c r="AQ76" s="461">
        <f t="shared" si="11"/>
        <v>-0.17</v>
      </c>
      <c r="AR76" s="737">
        <f t="shared" si="12"/>
        <v>-0.17</v>
      </c>
      <c r="AS76" s="470">
        <f t="shared" si="13"/>
        <v>5480466</v>
      </c>
      <c r="AT76" s="460">
        <f t="shared" si="14"/>
        <v>3989487</v>
      </c>
      <c r="AU76" s="460">
        <f t="shared" si="15"/>
        <v>48750</v>
      </c>
      <c r="AV76" s="460">
        <f t="shared" si="16"/>
        <v>1364924</v>
      </c>
      <c r="AW76" s="460">
        <f t="shared" si="17"/>
        <v>39895</v>
      </c>
      <c r="AX76" s="460">
        <f t="shared" si="18"/>
        <v>37410</v>
      </c>
      <c r="AY76" s="461">
        <f t="shared" si="19"/>
        <v>8.19</v>
      </c>
      <c r="AZ76" s="461">
        <f t="shared" si="20"/>
        <v>6.5</v>
      </c>
      <c r="BA76" s="463">
        <f t="shared" si="21"/>
        <v>1.69</v>
      </c>
    </row>
    <row r="77" spans="1:53" ht="14.1" customHeight="1" x14ac:dyDescent="0.2">
      <c r="A77" s="67">
        <v>18</v>
      </c>
      <c r="B77" s="64">
        <v>2416</v>
      </c>
      <c r="C77" s="65">
        <v>600079571</v>
      </c>
      <c r="D77" s="64">
        <v>72742895</v>
      </c>
      <c r="E77" s="66" t="s">
        <v>589</v>
      </c>
      <c r="F77" s="67">
        <v>3111</v>
      </c>
      <c r="G77" s="44" t="s">
        <v>309</v>
      </c>
      <c r="H77" s="68" t="s">
        <v>277</v>
      </c>
      <c r="I77" s="462">
        <v>905759</v>
      </c>
      <c r="J77" s="16">
        <v>671928</v>
      </c>
      <c r="K77" s="457">
        <v>227112</v>
      </c>
      <c r="L77" s="457">
        <v>6719</v>
      </c>
      <c r="M77" s="16">
        <v>0</v>
      </c>
      <c r="N77" s="13">
        <v>2</v>
      </c>
      <c r="O77" s="13">
        <v>2</v>
      </c>
      <c r="P77" s="17">
        <v>0</v>
      </c>
      <c r="Q77" s="469">
        <f t="shared" si="115"/>
        <v>0</v>
      </c>
      <c r="R77" s="469">
        <v>0</v>
      </c>
      <c r="S77" s="460">
        <v>0</v>
      </c>
      <c r="T77" s="460">
        <v>0</v>
      </c>
      <c r="U77" s="460">
        <v>0</v>
      </c>
      <c r="V77" s="460">
        <f>SUM(Q77:U77)</f>
        <v>0</v>
      </c>
      <c r="W77" s="460">
        <v>0</v>
      </c>
      <c r="X77" s="460">
        <v>0</v>
      </c>
      <c r="Y77" s="460">
        <v>0</v>
      </c>
      <c r="Z77" s="460">
        <f t="shared" si="116"/>
        <v>0</v>
      </c>
      <c r="AA77" s="460">
        <f t="shared" si="117"/>
        <v>0</v>
      </c>
      <c r="AB77" s="69">
        <f t="shared" si="118"/>
        <v>0</v>
      </c>
      <c r="AC77" s="69">
        <f t="shared" si="119"/>
        <v>0</v>
      </c>
      <c r="AD77" s="460">
        <v>0</v>
      </c>
      <c r="AE77" s="460">
        <v>0</v>
      </c>
      <c r="AF77" s="460">
        <f>SUM(AD77:AE77)</f>
        <v>0</v>
      </c>
      <c r="AG77" s="460">
        <f>AA77+AB77+AC77+AF77</f>
        <v>0</v>
      </c>
      <c r="AH77" s="461">
        <v>0</v>
      </c>
      <c r="AI77" s="461">
        <v>0</v>
      </c>
      <c r="AJ77" s="461">
        <v>0</v>
      </c>
      <c r="AK77" s="461">
        <v>0</v>
      </c>
      <c r="AL77" s="461">
        <v>0</v>
      </c>
      <c r="AM77" s="461">
        <v>0</v>
      </c>
      <c r="AN77" s="461">
        <v>0</v>
      </c>
      <c r="AO77" s="461">
        <v>0</v>
      </c>
      <c r="AP77" s="461">
        <f t="shared" ref="AP77:AP140" si="120">AH77+AJ77+AK77+AM77+AN77</f>
        <v>0</v>
      </c>
      <c r="AQ77" s="461">
        <f t="shared" ref="AQ77:AQ140" si="121">AI77+AL77+AO77</f>
        <v>0</v>
      </c>
      <c r="AR77" s="737">
        <f t="shared" ref="AR77:AR140" si="122">SUM(AP77:AQ77)</f>
        <v>0</v>
      </c>
      <c r="AS77" s="470">
        <f t="shared" ref="AS77:AS140" si="123">I77+AG77</f>
        <v>905759</v>
      </c>
      <c r="AT77" s="460">
        <f t="shared" ref="AT77:AT140" si="124">J77+V77</f>
        <v>671928</v>
      </c>
      <c r="AU77" s="460">
        <f t="shared" ref="AU77:AU140" si="125">Z77</f>
        <v>0</v>
      </c>
      <c r="AV77" s="460">
        <f t="shared" ref="AV77:AV140" si="126">K77+AB77</f>
        <v>227112</v>
      </c>
      <c r="AW77" s="460">
        <f t="shared" ref="AW77:AW140" si="127">L77+AC77</f>
        <v>6719</v>
      </c>
      <c r="AX77" s="460">
        <f t="shared" ref="AX77:AX140" si="128">M77+AF77</f>
        <v>0</v>
      </c>
      <c r="AY77" s="461">
        <f t="shared" ref="AY77:AY140" si="129">N77+AR77</f>
        <v>2</v>
      </c>
      <c r="AZ77" s="461">
        <f t="shared" ref="AZ77:AZ140" si="130">O77+AP77</f>
        <v>2</v>
      </c>
      <c r="BA77" s="463">
        <f t="shared" ref="BA77:BA140" si="131">P77+AQ77</f>
        <v>0</v>
      </c>
    </row>
    <row r="78" spans="1:53" ht="14.1" customHeight="1" x14ac:dyDescent="0.2">
      <c r="A78" s="67">
        <v>18</v>
      </c>
      <c r="B78" s="64">
        <v>2416</v>
      </c>
      <c r="C78" s="65">
        <v>600079571</v>
      </c>
      <c r="D78" s="64">
        <v>72742895</v>
      </c>
      <c r="E78" s="66" t="s">
        <v>589</v>
      </c>
      <c r="F78" s="67">
        <v>3141</v>
      </c>
      <c r="G78" s="66" t="s">
        <v>311</v>
      </c>
      <c r="H78" s="68" t="s">
        <v>278</v>
      </c>
      <c r="I78" s="462">
        <v>575733</v>
      </c>
      <c r="J78" s="728">
        <v>425481</v>
      </c>
      <c r="K78" s="457">
        <v>143813</v>
      </c>
      <c r="L78" s="457">
        <v>4255</v>
      </c>
      <c r="M78" s="728">
        <v>2184</v>
      </c>
      <c r="N78" s="458">
        <v>1.37</v>
      </c>
      <c r="O78" s="459">
        <v>0</v>
      </c>
      <c r="P78" s="646">
        <v>1.37</v>
      </c>
      <c r="Q78" s="469">
        <f t="shared" si="115"/>
        <v>0</v>
      </c>
      <c r="R78" s="469">
        <v>0</v>
      </c>
      <c r="S78" s="460">
        <v>0</v>
      </c>
      <c r="T78" s="460">
        <v>0</v>
      </c>
      <c r="U78" s="460">
        <v>0</v>
      </c>
      <c r="V78" s="460">
        <f>SUM(Q78:U78)</f>
        <v>0</v>
      </c>
      <c r="W78" s="460">
        <v>0</v>
      </c>
      <c r="X78" s="460">
        <v>0</v>
      </c>
      <c r="Y78" s="460">
        <v>0</v>
      </c>
      <c r="Z78" s="460">
        <f t="shared" si="116"/>
        <v>0</v>
      </c>
      <c r="AA78" s="460">
        <f t="shared" si="117"/>
        <v>0</v>
      </c>
      <c r="AB78" s="69">
        <f t="shared" si="118"/>
        <v>0</v>
      </c>
      <c r="AC78" s="69">
        <f t="shared" si="119"/>
        <v>0</v>
      </c>
      <c r="AD78" s="460">
        <v>0</v>
      </c>
      <c r="AE78" s="460">
        <v>0</v>
      </c>
      <c r="AF78" s="460">
        <f>SUM(AD78:AE78)</f>
        <v>0</v>
      </c>
      <c r="AG78" s="460">
        <f>AA78+AB78+AC78+AF78</f>
        <v>0</v>
      </c>
      <c r="AH78" s="461">
        <v>0</v>
      </c>
      <c r="AI78" s="461">
        <v>0</v>
      </c>
      <c r="AJ78" s="461">
        <v>0</v>
      </c>
      <c r="AK78" s="461">
        <v>0</v>
      </c>
      <c r="AL78" s="461">
        <v>0</v>
      </c>
      <c r="AM78" s="461">
        <v>0</v>
      </c>
      <c r="AN78" s="461">
        <v>0</v>
      </c>
      <c r="AO78" s="461">
        <v>0</v>
      </c>
      <c r="AP78" s="461">
        <f t="shared" si="120"/>
        <v>0</v>
      </c>
      <c r="AQ78" s="461">
        <f t="shared" si="121"/>
        <v>0</v>
      </c>
      <c r="AR78" s="737">
        <f t="shared" si="122"/>
        <v>0</v>
      </c>
      <c r="AS78" s="470">
        <f t="shared" si="123"/>
        <v>575733</v>
      </c>
      <c r="AT78" s="460">
        <f t="shared" si="124"/>
        <v>425481</v>
      </c>
      <c r="AU78" s="460">
        <f t="shared" si="125"/>
        <v>0</v>
      </c>
      <c r="AV78" s="460">
        <f t="shared" si="126"/>
        <v>143813</v>
      </c>
      <c r="AW78" s="460">
        <f t="shared" si="127"/>
        <v>4255</v>
      </c>
      <c r="AX78" s="460">
        <f t="shared" si="128"/>
        <v>2184</v>
      </c>
      <c r="AY78" s="461">
        <f t="shared" si="129"/>
        <v>1.37</v>
      </c>
      <c r="AZ78" s="461">
        <f t="shared" si="130"/>
        <v>0</v>
      </c>
      <c r="BA78" s="463">
        <f t="shared" si="131"/>
        <v>1.37</v>
      </c>
    </row>
    <row r="79" spans="1:53" ht="14.1" customHeight="1" x14ac:dyDescent="0.2">
      <c r="A79" s="73">
        <v>18</v>
      </c>
      <c r="B79" s="70">
        <v>2416</v>
      </c>
      <c r="C79" s="71">
        <v>600079571</v>
      </c>
      <c r="D79" s="70">
        <v>72742895</v>
      </c>
      <c r="E79" s="72" t="s">
        <v>590</v>
      </c>
      <c r="F79" s="73"/>
      <c r="G79" s="72"/>
      <c r="H79" s="74"/>
      <c r="I79" s="701">
        <f t="shared" ref="I79:P79" si="132">SUM(I76:I78)</f>
        <v>6962446</v>
      </c>
      <c r="J79" s="75">
        <f t="shared" si="132"/>
        <v>5135646</v>
      </c>
      <c r="K79" s="75">
        <f t="shared" si="132"/>
        <v>1735849</v>
      </c>
      <c r="L79" s="75">
        <f t="shared" si="132"/>
        <v>51357</v>
      </c>
      <c r="M79" s="75">
        <f t="shared" si="132"/>
        <v>39594</v>
      </c>
      <c r="N79" s="76">
        <f t="shared" si="132"/>
        <v>11.73</v>
      </c>
      <c r="O79" s="76">
        <f t="shared" si="132"/>
        <v>8.5</v>
      </c>
      <c r="P79" s="77">
        <f t="shared" si="132"/>
        <v>3.23</v>
      </c>
      <c r="Q79" s="724">
        <f t="shared" ref="Q79:BA79" si="133">SUM(Q76:Q78)</f>
        <v>-48750</v>
      </c>
      <c r="R79" s="724">
        <f t="shared" si="133"/>
        <v>0</v>
      </c>
      <c r="S79" s="75">
        <f t="shared" si="133"/>
        <v>0</v>
      </c>
      <c r="T79" s="75">
        <f t="shared" si="133"/>
        <v>0</v>
      </c>
      <c r="U79" s="75">
        <f t="shared" si="133"/>
        <v>0</v>
      </c>
      <c r="V79" s="75">
        <f t="shared" si="133"/>
        <v>-48750</v>
      </c>
      <c r="W79" s="75">
        <f t="shared" si="133"/>
        <v>48750</v>
      </c>
      <c r="X79" s="75">
        <f t="shared" si="133"/>
        <v>0</v>
      </c>
      <c r="Y79" s="75">
        <f t="shared" si="133"/>
        <v>0</v>
      </c>
      <c r="Z79" s="75">
        <f t="shared" si="133"/>
        <v>48750</v>
      </c>
      <c r="AA79" s="75">
        <f t="shared" si="133"/>
        <v>0</v>
      </c>
      <c r="AB79" s="75">
        <f t="shared" si="133"/>
        <v>0</v>
      </c>
      <c r="AC79" s="75">
        <f t="shared" si="133"/>
        <v>-488</v>
      </c>
      <c r="AD79" s="75">
        <f t="shared" si="133"/>
        <v>0</v>
      </c>
      <c r="AE79" s="75">
        <f t="shared" si="133"/>
        <v>0</v>
      </c>
      <c r="AF79" s="75">
        <f t="shared" si="133"/>
        <v>0</v>
      </c>
      <c r="AG79" s="75">
        <f t="shared" si="133"/>
        <v>-488</v>
      </c>
      <c r="AH79" s="76">
        <f t="shared" si="133"/>
        <v>0</v>
      </c>
      <c r="AI79" s="76">
        <f t="shared" si="133"/>
        <v>-0.17</v>
      </c>
      <c r="AJ79" s="76">
        <f t="shared" si="133"/>
        <v>0</v>
      </c>
      <c r="AK79" s="76">
        <f t="shared" si="133"/>
        <v>0</v>
      </c>
      <c r="AL79" s="76">
        <f t="shared" si="133"/>
        <v>0</v>
      </c>
      <c r="AM79" s="76">
        <f t="shared" si="133"/>
        <v>0</v>
      </c>
      <c r="AN79" s="76">
        <f t="shared" si="133"/>
        <v>0</v>
      </c>
      <c r="AO79" s="76">
        <f t="shared" si="133"/>
        <v>0</v>
      </c>
      <c r="AP79" s="76">
        <f t="shared" si="133"/>
        <v>0</v>
      </c>
      <c r="AQ79" s="76">
        <f t="shared" si="133"/>
        <v>-0.17</v>
      </c>
      <c r="AR79" s="720">
        <f t="shared" si="133"/>
        <v>-0.17</v>
      </c>
      <c r="AS79" s="701">
        <f t="shared" si="133"/>
        <v>6961958</v>
      </c>
      <c r="AT79" s="75">
        <f t="shared" si="133"/>
        <v>5086896</v>
      </c>
      <c r="AU79" s="75">
        <f t="shared" si="133"/>
        <v>48750</v>
      </c>
      <c r="AV79" s="75">
        <f t="shared" si="133"/>
        <v>1735849</v>
      </c>
      <c r="AW79" s="75">
        <f t="shared" si="133"/>
        <v>50869</v>
      </c>
      <c r="AX79" s="75">
        <f t="shared" si="133"/>
        <v>39594</v>
      </c>
      <c r="AY79" s="76">
        <f t="shared" si="133"/>
        <v>11.559999999999999</v>
      </c>
      <c r="AZ79" s="76">
        <f t="shared" si="133"/>
        <v>8.5</v>
      </c>
      <c r="BA79" s="77">
        <f t="shared" si="133"/>
        <v>3.06</v>
      </c>
    </row>
    <row r="80" spans="1:53" ht="14.1" customHeight="1" x14ac:dyDescent="0.2">
      <c r="A80" s="67">
        <v>19</v>
      </c>
      <c r="B80" s="64">
        <v>2421</v>
      </c>
      <c r="C80" s="65">
        <v>600079163</v>
      </c>
      <c r="D80" s="64">
        <v>72743301</v>
      </c>
      <c r="E80" s="66" t="s">
        <v>591</v>
      </c>
      <c r="F80" s="67">
        <v>3111</v>
      </c>
      <c r="G80" s="66" t="s">
        <v>307</v>
      </c>
      <c r="H80" s="68" t="s">
        <v>277</v>
      </c>
      <c r="I80" s="462">
        <v>11024865</v>
      </c>
      <c r="J80" s="16">
        <v>8132615</v>
      </c>
      <c r="K80" s="457">
        <v>2748824</v>
      </c>
      <c r="L80" s="457">
        <v>81326</v>
      </c>
      <c r="M80" s="16">
        <v>62100</v>
      </c>
      <c r="N80" s="13">
        <v>16.271899999999999</v>
      </c>
      <c r="O80" s="13">
        <v>12.741899999999999</v>
      </c>
      <c r="P80" s="17">
        <v>3.53</v>
      </c>
      <c r="Q80" s="469">
        <f t="shared" si="115"/>
        <v>0</v>
      </c>
      <c r="R80" s="469">
        <v>0</v>
      </c>
      <c r="S80" s="460">
        <v>0</v>
      </c>
      <c r="T80" s="460">
        <v>0</v>
      </c>
      <c r="U80" s="460">
        <v>0</v>
      </c>
      <c r="V80" s="460">
        <f>SUM(Q80:U80)</f>
        <v>0</v>
      </c>
      <c r="W80" s="460">
        <v>0</v>
      </c>
      <c r="X80" s="460">
        <v>0</v>
      </c>
      <c r="Y80" s="460">
        <v>0</v>
      </c>
      <c r="Z80" s="460">
        <f t="shared" ref="Z80:Z81" si="134">SUM(W80:Y80)</f>
        <v>0</v>
      </c>
      <c r="AA80" s="460">
        <f t="shared" ref="AA80:AA81" si="135">V80+Z80</f>
        <v>0</v>
      </c>
      <c r="AB80" s="69">
        <f t="shared" ref="AB80:AB81" si="136">ROUND((V80+W80+X80)*33.8%,0)</f>
        <v>0</v>
      </c>
      <c r="AC80" s="69">
        <f t="shared" ref="AC80:AC81" si="137">ROUND(V80*1%,0)</f>
        <v>0</v>
      </c>
      <c r="AD80" s="460">
        <v>0</v>
      </c>
      <c r="AE80" s="460">
        <v>0</v>
      </c>
      <c r="AF80" s="460">
        <f>SUM(AD80:AE80)</f>
        <v>0</v>
      </c>
      <c r="AG80" s="460">
        <f>AA80+AB80+AC80+AF80</f>
        <v>0</v>
      </c>
      <c r="AH80" s="461">
        <v>0</v>
      </c>
      <c r="AI80" s="461">
        <v>0</v>
      </c>
      <c r="AJ80" s="461">
        <v>0</v>
      </c>
      <c r="AK80" s="461">
        <v>0</v>
      </c>
      <c r="AL80" s="461">
        <v>0</v>
      </c>
      <c r="AM80" s="461">
        <v>0</v>
      </c>
      <c r="AN80" s="461">
        <v>0</v>
      </c>
      <c r="AO80" s="461">
        <v>0</v>
      </c>
      <c r="AP80" s="461">
        <f t="shared" si="120"/>
        <v>0</v>
      </c>
      <c r="AQ80" s="461">
        <f t="shared" si="121"/>
        <v>0</v>
      </c>
      <c r="AR80" s="737">
        <f t="shared" si="122"/>
        <v>0</v>
      </c>
      <c r="AS80" s="470">
        <f t="shared" si="123"/>
        <v>11024865</v>
      </c>
      <c r="AT80" s="460">
        <f t="shared" si="124"/>
        <v>8132615</v>
      </c>
      <c r="AU80" s="460">
        <f t="shared" si="125"/>
        <v>0</v>
      </c>
      <c r="AV80" s="460">
        <f t="shared" si="126"/>
        <v>2748824</v>
      </c>
      <c r="AW80" s="460">
        <f t="shared" si="127"/>
        <v>81326</v>
      </c>
      <c r="AX80" s="460">
        <f t="shared" si="128"/>
        <v>62100</v>
      </c>
      <c r="AY80" s="461">
        <f t="shared" si="129"/>
        <v>16.271899999999999</v>
      </c>
      <c r="AZ80" s="461">
        <f t="shared" si="130"/>
        <v>12.741899999999999</v>
      </c>
      <c r="BA80" s="463">
        <f t="shared" si="131"/>
        <v>3.53</v>
      </c>
    </row>
    <row r="81" spans="1:53" ht="14.1" customHeight="1" x14ac:dyDescent="0.2">
      <c r="A81" s="67">
        <v>19</v>
      </c>
      <c r="B81" s="64">
        <v>2421</v>
      </c>
      <c r="C81" s="65">
        <v>600079163</v>
      </c>
      <c r="D81" s="64">
        <v>72743301</v>
      </c>
      <c r="E81" s="66" t="s">
        <v>591</v>
      </c>
      <c r="F81" s="67">
        <v>3141</v>
      </c>
      <c r="G81" s="66" t="s">
        <v>311</v>
      </c>
      <c r="H81" s="68" t="s">
        <v>278</v>
      </c>
      <c r="I81" s="462">
        <v>1397391</v>
      </c>
      <c r="J81" s="728">
        <v>1031085</v>
      </c>
      <c r="K81" s="457">
        <v>348507</v>
      </c>
      <c r="L81" s="457">
        <v>10311</v>
      </c>
      <c r="M81" s="728">
        <v>7488</v>
      </c>
      <c r="N81" s="458">
        <v>3.31</v>
      </c>
      <c r="O81" s="459">
        <v>0</v>
      </c>
      <c r="P81" s="646">
        <v>3.31</v>
      </c>
      <c r="Q81" s="469">
        <f t="shared" si="115"/>
        <v>0</v>
      </c>
      <c r="R81" s="469">
        <v>0</v>
      </c>
      <c r="S81" s="460">
        <v>0</v>
      </c>
      <c r="T81" s="460">
        <v>0</v>
      </c>
      <c r="U81" s="460">
        <v>0</v>
      </c>
      <c r="V81" s="460">
        <f>SUM(Q81:U81)</f>
        <v>0</v>
      </c>
      <c r="W81" s="460">
        <v>0</v>
      </c>
      <c r="X81" s="460">
        <v>0</v>
      </c>
      <c r="Y81" s="460">
        <v>0</v>
      </c>
      <c r="Z81" s="460">
        <f t="shared" si="134"/>
        <v>0</v>
      </c>
      <c r="AA81" s="460">
        <f t="shared" si="135"/>
        <v>0</v>
      </c>
      <c r="AB81" s="69">
        <f t="shared" si="136"/>
        <v>0</v>
      </c>
      <c r="AC81" s="69">
        <f t="shared" si="137"/>
        <v>0</v>
      </c>
      <c r="AD81" s="460">
        <v>0</v>
      </c>
      <c r="AE81" s="460">
        <v>0</v>
      </c>
      <c r="AF81" s="460">
        <f>SUM(AD81:AE81)</f>
        <v>0</v>
      </c>
      <c r="AG81" s="460">
        <f>AA81+AB81+AC81+AF81</f>
        <v>0</v>
      </c>
      <c r="AH81" s="461">
        <v>0</v>
      </c>
      <c r="AI81" s="461">
        <v>0</v>
      </c>
      <c r="AJ81" s="461">
        <v>0</v>
      </c>
      <c r="AK81" s="461">
        <v>0</v>
      </c>
      <c r="AL81" s="461">
        <v>0</v>
      </c>
      <c r="AM81" s="461">
        <v>0</v>
      </c>
      <c r="AN81" s="461">
        <v>0</v>
      </c>
      <c r="AO81" s="461">
        <v>0</v>
      </c>
      <c r="AP81" s="461">
        <f t="shared" si="120"/>
        <v>0</v>
      </c>
      <c r="AQ81" s="461">
        <f t="shared" si="121"/>
        <v>0</v>
      </c>
      <c r="AR81" s="737">
        <f t="shared" si="122"/>
        <v>0</v>
      </c>
      <c r="AS81" s="470">
        <f t="shared" si="123"/>
        <v>1397391</v>
      </c>
      <c r="AT81" s="460">
        <f t="shared" si="124"/>
        <v>1031085</v>
      </c>
      <c r="AU81" s="460">
        <f t="shared" si="125"/>
        <v>0</v>
      </c>
      <c r="AV81" s="460">
        <f t="shared" si="126"/>
        <v>348507</v>
      </c>
      <c r="AW81" s="460">
        <f t="shared" si="127"/>
        <v>10311</v>
      </c>
      <c r="AX81" s="460">
        <f t="shared" si="128"/>
        <v>7488</v>
      </c>
      <c r="AY81" s="461">
        <f t="shared" si="129"/>
        <v>3.31</v>
      </c>
      <c r="AZ81" s="461">
        <f t="shared" si="130"/>
        <v>0</v>
      </c>
      <c r="BA81" s="463">
        <f t="shared" si="131"/>
        <v>3.31</v>
      </c>
    </row>
    <row r="82" spans="1:53" ht="14.1" customHeight="1" x14ac:dyDescent="0.2">
      <c r="A82" s="73">
        <v>19</v>
      </c>
      <c r="B82" s="70">
        <v>2421</v>
      </c>
      <c r="C82" s="71">
        <v>600079163</v>
      </c>
      <c r="D82" s="70">
        <v>72743301</v>
      </c>
      <c r="E82" s="72" t="s">
        <v>592</v>
      </c>
      <c r="F82" s="73"/>
      <c r="G82" s="72"/>
      <c r="H82" s="74"/>
      <c r="I82" s="701">
        <f t="shared" ref="I82:P82" si="138">SUM(I80:I81)</f>
        <v>12422256</v>
      </c>
      <c r="J82" s="75">
        <f t="shared" si="138"/>
        <v>9163700</v>
      </c>
      <c r="K82" s="75">
        <f t="shared" si="138"/>
        <v>3097331</v>
      </c>
      <c r="L82" s="75">
        <f t="shared" si="138"/>
        <v>91637</v>
      </c>
      <c r="M82" s="75">
        <f t="shared" si="138"/>
        <v>69588</v>
      </c>
      <c r="N82" s="76">
        <f t="shared" si="138"/>
        <v>19.581899999999997</v>
      </c>
      <c r="O82" s="76">
        <f t="shared" si="138"/>
        <v>12.741899999999999</v>
      </c>
      <c r="P82" s="77">
        <f t="shared" si="138"/>
        <v>6.84</v>
      </c>
      <c r="Q82" s="724">
        <f t="shared" ref="Q82:BA82" si="139">SUM(Q80:Q81)</f>
        <v>0</v>
      </c>
      <c r="R82" s="724">
        <f t="shared" si="139"/>
        <v>0</v>
      </c>
      <c r="S82" s="75">
        <f t="shared" si="139"/>
        <v>0</v>
      </c>
      <c r="T82" s="75">
        <f t="shared" si="139"/>
        <v>0</v>
      </c>
      <c r="U82" s="75">
        <f t="shared" si="139"/>
        <v>0</v>
      </c>
      <c r="V82" s="75">
        <f t="shared" si="139"/>
        <v>0</v>
      </c>
      <c r="W82" s="75">
        <f t="shared" si="139"/>
        <v>0</v>
      </c>
      <c r="X82" s="75">
        <f t="shared" si="139"/>
        <v>0</v>
      </c>
      <c r="Y82" s="75">
        <f t="shared" si="139"/>
        <v>0</v>
      </c>
      <c r="Z82" s="75">
        <f t="shared" si="139"/>
        <v>0</v>
      </c>
      <c r="AA82" s="75">
        <f t="shared" si="139"/>
        <v>0</v>
      </c>
      <c r="AB82" s="75">
        <f t="shared" si="139"/>
        <v>0</v>
      </c>
      <c r="AC82" s="75">
        <f t="shared" si="139"/>
        <v>0</v>
      </c>
      <c r="AD82" s="75">
        <f t="shared" si="139"/>
        <v>0</v>
      </c>
      <c r="AE82" s="75">
        <f t="shared" si="139"/>
        <v>0</v>
      </c>
      <c r="AF82" s="75">
        <f t="shared" si="139"/>
        <v>0</v>
      </c>
      <c r="AG82" s="75">
        <f t="shared" si="139"/>
        <v>0</v>
      </c>
      <c r="AH82" s="76">
        <f t="shared" si="139"/>
        <v>0</v>
      </c>
      <c r="AI82" s="76">
        <f t="shared" si="139"/>
        <v>0</v>
      </c>
      <c r="AJ82" s="76">
        <f t="shared" si="139"/>
        <v>0</v>
      </c>
      <c r="AK82" s="76">
        <f t="shared" si="139"/>
        <v>0</v>
      </c>
      <c r="AL82" s="76">
        <f t="shared" si="139"/>
        <v>0</v>
      </c>
      <c r="AM82" s="76">
        <f t="shared" si="139"/>
        <v>0</v>
      </c>
      <c r="AN82" s="76">
        <f t="shared" si="139"/>
        <v>0</v>
      </c>
      <c r="AO82" s="76">
        <f t="shared" si="139"/>
        <v>0</v>
      </c>
      <c r="AP82" s="76">
        <f t="shared" si="139"/>
        <v>0</v>
      </c>
      <c r="AQ82" s="76">
        <f t="shared" si="139"/>
        <v>0</v>
      </c>
      <c r="AR82" s="720">
        <f t="shared" si="139"/>
        <v>0</v>
      </c>
      <c r="AS82" s="701">
        <f t="shared" si="139"/>
        <v>12422256</v>
      </c>
      <c r="AT82" s="75">
        <f t="shared" si="139"/>
        <v>9163700</v>
      </c>
      <c r="AU82" s="75">
        <f t="shared" si="139"/>
        <v>0</v>
      </c>
      <c r="AV82" s="75">
        <f t="shared" si="139"/>
        <v>3097331</v>
      </c>
      <c r="AW82" s="75">
        <f t="shared" si="139"/>
        <v>91637</v>
      </c>
      <c r="AX82" s="75">
        <f t="shared" si="139"/>
        <v>69588</v>
      </c>
      <c r="AY82" s="76">
        <f t="shared" si="139"/>
        <v>19.581899999999997</v>
      </c>
      <c r="AZ82" s="76">
        <f t="shared" si="139"/>
        <v>12.741899999999999</v>
      </c>
      <c r="BA82" s="77">
        <f t="shared" si="139"/>
        <v>6.84</v>
      </c>
    </row>
    <row r="83" spans="1:53" ht="14.1" customHeight="1" x14ac:dyDescent="0.2">
      <c r="A83" s="67">
        <v>20</v>
      </c>
      <c r="B83" s="64">
        <v>2419</v>
      </c>
      <c r="C83" s="65">
        <v>600079171</v>
      </c>
      <c r="D83" s="64">
        <v>72742500</v>
      </c>
      <c r="E83" s="66" t="s">
        <v>593</v>
      </c>
      <c r="F83" s="67">
        <v>3111</v>
      </c>
      <c r="G83" s="66" t="s">
        <v>307</v>
      </c>
      <c r="H83" s="68" t="s">
        <v>277</v>
      </c>
      <c r="I83" s="462">
        <v>5354724</v>
      </c>
      <c r="J83" s="16">
        <v>3952169</v>
      </c>
      <c r="K83" s="457">
        <v>1335833</v>
      </c>
      <c r="L83" s="457">
        <v>39522</v>
      </c>
      <c r="M83" s="16">
        <v>27200</v>
      </c>
      <c r="N83" s="13">
        <v>8.0419</v>
      </c>
      <c r="O83" s="13">
        <v>6.2419000000000002</v>
      </c>
      <c r="P83" s="17">
        <v>1.7999999999999998</v>
      </c>
      <c r="Q83" s="469">
        <f t="shared" si="115"/>
        <v>0</v>
      </c>
      <c r="R83" s="469">
        <v>0</v>
      </c>
      <c r="S83" s="460">
        <v>0</v>
      </c>
      <c r="T83" s="460">
        <v>0</v>
      </c>
      <c r="U83" s="460">
        <v>0</v>
      </c>
      <c r="V83" s="460">
        <f>SUM(Q83:U83)</f>
        <v>0</v>
      </c>
      <c r="W83" s="460">
        <v>0</v>
      </c>
      <c r="X83" s="460">
        <v>0</v>
      </c>
      <c r="Y83" s="460">
        <v>0</v>
      </c>
      <c r="Z83" s="460">
        <f t="shared" ref="Z83:Z85" si="140">SUM(W83:Y83)</f>
        <v>0</v>
      </c>
      <c r="AA83" s="460">
        <f t="shared" ref="AA83:AA85" si="141">V83+Z83</f>
        <v>0</v>
      </c>
      <c r="AB83" s="69">
        <f t="shared" ref="AB83:AB85" si="142">ROUND((V83+W83+X83)*33.8%,0)</f>
        <v>0</v>
      </c>
      <c r="AC83" s="69">
        <f t="shared" ref="AC83:AC85" si="143">ROUND(V83*1%,0)</f>
        <v>0</v>
      </c>
      <c r="AD83" s="460">
        <v>0</v>
      </c>
      <c r="AE83" s="460">
        <v>0</v>
      </c>
      <c r="AF83" s="460">
        <f>SUM(AD83:AE83)</f>
        <v>0</v>
      </c>
      <c r="AG83" s="460">
        <f>AA83+AB83+AC83+AF83</f>
        <v>0</v>
      </c>
      <c r="AH83" s="461">
        <v>0</v>
      </c>
      <c r="AI83" s="461">
        <v>0</v>
      </c>
      <c r="AJ83" s="461">
        <v>0</v>
      </c>
      <c r="AK83" s="461">
        <v>0</v>
      </c>
      <c r="AL83" s="461">
        <v>0</v>
      </c>
      <c r="AM83" s="461">
        <v>0</v>
      </c>
      <c r="AN83" s="461">
        <v>0</v>
      </c>
      <c r="AO83" s="461">
        <v>0</v>
      </c>
      <c r="AP83" s="461">
        <f t="shared" si="120"/>
        <v>0</v>
      </c>
      <c r="AQ83" s="461">
        <f t="shared" si="121"/>
        <v>0</v>
      </c>
      <c r="AR83" s="737">
        <f t="shared" si="122"/>
        <v>0</v>
      </c>
      <c r="AS83" s="470">
        <f t="shared" si="123"/>
        <v>5354724</v>
      </c>
      <c r="AT83" s="460">
        <f t="shared" si="124"/>
        <v>3952169</v>
      </c>
      <c r="AU83" s="460">
        <f t="shared" si="125"/>
        <v>0</v>
      </c>
      <c r="AV83" s="460">
        <f t="shared" si="126"/>
        <v>1335833</v>
      </c>
      <c r="AW83" s="460">
        <f t="shared" si="127"/>
        <v>39522</v>
      </c>
      <c r="AX83" s="460">
        <f t="shared" si="128"/>
        <v>27200</v>
      </c>
      <c r="AY83" s="461">
        <f t="shared" si="129"/>
        <v>8.0419</v>
      </c>
      <c r="AZ83" s="461">
        <f t="shared" si="130"/>
        <v>6.2419000000000002</v>
      </c>
      <c r="BA83" s="463">
        <f t="shared" si="131"/>
        <v>1.7999999999999998</v>
      </c>
    </row>
    <row r="84" spans="1:53" ht="14.1" customHeight="1" x14ac:dyDescent="0.2">
      <c r="A84" s="67">
        <v>20</v>
      </c>
      <c r="B84" s="64">
        <v>2419</v>
      </c>
      <c r="C84" s="65">
        <v>600079171</v>
      </c>
      <c r="D84" s="64">
        <v>72742500</v>
      </c>
      <c r="E84" s="66" t="s">
        <v>593</v>
      </c>
      <c r="F84" s="67">
        <v>3111</v>
      </c>
      <c r="G84" s="44" t="s">
        <v>308</v>
      </c>
      <c r="H84" s="68" t="s">
        <v>278</v>
      </c>
      <c r="I84" s="462">
        <v>0</v>
      </c>
      <c r="J84" s="457">
        <v>0</v>
      </c>
      <c r="K84" s="457">
        <v>0</v>
      </c>
      <c r="L84" s="457">
        <v>0</v>
      </c>
      <c r="M84" s="457">
        <v>0</v>
      </c>
      <c r="N84" s="458">
        <v>0</v>
      </c>
      <c r="O84" s="459">
        <v>0</v>
      </c>
      <c r="P84" s="646">
        <v>0</v>
      </c>
      <c r="Q84" s="469">
        <f t="shared" si="115"/>
        <v>0</v>
      </c>
      <c r="R84" s="469">
        <v>0</v>
      </c>
      <c r="S84" s="460">
        <v>0</v>
      </c>
      <c r="T84" s="460">
        <v>0</v>
      </c>
      <c r="U84" s="460">
        <v>0</v>
      </c>
      <c r="V84" s="460">
        <f>SUM(Q84:U84)</f>
        <v>0</v>
      </c>
      <c r="W84" s="460">
        <v>0</v>
      </c>
      <c r="X84" s="460">
        <v>0</v>
      </c>
      <c r="Y84" s="460">
        <v>0</v>
      </c>
      <c r="Z84" s="460">
        <f t="shared" si="140"/>
        <v>0</v>
      </c>
      <c r="AA84" s="460">
        <f t="shared" si="141"/>
        <v>0</v>
      </c>
      <c r="AB84" s="69">
        <f t="shared" si="142"/>
        <v>0</v>
      </c>
      <c r="AC84" s="69">
        <f t="shared" si="143"/>
        <v>0</v>
      </c>
      <c r="AD84" s="460">
        <v>0</v>
      </c>
      <c r="AE84" s="460">
        <v>0</v>
      </c>
      <c r="AF84" s="460">
        <f>SUM(AD84:AE84)</f>
        <v>0</v>
      </c>
      <c r="AG84" s="460">
        <f>AA84+AB84+AC84+AF84</f>
        <v>0</v>
      </c>
      <c r="AH84" s="461">
        <v>0</v>
      </c>
      <c r="AI84" s="461">
        <v>0</v>
      </c>
      <c r="AJ84" s="461">
        <v>0</v>
      </c>
      <c r="AK84" s="461">
        <v>0</v>
      </c>
      <c r="AL84" s="461">
        <v>0</v>
      </c>
      <c r="AM84" s="461">
        <v>0</v>
      </c>
      <c r="AN84" s="461">
        <v>0</v>
      </c>
      <c r="AO84" s="461">
        <v>0</v>
      </c>
      <c r="AP84" s="461">
        <f t="shared" si="120"/>
        <v>0</v>
      </c>
      <c r="AQ84" s="461">
        <f t="shared" si="121"/>
        <v>0</v>
      </c>
      <c r="AR84" s="737">
        <f t="shared" si="122"/>
        <v>0</v>
      </c>
      <c r="AS84" s="470">
        <f t="shared" si="123"/>
        <v>0</v>
      </c>
      <c r="AT84" s="460">
        <f t="shared" si="124"/>
        <v>0</v>
      </c>
      <c r="AU84" s="460">
        <f t="shared" si="125"/>
        <v>0</v>
      </c>
      <c r="AV84" s="460">
        <f t="shared" si="126"/>
        <v>0</v>
      </c>
      <c r="AW84" s="460">
        <f t="shared" si="127"/>
        <v>0</v>
      </c>
      <c r="AX84" s="460">
        <f t="shared" si="128"/>
        <v>0</v>
      </c>
      <c r="AY84" s="461">
        <f t="shared" si="129"/>
        <v>0</v>
      </c>
      <c r="AZ84" s="461">
        <f t="shared" si="130"/>
        <v>0</v>
      </c>
      <c r="BA84" s="463">
        <f t="shared" si="131"/>
        <v>0</v>
      </c>
    </row>
    <row r="85" spans="1:53" ht="14.1" customHeight="1" x14ac:dyDescent="0.2">
      <c r="A85" s="67">
        <v>20</v>
      </c>
      <c r="B85" s="64">
        <v>2419</v>
      </c>
      <c r="C85" s="65">
        <v>600079171</v>
      </c>
      <c r="D85" s="64">
        <v>72742500</v>
      </c>
      <c r="E85" s="66" t="s">
        <v>593</v>
      </c>
      <c r="F85" s="67">
        <v>3141</v>
      </c>
      <c r="G85" s="66" t="s">
        <v>311</v>
      </c>
      <c r="H85" s="68" t="s">
        <v>278</v>
      </c>
      <c r="I85" s="462">
        <v>799550</v>
      </c>
      <c r="J85" s="728">
        <v>590515</v>
      </c>
      <c r="K85" s="457">
        <v>199594</v>
      </c>
      <c r="L85" s="457">
        <v>5905</v>
      </c>
      <c r="M85" s="728">
        <v>3536</v>
      </c>
      <c r="N85" s="458">
        <v>1.9</v>
      </c>
      <c r="O85" s="459">
        <v>0</v>
      </c>
      <c r="P85" s="646">
        <v>1.9</v>
      </c>
      <c r="Q85" s="469">
        <f t="shared" si="115"/>
        <v>0</v>
      </c>
      <c r="R85" s="469">
        <v>0</v>
      </c>
      <c r="S85" s="460">
        <v>0</v>
      </c>
      <c r="T85" s="460">
        <v>0</v>
      </c>
      <c r="U85" s="460">
        <v>0</v>
      </c>
      <c r="V85" s="460">
        <f>SUM(Q85:U85)</f>
        <v>0</v>
      </c>
      <c r="W85" s="460">
        <v>0</v>
      </c>
      <c r="X85" s="460">
        <v>0</v>
      </c>
      <c r="Y85" s="460">
        <v>0</v>
      </c>
      <c r="Z85" s="460">
        <f t="shared" si="140"/>
        <v>0</v>
      </c>
      <c r="AA85" s="460">
        <f t="shared" si="141"/>
        <v>0</v>
      </c>
      <c r="AB85" s="69">
        <f t="shared" si="142"/>
        <v>0</v>
      </c>
      <c r="AC85" s="69">
        <f t="shared" si="143"/>
        <v>0</v>
      </c>
      <c r="AD85" s="460">
        <v>0</v>
      </c>
      <c r="AE85" s="460">
        <v>0</v>
      </c>
      <c r="AF85" s="460">
        <f>SUM(AD85:AE85)</f>
        <v>0</v>
      </c>
      <c r="AG85" s="460">
        <f>AA85+AB85+AC85+AF85</f>
        <v>0</v>
      </c>
      <c r="AH85" s="461">
        <v>0</v>
      </c>
      <c r="AI85" s="461">
        <v>0</v>
      </c>
      <c r="AJ85" s="461">
        <v>0</v>
      </c>
      <c r="AK85" s="461">
        <v>0</v>
      </c>
      <c r="AL85" s="461">
        <v>0</v>
      </c>
      <c r="AM85" s="461">
        <v>0</v>
      </c>
      <c r="AN85" s="461">
        <v>0</v>
      </c>
      <c r="AO85" s="461">
        <v>0</v>
      </c>
      <c r="AP85" s="461">
        <f t="shared" si="120"/>
        <v>0</v>
      </c>
      <c r="AQ85" s="461">
        <f t="shared" si="121"/>
        <v>0</v>
      </c>
      <c r="AR85" s="737">
        <f t="shared" si="122"/>
        <v>0</v>
      </c>
      <c r="AS85" s="470">
        <f t="shared" si="123"/>
        <v>799550</v>
      </c>
      <c r="AT85" s="460">
        <f t="shared" si="124"/>
        <v>590515</v>
      </c>
      <c r="AU85" s="460">
        <f t="shared" si="125"/>
        <v>0</v>
      </c>
      <c r="AV85" s="460">
        <f t="shared" si="126"/>
        <v>199594</v>
      </c>
      <c r="AW85" s="460">
        <f t="shared" si="127"/>
        <v>5905</v>
      </c>
      <c r="AX85" s="460">
        <f t="shared" si="128"/>
        <v>3536</v>
      </c>
      <c r="AY85" s="461">
        <f t="shared" si="129"/>
        <v>1.9</v>
      </c>
      <c r="AZ85" s="461">
        <f t="shared" si="130"/>
        <v>0</v>
      </c>
      <c r="BA85" s="463">
        <f t="shared" si="131"/>
        <v>1.9</v>
      </c>
    </row>
    <row r="86" spans="1:53" ht="14.1" customHeight="1" x14ac:dyDescent="0.2">
      <c r="A86" s="73">
        <v>20</v>
      </c>
      <c r="B86" s="70">
        <v>2419</v>
      </c>
      <c r="C86" s="71">
        <v>600079171</v>
      </c>
      <c r="D86" s="70">
        <v>72742500</v>
      </c>
      <c r="E86" s="72" t="s">
        <v>594</v>
      </c>
      <c r="F86" s="73"/>
      <c r="G86" s="72"/>
      <c r="H86" s="74"/>
      <c r="I86" s="701">
        <f t="shared" ref="I86:P86" si="144">SUM(I83:I85)</f>
        <v>6154274</v>
      </c>
      <c r="J86" s="75">
        <f t="shared" si="144"/>
        <v>4542684</v>
      </c>
      <c r="K86" s="75">
        <f t="shared" si="144"/>
        <v>1535427</v>
      </c>
      <c r="L86" s="75">
        <f t="shared" si="144"/>
        <v>45427</v>
      </c>
      <c r="M86" s="75">
        <f t="shared" si="144"/>
        <v>30736</v>
      </c>
      <c r="N86" s="76">
        <f t="shared" si="144"/>
        <v>9.9419000000000004</v>
      </c>
      <c r="O86" s="76">
        <f t="shared" si="144"/>
        <v>6.2419000000000002</v>
      </c>
      <c r="P86" s="77">
        <f t="shared" si="144"/>
        <v>3.6999999999999997</v>
      </c>
      <c r="Q86" s="724">
        <f t="shared" ref="Q86:BA86" si="145">SUM(Q83:Q85)</f>
        <v>0</v>
      </c>
      <c r="R86" s="724">
        <f t="shared" si="145"/>
        <v>0</v>
      </c>
      <c r="S86" s="75">
        <f t="shared" si="145"/>
        <v>0</v>
      </c>
      <c r="T86" s="75">
        <f t="shared" si="145"/>
        <v>0</v>
      </c>
      <c r="U86" s="75">
        <f t="shared" si="145"/>
        <v>0</v>
      </c>
      <c r="V86" s="75">
        <f t="shared" si="145"/>
        <v>0</v>
      </c>
      <c r="W86" s="75">
        <f t="shared" si="145"/>
        <v>0</v>
      </c>
      <c r="X86" s="75">
        <f t="shared" si="145"/>
        <v>0</v>
      </c>
      <c r="Y86" s="75">
        <f t="shared" si="145"/>
        <v>0</v>
      </c>
      <c r="Z86" s="75">
        <f t="shared" si="145"/>
        <v>0</v>
      </c>
      <c r="AA86" s="75">
        <f t="shared" si="145"/>
        <v>0</v>
      </c>
      <c r="AB86" s="75">
        <f t="shared" si="145"/>
        <v>0</v>
      </c>
      <c r="AC86" s="75">
        <f t="shared" si="145"/>
        <v>0</v>
      </c>
      <c r="AD86" s="75">
        <f t="shared" si="145"/>
        <v>0</v>
      </c>
      <c r="AE86" s="75">
        <f t="shared" si="145"/>
        <v>0</v>
      </c>
      <c r="AF86" s="75">
        <f t="shared" si="145"/>
        <v>0</v>
      </c>
      <c r="AG86" s="75">
        <f t="shared" si="145"/>
        <v>0</v>
      </c>
      <c r="AH86" s="76">
        <f t="shared" si="145"/>
        <v>0</v>
      </c>
      <c r="AI86" s="76">
        <f t="shared" si="145"/>
        <v>0</v>
      </c>
      <c r="AJ86" s="76">
        <f t="shared" si="145"/>
        <v>0</v>
      </c>
      <c r="AK86" s="76">
        <f t="shared" si="145"/>
        <v>0</v>
      </c>
      <c r="AL86" s="76">
        <f t="shared" si="145"/>
        <v>0</v>
      </c>
      <c r="AM86" s="76">
        <f t="shared" si="145"/>
        <v>0</v>
      </c>
      <c r="AN86" s="76">
        <f t="shared" si="145"/>
        <v>0</v>
      </c>
      <c r="AO86" s="76">
        <f t="shared" si="145"/>
        <v>0</v>
      </c>
      <c r="AP86" s="76">
        <f t="shared" si="145"/>
        <v>0</v>
      </c>
      <c r="AQ86" s="76">
        <f t="shared" si="145"/>
        <v>0</v>
      </c>
      <c r="AR86" s="720">
        <f t="shared" si="145"/>
        <v>0</v>
      </c>
      <c r="AS86" s="701">
        <f t="shared" si="145"/>
        <v>6154274</v>
      </c>
      <c r="AT86" s="75">
        <f t="shared" si="145"/>
        <v>4542684</v>
      </c>
      <c r="AU86" s="75">
        <f t="shared" si="145"/>
        <v>0</v>
      </c>
      <c r="AV86" s="75">
        <f t="shared" si="145"/>
        <v>1535427</v>
      </c>
      <c r="AW86" s="75">
        <f t="shared" si="145"/>
        <v>45427</v>
      </c>
      <c r="AX86" s="75">
        <f t="shared" si="145"/>
        <v>30736</v>
      </c>
      <c r="AY86" s="76">
        <f t="shared" si="145"/>
        <v>9.9419000000000004</v>
      </c>
      <c r="AZ86" s="76">
        <f t="shared" si="145"/>
        <v>6.2419000000000002</v>
      </c>
      <c r="BA86" s="77">
        <f t="shared" si="145"/>
        <v>3.6999999999999997</v>
      </c>
    </row>
    <row r="87" spans="1:53" ht="14.1" customHeight="1" x14ac:dyDescent="0.2">
      <c r="A87" s="67">
        <v>21</v>
      </c>
      <c r="B87" s="64">
        <v>2430</v>
      </c>
      <c r="C87" s="65">
        <v>600079180</v>
      </c>
      <c r="D87" s="64">
        <v>46747532</v>
      </c>
      <c r="E87" s="66" t="s">
        <v>595</v>
      </c>
      <c r="F87" s="67">
        <v>3111</v>
      </c>
      <c r="G87" s="66" t="s">
        <v>307</v>
      </c>
      <c r="H87" s="68" t="s">
        <v>277</v>
      </c>
      <c r="I87" s="462">
        <v>5405660</v>
      </c>
      <c r="J87" s="16">
        <v>3988768</v>
      </c>
      <c r="K87" s="457">
        <v>1348204</v>
      </c>
      <c r="L87" s="457">
        <v>39888</v>
      </c>
      <c r="M87" s="16">
        <v>28800</v>
      </c>
      <c r="N87" s="13">
        <v>7.8</v>
      </c>
      <c r="O87" s="13">
        <v>6</v>
      </c>
      <c r="P87" s="17">
        <v>1.7999999999999998</v>
      </c>
      <c r="Q87" s="469">
        <f t="shared" si="115"/>
        <v>0</v>
      </c>
      <c r="R87" s="469">
        <v>0</v>
      </c>
      <c r="S87" s="460">
        <v>0</v>
      </c>
      <c r="T87" s="460">
        <v>0</v>
      </c>
      <c r="U87" s="460">
        <v>0</v>
      </c>
      <c r="V87" s="460">
        <f>SUM(Q87:U87)</f>
        <v>0</v>
      </c>
      <c r="W87" s="460">
        <v>0</v>
      </c>
      <c r="X87" s="460">
        <v>0</v>
      </c>
      <c r="Y87" s="460">
        <v>0</v>
      </c>
      <c r="Z87" s="460">
        <f t="shared" ref="Z87:Z89" si="146">SUM(W87:Y87)</f>
        <v>0</v>
      </c>
      <c r="AA87" s="460">
        <f t="shared" ref="AA87:AA89" si="147">V87+Z87</f>
        <v>0</v>
      </c>
      <c r="AB87" s="69">
        <f t="shared" ref="AB87:AB89" si="148">ROUND((V87+W87+X87)*33.8%,0)</f>
        <v>0</v>
      </c>
      <c r="AC87" s="69">
        <f t="shared" ref="AC87:AC89" si="149">ROUND(V87*1%,0)</f>
        <v>0</v>
      </c>
      <c r="AD87" s="460">
        <v>0</v>
      </c>
      <c r="AE87" s="460">
        <v>0</v>
      </c>
      <c r="AF87" s="460">
        <f>SUM(AD87:AE87)</f>
        <v>0</v>
      </c>
      <c r="AG87" s="460">
        <f>AA87+AB87+AC87+AF87</f>
        <v>0</v>
      </c>
      <c r="AH87" s="461">
        <v>0</v>
      </c>
      <c r="AI87" s="461">
        <v>0</v>
      </c>
      <c r="AJ87" s="461">
        <v>0</v>
      </c>
      <c r="AK87" s="461">
        <v>0</v>
      </c>
      <c r="AL87" s="461">
        <v>0</v>
      </c>
      <c r="AM87" s="461">
        <v>0</v>
      </c>
      <c r="AN87" s="461">
        <v>0</v>
      </c>
      <c r="AO87" s="461">
        <v>0</v>
      </c>
      <c r="AP87" s="461">
        <f t="shared" si="120"/>
        <v>0</v>
      </c>
      <c r="AQ87" s="461">
        <f t="shared" si="121"/>
        <v>0</v>
      </c>
      <c r="AR87" s="737">
        <f t="shared" si="122"/>
        <v>0</v>
      </c>
      <c r="AS87" s="470">
        <f t="shared" si="123"/>
        <v>5405660</v>
      </c>
      <c r="AT87" s="460">
        <f t="shared" si="124"/>
        <v>3988768</v>
      </c>
      <c r="AU87" s="460">
        <f t="shared" si="125"/>
        <v>0</v>
      </c>
      <c r="AV87" s="460">
        <f t="shared" si="126"/>
        <v>1348204</v>
      </c>
      <c r="AW87" s="460">
        <f t="shared" si="127"/>
        <v>39888</v>
      </c>
      <c r="AX87" s="460">
        <f t="shared" si="128"/>
        <v>28800</v>
      </c>
      <c r="AY87" s="461">
        <f t="shared" si="129"/>
        <v>7.8</v>
      </c>
      <c r="AZ87" s="461">
        <f t="shared" si="130"/>
        <v>6</v>
      </c>
      <c r="BA87" s="463">
        <f t="shared" si="131"/>
        <v>1.7999999999999998</v>
      </c>
    </row>
    <row r="88" spans="1:53" ht="14.1" customHeight="1" x14ac:dyDescent="0.2">
      <c r="A88" s="67">
        <v>21</v>
      </c>
      <c r="B88" s="64">
        <v>2430</v>
      </c>
      <c r="C88" s="65">
        <v>600079180</v>
      </c>
      <c r="D88" s="64">
        <v>46747532</v>
      </c>
      <c r="E88" s="66" t="s">
        <v>595</v>
      </c>
      <c r="F88" s="67">
        <v>3111</v>
      </c>
      <c r="G88" s="78" t="s">
        <v>308</v>
      </c>
      <c r="H88" s="68" t="s">
        <v>278</v>
      </c>
      <c r="I88" s="462">
        <v>0</v>
      </c>
      <c r="J88" s="457">
        <v>0</v>
      </c>
      <c r="K88" s="457">
        <v>0</v>
      </c>
      <c r="L88" s="457">
        <v>0</v>
      </c>
      <c r="M88" s="457">
        <v>0</v>
      </c>
      <c r="N88" s="458">
        <v>0</v>
      </c>
      <c r="O88" s="459">
        <v>0</v>
      </c>
      <c r="P88" s="646">
        <v>0</v>
      </c>
      <c r="Q88" s="469">
        <f t="shared" si="115"/>
        <v>0</v>
      </c>
      <c r="R88" s="469">
        <v>0</v>
      </c>
      <c r="S88" s="460">
        <v>0</v>
      </c>
      <c r="T88" s="460">
        <v>0</v>
      </c>
      <c r="U88" s="460">
        <v>0</v>
      </c>
      <c r="V88" s="460">
        <f>SUM(Q88:U88)</f>
        <v>0</v>
      </c>
      <c r="W88" s="460">
        <v>0</v>
      </c>
      <c r="X88" s="460">
        <v>0</v>
      </c>
      <c r="Y88" s="460">
        <v>0</v>
      </c>
      <c r="Z88" s="460">
        <f t="shared" si="146"/>
        <v>0</v>
      </c>
      <c r="AA88" s="460">
        <f t="shared" si="147"/>
        <v>0</v>
      </c>
      <c r="AB88" s="69">
        <f t="shared" si="148"/>
        <v>0</v>
      </c>
      <c r="AC88" s="69">
        <f t="shared" si="149"/>
        <v>0</v>
      </c>
      <c r="AD88" s="460">
        <v>0</v>
      </c>
      <c r="AE88" s="460">
        <v>0</v>
      </c>
      <c r="AF88" s="460">
        <f>SUM(AD88:AE88)</f>
        <v>0</v>
      </c>
      <c r="AG88" s="460">
        <f>AA88+AB88+AC88+AF88</f>
        <v>0</v>
      </c>
      <c r="AH88" s="461">
        <v>0</v>
      </c>
      <c r="AI88" s="461">
        <v>0</v>
      </c>
      <c r="AJ88" s="461">
        <v>0</v>
      </c>
      <c r="AK88" s="461">
        <v>0</v>
      </c>
      <c r="AL88" s="461">
        <v>0</v>
      </c>
      <c r="AM88" s="461">
        <v>0</v>
      </c>
      <c r="AN88" s="461">
        <v>0</v>
      </c>
      <c r="AO88" s="461">
        <v>0</v>
      </c>
      <c r="AP88" s="461">
        <f t="shared" si="120"/>
        <v>0</v>
      </c>
      <c r="AQ88" s="461">
        <f t="shared" si="121"/>
        <v>0</v>
      </c>
      <c r="AR88" s="737">
        <f t="shared" si="122"/>
        <v>0</v>
      </c>
      <c r="AS88" s="470">
        <f t="shared" si="123"/>
        <v>0</v>
      </c>
      <c r="AT88" s="460">
        <f t="shared" si="124"/>
        <v>0</v>
      </c>
      <c r="AU88" s="460">
        <f t="shared" si="125"/>
        <v>0</v>
      </c>
      <c r="AV88" s="460">
        <f t="shared" si="126"/>
        <v>0</v>
      </c>
      <c r="AW88" s="460">
        <f t="shared" si="127"/>
        <v>0</v>
      </c>
      <c r="AX88" s="460">
        <f t="shared" si="128"/>
        <v>0</v>
      </c>
      <c r="AY88" s="461">
        <f t="shared" si="129"/>
        <v>0</v>
      </c>
      <c r="AZ88" s="461">
        <f t="shared" si="130"/>
        <v>0</v>
      </c>
      <c r="BA88" s="463">
        <f t="shared" si="131"/>
        <v>0</v>
      </c>
    </row>
    <row r="89" spans="1:53" ht="14.1" customHeight="1" x14ac:dyDescent="0.2">
      <c r="A89" s="67">
        <v>21</v>
      </c>
      <c r="B89" s="64">
        <v>2430</v>
      </c>
      <c r="C89" s="65">
        <v>600079180</v>
      </c>
      <c r="D89" s="64">
        <v>46747532</v>
      </c>
      <c r="E89" s="66" t="s">
        <v>595</v>
      </c>
      <c r="F89" s="67">
        <v>3141</v>
      </c>
      <c r="G89" s="66" t="s">
        <v>311</v>
      </c>
      <c r="H89" s="68" t="s">
        <v>278</v>
      </c>
      <c r="I89" s="462">
        <v>823204</v>
      </c>
      <c r="J89" s="728">
        <v>607947</v>
      </c>
      <c r="K89" s="457">
        <v>205486</v>
      </c>
      <c r="L89" s="457">
        <v>6079</v>
      </c>
      <c r="M89" s="728">
        <v>3692</v>
      </c>
      <c r="N89" s="458">
        <v>1.95</v>
      </c>
      <c r="O89" s="459">
        <v>0</v>
      </c>
      <c r="P89" s="646">
        <v>1.95</v>
      </c>
      <c r="Q89" s="469">
        <f t="shared" si="115"/>
        <v>0</v>
      </c>
      <c r="R89" s="469">
        <v>0</v>
      </c>
      <c r="S89" s="460">
        <v>0</v>
      </c>
      <c r="T89" s="460">
        <v>0</v>
      </c>
      <c r="U89" s="460">
        <v>0</v>
      </c>
      <c r="V89" s="460">
        <f>SUM(Q89:U89)</f>
        <v>0</v>
      </c>
      <c r="W89" s="460">
        <v>0</v>
      </c>
      <c r="X89" s="460">
        <v>0</v>
      </c>
      <c r="Y89" s="460">
        <v>0</v>
      </c>
      <c r="Z89" s="460">
        <f t="shared" si="146"/>
        <v>0</v>
      </c>
      <c r="AA89" s="460">
        <f t="shared" si="147"/>
        <v>0</v>
      </c>
      <c r="AB89" s="69">
        <f t="shared" si="148"/>
        <v>0</v>
      </c>
      <c r="AC89" s="69">
        <f t="shared" si="149"/>
        <v>0</v>
      </c>
      <c r="AD89" s="460">
        <v>0</v>
      </c>
      <c r="AE89" s="460">
        <v>0</v>
      </c>
      <c r="AF89" s="460">
        <f>SUM(AD89:AE89)</f>
        <v>0</v>
      </c>
      <c r="AG89" s="460">
        <f>AA89+AB89+AC89+AF89</f>
        <v>0</v>
      </c>
      <c r="AH89" s="461">
        <v>0</v>
      </c>
      <c r="AI89" s="461">
        <v>0</v>
      </c>
      <c r="AJ89" s="461">
        <v>0</v>
      </c>
      <c r="AK89" s="461">
        <v>0</v>
      </c>
      <c r="AL89" s="461">
        <v>0</v>
      </c>
      <c r="AM89" s="461">
        <v>0</v>
      </c>
      <c r="AN89" s="461">
        <v>0</v>
      </c>
      <c r="AO89" s="461">
        <v>0</v>
      </c>
      <c r="AP89" s="461">
        <f t="shared" si="120"/>
        <v>0</v>
      </c>
      <c r="AQ89" s="461">
        <f t="shared" si="121"/>
        <v>0</v>
      </c>
      <c r="AR89" s="737">
        <f t="shared" si="122"/>
        <v>0</v>
      </c>
      <c r="AS89" s="470">
        <f t="shared" si="123"/>
        <v>823204</v>
      </c>
      <c r="AT89" s="460">
        <f t="shared" si="124"/>
        <v>607947</v>
      </c>
      <c r="AU89" s="460">
        <f t="shared" si="125"/>
        <v>0</v>
      </c>
      <c r="AV89" s="460">
        <f t="shared" si="126"/>
        <v>205486</v>
      </c>
      <c r="AW89" s="460">
        <f t="shared" si="127"/>
        <v>6079</v>
      </c>
      <c r="AX89" s="460">
        <f t="shared" si="128"/>
        <v>3692</v>
      </c>
      <c r="AY89" s="461">
        <f t="shared" si="129"/>
        <v>1.95</v>
      </c>
      <c r="AZ89" s="461">
        <f t="shared" si="130"/>
        <v>0</v>
      </c>
      <c r="BA89" s="463">
        <f t="shared" si="131"/>
        <v>1.95</v>
      </c>
    </row>
    <row r="90" spans="1:53" ht="13.5" customHeight="1" x14ac:dyDescent="0.2">
      <c r="A90" s="73">
        <v>21</v>
      </c>
      <c r="B90" s="70">
        <v>2430</v>
      </c>
      <c r="C90" s="71">
        <v>600079180</v>
      </c>
      <c r="D90" s="70">
        <v>46747532</v>
      </c>
      <c r="E90" s="72" t="s">
        <v>596</v>
      </c>
      <c r="F90" s="73"/>
      <c r="G90" s="72"/>
      <c r="H90" s="74"/>
      <c r="I90" s="701">
        <f t="shared" ref="I90:P90" si="150">SUM(I87:I89)</f>
        <v>6228864</v>
      </c>
      <c r="J90" s="75">
        <f t="shared" si="150"/>
        <v>4596715</v>
      </c>
      <c r="K90" s="75">
        <f t="shared" si="150"/>
        <v>1553690</v>
      </c>
      <c r="L90" s="75">
        <f t="shared" si="150"/>
        <v>45967</v>
      </c>
      <c r="M90" s="75">
        <f t="shared" si="150"/>
        <v>32492</v>
      </c>
      <c r="N90" s="76">
        <f t="shared" si="150"/>
        <v>9.75</v>
      </c>
      <c r="O90" s="76">
        <f t="shared" si="150"/>
        <v>6</v>
      </c>
      <c r="P90" s="77">
        <f t="shared" si="150"/>
        <v>3.75</v>
      </c>
      <c r="Q90" s="724">
        <f t="shared" ref="Q90:BA90" si="151">SUM(Q87:Q89)</f>
        <v>0</v>
      </c>
      <c r="R90" s="724">
        <f t="shared" si="151"/>
        <v>0</v>
      </c>
      <c r="S90" s="75">
        <f t="shared" si="151"/>
        <v>0</v>
      </c>
      <c r="T90" s="75">
        <f t="shared" si="151"/>
        <v>0</v>
      </c>
      <c r="U90" s="75">
        <f t="shared" si="151"/>
        <v>0</v>
      </c>
      <c r="V90" s="75">
        <f t="shared" si="151"/>
        <v>0</v>
      </c>
      <c r="W90" s="75">
        <f t="shared" si="151"/>
        <v>0</v>
      </c>
      <c r="X90" s="75">
        <f t="shared" si="151"/>
        <v>0</v>
      </c>
      <c r="Y90" s="75">
        <f t="shared" si="151"/>
        <v>0</v>
      </c>
      <c r="Z90" s="75">
        <f t="shared" si="151"/>
        <v>0</v>
      </c>
      <c r="AA90" s="75">
        <f t="shared" si="151"/>
        <v>0</v>
      </c>
      <c r="AB90" s="75">
        <f t="shared" si="151"/>
        <v>0</v>
      </c>
      <c r="AC90" s="75">
        <f t="shared" si="151"/>
        <v>0</v>
      </c>
      <c r="AD90" s="75">
        <f t="shared" si="151"/>
        <v>0</v>
      </c>
      <c r="AE90" s="75">
        <f t="shared" si="151"/>
        <v>0</v>
      </c>
      <c r="AF90" s="75">
        <f t="shared" si="151"/>
        <v>0</v>
      </c>
      <c r="AG90" s="75">
        <f t="shared" si="151"/>
        <v>0</v>
      </c>
      <c r="AH90" s="76">
        <f t="shared" si="151"/>
        <v>0</v>
      </c>
      <c r="AI90" s="76">
        <f t="shared" si="151"/>
        <v>0</v>
      </c>
      <c r="AJ90" s="76">
        <f t="shared" si="151"/>
        <v>0</v>
      </c>
      <c r="AK90" s="76">
        <f t="shared" si="151"/>
        <v>0</v>
      </c>
      <c r="AL90" s="76">
        <f t="shared" si="151"/>
        <v>0</v>
      </c>
      <c r="AM90" s="76">
        <f t="shared" si="151"/>
        <v>0</v>
      </c>
      <c r="AN90" s="76">
        <f t="shared" si="151"/>
        <v>0</v>
      </c>
      <c r="AO90" s="76">
        <f t="shared" si="151"/>
        <v>0</v>
      </c>
      <c r="AP90" s="76">
        <f t="shared" si="151"/>
        <v>0</v>
      </c>
      <c r="AQ90" s="76">
        <f t="shared" si="151"/>
        <v>0</v>
      </c>
      <c r="AR90" s="720">
        <f t="shared" si="151"/>
        <v>0</v>
      </c>
      <c r="AS90" s="701">
        <f t="shared" si="151"/>
        <v>6228864</v>
      </c>
      <c r="AT90" s="75">
        <f t="shared" si="151"/>
        <v>4596715</v>
      </c>
      <c r="AU90" s="75">
        <f t="shared" si="151"/>
        <v>0</v>
      </c>
      <c r="AV90" s="75">
        <f t="shared" si="151"/>
        <v>1553690</v>
      </c>
      <c r="AW90" s="75">
        <f t="shared" si="151"/>
        <v>45967</v>
      </c>
      <c r="AX90" s="75">
        <f t="shared" si="151"/>
        <v>32492</v>
      </c>
      <c r="AY90" s="76">
        <f t="shared" si="151"/>
        <v>9.75</v>
      </c>
      <c r="AZ90" s="76">
        <f t="shared" si="151"/>
        <v>6</v>
      </c>
      <c r="BA90" s="77">
        <f t="shared" si="151"/>
        <v>3.75</v>
      </c>
    </row>
    <row r="91" spans="1:53" ht="14.1" customHeight="1" x14ac:dyDescent="0.2">
      <c r="A91" s="67">
        <v>22</v>
      </c>
      <c r="B91" s="64">
        <v>2409</v>
      </c>
      <c r="C91" s="65">
        <v>600079635</v>
      </c>
      <c r="D91" s="64">
        <v>72742747</v>
      </c>
      <c r="E91" s="66" t="s">
        <v>597</v>
      </c>
      <c r="F91" s="67">
        <v>3111</v>
      </c>
      <c r="G91" s="66" t="s">
        <v>307</v>
      </c>
      <c r="H91" s="68" t="s">
        <v>277</v>
      </c>
      <c r="I91" s="462">
        <v>7868798</v>
      </c>
      <c r="J91" s="16">
        <v>5804375</v>
      </c>
      <c r="K91" s="457">
        <v>1961879</v>
      </c>
      <c r="L91" s="457">
        <v>58044</v>
      </c>
      <c r="M91" s="16">
        <v>44500</v>
      </c>
      <c r="N91" s="13">
        <v>11.700000000000001</v>
      </c>
      <c r="O91" s="13">
        <v>8.9</v>
      </c>
      <c r="P91" s="17">
        <v>2.8000000000000003</v>
      </c>
      <c r="Q91" s="469">
        <f t="shared" si="115"/>
        <v>0</v>
      </c>
      <c r="R91" s="469">
        <v>0</v>
      </c>
      <c r="S91" s="460">
        <v>0</v>
      </c>
      <c r="T91" s="460">
        <v>0</v>
      </c>
      <c r="U91" s="460">
        <v>0</v>
      </c>
      <c r="V91" s="460">
        <f>SUM(Q91:U91)</f>
        <v>0</v>
      </c>
      <c r="W91" s="460">
        <v>0</v>
      </c>
      <c r="X91" s="460">
        <v>0</v>
      </c>
      <c r="Y91" s="460">
        <v>0</v>
      </c>
      <c r="Z91" s="460">
        <f t="shared" ref="Z91:Z93" si="152">SUM(W91:Y91)</f>
        <v>0</v>
      </c>
      <c r="AA91" s="460">
        <f t="shared" ref="AA91:AA93" si="153">V91+Z91</f>
        <v>0</v>
      </c>
      <c r="AB91" s="69">
        <f t="shared" ref="AB91:AB93" si="154">ROUND((V91+W91+X91)*33.8%,0)</f>
        <v>0</v>
      </c>
      <c r="AC91" s="69">
        <f t="shared" ref="AC91:AC93" si="155">ROUND(V91*1%,0)</f>
        <v>0</v>
      </c>
      <c r="AD91" s="460">
        <v>0</v>
      </c>
      <c r="AE91" s="460">
        <v>0</v>
      </c>
      <c r="AF91" s="460">
        <f>SUM(AD91:AE91)</f>
        <v>0</v>
      </c>
      <c r="AG91" s="460">
        <f>AA91+AB91+AC91+AF91</f>
        <v>0</v>
      </c>
      <c r="AH91" s="461">
        <v>0</v>
      </c>
      <c r="AI91" s="461">
        <v>0</v>
      </c>
      <c r="AJ91" s="461">
        <v>0</v>
      </c>
      <c r="AK91" s="461">
        <v>0</v>
      </c>
      <c r="AL91" s="461">
        <v>0</v>
      </c>
      <c r="AM91" s="461">
        <v>0</v>
      </c>
      <c r="AN91" s="461">
        <v>0</v>
      </c>
      <c r="AO91" s="461">
        <v>0</v>
      </c>
      <c r="AP91" s="461">
        <f t="shared" si="120"/>
        <v>0</v>
      </c>
      <c r="AQ91" s="461">
        <f t="shared" si="121"/>
        <v>0</v>
      </c>
      <c r="AR91" s="737">
        <f t="shared" si="122"/>
        <v>0</v>
      </c>
      <c r="AS91" s="470">
        <f t="shared" si="123"/>
        <v>7868798</v>
      </c>
      <c r="AT91" s="460">
        <f t="shared" si="124"/>
        <v>5804375</v>
      </c>
      <c r="AU91" s="460">
        <f t="shared" si="125"/>
        <v>0</v>
      </c>
      <c r="AV91" s="460">
        <f t="shared" si="126"/>
        <v>1961879</v>
      </c>
      <c r="AW91" s="460">
        <f t="shared" si="127"/>
        <v>58044</v>
      </c>
      <c r="AX91" s="460">
        <f t="shared" si="128"/>
        <v>44500</v>
      </c>
      <c r="AY91" s="461">
        <f t="shared" si="129"/>
        <v>11.700000000000001</v>
      </c>
      <c r="AZ91" s="461">
        <f t="shared" si="130"/>
        <v>8.9</v>
      </c>
      <c r="BA91" s="463">
        <f t="shared" si="131"/>
        <v>2.8000000000000003</v>
      </c>
    </row>
    <row r="92" spans="1:53" ht="14.1" customHeight="1" x14ac:dyDescent="0.2">
      <c r="A92" s="67">
        <v>22</v>
      </c>
      <c r="B92" s="64">
        <v>2409</v>
      </c>
      <c r="C92" s="65">
        <v>600079635</v>
      </c>
      <c r="D92" s="64">
        <v>72742747</v>
      </c>
      <c r="E92" s="66" t="s">
        <v>597</v>
      </c>
      <c r="F92" s="67">
        <v>3111</v>
      </c>
      <c r="G92" s="66" t="s">
        <v>308</v>
      </c>
      <c r="H92" s="68" t="s">
        <v>278</v>
      </c>
      <c r="I92" s="462">
        <v>0</v>
      </c>
      <c r="J92" s="457">
        <v>0</v>
      </c>
      <c r="K92" s="457">
        <v>0</v>
      </c>
      <c r="L92" s="457">
        <v>0</v>
      </c>
      <c r="M92" s="457">
        <v>0</v>
      </c>
      <c r="N92" s="458">
        <v>0</v>
      </c>
      <c r="O92" s="459">
        <v>0</v>
      </c>
      <c r="P92" s="646">
        <v>0</v>
      </c>
      <c r="Q92" s="469">
        <f t="shared" si="115"/>
        <v>0</v>
      </c>
      <c r="R92" s="469">
        <v>225819</v>
      </c>
      <c r="S92" s="460">
        <v>0</v>
      </c>
      <c r="T92" s="460">
        <v>0</v>
      </c>
      <c r="U92" s="460">
        <v>0</v>
      </c>
      <c r="V92" s="460">
        <f>SUM(Q92:U92)</f>
        <v>225819</v>
      </c>
      <c r="W92" s="460">
        <v>0</v>
      </c>
      <c r="X92" s="460">
        <v>0</v>
      </c>
      <c r="Y92" s="460">
        <v>0</v>
      </c>
      <c r="Z92" s="460">
        <f t="shared" si="152"/>
        <v>0</v>
      </c>
      <c r="AA92" s="460">
        <f t="shared" si="153"/>
        <v>225819</v>
      </c>
      <c r="AB92" s="69">
        <f t="shared" si="154"/>
        <v>76327</v>
      </c>
      <c r="AC92" s="69">
        <f t="shared" si="155"/>
        <v>2258</v>
      </c>
      <c r="AD92" s="460">
        <v>0</v>
      </c>
      <c r="AE92" s="460">
        <v>0</v>
      </c>
      <c r="AF92" s="460">
        <f>SUM(AD92:AE92)</f>
        <v>0</v>
      </c>
      <c r="AG92" s="460">
        <f>AA92+AB92+AC92+AF92</f>
        <v>304404</v>
      </c>
      <c r="AH92" s="461">
        <v>0</v>
      </c>
      <c r="AI92" s="461">
        <v>0</v>
      </c>
      <c r="AJ92" s="461">
        <v>0.89</v>
      </c>
      <c r="AK92" s="461">
        <v>0</v>
      </c>
      <c r="AL92" s="461">
        <v>0</v>
      </c>
      <c r="AM92" s="461">
        <v>0</v>
      </c>
      <c r="AN92" s="461">
        <v>0</v>
      </c>
      <c r="AO92" s="461">
        <v>0</v>
      </c>
      <c r="AP92" s="461">
        <f t="shared" si="120"/>
        <v>0.89</v>
      </c>
      <c r="AQ92" s="461">
        <f t="shared" si="121"/>
        <v>0</v>
      </c>
      <c r="AR92" s="737">
        <f t="shared" si="122"/>
        <v>0.89</v>
      </c>
      <c r="AS92" s="470">
        <f t="shared" si="123"/>
        <v>304404</v>
      </c>
      <c r="AT92" s="460">
        <f t="shared" si="124"/>
        <v>225819</v>
      </c>
      <c r="AU92" s="460">
        <f t="shared" si="125"/>
        <v>0</v>
      </c>
      <c r="AV92" s="460">
        <f t="shared" si="126"/>
        <v>76327</v>
      </c>
      <c r="AW92" s="460">
        <f t="shared" si="127"/>
        <v>2258</v>
      </c>
      <c r="AX92" s="460">
        <f t="shared" si="128"/>
        <v>0</v>
      </c>
      <c r="AY92" s="461">
        <f t="shared" si="129"/>
        <v>0.89</v>
      </c>
      <c r="AZ92" s="461">
        <f t="shared" si="130"/>
        <v>0.89</v>
      </c>
      <c r="BA92" s="463">
        <f t="shared" si="131"/>
        <v>0</v>
      </c>
    </row>
    <row r="93" spans="1:53" ht="14.1" customHeight="1" x14ac:dyDescent="0.2">
      <c r="A93" s="67">
        <v>22</v>
      </c>
      <c r="B93" s="64">
        <v>2409</v>
      </c>
      <c r="C93" s="65">
        <v>600079635</v>
      </c>
      <c r="D93" s="64">
        <v>72742747</v>
      </c>
      <c r="E93" s="66" t="s">
        <v>597</v>
      </c>
      <c r="F93" s="67">
        <v>3141</v>
      </c>
      <c r="G93" s="66" t="s">
        <v>311</v>
      </c>
      <c r="H93" s="68" t="s">
        <v>278</v>
      </c>
      <c r="I93" s="462">
        <v>1298760</v>
      </c>
      <c r="J93" s="457">
        <v>959614</v>
      </c>
      <c r="K93" s="457">
        <v>324350</v>
      </c>
      <c r="L93" s="457">
        <v>9596</v>
      </c>
      <c r="M93" s="457">
        <v>5200</v>
      </c>
      <c r="N93" s="458">
        <v>3.08</v>
      </c>
      <c r="O93" s="459">
        <v>0</v>
      </c>
      <c r="P93" s="646">
        <v>3.08</v>
      </c>
      <c r="Q93" s="469">
        <f t="shared" si="115"/>
        <v>0</v>
      </c>
      <c r="R93" s="469">
        <v>0</v>
      </c>
      <c r="S93" s="460">
        <v>0</v>
      </c>
      <c r="T93" s="460">
        <v>0</v>
      </c>
      <c r="U93" s="460">
        <v>0</v>
      </c>
      <c r="V93" s="460">
        <f>SUM(Q93:U93)</f>
        <v>0</v>
      </c>
      <c r="W93" s="460">
        <v>0</v>
      </c>
      <c r="X93" s="460">
        <v>0</v>
      </c>
      <c r="Y93" s="460">
        <v>0</v>
      </c>
      <c r="Z93" s="460">
        <f t="shared" si="152"/>
        <v>0</v>
      </c>
      <c r="AA93" s="460">
        <f t="shared" si="153"/>
        <v>0</v>
      </c>
      <c r="AB93" s="69">
        <f t="shared" si="154"/>
        <v>0</v>
      </c>
      <c r="AC93" s="69">
        <f t="shared" si="155"/>
        <v>0</v>
      </c>
      <c r="AD93" s="460">
        <v>0</v>
      </c>
      <c r="AE93" s="460">
        <v>0</v>
      </c>
      <c r="AF93" s="460">
        <f>SUM(AD93:AE93)</f>
        <v>0</v>
      </c>
      <c r="AG93" s="460">
        <f>AA93+AB93+AC93+AF93</f>
        <v>0</v>
      </c>
      <c r="AH93" s="461">
        <v>0</v>
      </c>
      <c r="AI93" s="461">
        <v>0</v>
      </c>
      <c r="AJ93" s="461">
        <v>0</v>
      </c>
      <c r="AK93" s="461">
        <v>0</v>
      </c>
      <c r="AL93" s="461">
        <v>0</v>
      </c>
      <c r="AM93" s="461">
        <v>0</v>
      </c>
      <c r="AN93" s="461">
        <v>0</v>
      </c>
      <c r="AO93" s="461">
        <v>0</v>
      </c>
      <c r="AP93" s="461">
        <f t="shared" si="120"/>
        <v>0</v>
      </c>
      <c r="AQ93" s="461">
        <f t="shared" si="121"/>
        <v>0</v>
      </c>
      <c r="AR93" s="737">
        <f t="shared" si="122"/>
        <v>0</v>
      </c>
      <c r="AS93" s="470">
        <f t="shared" si="123"/>
        <v>1298760</v>
      </c>
      <c r="AT93" s="460">
        <f t="shared" si="124"/>
        <v>959614</v>
      </c>
      <c r="AU93" s="460">
        <f t="shared" si="125"/>
        <v>0</v>
      </c>
      <c r="AV93" s="460">
        <f t="shared" si="126"/>
        <v>324350</v>
      </c>
      <c r="AW93" s="460">
        <f t="shared" si="127"/>
        <v>9596</v>
      </c>
      <c r="AX93" s="460">
        <f t="shared" si="128"/>
        <v>5200</v>
      </c>
      <c r="AY93" s="461">
        <f t="shared" si="129"/>
        <v>3.08</v>
      </c>
      <c r="AZ93" s="461">
        <f t="shared" si="130"/>
        <v>0</v>
      </c>
      <c r="BA93" s="463">
        <f t="shared" si="131"/>
        <v>3.08</v>
      </c>
    </row>
    <row r="94" spans="1:53" ht="13.5" customHeight="1" x14ac:dyDescent="0.2">
      <c r="A94" s="73">
        <v>22</v>
      </c>
      <c r="B94" s="70">
        <v>2409</v>
      </c>
      <c r="C94" s="71">
        <v>600079635</v>
      </c>
      <c r="D94" s="70">
        <v>72742747</v>
      </c>
      <c r="E94" s="72" t="s">
        <v>598</v>
      </c>
      <c r="F94" s="73"/>
      <c r="G94" s="72"/>
      <c r="H94" s="74"/>
      <c r="I94" s="701">
        <f t="shared" ref="I94:P94" si="156">SUM(I91:I93)</f>
        <v>9167558</v>
      </c>
      <c r="J94" s="75">
        <f t="shared" si="156"/>
        <v>6763989</v>
      </c>
      <c r="K94" s="75">
        <f t="shared" si="156"/>
        <v>2286229</v>
      </c>
      <c r="L94" s="75">
        <f t="shared" si="156"/>
        <v>67640</v>
      </c>
      <c r="M94" s="75">
        <f t="shared" si="156"/>
        <v>49700</v>
      </c>
      <c r="N94" s="76">
        <f t="shared" si="156"/>
        <v>14.780000000000001</v>
      </c>
      <c r="O94" s="76">
        <f t="shared" si="156"/>
        <v>8.9</v>
      </c>
      <c r="P94" s="77">
        <f t="shared" si="156"/>
        <v>5.8800000000000008</v>
      </c>
      <c r="Q94" s="724">
        <f t="shared" ref="Q94:BA94" si="157">SUM(Q91:Q93)</f>
        <v>0</v>
      </c>
      <c r="R94" s="724">
        <f t="shared" si="157"/>
        <v>225819</v>
      </c>
      <c r="S94" s="75">
        <f t="shared" si="157"/>
        <v>0</v>
      </c>
      <c r="T94" s="75">
        <f t="shared" si="157"/>
        <v>0</v>
      </c>
      <c r="U94" s="75">
        <f t="shared" si="157"/>
        <v>0</v>
      </c>
      <c r="V94" s="75">
        <f t="shared" si="157"/>
        <v>225819</v>
      </c>
      <c r="W94" s="75">
        <f t="shared" si="157"/>
        <v>0</v>
      </c>
      <c r="X94" s="75">
        <f t="shared" si="157"/>
        <v>0</v>
      </c>
      <c r="Y94" s="75">
        <f t="shared" si="157"/>
        <v>0</v>
      </c>
      <c r="Z94" s="75">
        <f t="shared" si="157"/>
        <v>0</v>
      </c>
      <c r="AA94" s="75">
        <f t="shared" si="157"/>
        <v>225819</v>
      </c>
      <c r="AB94" s="75">
        <f t="shared" si="157"/>
        <v>76327</v>
      </c>
      <c r="AC94" s="75">
        <f t="shared" si="157"/>
        <v>2258</v>
      </c>
      <c r="AD94" s="75">
        <f t="shared" si="157"/>
        <v>0</v>
      </c>
      <c r="AE94" s="75">
        <f t="shared" si="157"/>
        <v>0</v>
      </c>
      <c r="AF94" s="75">
        <f t="shared" si="157"/>
        <v>0</v>
      </c>
      <c r="AG94" s="75">
        <f t="shared" si="157"/>
        <v>304404</v>
      </c>
      <c r="AH94" s="76">
        <f t="shared" si="157"/>
        <v>0</v>
      </c>
      <c r="AI94" s="76">
        <f t="shared" si="157"/>
        <v>0</v>
      </c>
      <c r="AJ94" s="76">
        <f t="shared" si="157"/>
        <v>0.89</v>
      </c>
      <c r="AK94" s="76">
        <f t="shared" si="157"/>
        <v>0</v>
      </c>
      <c r="AL94" s="76">
        <f t="shared" si="157"/>
        <v>0</v>
      </c>
      <c r="AM94" s="76">
        <f t="shared" si="157"/>
        <v>0</v>
      </c>
      <c r="AN94" s="76">
        <f t="shared" si="157"/>
        <v>0</v>
      </c>
      <c r="AO94" s="76">
        <f t="shared" si="157"/>
        <v>0</v>
      </c>
      <c r="AP94" s="76">
        <f t="shared" si="157"/>
        <v>0.89</v>
      </c>
      <c r="AQ94" s="76">
        <f t="shared" si="157"/>
        <v>0</v>
      </c>
      <c r="AR94" s="720">
        <f t="shared" si="157"/>
        <v>0.89</v>
      </c>
      <c r="AS94" s="701">
        <f t="shared" si="157"/>
        <v>9471962</v>
      </c>
      <c r="AT94" s="75">
        <f t="shared" si="157"/>
        <v>6989808</v>
      </c>
      <c r="AU94" s="75">
        <f t="shared" si="157"/>
        <v>0</v>
      </c>
      <c r="AV94" s="75">
        <f t="shared" si="157"/>
        <v>2362556</v>
      </c>
      <c r="AW94" s="75">
        <f t="shared" si="157"/>
        <v>69898</v>
      </c>
      <c r="AX94" s="75">
        <f t="shared" si="157"/>
        <v>49700</v>
      </c>
      <c r="AY94" s="76">
        <f t="shared" si="157"/>
        <v>15.670000000000002</v>
      </c>
      <c r="AZ94" s="76">
        <f t="shared" si="157"/>
        <v>9.7900000000000009</v>
      </c>
      <c r="BA94" s="77">
        <f t="shared" si="157"/>
        <v>5.8800000000000008</v>
      </c>
    </row>
    <row r="95" spans="1:53" ht="14.1" customHeight="1" x14ac:dyDescent="0.2">
      <c r="A95" s="67">
        <v>23</v>
      </c>
      <c r="B95" s="64">
        <v>2429</v>
      </c>
      <c r="C95" s="65">
        <v>600079244</v>
      </c>
      <c r="D95" s="64">
        <v>72741708</v>
      </c>
      <c r="E95" s="66" t="s">
        <v>599</v>
      </c>
      <c r="F95" s="67">
        <v>3111</v>
      </c>
      <c r="G95" s="66" t="s">
        <v>307</v>
      </c>
      <c r="H95" s="68" t="s">
        <v>277</v>
      </c>
      <c r="I95" s="462">
        <v>7335647</v>
      </c>
      <c r="J95" s="16">
        <v>5413388</v>
      </c>
      <c r="K95" s="457">
        <v>1829725</v>
      </c>
      <c r="L95" s="457">
        <v>54134</v>
      </c>
      <c r="M95" s="16">
        <v>38400</v>
      </c>
      <c r="N95" s="13">
        <v>10.851599999999999</v>
      </c>
      <c r="O95" s="13">
        <v>8.4515999999999991</v>
      </c>
      <c r="P95" s="17">
        <v>2.4000000000000004</v>
      </c>
      <c r="Q95" s="469">
        <f t="shared" si="115"/>
        <v>0</v>
      </c>
      <c r="R95" s="469">
        <v>0</v>
      </c>
      <c r="S95" s="460">
        <v>0</v>
      </c>
      <c r="T95" s="460">
        <v>0</v>
      </c>
      <c r="U95" s="460">
        <v>0</v>
      </c>
      <c r="V95" s="460">
        <f>SUM(Q95:U95)</f>
        <v>0</v>
      </c>
      <c r="W95" s="460">
        <v>0</v>
      </c>
      <c r="X95" s="460">
        <v>0</v>
      </c>
      <c r="Y95" s="460">
        <v>0</v>
      </c>
      <c r="Z95" s="460">
        <f t="shared" ref="Z95:Z97" si="158">SUM(W95:Y95)</f>
        <v>0</v>
      </c>
      <c r="AA95" s="460">
        <f t="shared" ref="AA95:AA97" si="159">V95+Z95</f>
        <v>0</v>
      </c>
      <c r="AB95" s="69">
        <f t="shared" ref="AB95:AB97" si="160">ROUND((V95+W95+X95)*33.8%,0)</f>
        <v>0</v>
      </c>
      <c r="AC95" s="69">
        <f t="shared" ref="AC95:AC97" si="161">ROUND(V95*1%,0)</f>
        <v>0</v>
      </c>
      <c r="AD95" s="460">
        <v>0</v>
      </c>
      <c r="AE95" s="460">
        <v>0</v>
      </c>
      <c r="AF95" s="460">
        <f>SUM(AD95:AE95)</f>
        <v>0</v>
      </c>
      <c r="AG95" s="460">
        <f>AA95+AB95+AC95+AF95</f>
        <v>0</v>
      </c>
      <c r="AH95" s="461">
        <v>0</v>
      </c>
      <c r="AI95" s="461">
        <v>0</v>
      </c>
      <c r="AJ95" s="461">
        <v>0</v>
      </c>
      <c r="AK95" s="461">
        <v>0</v>
      </c>
      <c r="AL95" s="461">
        <v>0</v>
      </c>
      <c r="AM95" s="461">
        <v>0</v>
      </c>
      <c r="AN95" s="461">
        <v>0</v>
      </c>
      <c r="AO95" s="461">
        <v>0</v>
      </c>
      <c r="AP95" s="461">
        <f t="shared" si="120"/>
        <v>0</v>
      </c>
      <c r="AQ95" s="461">
        <f t="shared" si="121"/>
        <v>0</v>
      </c>
      <c r="AR95" s="737">
        <f t="shared" si="122"/>
        <v>0</v>
      </c>
      <c r="AS95" s="470">
        <f t="shared" si="123"/>
        <v>7335647</v>
      </c>
      <c r="AT95" s="460">
        <f t="shared" si="124"/>
        <v>5413388</v>
      </c>
      <c r="AU95" s="460">
        <f t="shared" si="125"/>
        <v>0</v>
      </c>
      <c r="AV95" s="460">
        <f t="shared" si="126"/>
        <v>1829725</v>
      </c>
      <c r="AW95" s="460">
        <f t="shared" si="127"/>
        <v>54134</v>
      </c>
      <c r="AX95" s="460">
        <f t="shared" si="128"/>
        <v>38400</v>
      </c>
      <c r="AY95" s="461">
        <f t="shared" si="129"/>
        <v>10.851599999999999</v>
      </c>
      <c r="AZ95" s="461">
        <f t="shared" si="130"/>
        <v>8.4515999999999991</v>
      </c>
      <c r="BA95" s="463">
        <f t="shared" si="131"/>
        <v>2.4000000000000004</v>
      </c>
    </row>
    <row r="96" spans="1:53" ht="14.1" customHeight="1" x14ac:dyDescent="0.2">
      <c r="A96" s="67">
        <v>23</v>
      </c>
      <c r="B96" s="64">
        <v>2429</v>
      </c>
      <c r="C96" s="65">
        <v>600079244</v>
      </c>
      <c r="D96" s="64">
        <v>72741708</v>
      </c>
      <c r="E96" s="66" t="s">
        <v>599</v>
      </c>
      <c r="F96" s="67">
        <v>3111</v>
      </c>
      <c r="G96" s="78" t="s">
        <v>308</v>
      </c>
      <c r="H96" s="68" t="s">
        <v>278</v>
      </c>
      <c r="I96" s="462">
        <v>0</v>
      </c>
      <c r="J96" s="457">
        <v>0</v>
      </c>
      <c r="K96" s="457">
        <v>0</v>
      </c>
      <c r="L96" s="457">
        <v>0</v>
      </c>
      <c r="M96" s="457">
        <v>0</v>
      </c>
      <c r="N96" s="458">
        <v>0</v>
      </c>
      <c r="O96" s="459">
        <v>0</v>
      </c>
      <c r="P96" s="646">
        <v>0</v>
      </c>
      <c r="Q96" s="469">
        <f t="shared" si="115"/>
        <v>0</v>
      </c>
      <c r="R96" s="469">
        <v>519670</v>
      </c>
      <c r="S96" s="460">
        <v>0</v>
      </c>
      <c r="T96" s="460">
        <v>0</v>
      </c>
      <c r="U96" s="460">
        <v>0</v>
      </c>
      <c r="V96" s="460">
        <f>SUM(Q96:U96)</f>
        <v>519670</v>
      </c>
      <c r="W96" s="460">
        <v>0</v>
      </c>
      <c r="X96" s="460">
        <v>0</v>
      </c>
      <c r="Y96" s="460">
        <v>0</v>
      </c>
      <c r="Z96" s="460">
        <f t="shared" si="158"/>
        <v>0</v>
      </c>
      <c r="AA96" s="460">
        <f t="shared" si="159"/>
        <v>519670</v>
      </c>
      <c r="AB96" s="69">
        <f t="shared" si="160"/>
        <v>175648</v>
      </c>
      <c r="AC96" s="69">
        <f t="shared" si="161"/>
        <v>5197</v>
      </c>
      <c r="AD96" s="460">
        <v>1500</v>
      </c>
      <c r="AE96" s="460">
        <v>0</v>
      </c>
      <c r="AF96" s="460">
        <f>SUM(AD96:AE96)</f>
        <v>1500</v>
      </c>
      <c r="AG96" s="460">
        <f>AA96+AB96+AC96+AF96</f>
        <v>702015</v>
      </c>
      <c r="AH96" s="461">
        <v>0</v>
      </c>
      <c r="AI96" s="461">
        <v>0</v>
      </c>
      <c r="AJ96" s="461">
        <v>1.5</v>
      </c>
      <c r="AK96" s="461">
        <v>0</v>
      </c>
      <c r="AL96" s="461">
        <v>0</v>
      </c>
      <c r="AM96" s="461">
        <v>0</v>
      </c>
      <c r="AN96" s="461">
        <v>0</v>
      </c>
      <c r="AO96" s="461">
        <v>0</v>
      </c>
      <c r="AP96" s="461">
        <f t="shared" si="120"/>
        <v>1.5</v>
      </c>
      <c r="AQ96" s="461">
        <f t="shared" si="121"/>
        <v>0</v>
      </c>
      <c r="AR96" s="737">
        <f t="shared" si="122"/>
        <v>1.5</v>
      </c>
      <c r="AS96" s="470">
        <f t="shared" si="123"/>
        <v>702015</v>
      </c>
      <c r="AT96" s="460">
        <f t="shared" si="124"/>
        <v>519670</v>
      </c>
      <c r="AU96" s="460">
        <f t="shared" si="125"/>
        <v>0</v>
      </c>
      <c r="AV96" s="460">
        <f t="shared" si="126"/>
        <v>175648</v>
      </c>
      <c r="AW96" s="460">
        <f t="shared" si="127"/>
        <v>5197</v>
      </c>
      <c r="AX96" s="460">
        <f t="shared" si="128"/>
        <v>1500</v>
      </c>
      <c r="AY96" s="461">
        <f t="shared" si="129"/>
        <v>1.5</v>
      </c>
      <c r="AZ96" s="461">
        <f t="shared" si="130"/>
        <v>1.5</v>
      </c>
      <c r="BA96" s="463">
        <f t="shared" si="131"/>
        <v>0</v>
      </c>
    </row>
    <row r="97" spans="1:53" ht="14.1" customHeight="1" x14ac:dyDescent="0.2">
      <c r="A97" s="67">
        <v>23</v>
      </c>
      <c r="B97" s="64">
        <v>2429</v>
      </c>
      <c r="C97" s="65">
        <v>600079244</v>
      </c>
      <c r="D97" s="64">
        <v>72741708</v>
      </c>
      <c r="E97" s="66" t="s">
        <v>599</v>
      </c>
      <c r="F97" s="67">
        <v>3141</v>
      </c>
      <c r="G97" s="66" t="s">
        <v>311</v>
      </c>
      <c r="H97" s="68" t="s">
        <v>278</v>
      </c>
      <c r="I97" s="462">
        <v>1013897</v>
      </c>
      <c r="J97" s="728">
        <v>748446</v>
      </c>
      <c r="K97" s="457">
        <v>252975</v>
      </c>
      <c r="L97" s="457">
        <v>7484</v>
      </c>
      <c r="M97" s="728">
        <v>4992</v>
      </c>
      <c r="N97" s="458">
        <v>2.41</v>
      </c>
      <c r="O97" s="459">
        <v>0</v>
      </c>
      <c r="P97" s="646">
        <v>2.41</v>
      </c>
      <c r="Q97" s="469">
        <f t="shared" si="115"/>
        <v>0</v>
      </c>
      <c r="R97" s="469">
        <v>0</v>
      </c>
      <c r="S97" s="460">
        <v>0</v>
      </c>
      <c r="T97" s="460">
        <v>0</v>
      </c>
      <c r="U97" s="460">
        <v>0</v>
      </c>
      <c r="V97" s="460">
        <f>SUM(Q97:U97)</f>
        <v>0</v>
      </c>
      <c r="W97" s="460">
        <v>0</v>
      </c>
      <c r="X97" s="460">
        <v>0</v>
      </c>
      <c r="Y97" s="460">
        <v>0</v>
      </c>
      <c r="Z97" s="460">
        <f t="shared" si="158"/>
        <v>0</v>
      </c>
      <c r="AA97" s="460">
        <f t="shared" si="159"/>
        <v>0</v>
      </c>
      <c r="AB97" s="69">
        <f t="shared" si="160"/>
        <v>0</v>
      </c>
      <c r="AC97" s="69">
        <f t="shared" si="161"/>
        <v>0</v>
      </c>
      <c r="AD97" s="460">
        <v>0</v>
      </c>
      <c r="AE97" s="460">
        <v>0</v>
      </c>
      <c r="AF97" s="460">
        <f>SUM(AD97:AE97)</f>
        <v>0</v>
      </c>
      <c r="AG97" s="460">
        <f>AA97+AB97+AC97+AF97</f>
        <v>0</v>
      </c>
      <c r="AH97" s="461">
        <v>0</v>
      </c>
      <c r="AI97" s="461">
        <v>0</v>
      </c>
      <c r="AJ97" s="461">
        <v>0</v>
      </c>
      <c r="AK97" s="461">
        <v>0</v>
      </c>
      <c r="AL97" s="461">
        <v>0</v>
      </c>
      <c r="AM97" s="461">
        <v>0</v>
      </c>
      <c r="AN97" s="461">
        <v>0</v>
      </c>
      <c r="AO97" s="461">
        <v>0</v>
      </c>
      <c r="AP97" s="461">
        <f t="shared" si="120"/>
        <v>0</v>
      </c>
      <c r="AQ97" s="461">
        <f t="shared" si="121"/>
        <v>0</v>
      </c>
      <c r="AR97" s="737">
        <f t="shared" si="122"/>
        <v>0</v>
      </c>
      <c r="AS97" s="470">
        <f t="shared" si="123"/>
        <v>1013897</v>
      </c>
      <c r="AT97" s="460">
        <f t="shared" si="124"/>
        <v>748446</v>
      </c>
      <c r="AU97" s="460">
        <f t="shared" si="125"/>
        <v>0</v>
      </c>
      <c r="AV97" s="460">
        <f t="shared" si="126"/>
        <v>252975</v>
      </c>
      <c r="AW97" s="460">
        <f t="shared" si="127"/>
        <v>7484</v>
      </c>
      <c r="AX97" s="460">
        <f t="shared" si="128"/>
        <v>4992</v>
      </c>
      <c r="AY97" s="461">
        <f t="shared" si="129"/>
        <v>2.41</v>
      </c>
      <c r="AZ97" s="461">
        <f t="shared" si="130"/>
        <v>0</v>
      </c>
      <c r="BA97" s="463">
        <f t="shared" si="131"/>
        <v>2.41</v>
      </c>
    </row>
    <row r="98" spans="1:53" ht="13.5" customHeight="1" x14ac:dyDescent="0.2">
      <c r="A98" s="73">
        <v>23</v>
      </c>
      <c r="B98" s="70">
        <v>2429</v>
      </c>
      <c r="C98" s="71">
        <v>600079244</v>
      </c>
      <c r="D98" s="70">
        <v>72741708</v>
      </c>
      <c r="E98" s="72" t="s">
        <v>600</v>
      </c>
      <c r="F98" s="73"/>
      <c r="G98" s="72"/>
      <c r="H98" s="74"/>
      <c r="I98" s="701">
        <f t="shared" ref="I98:P98" si="162">SUM(I95:I97)</f>
        <v>8349544</v>
      </c>
      <c r="J98" s="75">
        <f t="shared" si="162"/>
        <v>6161834</v>
      </c>
      <c r="K98" s="75">
        <f t="shared" si="162"/>
        <v>2082700</v>
      </c>
      <c r="L98" s="75">
        <f t="shared" si="162"/>
        <v>61618</v>
      </c>
      <c r="M98" s="75">
        <f t="shared" si="162"/>
        <v>43392</v>
      </c>
      <c r="N98" s="76">
        <f t="shared" si="162"/>
        <v>13.2616</v>
      </c>
      <c r="O98" s="76">
        <f t="shared" si="162"/>
        <v>8.4515999999999991</v>
      </c>
      <c r="P98" s="77">
        <f t="shared" si="162"/>
        <v>4.8100000000000005</v>
      </c>
      <c r="Q98" s="724">
        <f t="shared" ref="Q98:BA98" si="163">SUM(Q95:Q97)</f>
        <v>0</v>
      </c>
      <c r="R98" s="724">
        <f t="shared" si="163"/>
        <v>519670</v>
      </c>
      <c r="S98" s="75">
        <f t="shared" si="163"/>
        <v>0</v>
      </c>
      <c r="T98" s="75">
        <f t="shared" si="163"/>
        <v>0</v>
      </c>
      <c r="U98" s="75">
        <f t="shared" si="163"/>
        <v>0</v>
      </c>
      <c r="V98" s="75">
        <f t="shared" si="163"/>
        <v>519670</v>
      </c>
      <c r="W98" s="75">
        <f t="shared" si="163"/>
        <v>0</v>
      </c>
      <c r="X98" s="75">
        <f t="shared" si="163"/>
        <v>0</v>
      </c>
      <c r="Y98" s="75">
        <f t="shared" si="163"/>
        <v>0</v>
      </c>
      <c r="Z98" s="75">
        <f t="shared" si="163"/>
        <v>0</v>
      </c>
      <c r="AA98" s="75">
        <f t="shared" si="163"/>
        <v>519670</v>
      </c>
      <c r="AB98" s="75">
        <f t="shared" si="163"/>
        <v>175648</v>
      </c>
      <c r="AC98" s="75">
        <f t="shared" si="163"/>
        <v>5197</v>
      </c>
      <c r="AD98" s="75">
        <f t="shared" si="163"/>
        <v>1500</v>
      </c>
      <c r="AE98" s="75">
        <f t="shared" si="163"/>
        <v>0</v>
      </c>
      <c r="AF98" s="75">
        <f t="shared" si="163"/>
        <v>1500</v>
      </c>
      <c r="AG98" s="75">
        <f t="shared" si="163"/>
        <v>702015</v>
      </c>
      <c r="AH98" s="76">
        <f t="shared" si="163"/>
        <v>0</v>
      </c>
      <c r="AI98" s="76">
        <f t="shared" si="163"/>
        <v>0</v>
      </c>
      <c r="AJ98" s="76">
        <f t="shared" si="163"/>
        <v>1.5</v>
      </c>
      <c r="AK98" s="76">
        <f t="shared" si="163"/>
        <v>0</v>
      </c>
      <c r="AL98" s="76">
        <f t="shared" si="163"/>
        <v>0</v>
      </c>
      <c r="AM98" s="76">
        <f t="shared" si="163"/>
        <v>0</v>
      </c>
      <c r="AN98" s="76">
        <f t="shared" si="163"/>
        <v>0</v>
      </c>
      <c r="AO98" s="76">
        <f t="shared" si="163"/>
        <v>0</v>
      </c>
      <c r="AP98" s="76">
        <f t="shared" si="163"/>
        <v>1.5</v>
      </c>
      <c r="AQ98" s="76">
        <f t="shared" si="163"/>
        <v>0</v>
      </c>
      <c r="AR98" s="720">
        <f t="shared" si="163"/>
        <v>1.5</v>
      </c>
      <c r="AS98" s="701">
        <f t="shared" si="163"/>
        <v>9051559</v>
      </c>
      <c r="AT98" s="75">
        <f t="shared" si="163"/>
        <v>6681504</v>
      </c>
      <c r="AU98" s="75">
        <f t="shared" si="163"/>
        <v>0</v>
      </c>
      <c r="AV98" s="75">
        <f t="shared" si="163"/>
        <v>2258348</v>
      </c>
      <c r="AW98" s="75">
        <f t="shared" si="163"/>
        <v>66815</v>
      </c>
      <c r="AX98" s="75">
        <f t="shared" si="163"/>
        <v>44892</v>
      </c>
      <c r="AY98" s="76">
        <f t="shared" si="163"/>
        <v>14.7616</v>
      </c>
      <c r="AZ98" s="76">
        <f t="shared" si="163"/>
        <v>9.9515999999999991</v>
      </c>
      <c r="BA98" s="77">
        <f t="shared" si="163"/>
        <v>4.8100000000000005</v>
      </c>
    </row>
    <row r="99" spans="1:53" ht="14.1" customHeight="1" x14ac:dyDescent="0.2">
      <c r="A99" s="67">
        <v>24</v>
      </c>
      <c r="B99" s="64">
        <v>2412</v>
      </c>
      <c r="C99" s="65">
        <v>600079252</v>
      </c>
      <c r="D99" s="64">
        <v>72742429</v>
      </c>
      <c r="E99" s="66" t="s">
        <v>601</v>
      </c>
      <c r="F99" s="67">
        <v>3111</v>
      </c>
      <c r="G99" s="66" t="s">
        <v>307</v>
      </c>
      <c r="H99" s="68" t="s">
        <v>277</v>
      </c>
      <c r="I99" s="462">
        <v>10808703</v>
      </c>
      <c r="J99" s="16">
        <v>7980047</v>
      </c>
      <c r="K99" s="457">
        <v>2697256</v>
      </c>
      <c r="L99" s="457">
        <v>79800</v>
      </c>
      <c r="M99" s="16">
        <v>51600</v>
      </c>
      <c r="N99" s="13">
        <v>16.671900000000001</v>
      </c>
      <c r="O99" s="13">
        <v>12.741899999999999</v>
      </c>
      <c r="P99" s="17">
        <v>3.9299999999999997</v>
      </c>
      <c r="Q99" s="469">
        <f t="shared" si="115"/>
        <v>0</v>
      </c>
      <c r="R99" s="469">
        <v>0</v>
      </c>
      <c r="S99" s="460">
        <v>0</v>
      </c>
      <c r="T99" s="460">
        <v>0</v>
      </c>
      <c r="U99" s="460">
        <v>0</v>
      </c>
      <c r="V99" s="460">
        <f>SUM(Q99:U99)</f>
        <v>0</v>
      </c>
      <c r="W99" s="460">
        <v>0</v>
      </c>
      <c r="X99" s="460">
        <v>0</v>
      </c>
      <c r="Y99" s="460">
        <v>0</v>
      </c>
      <c r="Z99" s="460">
        <f t="shared" ref="Z99:Z101" si="164">SUM(W99:Y99)</f>
        <v>0</v>
      </c>
      <c r="AA99" s="460">
        <f t="shared" ref="AA99:AA101" si="165">V99+Z99</f>
        <v>0</v>
      </c>
      <c r="AB99" s="69">
        <f t="shared" ref="AB99:AB101" si="166">ROUND((V99+W99+X99)*33.8%,0)</f>
        <v>0</v>
      </c>
      <c r="AC99" s="69">
        <f t="shared" ref="AC99:AC101" si="167">ROUND(V99*1%,0)</f>
        <v>0</v>
      </c>
      <c r="AD99" s="460">
        <v>0</v>
      </c>
      <c r="AE99" s="460">
        <v>0</v>
      </c>
      <c r="AF99" s="460">
        <f>SUM(AD99:AE99)</f>
        <v>0</v>
      </c>
      <c r="AG99" s="460">
        <f>AA99+AB99+AC99+AF99</f>
        <v>0</v>
      </c>
      <c r="AH99" s="461">
        <v>0</v>
      </c>
      <c r="AI99" s="461">
        <v>0</v>
      </c>
      <c r="AJ99" s="461">
        <v>0</v>
      </c>
      <c r="AK99" s="461">
        <v>0</v>
      </c>
      <c r="AL99" s="461">
        <v>0</v>
      </c>
      <c r="AM99" s="461">
        <v>0</v>
      </c>
      <c r="AN99" s="461">
        <v>0</v>
      </c>
      <c r="AO99" s="461">
        <v>0</v>
      </c>
      <c r="AP99" s="461">
        <f t="shared" si="120"/>
        <v>0</v>
      </c>
      <c r="AQ99" s="461">
        <f t="shared" si="121"/>
        <v>0</v>
      </c>
      <c r="AR99" s="737">
        <f t="shared" si="122"/>
        <v>0</v>
      </c>
      <c r="AS99" s="470">
        <f t="shared" si="123"/>
        <v>10808703</v>
      </c>
      <c r="AT99" s="460">
        <f t="shared" si="124"/>
        <v>7980047</v>
      </c>
      <c r="AU99" s="460">
        <f t="shared" si="125"/>
        <v>0</v>
      </c>
      <c r="AV99" s="460">
        <f t="shared" si="126"/>
        <v>2697256</v>
      </c>
      <c r="AW99" s="460">
        <f t="shared" si="127"/>
        <v>79800</v>
      </c>
      <c r="AX99" s="460">
        <f t="shared" si="128"/>
        <v>51600</v>
      </c>
      <c r="AY99" s="461">
        <f t="shared" si="129"/>
        <v>16.671900000000001</v>
      </c>
      <c r="AZ99" s="461">
        <f t="shared" si="130"/>
        <v>12.741899999999999</v>
      </c>
      <c r="BA99" s="463">
        <f t="shared" si="131"/>
        <v>3.9299999999999997</v>
      </c>
    </row>
    <row r="100" spans="1:53" ht="14.1" customHeight="1" x14ac:dyDescent="0.2">
      <c r="A100" s="67">
        <v>24</v>
      </c>
      <c r="B100" s="64">
        <v>2412</v>
      </c>
      <c r="C100" s="65">
        <v>600079252</v>
      </c>
      <c r="D100" s="64">
        <v>72742429</v>
      </c>
      <c r="E100" s="66" t="s">
        <v>601</v>
      </c>
      <c r="F100" s="67">
        <v>3111</v>
      </c>
      <c r="G100" s="78" t="s">
        <v>308</v>
      </c>
      <c r="H100" s="68" t="s">
        <v>278</v>
      </c>
      <c r="I100" s="462">
        <v>0</v>
      </c>
      <c r="J100" s="457">
        <v>0</v>
      </c>
      <c r="K100" s="457">
        <v>0</v>
      </c>
      <c r="L100" s="457">
        <v>0</v>
      </c>
      <c r="M100" s="457">
        <v>0</v>
      </c>
      <c r="N100" s="458">
        <v>0</v>
      </c>
      <c r="O100" s="459">
        <v>0</v>
      </c>
      <c r="P100" s="646">
        <v>0</v>
      </c>
      <c r="Q100" s="469">
        <f t="shared" si="115"/>
        <v>0</v>
      </c>
      <c r="R100" s="469">
        <v>762302</v>
      </c>
      <c r="S100" s="460">
        <v>0</v>
      </c>
      <c r="T100" s="460">
        <v>0</v>
      </c>
      <c r="U100" s="460">
        <v>0</v>
      </c>
      <c r="V100" s="460">
        <f>SUM(Q100:U100)</f>
        <v>762302</v>
      </c>
      <c r="W100" s="460">
        <v>0</v>
      </c>
      <c r="X100" s="460">
        <v>0</v>
      </c>
      <c r="Y100" s="460">
        <v>0</v>
      </c>
      <c r="Z100" s="460">
        <f t="shared" si="164"/>
        <v>0</v>
      </c>
      <c r="AA100" s="460">
        <f t="shared" si="165"/>
        <v>762302</v>
      </c>
      <c r="AB100" s="69">
        <f t="shared" si="166"/>
        <v>257658</v>
      </c>
      <c r="AC100" s="69">
        <f t="shared" si="167"/>
        <v>7623</v>
      </c>
      <c r="AD100" s="460">
        <v>0</v>
      </c>
      <c r="AE100" s="460">
        <v>0</v>
      </c>
      <c r="AF100" s="460">
        <f>SUM(AD100:AE100)</f>
        <v>0</v>
      </c>
      <c r="AG100" s="460">
        <f>AA100+AB100+AC100+AF100</f>
        <v>1027583</v>
      </c>
      <c r="AH100" s="461">
        <v>0</v>
      </c>
      <c r="AI100" s="461">
        <v>0</v>
      </c>
      <c r="AJ100" s="461">
        <v>2.15</v>
      </c>
      <c r="AK100" s="461">
        <v>0</v>
      </c>
      <c r="AL100" s="461">
        <v>0</v>
      </c>
      <c r="AM100" s="461">
        <v>0</v>
      </c>
      <c r="AN100" s="461">
        <v>0</v>
      </c>
      <c r="AO100" s="461">
        <v>0</v>
      </c>
      <c r="AP100" s="461">
        <f t="shared" si="120"/>
        <v>2.15</v>
      </c>
      <c r="AQ100" s="461">
        <f t="shared" si="121"/>
        <v>0</v>
      </c>
      <c r="AR100" s="737">
        <f t="shared" si="122"/>
        <v>2.15</v>
      </c>
      <c r="AS100" s="470">
        <f t="shared" si="123"/>
        <v>1027583</v>
      </c>
      <c r="AT100" s="460">
        <f t="shared" si="124"/>
        <v>762302</v>
      </c>
      <c r="AU100" s="460">
        <f t="shared" si="125"/>
        <v>0</v>
      </c>
      <c r="AV100" s="460">
        <f t="shared" si="126"/>
        <v>257658</v>
      </c>
      <c r="AW100" s="460">
        <f t="shared" si="127"/>
        <v>7623</v>
      </c>
      <c r="AX100" s="460">
        <f t="shared" si="128"/>
        <v>0</v>
      </c>
      <c r="AY100" s="461">
        <f t="shared" si="129"/>
        <v>2.15</v>
      </c>
      <c r="AZ100" s="461">
        <f t="shared" si="130"/>
        <v>2.15</v>
      </c>
      <c r="BA100" s="463">
        <f t="shared" si="131"/>
        <v>0</v>
      </c>
    </row>
    <row r="101" spans="1:53" ht="14.1" customHeight="1" x14ac:dyDescent="0.2">
      <c r="A101" s="67">
        <v>24</v>
      </c>
      <c r="B101" s="64">
        <v>2412</v>
      </c>
      <c r="C101" s="65">
        <v>600079252</v>
      </c>
      <c r="D101" s="64">
        <v>72742429</v>
      </c>
      <c r="E101" s="66" t="s">
        <v>601</v>
      </c>
      <c r="F101" s="67">
        <v>3141</v>
      </c>
      <c r="G101" s="66" t="s">
        <v>311</v>
      </c>
      <c r="H101" s="68" t="s">
        <v>278</v>
      </c>
      <c r="I101" s="462">
        <v>1489690</v>
      </c>
      <c r="J101" s="457">
        <v>1100212</v>
      </c>
      <c r="K101" s="457">
        <v>371872</v>
      </c>
      <c r="L101" s="457">
        <v>11002</v>
      </c>
      <c r="M101" s="457">
        <v>6604</v>
      </c>
      <c r="N101" s="458">
        <v>3.53</v>
      </c>
      <c r="O101" s="459">
        <v>0</v>
      </c>
      <c r="P101" s="646">
        <v>3.53</v>
      </c>
      <c r="Q101" s="469">
        <f t="shared" si="115"/>
        <v>0</v>
      </c>
      <c r="R101" s="469">
        <v>0</v>
      </c>
      <c r="S101" s="460">
        <v>0</v>
      </c>
      <c r="T101" s="460">
        <v>0</v>
      </c>
      <c r="U101" s="460">
        <v>0</v>
      </c>
      <c r="V101" s="460">
        <f>SUM(Q101:U101)</f>
        <v>0</v>
      </c>
      <c r="W101" s="460">
        <v>0</v>
      </c>
      <c r="X101" s="460">
        <v>0</v>
      </c>
      <c r="Y101" s="460">
        <v>0</v>
      </c>
      <c r="Z101" s="460">
        <f t="shared" si="164"/>
        <v>0</v>
      </c>
      <c r="AA101" s="460">
        <f t="shared" si="165"/>
        <v>0</v>
      </c>
      <c r="AB101" s="69">
        <f t="shared" si="166"/>
        <v>0</v>
      </c>
      <c r="AC101" s="69">
        <f t="shared" si="167"/>
        <v>0</v>
      </c>
      <c r="AD101" s="460">
        <v>0</v>
      </c>
      <c r="AE101" s="460">
        <v>0</v>
      </c>
      <c r="AF101" s="460">
        <f>SUM(AD101:AE101)</f>
        <v>0</v>
      </c>
      <c r="AG101" s="460">
        <f>AA101+AB101+AC101+AF101</f>
        <v>0</v>
      </c>
      <c r="AH101" s="461">
        <v>0</v>
      </c>
      <c r="AI101" s="461">
        <v>0</v>
      </c>
      <c r="AJ101" s="461">
        <v>0</v>
      </c>
      <c r="AK101" s="461">
        <v>0</v>
      </c>
      <c r="AL101" s="461">
        <v>0</v>
      </c>
      <c r="AM101" s="461">
        <v>0</v>
      </c>
      <c r="AN101" s="461">
        <v>0</v>
      </c>
      <c r="AO101" s="461">
        <v>0</v>
      </c>
      <c r="AP101" s="461">
        <f t="shared" si="120"/>
        <v>0</v>
      </c>
      <c r="AQ101" s="461">
        <f t="shared" si="121"/>
        <v>0</v>
      </c>
      <c r="AR101" s="737">
        <f t="shared" si="122"/>
        <v>0</v>
      </c>
      <c r="AS101" s="470">
        <f t="shared" si="123"/>
        <v>1489690</v>
      </c>
      <c r="AT101" s="460">
        <f t="shared" si="124"/>
        <v>1100212</v>
      </c>
      <c r="AU101" s="460">
        <f t="shared" si="125"/>
        <v>0</v>
      </c>
      <c r="AV101" s="460">
        <f t="shared" si="126"/>
        <v>371872</v>
      </c>
      <c r="AW101" s="460">
        <f t="shared" si="127"/>
        <v>11002</v>
      </c>
      <c r="AX101" s="460">
        <f t="shared" si="128"/>
        <v>6604</v>
      </c>
      <c r="AY101" s="461">
        <f t="shared" si="129"/>
        <v>3.53</v>
      </c>
      <c r="AZ101" s="461">
        <f t="shared" si="130"/>
        <v>0</v>
      </c>
      <c r="BA101" s="463">
        <f t="shared" si="131"/>
        <v>3.53</v>
      </c>
    </row>
    <row r="102" spans="1:53" ht="13.5" customHeight="1" x14ac:dyDescent="0.2">
      <c r="A102" s="73">
        <v>24</v>
      </c>
      <c r="B102" s="70">
        <v>2412</v>
      </c>
      <c r="C102" s="71">
        <v>600079252</v>
      </c>
      <c r="D102" s="70">
        <v>72742429</v>
      </c>
      <c r="E102" s="72" t="s">
        <v>602</v>
      </c>
      <c r="F102" s="73"/>
      <c r="G102" s="72"/>
      <c r="H102" s="74"/>
      <c r="I102" s="701">
        <f t="shared" ref="I102:P102" si="168">SUM(I99:I101)</f>
        <v>12298393</v>
      </c>
      <c r="J102" s="75">
        <f t="shared" si="168"/>
        <v>9080259</v>
      </c>
      <c r="K102" s="75">
        <f t="shared" si="168"/>
        <v>3069128</v>
      </c>
      <c r="L102" s="75">
        <f t="shared" si="168"/>
        <v>90802</v>
      </c>
      <c r="M102" s="75">
        <f t="shared" si="168"/>
        <v>58204</v>
      </c>
      <c r="N102" s="76">
        <f t="shared" si="168"/>
        <v>20.201900000000002</v>
      </c>
      <c r="O102" s="76">
        <f t="shared" si="168"/>
        <v>12.741899999999999</v>
      </c>
      <c r="P102" s="77">
        <f t="shared" si="168"/>
        <v>7.4599999999999991</v>
      </c>
      <c r="Q102" s="724">
        <f t="shared" ref="Q102:BA102" si="169">SUM(Q99:Q101)</f>
        <v>0</v>
      </c>
      <c r="R102" s="724">
        <f t="shared" si="169"/>
        <v>762302</v>
      </c>
      <c r="S102" s="75">
        <f t="shared" si="169"/>
        <v>0</v>
      </c>
      <c r="T102" s="75">
        <f t="shared" si="169"/>
        <v>0</v>
      </c>
      <c r="U102" s="75">
        <f t="shared" si="169"/>
        <v>0</v>
      </c>
      <c r="V102" s="75">
        <f t="shared" si="169"/>
        <v>762302</v>
      </c>
      <c r="W102" s="75">
        <f t="shared" si="169"/>
        <v>0</v>
      </c>
      <c r="X102" s="75">
        <f t="shared" si="169"/>
        <v>0</v>
      </c>
      <c r="Y102" s="75">
        <f t="shared" si="169"/>
        <v>0</v>
      </c>
      <c r="Z102" s="75">
        <f t="shared" si="169"/>
        <v>0</v>
      </c>
      <c r="AA102" s="75">
        <f t="shared" si="169"/>
        <v>762302</v>
      </c>
      <c r="AB102" s="75">
        <f t="shared" si="169"/>
        <v>257658</v>
      </c>
      <c r="AC102" s="75">
        <f t="shared" si="169"/>
        <v>7623</v>
      </c>
      <c r="AD102" s="75">
        <f t="shared" si="169"/>
        <v>0</v>
      </c>
      <c r="AE102" s="75">
        <f t="shared" si="169"/>
        <v>0</v>
      </c>
      <c r="AF102" s="75">
        <f t="shared" si="169"/>
        <v>0</v>
      </c>
      <c r="AG102" s="75">
        <f t="shared" si="169"/>
        <v>1027583</v>
      </c>
      <c r="AH102" s="76">
        <f t="shared" si="169"/>
        <v>0</v>
      </c>
      <c r="AI102" s="76">
        <f t="shared" si="169"/>
        <v>0</v>
      </c>
      <c r="AJ102" s="76">
        <f t="shared" si="169"/>
        <v>2.15</v>
      </c>
      <c r="AK102" s="76">
        <f t="shared" si="169"/>
        <v>0</v>
      </c>
      <c r="AL102" s="76">
        <f t="shared" si="169"/>
        <v>0</v>
      </c>
      <c r="AM102" s="76">
        <f t="shared" si="169"/>
        <v>0</v>
      </c>
      <c r="AN102" s="76">
        <f t="shared" si="169"/>
        <v>0</v>
      </c>
      <c r="AO102" s="76">
        <f t="shared" si="169"/>
        <v>0</v>
      </c>
      <c r="AP102" s="76">
        <f t="shared" si="169"/>
        <v>2.15</v>
      </c>
      <c r="AQ102" s="76">
        <f t="shared" si="169"/>
        <v>0</v>
      </c>
      <c r="AR102" s="720">
        <f t="shared" si="169"/>
        <v>2.15</v>
      </c>
      <c r="AS102" s="701">
        <f t="shared" si="169"/>
        <v>13325976</v>
      </c>
      <c r="AT102" s="75">
        <f t="shared" si="169"/>
        <v>9842561</v>
      </c>
      <c r="AU102" s="75">
        <f t="shared" si="169"/>
        <v>0</v>
      </c>
      <c r="AV102" s="75">
        <f t="shared" si="169"/>
        <v>3326786</v>
      </c>
      <c r="AW102" s="75">
        <f t="shared" si="169"/>
        <v>98425</v>
      </c>
      <c r="AX102" s="75">
        <f t="shared" si="169"/>
        <v>58204</v>
      </c>
      <c r="AY102" s="76">
        <f t="shared" si="169"/>
        <v>22.351900000000001</v>
      </c>
      <c r="AZ102" s="76">
        <f t="shared" si="169"/>
        <v>14.8919</v>
      </c>
      <c r="BA102" s="77">
        <f t="shared" si="169"/>
        <v>7.4599999999999991</v>
      </c>
    </row>
    <row r="103" spans="1:53" ht="14.1" customHeight="1" x14ac:dyDescent="0.2">
      <c r="A103" s="67">
        <v>25</v>
      </c>
      <c r="B103" s="64">
        <v>2418</v>
      </c>
      <c r="C103" s="65">
        <v>600079261</v>
      </c>
      <c r="D103" s="64">
        <v>72741783</v>
      </c>
      <c r="E103" s="66" t="s">
        <v>603</v>
      </c>
      <c r="F103" s="67">
        <v>3111</v>
      </c>
      <c r="G103" s="66" t="s">
        <v>307</v>
      </c>
      <c r="H103" s="68" t="s">
        <v>277</v>
      </c>
      <c r="I103" s="462">
        <v>3488941</v>
      </c>
      <c r="J103" s="16">
        <v>2575772</v>
      </c>
      <c r="K103" s="457">
        <v>870611</v>
      </c>
      <c r="L103" s="457">
        <v>25758</v>
      </c>
      <c r="M103" s="16">
        <v>16800</v>
      </c>
      <c r="N103" s="13">
        <v>5.2</v>
      </c>
      <c r="O103" s="13">
        <v>4</v>
      </c>
      <c r="P103" s="17">
        <v>1.2000000000000002</v>
      </c>
      <c r="Q103" s="469">
        <f t="shared" si="115"/>
        <v>-13000</v>
      </c>
      <c r="R103" s="469">
        <v>0</v>
      </c>
      <c r="S103" s="460">
        <v>0</v>
      </c>
      <c r="T103" s="460">
        <v>0</v>
      </c>
      <c r="U103" s="460">
        <v>0</v>
      </c>
      <c r="V103" s="460">
        <f>SUM(Q103:U103)</f>
        <v>-13000</v>
      </c>
      <c r="W103" s="460">
        <v>13000</v>
      </c>
      <c r="X103" s="460">
        <v>0</v>
      </c>
      <c r="Y103" s="460">
        <v>0</v>
      </c>
      <c r="Z103" s="460">
        <f t="shared" ref="Z103:Z104" si="170">SUM(W103:Y103)</f>
        <v>13000</v>
      </c>
      <c r="AA103" s="460">
        <f t="shared" ref="AA103:AA104" si="171">V103+Z103</f>
        <v>0</v>
      </c>
      <c r="AB103" s="69">
        <f t="shared" ref="AB103:AB104" si="172">ROUND((V103+W103+X103)*33.8%,0)</f>
        <v>0</v>
      </c>
      <c r="AC103" s="69">
        <f t="shared" ref="AC103:AC104" si="173">ROUND(V103*1%,0)</f>
        <v>-130</v>
      </c>
      <c r="AD103" s="460">
        <v>0</v>
      </c>
      <c r="AE103" s="460">
        <v>0</v>
      </c>
      <c r="AF103" s="460">
        <f>SUM(AD103:AE103)</f>
        <v>0</v>
      </c>
      <c r="AG103" s="460">
        <f>AA103+AB103+AC103+AF103</f>
        <v>-130</v>
      </c>
      <c r="AH103" s="461">
        <v>0</v>
      </c>
      <c r="AI103" s="461">
        <v>-0.05</v>
      </c>
      <c r="AJ103" s="461">
        <v>0</v>
      </c>
      <c r="AK103" s="461">
        <v>0</v>
      </c>
      <c r="AL103" s="461">
        <v>0</v>
      </c>
      <c r="AM103" s="461">
        <v>0</v>
      </c>
      <c r="AN103" s="461">
        <v>0</v>
      </c>
      <c r="AO103" s="461">
        <v>0</v>
      </c>
      <c r="AP103" s="461">
        <f t="shared" si="120"/>
        <v>0</v>
      </c>
      <c r="AQ103" s="461">
        <f t="shared" si="121"/>
        <v>-0.05</v>
      </c>
      <c r="AR103" s="737">
        <f t="shared" si="122"/>
        <v>-0.05</v>
      </c>
      <c r="AS103" s="470">
        <f t="shared" si="123"/>
        <v>3488811</v>
      </c>
      <c r="AT103" s="460">
        <f t="shared" si="124"/>
        <v>2562772</v>
      </c>
      <c r="AU103" s="460">
        <f t="shared" si="125"/>
        <v>13000</v>
      </c>
      <c r="AV103" s="460">
        <f t="shared" si="126"/>
        <v>870611</v>
      </c>
      <c r="AW103" s="460">
        <f t="shared" si="127"/>
        <v>25628</v>
      </c>
      <c r="AX103" s="460">
        <f t="shared" si="128"/>
        <v>16800</v>
      </c>
      <c r="AY103" s="461">
        <f t="shared" si="129"/>
        <v>5.15</v>
      </c>
      <c r="AZ103" s="461">
        <f t="shared" si="130"/>
        <v>4</v>
      </c>
      <c r="BA103" s="463">
        <f t="shared" si="131"/>
        <v>1.1500000000000001</v>
      </c>
    </row>
    <row r="104" spans="1:53" ht="14.1" customHeight="1" x14ac:dyDescent="0.2">
      <c r="A104" s="67">
        <v>25</v>
      </c>
      <c r="B104" s="64">
        <v>2418</v>
      </c>
      <c r="C104" s="65">
        <v>600079261</v>
      </c>
      <c r="D104" s="64">
        <v>72741783</v>
      </c>
      <c r="E104" s="66" t="s">
        <v>603</v>
      </c>
      <c r="F104" s="67">
        <v>3141</v>
      </c>
      <c r="G104" s="66" t="s">
        <v>311</v>
      </c>
      <c r="H104" s="68" t="s">
        <v>278</v>
      </c>
      <c r="I104" s="462">
        <v>575733</v>
      </c>
      <c r="J104" s="728">
        <v>425481</v>
      </c>
      <c r="K104" s="457">
        <v>143813</v>
      </c>
      <c r="L104" s="457">
        <v>4255</v>
      </c>
      <c r="M104" s="728">
        <v>2184</v>
      </c>
      <c r="N104" s="458">
        <v>1.37</v>
      </c>
      <c r="O104" s="459">
        <v>0</v>
      </c>
      <c r="P104" s="646">
        <v>1.37</v>
      </c>
      <c r="Q104" s="469">
        <f t="shared" si="115"/>
        <v>0</v>
      </c>
      <c r="R104" s="469">
        <v>0</v>
      </c>
      <c r="S104" s="460">
        <v>0</v>
      </c>
      <c r="T104" s="460">
        <v>0</v>
      </c>
      <c r="U104" s="460">
        <v>0</v>
      </c>
      <c r="V104" s="460">
        <f>SUM(Q104:U104)</f>
        <v>0</v>
      </c>
      <c r="W104" s="460">
        <v>0</v>
      </c>
      <c r="X104" s="460">
        <v>0</v>
      </c>
      <c r="Y104" s="460">
        <v>0</v>
      </c>
      <c r="Z104" s="460">
        <f t="shared" si="170"/>
        <v>0</v>
      </c>
      <c r="AA104" s="460">
        <f t="shared" si="171"/>
        <v>0</v>
      </c>
      <c r="AB104" s="69">
        <f t="shared" si="172"/>
        <v>0</v>
      </c>
      <c r="AC104" s="69">
        <f t="shared" si="173"/>
        <v>0</v>
      </c>
      <c r="AD104" s="460">
        <v>0</v>
      </c>
      <c r="AE104" s="460">
        <v>0</v>
      </c>
      <c r="AF104" s="460">
        <f>SUM(AD104:AE104)</f>
        <v>0</v>
      </c>
      <c r="AG104" s="460">
        <f>AA104+AB104+AC104+AF104</f>
        <v>0</v>
      </c>
      <c r="AH104" s="461">
        <v>0</v>
      </c>
      <c r="AI104" s="461">
        <v>0</v>
      </c>
      <c r="AJ104" s="461">
        <v>0</v>
      </c>
      <c r="AK104" s="461">
        <v>0</v>
      </c>
      <c r="AL104" s="461">
        <v>0</v>
      </c>
      <c r="AM104" s="461">
        <v>0</v>
      </c>
      <c r="AN104" s="461">
        <v>0</v>
      </c>
      <c r="AO104" s="461">
        <v>0</v>
      </c>
      <c r="AP104" s="461">
        <f t="shared" si="120"/>
        <v>0</v>
      </c>
      <c r="AQ104" s="461">
        <f t="shared" si="121"/>
        <v>0</v>
      </c>
      <c r="AR104" s="737">
        <f t="shared" si="122"/>
        <v>0</v>
      </c>
      <c r="AS104" s="470">
        <f t="shared" si="123"/>
        <v>575733</v>
      </c>
      <c r="AT104" s="460">
        <f t="shared" si="124"/>
        <v>425481</v>
      </c>
      <c r="AU104" s="460">
        <f t="shared" si="125"/>
        <v>0</v>
      </c>
      <c r="AV104" s="460">
        <f t="shared" si="126"/>
        <v>143813</v>
      </c>
      <c r="AW104" s="460">
        <f t="shared" si="127"/>
        <v>4255</v>
      </c>
      <c r="AX104" s="460">
        <f t="shared" si="128"/>
        <v>2184</v>
      </c>
      <c r="AY104" s="461">
        <f t="shared" si="129"/>
        <v>1.37</v>
      </c>
      <c r="AZ104" s="461">
        <f t="shared" si="130"/>
        <v>0</v>
      </c>
      <c r="BA104" s="463">
        <f t="shared" si="131"/>
        <v>1.37</v>
      </c>
    </row>
    <row r="105" spans="1:53" ht="13.5" customHeight="1" x14ac:dyDescent="0.2">
      <c r="A105" s="73">
        <v>25</v>
      </c>
      <c r="B105" s="70">
        <v>2418</v>
      </c>
      <c r="C105" s="71">
        <v>600079261</v>
      </c>
      <c r="D105" s="70">
        <v>72741783</v>
      </c>
      <c r="E105" s="72" t="s">
        <v>604</v>
      </c>
      <c r="F105" s="73"/>
      <c r="G105" s="72"/>
      <c r="H105" s="74"/>
      <c r="I105" s="701">
        <f t="shared" ref="I105:P105" si="174">SUM(I103:I104)</f>
        <v>4064674</v>
      </c>
      <c r="J105" s="75">
        <f t="shared" si="174"/>
        <v>3001253</v>
      </c>
      <c r="K105" s="75">
        <f t="shared" si="174"/>
        <v>1014424</v>
      </c>
      <c r="L105" s="75">
        <f t="shared" si="174"/>
        <v>30013</v>
      </c>
      <c r="M105" s="75">
        <f t="shared" si="174"/>
        <v>18984</v>
      </c>
      <c r="N105" s="76">
        <f t="shared" si="174"/>
        <v>6.57</v>
      </c>
      <c r="O105" s="76">
        <f t="shared" si="174"/>
        <v>4</v>
      </c>
      <c r="P105" s="77">
        <f t="shared" si="174"/>
        <v>2.5700000000000003</v>
      </c>
      <c r="Q105" s="724">
        <f t="shared" ref="Q105:BA105" si="175">SUM(Q103:Q104)</f>
        <v>-13000</v>
      </c>
      <c r="R105" s="724">
        <f t="shared" si="175"/>
        <v>0</v>
      </c>
      <c r="S105" s="75">
        <f t="shared" si="175"/>
        <v>0</v>
      </c>
      <c r="T105" s="75">
        <f t="shared" si="175"/>
        <v>0</v>
      </c>
      <c r="U105" s="75">
        <f t="shared" si="175"/>
        <v>0</v>
      </c>
      <c r="V105" s="75">
        <f t="shared" si="175"/>
        <v>-13000</v>
      </c>
      <c r="W105" s="75">
        <f t="shared" si="175"/>
        <v>13000</v>
      </c>
      <c r="X105" s="75">
        <f t="shared" si="175"/>
        <v>0</v>
      </c>
      <c r="Y105" s="75">
        <f t="shared" si="175"/>
        <v>0</v>
      </c>
      <c r="Z105" s="75">
        <f t="shared" si="175"/>
        <v>13000</v>
      </c>
      <c r="AA105" s="75">
        <f t="shared" si="175"/>
        <v>0</v>
      </c>
      <c r="AB105" s="75">
        <f t="shared" si="175"/>
        <v>0</v>
      </c>
      <c r="AC105" s="75">
        <f t="shared" si="175"/>
        <v>-130</v>
      </c>
      <c r="AD105" s="75">
        <f t="shared" si="175"/>
        <v>0</v>
      </c>
      <c r="AE105" s="75">
        <f t="shared" si="175"/>
        <v>0</v>
      </c>
      <c r="AF105" s="75">
        <f t="shared" si="175"/>
        <v>0</v>
      </c>
      <c r="AG105" s="75">
        <f t="shared" si="175"/>
        <v>-130</v>
      </c>
      <c r="AH105" s="76">
        <f t="shared" si="175"/>
        <v>0</v>
      </c>
      <c r="AI105" s="76">
        <f t="shared" si="175"/>
        <v>-0.05</v>
      </c>
      <c r="AJ105" s="76">
        <f t="shared" si="175"/>
        <v>0</v>
      </c>
      <c r="AK105" s="76">
        <f t="shared" si="175"/>
        <v>0</v>
      </c>
      <c r="AL105" s="76">
        <f t="shared" si="175"/>
        <v>0</v>
      </c>
      <c r="AM105" s="76">
        <f t="shared" si="175"/>
        <v>0</v>
      </c>
      <c r="AN105" s="76">
        <f t="shared" si="175"/>
        <v>0</v>
      </c>
      <c r="AO105" s="76">
        <f t="shared" si="175"/>
        <v>0</v>
      </c>
      <c r="AP105" s="76">
        <f t="shared" si="175"/>
        <v>0</v>
      </c>
      <c r="AQ105" s="76">
        <f t="shared" si="175"/>
        <v>-0.05</v>
      </c>
      <c r="AR105" s="720">
        <f t="shared" si="175"/>
        <v>-0.05</v>
      </c>
      <c r="AS105" s="701">
        <f t="shared" si="175"/>
        <v>4064544</v>
      </c>
      <c r="AT105" s="75">
        <f t="shared" si="175"/>
        <v>2988253</v>
      </c>
      <c r="AU105" s="75">
        <f t="shared" si="175"/>
        <v>13000</v>
      </c>
      <c r="AV105" s="75">
        <f t="shared" si="175"/>
        <v>1014424</v>
      </c>
      <c r="AW105" s="75">
        <f t="shared" si="175"/>
        <v>29883</v>
      </c>
      <c r="AX105" s="75">
        <f t="shared" si="175"/>
        <v>18984</v>
      </c>
      <c r="AY105" s="76">
        <f t="shared" si="175"/>
        <v>6.5200000000000005</v>
      </c>
      <c r="AZ105" s="76">
        <f t="shared" si="175"/>
        <v>4</v>
      </c>
      <c r="BA105" s="77">
        <f t="shared" si="175"/>
        <v>2.5200000000000005</v>
      </c>
    </row>
    <row r="106" spans="1:53" ht="14.1" customHeight="1" x14ac:dyDescent="0.2">
      <c r="A106" s="67">
        <v>26</v>
      </c>
      <c r="B106" s="64">
        <v>2414</v>
      </c>
      <c r="C106" s="65">
        <v>600079295</v>
      </c>
      <c r="D106" s="64">
        <v>72742020</v>
      </c>
      <c r="E106" s="66" t="s">
        <v>605</v>
      </c>
      <c r="F106" s="67">
        <v>3111</v>
      </c>
      <c r="G106" s="66" t="s">
        <v>307</v>
      </c>
      <c r="H106" s="68" t="s">
        <v>277</v>
      </c>
      <c r="I106" s="462">
        <v>5113332</v>
      </c>
      <c r="J106" s="16">
        <v>3772131</v>
      </c>
      <c r="K106" s="457">
        <v>1274980</v>
      </c>
      <c r="L106" s="457">
        <v>37721</v>
      </c>
      <c r="M106" s="16">
        <v>28500</v>
      </c>
      <c r="N106" s="13">
        <v>7.9219000000000008</v>
      </c>
      <c r="O106" s="13">
        <v>6.2419000000000002</v>
      </c>
      <c r="P106" s="17">
        <v>1.6800000000000002</v>
      </c>
      <c r="Q106" s="469">
        <f t="shared" si="115"/>
        <v>-11700</v>
      </c>
      <c r="R106" s="469">
        <v>0</v>
      </c>
      <c r="S106" s="460">
        <v>0</v>
      </c>
      <c r="T106" s="460">
        <v>0</v>
      </c>
      <c r="U106" s="460">
        <v>0</v>
      </c>
      <c r="V106" s="460">
        <f>SUM(Q106:U106)</f>
        <v>-11700</v>
      </c>
      <c r="W106" s="460">
        <v>11700</v>
      </c>
      <c r="X106" s="460">
        <v>0</v>
      </c>
      <c r="Y106" s="460">
        <v>0</v>
      </c>
      <c r="Z106" s="460">
        <f t="shared" ref="Z106:Z108" si="176">SUM(W106:Y106)</f>
        <v>11700</v>
      </c>
      <c r="AA106" s="460">
        <f t="shared" ref="AA106:AA108" si="177">V106+Z106</f>
        <v>0</v>
      </c>
      <c r="AB106" s="69">
        <f t="shared" ref="AB106:AB108" si="178">ROUND((V106+W106+X106)*33.8%,0)</f>
        <v>0</v>
      </c>
      <c r="AC106" s="69">
        <f t="shared" ref="AC106:AC108" si="179">ROUND(V106*1%,0)</f>
        <v>-117</v>
      </c>
      <c r="AD106" s="460">
        <v>0</v>
      </c>
      <c r="AE106" s="460">
        <v>0</v>
      </c>
      <c r="AF106" s="460">
        <f>SUM(AD106:AE106)</f>
        <v>0</v>
      </c>
      <c r="AG106" s="460">
        <f>AA106+AB106+AC106+AF106</f>
        <v>-117</v>
      </c>
      <c r="AH106" s="461">
        <v>-0.02</v>
      </c>
      <c r="AI106" s="461">
        <v>0</v>
      </c>
      <c r="AJ106" s="461">
        <v>0</v>
      </c>
      <c r="AK106" s="461">
        <v>0</v>
      </c>
      <c r="AL106" s="461">
        <v>0</v>
      </c>
      <c r="AM106" s="461">
        <v>0</v>
      </c>
      <c r="AN106" s="461">
        <v>0</v>
      </c>
      <c r="AO106" s="461">
        <v>0</v>
      </c>
      <c r="AP106" s="461">
        <f t="shared" si="120"/>
        <v>-0.02</v>
      </c>
      <c r="AQ106" s="461">
        <f t="shared" si="121"/>
        <v>0</v>
      </c>
      <c r="AR106" s="737">
        <f t="shared" si="122"/>
        <v>-0.02</v>
      </c>
      <c r="AS106" s="470">
        <f t="shared" si="123"/>
        <v>5113215</v>
      </c>
      <c r="AT106" s="460">
        <f t="shared" si="124"/>
        <v>3760431</v>
      </c>
      <c r="AU106" s="460">
        <f t="shared" si="125"/>
        <v>11700</v>
      </c>
      <c r="AV106" s="460">
        <f t="shared" si="126"/>
        <v>1274980</v>
      </c>
      <c r="AW106" s="460">
        <f t="shared" si="127"/>
        <v>37604</v>
      </c>
      <c r="AX106" s="460">
        <f t="shared" si="128"/>
        <v>28500</v>
      </c>
      <c r="AY106" s="461">
        <f t="shared" si="129"/>
        <v>7.9019000000000013</v>
      </c>
      <c r="AZ106" s="461">
        <f t="shared" si="130"/>
        <v>6.2219000000000007</v>
      </c>
      <c r="BA106" s="463">
        <f t="shared" si="131"/>
        <v>1.6800000000000002</v>
      </c>
    </row>
    <row r="107" spans="1:53" ht="14.1" customHeight="1" x14ac:dyDescent="0.2">
      <c r="A107" s="67">
        <v>26</v>
      </c>
      <c r="B107" s="64">
        <v>2414</v>
      </c>
      <c r="C107" s="65">
        <v>600079295</v>
      </c>
      <c r="D107" s="64">
        <v>72742020</v>
      </c>
      <c r="E107" s="66" t="s">
        <v>605</v>
      </c>
      <c r="F107" s="67">
        <v>3111</v>
      </c>
      <c r="G107" s="78" t="s">
        <v>308</v>
      </c>
      <c r="H107" s="68" t="s">
        <v>278</v>
      </c>
      <c r="I107" s="462">
        <v>0</v>
      </c>
      <c r="J107" s="457">
        <v>0</v>
      </c>
      <c r="K107" s="457">
        <v>0</v>
      </c>
      <c r="L107" s="457">
        <v>0</v>
      </c>
      <c r="M107" s="457">
        <v>0</v>
      </c>
      <c r="N107" s="458">
        <v>0</v>
      </c>
      <c r="O107" s="459">
        <v>0</v>
      </c>
      <c r="P107" s="646">
        <v>0</v>
      </c>
      <c r="Q107" s="469">
        <f t="shared" si="115"/>
        <v>0</v>
      </c>
      <c r="R107" s="469">
        <v>0</v>
      </c>
      <c r="S107" s="460">
        <v>0</v>
      </c>
      <c r="T107" s="460">
        <v>0</v>
      </c>
      <c r="U107" s="460">
        <v>0</v>
      </c>
      <c r="V107" s="460">
        <f>SUM(Q107:U107)</f>
        <v>0</v>
      </c>
      <c r="W107" s="460">
        <v>0</v>
      </c>
      <c r="X107" s="460">
        <v>0</v>
      </c>
      <c r="Y107" s="460">
        <v>0</v>
      </c>
      <c r="Z107" s="460">
        <f t="shared" si="176"/>
        <v>0</v>
      </c>
      <c r="AA107" s="460">
        <f t="shared" si="177"/>
        <v>0</v>
      </c>
      <c r="AB107" s="69">
        <f t="shared" si="178"/>
        <v>0</v>
      </c>
      <c r="AC107" s="69">
        <f t="shared" si="179"/>
        <v>0</v>
      </c>
      <c r="AD107" s="460">
        <v>0</v>
      </c>
      <c r="AE107" s="460">
        <v>0</v>
      </c>
      <c r="AF107" s="460">
        <f>SUM(AD107:AE107)</f>
        <v>0</v>
      </c>
      <c r="AG107" s="460">
        <f>AA107+AB107+AC107+AF107</f>
        <v>0</v>
      </c>
      <c r="AH107" s="461">
        <v>0</v>
      </c>
      <c r="AI107" s="461">
        <v>0</v>
      </c>
      <c r="AJ107" s="461">
        <v>0</v>
      </c>
      <c r="AK107" s="461">
        <v>0</v>
      </c>
      <c r="AL107" s="461">
        <v>0</v>
      </c>
      <c r="AM107" s="461">
        <v>0</v>
      </c>
      <c r="AN107" s="461">
        <v>0</v>
      </c>
      <c r="AO107" s="461">
        <v>0</v>
      </c>
      <c r="AP107" s="461">
        <f t="shared" si="120"/>
        <v>0</v>
      </c>
      <c r="AQ107" s="461">
        <f t="shared" si="121"/>
        <v>0</v>
      </c>
      <c r="AR107" s="737">
        <f t="shared" si="122"/>
        <v>0</v>
      </c>
      <c r="AS107" s="470">
        <f t="shared" si="123"/>
        <v>0</v>
      </c>
      <c r="AT107" s="460">
        <f t="shared" si="124"/>
        <v>0</v>
      </c>
      <c r="AU107" s="460">
        <f t="shared" si="125"/>
        <v>0</v>
      </c>
      <c r="AV107" s="460">
        <f t="shared" si="126"/>
        <v>0</v>
      </c>
      <c r="AW107" s="460">
        <f t="shared" si="127"/>
        <v>0</v>
      </c>
      <c r="AX107" s="460">
        <f t="shared" si="128"/>
        <v>0</v>
      </c>
      <c r="AY107" s="461">
        <f t="shared" si="129"/>
        <v>0</v>
      </c>
      <c r="AZ107" s="461">
        <f t="shared" si="130"/>
        <v>0</v>
      </c>
      <c r="BA107" s="463">
        <f t="shared" si="131"/>
        <v>0</v>
      </c>
    </row>
    <row r="108" spans="1:53" ht="14.1" customHeight="1" x14ac:dyDescent="0.2">
      <c r="A108" s="67">
        <v>26</v>
      </c>
      <c r="B108" s="64">
        <v>2414</v>
      </c>
      <c r="C108" s="65">
        <v>600079295</v>
      </c>
      <c r="D108" s="64">
        <v>72742020</v>
      </c>
      <c r="E108" s="66" t="s">
        <v>605</v>
      </c>
      <c r="F108" s="67">
        <v>3141</v>
      </c>
      <c r="G108" s="66" t="s">
        <v>311</v>
      </c>
      <c r="H108" s="68" t="s">
        <v>278</v>
      </c>
      <c r="I108" s="462">
        <v>734852</v>
      </c>
      <c r="J108" s="728">
        <v>542828</v>
      </c>
      <c r="K108" s="457">
        <v>183476</v>
      </c>
      <c r="L108" s="457">
        <v>5428</v>
      </c>
      <c r="M108" s="728">
        <v>3120</v>
      </c>
      <c r="N108" s="458">
        <v>1.74</v>
      </c>
      <c r="O108" s="459">
        <v>0</v>
      </c>
      <c r="P108" s="646">
        <v>1.74</v>
      </c>
      <c r="Q108" s="469">
        <f t="shared" si="115"/>
        <v>0</v>
      </c>
      <c r="R108" s="469">
        <v>0</v>
      </c>
      <c r="S108" s="460">
        <v>0</v>
      </c>
      <c r="T108" s="460">
        <v>0</v>
      </c>
      <c r="U108" s="460">
        <v>0</v>
      </c>
      <c r="V108" s="460">
        <f>SUM(Q108:U108)</f>
        <v>0</v>
      </c>
      <c r="W108" s="460">
        <v>0</v>
      </c>
      <c r="X108" s="460">
        <v>0</v>
      </c>
      <c r="Y108" s="460">
        <v>0</v>
      </c>
      <c r="Z108" s="460">
        <f t="shared" si="176"/>
        <v>0</v>
      </c>
      <c r="AA108" s="460">
        <f t="shared" si="177"/>
        <v>0</v>
      </c>
      <c r="AB108" s="69">
        <f t="shared" si="178"/>
        <v>0</v>
      </c>
      <c r="AC108" s="69">
        <f t="shared" si="179"/>
        <v>0</v>
      </c>
      <c r="AD108" s="460">
        <v>0</v>
      </c>
      <c r="AE108" s="460">
        <v>0</v>
      </c>
      <c r="AF108" s="460">
        <f>SUM(AD108:AE108)</f>
        <v>0</v>
      </c>
      <c r="AG108" s="460">
        <f>AA108+AB108+AC108+AF108</f>
        <v>0</v>
      </c>
      <c r="AH108" s="461">
        <v>0</v>
      </c>
      <c r="AI108" s="461">
        <v>0</v>
      </c>
      <c r="AJ108" s="461">
        <v>0</v>
      </c>
      <c r="AK108" s="461">
        <v>0</v>
      </c>
      <c r="AL108" s="461">
        <v>0</v>
      </c>
      <c r="AM108" s="461">
        <v>0</v>
      </c>
      <c r="AN108" s="461">
        <v>0</v>
      </c>
      <c r="AO108" s="461">
        <v>0</v>
      </c>
      <c r="AP108" s="461">
        <f t="shared" si="120"/>
        <v>0</v>
      </c>
      <c r="AQ108" s="461">
        <f t="shared" si="121"/>
        <v>0</v>
      </c>
      <c r="AR108" s="737">
        <f t="shared" si="122"/>
        <v>0</v>
      </c>
      <c r="AS108" s="470">
        <f t="shared" si="123"/>
        <v>734852</v>
      </c>
      <c r="AT108" s="460">
        <f t="shared" si="124"/>
        <v>542828</v>
      </c>
      <c r="AU108" s="460">
        <f t="shared" si="125"/>
        <v>0</v>
      </c>
      <c r="AV108" s="460">
        <f t="shared" si="126"/>
        <v>183476</v>
      </c>
      <c r="AW108" s="460">
        <f t="shared" si="127"/>
        <v>5428</v>
      </c>
      <c r="AX108" s="460">
        <f t="shared" si="128"/>
        <v>3120</v>
      </c>
      <c r="AY108" s="461">
        <f t="shared" si="129"/>
        <v>1.74</v>
      </c>
      <c r="AZ108" s="461">
        <f t="shared" si="130"/>
        <v>0</v>
      </c>
      <c r="BA108" s="463">
        <f t="shared" si="131"/>
        <v>1.74</v>
      </c>
    </row>
    <row r="109" spans="1:53" ht="14.1" customHeight="1" x14ac:dyDescent="0.2">
      <c r="A109" s="73">
        <v>26</v>
      </c>
      <c r="B109" s="70">
        <v>2414</v>
      </c>
      <c r="C109" s="71">
        <v>600079295</v>
      </c>
      <c r="D109" s="70">
        <v>72742020</v>
      </c>
      <c r="E109" s="72" t="s">
        <v>606</v>
      </c>
      <c r="F109" s="73"/>
      <c r="G109" s="72"/>
      <c r="H109" s="74"/>
      <c r="I109" s="701">
        <f t="shared" ref="I109:P109" si="180">SUM(I106:I108)</f>
        <v>5848184</v>
      </c>
      <c r="J109" s="75">
        <f t="shared" si="180"/>
        <v>4314959</v>
      </c>
      <c r="K109" s="75">
        <f t="shared" si="180"/>
        <v>1458456</v>
      </c>
      <c r="L109" s="75">
        <f t="shared" si="180"/>
        <v>43149</v>
      </c>
      <c r="M109" s="75">
        <f t="shared" si="180"/>
        <v>31620</v>
      </c>
      <c r="N109" s="76">
        <f t="shared" si="180"/>
        <v>9.661900000000001</v>
      </c>
      <c r="O109" s="76">
        <f t="shared" si="180"/>
        <v>6.2419000000000002</v>
      </c>
      <c r="P109" s="77">
        <f t="shared" si="180"/>
        <v>3.42</v>
      </c>
      <c r="Q109" s="724">
        <f t="shared" ref="Q109:BA109" si="181">SUM(Q106:Q108)</f>
        <v>-11700</v>
      </c>
      <c r="R109" s="724">
        <f t="shared" si="181"/>
        <v>0</v>
      </c>
      <c r="S109" s="75">
        <f t="shared" si="181"/>
        <v>0</v>
      </c>
      <c r="T109" s="75">
        <f t="shared" si="181"/>
        <v>0</v>
      </c>
      <c r="U109" s="75">
        <f t="shared" si="181"/>
        <v>0</v>
      </c>
      <c r="V109" s="75">
        <f t="shared" si="181"/>
        <v>-11700</v>
      </c>
      <c r="W109" s="75">
        <f t="shared" si="181"/>
        <v>11700</v>
      </c>
      <c r="X109" s="75">
        <f t="shared" si="181"/>
        <v>0</v>
      </c>
      <c r="Y109" s="75">
        <f t="shared" si="181"/>
        <v>0</v>
      </c>
      <c r="Z109" s="75">
        <f t="shared" si="181"/>
        <v>11700</v>
      </c>
      <c r="AA109" s="75">
        <f t="shared" si="181"/>
        <v>0</v>
      </c>
      <c r="AB109" s="75">
        <f t="shared" si="181"/>
        <v>0</v>
      </c>
      <c r="AC109" s="75">
        <f t="shared" si="181"/>
        <v>-117</v>
      </c>
      <c r="AD109" s="75">
        <f t="shared" si="181"/>
        <v>0</v>
      </c>
      <c r="AE109" s="75">
        <f t="shared" si="181"/>
        <v>0</v>
      </c>
      <c r="AF109" s="75">
        <f t="shared" si="181"/>
        <v>0</v>
      </c>
      <c r="AG109" s="75">
        <f t="shared" si="181"/>
        <v>-117</v>
      </c>
      <c r="AH109" s="76">
        <f t="shared" si="181"/>
        <v>-0.02</v>
      </c>
      <c r="AI109" s="76">
        <f t="shared" si="181"/>
        <v>0</v>
      </c>
      <c r="AJ109" s="76">
        <f t="shared" si="181"/>
        <v>0</v>
      </c>
      <c r="AK109" s="76">
        <f t="shared" si="181"/>
        <v>0</v>
      </c>
      <c r="AL109" s="76">
        <f t="shared" si="181"/>
        <v>0</v>
      </c>
      <c r="AM109" s="76">
        <f t="shared" si="181"/>
        <v>0</v>
      </c>
      <c r="AN109" s="76">
        <f t="shared" si="181"/>
        <v>0</v>
      </c>
      <c r="AO109" s="76">
        <f t="shared" si="181"/>
        <v>0</v>
      </c>
      <c r="AP109" s="76">
        <f t="shared" si="181"/>
        <v>-0.02</v>
      </c>
      <c r="AQ109" s="76">
        <f t="shared" si="181"/>
        <v>0</v>
      </c>
      <c r="AR109" s="720">
        <f t="shared" si="181"/>
        <v>-0.02</v>
      </c>
      <c r="AS109" s="701">
        <f t="shared" si="181"/>
        <v>5848067</v>
      </c>
      <c r="AT109" s="75">
        <f t="shared" si="181"/>
        <v>4303259</v>
      </c>
      <c r="AU109" s="75">
        <f t="shared" si="181"/>
        <v>11700</v>
      </c>
      <c r="AV109" s="75">
        <f t="shared" si="181"/>
        <v>1458456</v>
      </c>
      <c r="AW109" s="75">
        <f t="shared" si="181"/>
        <v>43032</v>
      </c>
      <c r="AX109" s="75">
        <f t="shared" si="181"/>
        <v>31620</v>
      </c>
      <c r="AY109" s="76">
        <f t="shared" si="181"/>
        <v>9.6419000000000015</v>
      </c>
      <c r="AZ109" s="76">
        <f t="shared" si="181"/>
        <v>6.2219000000000007</v>
      </c>
      <c r="BA109" s="77">
        <f t="shared" si="181"/>
        <v>3.42</v>
      </c>
    </row>
    <row r="110" spans="1:53" ht="14.1" customHeight="1" x14ac:dyDescent="0.2">
      <c r="A110" s="67">
        <v>27</v>
      </c>
      <c r="B110" s="64">
        <v>2443</v>
      </c>
      <c r="C110" s="65">
        <v>600079309</v>
      </c>
      <c r="D110" s="64">
        <v>72743051</v>
      </c>
      <c r="E110" s="66" t="s">
        <v>607</v>
      </c>
      <c r="F110" s="67">
        <v>3111</v>
      </c>
      <c r="G110" s="66" t="s">
        <v>307</v>
      </c>
      <c r="H110" s="68" t="s">
        <v>277</v>
      </c>
      <c r="I110" s="462">
        <v>4921045</v>
      </c>
      <c r="J110" s="16">
        <v>3632823</v>
      </c>
      <c r="K110" s="457">
        <v>1227894</v>
      </c>
      <c r="L110" s="457">
        <v>36328</v>
      </c>
      <c r="M110" s="16">
        <v>24000</v>
      </c>
      <c r="N110" s="13">
        <v>7.68</v>
      </c>
      <c r="O110" s="13">
        <v>6</v>
      </c>
      <c r="P110" s="17">
        <v>1.6800000000000002</v>
      </c>
      <c r="Q110" s="469">
        <f t="shared" si="115"/>
        <v>0</v>
      </c>
      <c r="R110" s="469">
        <v>0</v>
      </c>
      <c r="S110" s="460">
        <v>0</v>
      </c>
      <c r="T110" s="460">
        <v>0</v>
      </c>
      <c r="U110" s="460">
        <v>0</v>
      </c>
      <c r="V110" s="460">
        <f>SUM(Q110:U110)</f>
        <v>0</v>
      </c>
      <c r="W110" s="460">
        <v>0</v>
      </c>
      <c r="X110" s="460">
        <v>0</v>
      </c>
      <c r="Y110" s="460">
        <v>0</v>
      </c>
      <c r="Z110" s="460">
        <f t="shared" ref="Z110:Z112" si="182">SUM(W110:Y110)</f>
        <v>0</v>
      </c>
      <c r="AA110" s="460">
        <f t="shared" ref="AA110:AA112" si="183">V110+Z110</f>
        <v>0</v>
      </c>
      <c r="AB110" s="69">
        <f t="shared" ref="AB110:AB112" si="184">ROUND((V110+W110+X110)*33.8%,0)</f>
        <v>0</v>
      </c>
      <c r="AC110" s="69">
        <f t="shared" ref="AC110:AC112" si="185">ROUND(V110*1%,0)</f>
        <v>0</v>
      </c>
      <c r="AD110" s="460">
        <v>0</v>
      </c>
      <c r="AE110" s="460">
        <v>0</v>
      </c>
      <c r="AF110" s="460">
        <f>SUM(AD110:AE110)</f>
        <v>0</v>
      </c>
      <c r="AG110" s="460">
        <f>AA110+AB110+AC110+AF110</f>
        <v>0</v>
      </c>
      <c r="AH110" s="461">
        <v>0</v>
      </c>
      <c r="AI110" s="461">
        <v>0</v>
      </c>
      <c r="AJ110" s="461">
        <v>0</v>
      </c>
      <c r="AK110" s="461">
        <v>0</v>
      </c>
      <c r="AL110" s="461">
        <v>0</v>
      </c>
      <c r="AM110" s="461">
        <v>0</v>
      </c>
      <c r="AN110" s="461">
        <v>0</v>
      </c>
      <c r="AO110" s="461">
        <v>0</v>
      </c>
      <c r="AP110" s="461">
        <f t="shared" si="120"/>
        <v>0</v>
      </c>
      <c r="AQ110" s="461">
        <f t="shared" si="121"/>
        <v>0</v>
      </c>
      <c r="AR110" s="737">
        <f t="shared" si="122"/>
        <v>0</v>
      </c>
      <c r="AS110" s="470">
        <f t="shared" si="123"/>
        <v>4921045</v>
      </c>
      <c r="AT110" s="460">
        <f t="shared" si="124"/>
        <v>3632823</v>
      </c>
      <c r="AU110" s="460">
        <f t="shared" si="125"/>
        <v>0</v>
      </c>
      <c r="AV110" s="460">
        <f t="shared" si="126"/>
        <v>1227894</v>
      </c>
      <c r="AW110" s="460">
        <f t="shared" si="127"/>
        <v>36328</v>
      </c>
      <c r="AX110" s="460">
        <f t="shared" si="128"/>
        <v>24000</v>
      </c>
      <c r="AY110" s="461">
        <f t="shared" si="129"/>
        <v>7.68</v>
      </c>
      <c r="AZ110" s="461">
        <f t="shared" si="130"/>
        <v>6</v>
      </c>
      <c r="BA110" s="463">
        <f t="shared" si="131"/>
        <v>1.6800000000000002</v>
      </c>
    </row>
    <row r="111" spans="1:53" ht="14.1" customHeight="1" x14ac:dyDescent="0.2">
      <c r="A111" s="67">
        <v>27</v>
      </c>
      <c r="B111" s="64">
        <v>2443</v>
      </c>
      <c r="C111" s="65">
        <v>600079309</v>
      </c>
      <c r="D111" s="64">
        <v>72743051</v>
      </c>
      <c r="E111" s="66" t="s">
        <v>607</v>
      </c>
      <c r="F111" s="67">
        <v>3111</v>
      </c>
      <c r="G111" s="78" t="s">
        <v>308</v>
      </c>
      <c r="H111" s="68" t="s">
        <v>278</v>
      </c>
      <c r="I111" s="462">
        <v>0</v>
      </c>
      <c r="J111" s="457">
        <v>0</v>
      </c>
      <c r="K111" s="457">
        <v>0</v>
      </c>
      <c r="L111" s="457">
        <v>0</v>
      </c>
      <c r="M111" s="457">
        <v>0</v>
      </c>
      <c r="N111" s="458">
        <v>0</v>
      </c>
      <c r="O111" s="459">
        <v>0</v>
      </c>
      <c r="P111" s="646">
        <v>0</v>
      </c>
      <c r="Q111" s="469">
        <f t="shared" si="115"/>
        <v>0</v>
      </c>
      <c r="R111" s="469">
        <v>0</v>
      </c>
      <c r="S111" s="460">
        <v>0</v>
      </c>
      <c r="T111" s="460">
        <v>0</v>
      </c>
      <c r="U111" s="460">
        <v>0</v>
      </c>
      <c r="V111" s="460">
        <f>SUM(Q111:U111)</f>
        <v>0</v>
      </c>
      <c r="W111" s="460">
        <v>0</v>
      </c>
      <c r="X111" s="460">
        <v>0</v>
      </c>
      <c r="Y111" s="460">
        <v>0</v>
      </c>
      <c r="Z111" s="460">
        <f t="shared" si="182"/>
        <v>0</v>
      </c>
      <c r="AA111" s="460">
        <f t="shared" si="183"/>
        <v>0</v>
      </c>
      <c r="AB111" s="69">
        <f t="shared" si="184"/>
        <v>0</v>
      </c>
      <c r="AC111" s="69">
        <f t="shared" si="185"/>
        <v>0</v>
      </c>
      <c r="AD111" s="460">
        <v>0</v>
      </c>
      <c r="AE111" s="460">
        <v>0</v>
      </c>
      <c r="AF111" s="460">
        <f>SUM(AD111:AE111)</f>
        <v>0</v>
      </c>
      <c r="AG111" s="460">
        <f>AA111+AB111+AC111+AF111</f>
        <v>0</v>
      </c>
      <c r="AH111" s="461">
        <v>0</v>
      </c>
      <c r="AI111" s="461">
        <v>0</v>
      </c>
      <c r="AJ111" s="461">
        <v>0</v>
      </c>
      <c r="AK111" s="461">
        <v>0</v>
      </c>
      <c r="AL111" s="461">
        <v>0</v>
      </c>
      <c r="AM111" s="461">
        <v>0</v>
      </c>
      <c r="AN111" s="461">
        <v>0</v>
      </c>
      <c r="AO111" s="461">
        <v>0</v>
      </c>
      <c r="AP111" s="461">
        <f t="shared" si="120"/>
        <v>0</v>
      </c>
      <c r="AQ111" s="461">
        <f t="shared" si="121"/>
        <v>0</v>
      </c>
      <c r="AR111" s="737">
        <f t="shared" si="122"/>
        <v>0</v>
      </c>
      <c r="AS111" s="470">
        <f t="shared" si="123"/>
        <v>0</v>
      </c>
      <c r="AT111" s="460">
        <f t="shared" si="124"/>
        <v>0</v>
      </c>
      <c r="AU111" s="460">
        <f t="shared" si="125"/>
        <v>0</v>
      </c>
      <c r="AV111" s="460">
        <f t="shared" si="126"/>
        <v>0</v>
      </c>
      <c r="AW111" s="460">
        <f t="shared" si="127"/>
        <v>0</v>
      </c>
      <c r="AX111" s="460">
        <f t="shared" si="128"/>
        <v>0</v>
      </c>
      <c r="AY111" s="461">
        <f t="shared" si="129"/>
        <v>0</v>
      </c>
      <c r="AZ111" s="461">
        <f t="shared" si="130"/>
        <v>0</v>
      </c>
      <c r="BA111" s="463">
        <f t="shared" si="131"/>
        <v>0</v>
      </c>
    </row>
    <row r="112" spans="1:53" ht="14.1" customHeight="1" x14ac:dyDescent="0.2">
      <c r="A112" s="67">
        <v>27</v>
      </c>
      <c r="B112" s="64">
        <v>2443</v>
      </c>
      <c r="C112" s="65">
        <v>600079309</v>
      </c>
      <c r="D112" s="64">
        <v>72743051</v>
      </c>
      <c r="E112" s="66" t="s">
        <v>607</v>
      </c>
      <c r="F112" s="67">
        <v>3141</v>
      </c>
      <c r="G112" s="66" t="s">
        <v>311</v>
      </c>
      <c r="H112" s="68" t="s">
        <v>278</v>
      </c>
      <c r="I112" s="462">
        <v>734852</v>
      </c>
      <c r="J112" s="728">
        <v>542828</v>
      </c>
      <c r="K112" s="457">
        <v>183476</v>
      </c>
      <c r="L112" s="457">
        <v>5428</v>
      </c>
      <c r="M112" s="728">
        <v>3120</v>
      </c>
      <c r="N112" s="458">
        <v>1.74</v>
      </c>
      <c r="O112" s="459">
        <v>0</v>
      </c>
      <c r="P112" s="646">
        <v>1.74</v>
      </c>
      <c r="Q112" s="469">
        <f t="shared" si="115"/>
        <v>0</v>
      </c>
      <c r="R112" s="469">
        <v>0</v>
      </c>
      <c r="S112" s="460">
        <v>0</v>
      </c>
      <c r="T112" s="460">
        <v>0</v>
      </c>
      <c r="U112" s="460">
        <v>0</v>
      </c>
      <c r="V112" s="460">
        <f>SUM(Q112:U112)</f>
        <v>0</v>
      </c>
      <c r="W112" s="460">
        <v>0</v>
      </c>
      <c r="X112" s="460">
        <v>0</v>
      </c>
      <c r="Y112" s="460">
        <v>0</v>
      </c>
      <c r="Z112" s="460">
        <f t="shared" si="182"/>
        <v>0</v>
      </c>
      <c r="AA112" s="460">
        <f t="shared" si="183"/>
        <v>0</v>
      </c>
      <c r="AB112" s="69">
        <f t="shared" si="184"/>
        <v>0</v>
      </c>
      <c r="AC112" s="69">
        <f t="shared" si="185"/>
        <v>0</v>
      </c>
      <c r="AD112" s="460">
        <v>0</v>
      </c>
      <c r="AE112" s="460">
        <v>0</v>
      </c>
      <c r="AF112" s="460">
        <f>SUM(AD112:AE112)</f>
        <v>0</v>
      </c>
      <c r="AG112" s="460">
        <f>AA112+AB112+AC112+AF112</f>
        <v>0</v>
      </c>
      <c r="AH112" s="461">
        <v>0</v>
      </c>
      <c r="AI112" s="461">
        <v>0</v>
      </c>
      <c r="AJ112" s="461">
        <v>0</v>
      </c>
      <c r="AK112" s="461">
        <v>0</v>
      </c>
      <c r="AL112" s="461">
        <v>0</v>
      </c>
      <c r="AM112" s="461">
        <v>0</v>
      </c>
      <c r="AN112" s="461">
        <v>0</v>
      </c>
      <c r="AO112" s="461">
        <v>0</v>
      </c>
      <c r="AP112" s="461">
        <f t="shared" si="120"/>
        <v>0</v>
      </c>
      <c r="AQ112" s="461">
        <f t="shared" si="121"/>
        <v>0</v>
      </c>
      <c r="AR112" s="737">
        <f t="shared" si="122"/>
        <v>0</v>
      </c>
      <c r="AS112" s="470">
        <f t="shared" si="123"/>
        <v>734852</v>
      </c>
      <c r="AT112" s="460">
        <f t="shared" si="124"/>
        <v>542828</v>
      </c>
      <c r="AU112" s="460">
        <f t="shared" si="125"/>
        <v>0</v>
      </c>
      <c r="AV112" s="460">
        <f t="shared" si="126"/>
        <v>183476</v>
      </c>
      <c r="AW112" s="460">
        <f t="shared" si="127"/>
        <v>5428</v>
      </c>
      <c r="AX112" s="460">
        <f t="shared" si="128"/>
        <v>3120</v>
      </c>
      <c r="AY112" s="461">
        <f t="shared" si="129"/>
        <v>1.74</v>
      </c>
      <c r="AZ112" s="461">
        <f t="shared" si="130"/>
        <v>0</v>
      </c>
      <c r="BA112" s="463">
        <f t="shared" si="131"/>
        <v>1.74</v>
      </c>
    </row>
    <row r="113" spans="1:53" ht="14.1" customHeight="1" x14ac:dyDescent="0.2">
      <c r="A113" s="73">
        <v>27</v>
      </c>
      <c r="B113" s="70">
        <v>2443</v>
      </c>
      <c r="C113" s="71">
        <v>600079309</v>
      </c>
      <c r="D113" s="70">
        <v>72743051</v>
      </c>
      <c r="E113" s="72" t="s">
        <v>608</v>
      </c>
      <c r="F113" s="73"/>
      <c r="G113" s="72"/>
      <c r="H113" s="74"/>
      <c r="I113" s="701">
        <f t="shared" ref="I113:P113" si="186">SUM(I110:I112)</f>
        <v>5655897</v>
      </c>
      <c r="J113" s="75">
        <f t="shared" si="186"/>
        <v>4175651</v>
      </c>
      <c r="K113" s="75">
        <f t="shared" si="186"/>
        <v>1411370</v>
      </c>
      <c r="L113" s="75">
        <f t="shared" si="186"/>
        <v>41756</v>
      </c>
      <c r="M113" s="75">
        <f t="shared" si="186"/>
        <v>27120</v>
      </c>
      <c r="N113" s="76">
        <f t="shared" si="186"/>
        <v>9.42</v>
      </c>
      <c r="O113" s="76">
        <f t="shared" si="186"/>
        <v>6</v>
      </c>
      <c r="P113" s="77">
        <f t="shared" si="186"/>
        <v>3.42</v>
      </c>
      <c r="Q113" s="724">
        <f t="shared" ref="Q113:BA113" si="187">SUM(Q110:Q112)</f>
        <v>0</v>
      </c>
      <c r="R113" s="724">
        <f t="shared" si="187"/>
        <v>0</v>
      </c>
      <c r="S113" s="75">
        <f t="shared" si="187"/>
        <v>0</v>
      </c>
      <c r="T113" s="75">
        <f t="shared" si="187"/>
        <v>0</v>
      </c>
      <c r="U113" s="75">
        <f t="shared" si="187"/>
        <v>0</v>
      </c>
      <c r="V113" s="75">
        <f t="shared" si="187"/>
        <v>0</v>
      </c>
      <c r="W113" s="75">
        <f t="shared" si="187"/>
        <v>0</v>
      </c>
      <c r="X113" s="75">
        <f t="shared" si="187"/>
        <v>0</v>
      </c>
      <c r="Y113" s="75">
        <f t="shared" si="187"/>
        <v>0</v>
      </c>
      <c r="Z113" s="75">
        <f t="shared" si="187"/>
        <v>0</v>
      </c>
      <c r="AA113" s="75">
        <f t="shared" si="187"/>
        <v>0</v>
      </c>
      <c r="AB113" s="75">
        <f t="shared" si="187"/>
        <v>0</v>
      </c>
      <c r="AC113" s="75">
        <f t="shared" si="187"/>
        <v>0</v>
      </c>
      <c r="AD113" s="75">
        <f t="shared" si="187"/>
        <v>0</v>
      </c>
      <c r="AE113" s="75">
        <f t="shared" si="187"/>
        <v>0</v>
      </c>
      <c r="AF113" s="75">
        <f t="shared" si="187"/>
        <v>0</v>
      </c>
      <c r="AG113" s="75">
        <f t="shared" si="187"/>
        <v>0</v>
      </c>
      <c r="AH113" s="76">
        <f t="shared" si="187"/>
        <v>0</v>
      </c>
      <c r="AI113" s="76">
        <f t="shared" si="187"/>
        <v>0</v>
      </c>
      <c r="AJ113" s="76">
        <f t="shared" si="187"/>
        <v>0</v>
      </c>
      <c r="AK113" s="76">
        <f t="shared" si="187"/>
        <v>0</v>
      </c>
      <c r="AL113" s="76">
        <f t="shared" si="187"/>
        <v>0</v>
      </c>
      <c r="AM113" s="76">
        <f t="shared" si="187"/>
        <v>0</v>
      </c>
      <c r="AN113" s="76">
        <f t="shared" si="187"/>
        <v>0</v>
      </c>
      <c r="AO113" s="76">
        <f t="shared" si="187"/>
        <v>0</v>
      </c>
      <c r="AP113" s="76">
        <f t="shared" si="187"/>
        <v>0</v>
      </c>
      <c r="AQ113" s="76">
        <f t="shared" si="187"/>
        <v>0</v>
      </c>
      <c r="AR113" s="720">
        <f t="shared" si="187"/>
        <v>0</v>
      </c>
      <c r="AS113" s="701">
        <f t="shared" si="187"/>
        <v>5655897</v>
      </c>
      <c r="AT113" s="75">
        <f t="shared" si="187"/>
        <v>4175651</v>
      </c>
      <c r="AU113" s="75">
        <f t="shared" si="187"/>
        <v>0</v>
      </c>
      <c r="AV113" s="75">
        <f t="shared" si="187"/>
        <v>1411370</v>
      </c>
      <c r="AW113" s="75">
        <f t="shared" si="187"/>
        <v>41756</v>
      </c>
      <c r="AX113" s="75">
        <f t="shared" si="187"/>
        <v>27120</v>
      </c>
      <c r="AY113" s="76">
        <f t="shared" si="187"/>
        <v>9.42</v>
      </c>
      <c r="AZ113" s="76">
        <f t="shared" si="187"/>
        <v>6</v>
      </c>
      <c r="BA113" s="77">
        <f t="shared" si="187"/>
        <v>3.42</v>
      </c>
    </row>
    <row r="114" spans="1:53" ht="14.1" customHeight="1" x14ac:dyDescent="0.2">
      <c r="A114" s="67">
        <v>28</v>
      </c>
      <c r="B114" s="64">
        <v>2425</v>
      </c>
      <c r="C114" s="65">
        <v>600079333</v>
      </c>
      <c r="D114" s="64">
        <v>72741864</v>
      </c>
      <c r="E114" s="66" t="s">
        <v>609</v>
      </c>
      <c r="F114" s="67">
        <v>3111</v>
      </c>
      <c r="G114" s="66" t="s">
        <v>307</v>
      </c>
      <c r="H114" s="68" t="s">
        <v>277</v>
      </c>
      <c r="I114" s="462">
        <v>3481214</v>
      </c>
      <c r="J114" s="16">
        <v>2568259</v>
      </c>
      <c r="K114" s="457">
        <v>868072</v>
      </c>
      <c r="L114" s="457">
        <v>25683</v>
      </c>
      <c r="M114" s="16">
        <v>19200</v>
      </c>
      <c r="N114" s="13">
        <v>5.2</v>
      </c>
      <c r="O114" s="13">
        <v>4</v>
      </c>
      <c r="P114" s="17">
        <v>1.2000000000000002</v>
      </c>
      <c r="Q114" s="469">
        <f t="shared" si="115"/>
        <v>0</v>
      </c>
      <c r="R114" s="469">
        <v>0</v>
      </c>
      <c r="S114" s="460">
        <v>0</v>
      </c>
      <c r="T114" s="460">
        <v>0</v>
      </c>
      <c r="U114" s="460">
        <v>0</v>
      </c>
      <c r="V114" s="460">
        <f>SUM(Q114:U114)</f>
        <v>0</v>
      </c>
      <c r="W114" s="460">
        <v>0</v>
      </c>
      <c r="X114" s="460">
        <v>0</v>
      </c>
      <c r="Y114" s="460">
        <v>0</v>
      </c>
      <c r="Z114" s="460">
        <f t="shared" ref="Z114:Z115" si="188">SUM(W114:Y114)</f>
        <v>0</v>
      </c>
      <c r="AA114" s="460">
        <f t="shared" ref="AA114:AA115" si="189">V114+Z114</f>
        <v>0</v>
      </c>
      <c r="AB114" s="69">
        <f t="shared" ref="AB114:AB115" si="190">ROUND((V114+W114+X114)*33.8%,0)</f>
        <v>0</v>
      </c>
      <c r="AC114" s="69">
        <f t="shared" ref="AC114:AC115" si="191">ROUND(V114*1%,0)</f>
        <v>0</v>
      </c>
      <c r="AD114" s="460">
        <v>0</v>
      </c>
      <c r="AE114" s="460">
        <v>0</v>
      </c>
      <c r="AF114" s="460">
        <f>SUM(AD114:AE114)</f>
        <v>0</v>
      </c>
      <c r="AG114" s="460">
        <f>AA114+AB114+AC114+AF114</f>
        <v>0</v>
      </c>
      <c r="AH114" s="461">
        <v>0</v>
      </c>
      <c r="AI114" s="461">
        <v>0</v>
      </c>
      <c r="AJ114" s="461">
        <v>0</v>
      </c>
      <c r="AK114" s="461">
        <v>0</v>
      </c>
      <c r="AL114" s="461">
        <v>0</v>
      </c>
      <c r="AM114" s="461">
        <v>0</v>
      </c>
      <c r="AN114" s="461">
        <v>0</v>
      </c>
      <c r="AO114" s="461">
        <v>0</v>
      </c>
      <c r="AP114" s="461">
        <f t="shared" si="120"/>
        <v>0</v>
      </c>
      <c r="AQ114" s="461">
        <f t="shared" si="121"/>
        <v>0</v>
      </c>
      <c r="AR114" s="737">
        <f t="shared" si="122"/>
        <v>0</v>
      </c>
      <c r="AS114" s="470">
        <f t="shared" si="123"/>
        <v>3481214</v>
      </c>
      <c r="AT114" s="460">
        <f t="shared" si="124"/>
        <v>2568259</v>
      </c>
      <c r="AU114" s="460">
        <f t="shared" si="125"/>
        <v>0</v>
      </c>
      <c r="AV114" s="460">
        <f t="shared" si="126"/>
        <v>868072</v>
      </c>
      <c r="AW114" s="460">
        <f t="shared" si="127"/>
        <v>25683</v>
      </c>
      <c r="AX114" s="460">
        <f t="shared" si="128"/>
        <v>19200</v>
      </c>
      <c r="AY114" s="461">
        <f t="shared" si="129"/>
        <v>5.2</v>
      </c>
      <c r="AZ114" s="461">
        <f t="shared" si="130"/>
        <v>4</v>
      </c>
      <c r="BA114" s="463">
        <f t="shared" si="131"/>
        <v>1.2000000000000002</v>
      </c>
    </row>
    <row r="115" spans="1:53" ht="14.1" customHeight="1" x14ac:dyDescent="0.2">
      <c r="A115" s="67">
        <v>28</v>
      </c>
      <c r="B115" s="64">
        <v>2425</v>
      </c>
      <c r="C115" s="65">
        <v>600079333</v>
      </c>
      <c r="D115" s="64">
        <v>72741864</v>
      </c>
      <c r="E115" s="66" t="s">
        <v>609</v>
      </c>
      <c r="F115" s="67">
        <v>3141</v>
      </c>
      <c r="G115" s="66" t="s">
        <v>311</v>
      </c>
      <c r="H115" s="68" t="s">
        <v>278</v>
      </c>
      <c r="I115" s="462">
        <v>631479</v>
      </c>
      <c r="J115" s="728">
        <v>466605</v>
      </c>
      <c r="K115" s="457">
        <v>157712</v>
      </c>
      <c r="L115" s="457">
        <v>4666</v>
      </c>
      <c r="M115" s="728">
        <v>2496</v>
      </c>
      <c r="N115" s="458">
        <v>1.5</v>
      </c>
      <c r="O115" s="459">
        <v>0</v>
      </c>
      <c r="P115" s="646">
        <v>1.5</v>
      </c>
      <c r="Q115" s="469">
        <f t="shared" si="115"/>
        <v>0</v>
      </c>
      <c r="R115" s="469">
        <v>0</v>
      </c>
      <c r="S115" s="460">
        <v>0</v>
      </c>
      <c r="T115" s="460">
        <v>0</v>
      </c>
      <c r="U115" s="460">
        <v>0</v>
      </c>
      <c r="V115" s="460">
        <f>SUM(Q115:U115)</f>
        <v>0</v>
      </c>
      <c r="W115" s="460">
        <v>0</v>
      </c>
      <c r="X115" s="460">
        <v>0</v>
      </c>
      <c r="Y115" s="460">
        <v>0</v>
      </c>
      <c r="Z115" s="460">
        <f t="shared" si="188"/>
        <v>0</v>
      </c>
      <c r="AA115" s="460">
        <f t="shared" si="189"/>
        <v>0</v>
      </c>
      <c r="AB115" s="69">
        <f t="shared" si="190"/>
        <v>0</v>
      </c>
      <c r="AC115" s="69">
        <f t="shared" si="191"/>
        <v>0</v>
      </c>
      <c r="AD115" s="460">
        <v>0</v>
      </c>
      <c r="AE115" s="460">
        <v>0</v>
      </c>
      <c r="AF115" s="460">
        <f>SUM(AD115:AE115)</f>
        <v>0</v>
      </c>
      <c r="AG115" s="460">
        <f>AA115+AB115+AC115+AF115</f>
        <v>0</v>
      </c>
      <c r="AH115" s="461">
        <v>0</v>
      </c>
      <c r="AI115" s="461">
        <v>0</v>
      </c>
      <c r="AJ115" s="461">
        <v>0</v>
      </c>
      <c r="AK115" s="461">
        <v>0</v>
      </c>
      <c r="AL115" s="461">
        <v>0</v>
      </c>
      <c r="AM115" s="461">
        <v>0</v>
      </c>
      <c r="AN115" s="461">
        <v>0</v>
      </c>
      <c r="AO115" s="461">
        <v>0</v>
      </c>
      <c r="AP115" s="461">
        <f t="shared" si="120"/>
        <v>0</v>
      </c>
      <c r="AQ115" s="461">
        <f t="shared" si="121"/>
        <v>0</v>
      </c>
      <c r="AR115" s="737">
        <f t="shared" si="122"/>
        <v>0</v>
      </c>
      <c r="AS115" s="470">
        <f t="shared" si="123"/>
        <v>631479</v>
      </c>
      <c r="AT115" s="460">
        <f t="shared" si="124"/>
        <v>466605</v>
      </c>
      <c r="AU115" s="460">
        <f t="shared" si="125"/>
        <v>0</v>
      </c>
      <c r="AV115" s="460">
        <f t="shared" si="126"/>
        <v>157712</v>
      </c>
      <c r="AW115" s="460">
        <f t="shared" si="127"/>
        <v>4666</v>
      </c>
      <c r="AX115" s="460">
        <f t="shared" si="128"/>
        <v>2496</v>
      </c>
      <c r="AY115" s="461">
        <f t="shared" si="129"/>
        <v>1.5</v>
      </c>
      <c r="AZ115" s="461">
        <f t="shared" si="130"/>
        <v>0</v>
      </c>
      <c r="BA115" s="463">
        <f t="shared" si="131"/>
        <v>1.5</v>
      </c>
    </row>
    <row r="116" spans="1:53" ht="14.1" customHeight="1" x14ac:dyDescent="0.2">
      <c r="A116" s="73">
        <v>28</v>
      </c>
      <c r="B116" s="70">
        <v>2425</v>
      </c>
      <c r="C116" s="71">
        <v>600079333</v>
      </c>
      <c r="D116" s="70">
        <v>72741864</v>
      </c>
      <c r="E116" s="72" t="s">
        <v>610</v>
      </c>
      <c r="F116" s="73"/>
      <c r="G116" s="72"/>
      <c r="H116" s="74"/>
      <c r="I116" s="701">
        <f t="shared" ref="I116:P116" si="192">SUM(I114:I115)</f>
        <v>4112693</v>
      </c>
      <c r="J116" s="75">
        <f t="shared" si="192"/>
        <v>3034864</v>
      </c>
      <c r="K116" s="75">
        <f t="shared" si="192"/>
        <v>1025784</v>
      </c>
      <c r="L116" s="75">
        <f t="shared" si="192"/>
        <v>30349</v>
      </c>
      <c r="M116" s="75">
        <f t="shared" si="192"/>
        <v>21696</v>
      </c>
      <c r="N116" s="76">
        <f t="shared" si="192"/>
        <v>6.7</v>
      </c>
      <c r="O116" s="76">
        <f t="shared" si="192"/>
        <v>4</v>
      </c>
      <c r="P116" s="77">
        <f t="shared" si="192"/>
        <v>2.7</v>
      </c>
      <c r="Q116" s="724">
        <f t="shared" ref="Q116:BA116" si="193">SUM(Q114:Q115)</f>
        <v>0</v>
      </c>
      <c r="R116" s="724">
        <f t="shared" si="193"/>
        <v>0</v>
      </c>
      <c r="S116" s="75">
        <f t="shared" si="193"/>
        <v>0</v>
      </c>
      <c r="T116" s="75">
        <f t="shared" si="193"/>
        <v>0</v>
      </c>
      <c r="U116" s="75">
        <f t="shared" si="193"/>
        <v>0</v>
      </c>
      <c r="V116" s="75">
        <f t="shared" si="193"/>
        <v>0</v>
      </c>
      <c r="W116" s="75">
        <f t="shared" si="193"/>
        <v>0</v>
      </c>
      <c r="X116" s="75">
        <f t="shared" si="193"/>
        <v>0</v>
      </c>
      <c r="Y116" s="75">
        <f t="shared" si="193"/>
        <v>0</v>
      </c>
      <c r="Z116" s="75">
        <f t="shared" si="193"/>
        <v>0</v>
      </c>
      <c r="AA116" s="75">
        <f t="shared" si="193"/>
        <v>0</v>
      </c>
      <c r="AB116" s="75">
        <f t="shared" si="193"/>
        <v>0</v>
      </c>
      <c r="AC116" s="75">
        <f t="shared" si="193"/>
        <v>0</v>
      </c>
      <c r="AD116" s="75">
        <f t="shared" si="193"/>
        <v>0</v>
      </c>
      <c r="AE116" s="75">
        <f t="shared" si="193"/>
        <v>0</v>
      </c>
      <c r="AF116" s="75">
        <f t="shared" si="193"/>
        <v>0</v>
      </c>
      <c r="AG116" s="75">
        <f t="shared" si="193"/>
        <v>0</v>
      </c>
      <c r="AH116" s="76">
        <f t="shared" si="193"/>
        <v>0</v>
      </c>
      <c r="AI116" s="76">
        <f t="shared" si="193"/>
        <v>0</v>
      </c>
      <c r="AJ116" s="76">
        <f t="shared" si="193"/>
        <v>0</v>
      </c>
      <c r="AK116" s="76">
        <f t="shared" si="193"/>
        <v>0</v>
      </c>
      <c r="AL116" s="76">
        <f t="shared" si="193"/>
        <v>0</v>
      </c>
      <c r="AM116" s="76">
        <f t="shared" si="193"/>
        <v>0</v>
      </c>
      <c r="AN116" s="76">
        <f t="shared" si="193"/>
        <v>0</v>
      </c>
      <c r="AO116" s="76">
        <f t="shared" si="193"/>
        <v>0</v>
      </c>
      <c r="AP116" s="76">
        <f t="shared" si="193"/>
        <v>0</v>
      </c>
      <c r="AQ116" s="76">
        <f t="shared" si="193"/>
        <v>0</v>
      </c>
      <c r="AR116" s="720">
        <f t="shared" si="193"/>
        <v>0</v>
      </c>
      <c r="AS116" s="701">
        <f t="shared" si="193"/>
        <v>4112693</v>
      </c>
      <c r="AT116" s="75">
        <f t="shared" si="193"/>
        <v>3034864</v>
      </c>
      <c r="AU116" s="75">
        <f t="shared" si="193"/>
        <v>0</v>
      </c>
      <c r="AV116" s="75">
        <f t="shared" si="193"/>
        <v>1025784</v>
      </c>
      <c r="AW116" s="75">
        <f t="shared" si="193"/>
        <v>30349</v>
      </c>
      <c r="AX116" s="75">
        <f t="shared" si="193"/>
        <v>21696</v>
      </c>
      <c r="AY116" s="76">
        <f t="shared" si="193"/>
        <v>6.7</v>
      </c>
      <c r="AZ116" s="76">
        <f t="shared" si="193"/>
        <v>4</v>
      </c>
      <c r="BA116" s="77">
        <f t="shared" si="193"/>
        <v>2.7</v>
      </c>
    </row>
    <row r="117" spans="1:53" ht="14.1" customHeight="1" x14ac:dyDescent="0.2">
      <c r="A117" s="67">
        <v>29</v>
      </c>
      <c r="B117" s="64">
        <v>2433</v>
      </c>
      <c r="C117" s="65">
        <v>600079643</v>
      </c>
      <c r="D117" s="64">
        <v>66113334</v>
      </c>
      <c r="E117" s="66" t="s">
        <v>611</v>
      </c>
      <c r="F117" s="67">
        <v>3111</v>
      </c>
      <c r="G117" s="66" t="s">
        <v>307</v>
      </c>
      <c r="H117" s="68" t="s">
        <v>277</v>
      </c>
      <c r="I117" s="462">
        <v>6932671</v>
      </c>
      <c r="J117" s="16">
        <v>5110364</v>
      </c>
      <c r="K117" s="457">
        <v>1727303</v>
      </c>
      <c r="L117" s="457">
        <v>51104</v>
      </c>
      <c r="M117" s="16">
        <v>43900</v>
      </c>
      <c r="N117" s="13">
        <v>10.6271</v>
      </c>
      <c r="O117" s="13">
        <v>8.3871000000000002</v>
      </c>
      <c r="P117" s="17">
        <v>2.2400000000000002</v>
      </c>
      <c r="Q117" s="469">
        <f t="shared" si="115"/>
        <v>0</v>
      </c>
      <c r="R117" s="469">
        <v>0</v>
      </c>
      <c r="S117" s="460">
        <v>0</v>
      </c>
      <c r="T117" s="460">
        <v>0</v>
      </c>
      <c r="U117" s="460">
        <v>0</v>
      </c>
      <c r="V117" s="460">
        <f>SUM(Q117:U117)</f>
        <v>0</v>
      </c>
      <c r="W117" s="460">
        <v>0</v>
      </c>
      <c r="X117" s="460">
        <v>0</v>
      </c>
      <c r="Y117" s="460">
        <v>0</v>
      </c>
      <c r="Z117" s="460">
        <f t="shared" ref="Z117:Z119" si="194">SUM(W117:Y117)</f>
        <v>0</v>
      </c>
      <c r="AA117" s="460">
        <f t="shared" ref="AA117:AA119" si="195">V117+Z117</f>
        <v>0</v>
      </c>
      <c r="AB117" s="69">
        <f t="shared" ref="AB117:AB119" si="196">ROUND((V117+W117+X117)*33.8%,0)</f>
        <v>0</v>
      </c>
      <c r="AC117" s="69">
        <f t="shared" ref="AC117:AC119" si="197">ROUND(V117*1%,0)</f>
        <v>0</v>
      </c>
      <c r="AD117" s="460">
        <v>0</v>
      </c>
      <c r="AE117" s="460">
        <v>0</v>
      </c>
      <c r="AF117" s="460">
        <f>SUM(AD117:AE117)</f>
        <v>0</v>
      </c>
      <c r="AG117" s="460">
        <f>AA117+AB117+AC117+AF117</f>
        <v>0</v>
      </c>
      <c r="AH117" s="461">
        <v>0</v>
      </c>
      <c r="AI117" s="461">
        <v>0</v>
      </c>
      <c r="AJ117" s="461">
        <v>0</v>
      </c>
      <c r="AK117" s="461">
        <v>0</v>
      </c>
      <c r="AL117" s="461">
        <v>0</v>
      </c>
      <c r="AM117" s="461">
        <v>0</v>
      </c>
      <c r="AN117" s="461">
        <v>0</v>
      </c>
      <c r="AO117" s="461">
        <v>0</v>
      </c>
      <c r="AP117" s="461">
        <f t="shared" si="120"/>
        <v>0</v>
      </c>
      <c r="AQ117" s="461">
        <f t="shared" si="121"/>
        <v>0</v>
      </c>
      <c r="AR117" s="737">
        <f t="shared" si="122"/>
        <v>0</v>
      </c>
      <c r="AS117" s="470">
        <f t="shared" si="123"/>
        <v>6932671</v>
      </c>
      <c r="AT117" s="460">
        <f t="shared" si="124"/>
        <v>5110364</v>
      </c>
      <c r="AU117" s="460">
        <f t="shared" si="125"/>
        <v>0</v>
      </c>
      <c r="AV117" s="460">
        <f t="shared" si="126"/>
        <v>1727303</v>
      </c>
      <c r="AW117" s="460">
        <f t="shared" si="127"/>
        <v>51104</v>
      </c>
      <c r="AX117" s="460">
        <f t="shared" si="128"/>
        <v>43900</v>
      </c>
      <c r="AY117" s="461">
        <f t="shared" si="129"/>
        <v>10.6271</v>
      </c>
      <c r="AZ117" s="461">
        <f t="shared" si="130"/>
        <v>8.3871000000000002</v>
      </c>
      <c r="BA117" s="463">
        <f t="shared" si="131"/>
        <v>2.2400000000000002</v>
      </c>
    </row>
    <row r="118" spans="1:53" ht="14.1" customHeight="1" x14ac:dyDescent="0.2">
      <c r="A118" s="67">
        <v>29</v>
      </c>
      <c r="B118" s="64">
        <v>2433</v>
      </c>
      <c r="C118" s="65">
        <v>600079643</v>
      </c>
      <c r="D118" s="64">
        <v>66113334</v>
      </c>
      <c r="E118" s="66" t="s">
        <v>611</v>
      </c>
      <c r="F118" s="67">
        <v>3111</v>
      </c>
      <c r="G118" s="66" t="s">
        <v>308</v>
      </c>
      <c r="H118" s="68" t="s">
        <v>278</v>
      </c>
      <c r="I118" s="462">
        <v>0</v>
      </c>
      <c r="J118" s="457">
        <v>0</v>
      </c>
      <c r="K118" s="457">
        <v>0</v>
      </c>
      <c r="L118" s="457">
        <v>0</v>
      </c>
      <c r="M118" s="457">
        <v>0</v>
      </c>
      <c r="N118" s="458">
        <v>0</v>
      </c>
      <c r="O118" s="459">
        <v>0</v>
      </c>
      <c r="P118" s="646">
        <v>0</v>
      </c>
      <c r="Q118" s="469">
        <f t="shared" si="115"/>
        <v>0</v>
      </c>
      <c r="R118" s="469">
        <v>677493</v>
      </c>
      <c r="S118" s="460">
        <v>0</v>
      </c>
      <c r="T118" s="460">
        <v>0</v>
      </c>
      <c r="U118" s="460">
        <v>0</v>
      </c>
      <c r="V118" s="460">
        <f>SUM(Q118:U118)</f>
        <v>677493</v>
      </c>
      <c r="W118" s="460">
        <v>0</v>
      </c>
      <c r="X118" s="460">
        <v>0</v>
      </c>
      <c r="Y118" s="460">
        <v>0</v>
      </c>
      <c r="Z118" s="460">
        <f t="shared" si="194"/>
        <v>0</v>
      </c>
      <c r="AA118" s="460">
        <f t="shared" si="195"/>
        <v>677493</v>
      </c>
      <c r="AB118" s="69">
        <f t="shared" si="196"/>
        <v>228993</v>
      </c>
      <c r="AC118" s="69">
        <f t="shared" si="197"/>
        <v>6775</v>
      </c>
      <c r="AD118" s="460">
        <v>0</v>
      </c>
      <c r="AE118" s="460">
        <v>0</v>
      </c>
      <c r="AF118" s="460">
        <f>SUM(AD118:AE118)</f>
        <v>0</v>
      </c>
      <c r="AG118" s="460">
        <f>AA118+AB118+AC118+AF118</f>
        <v>913261</v>
      </c>
      <c r="AH118" s="461">
        <v>0</v>
      </c>
      <c r="AI118" s="461">
        <v>0</v>
      </c>
      <c r="AJ118" s="461">
        <v>2</v>
      </c>
      <c r="AK118" s="461">
        <v>0</v>
      </c>
      <c r="AL118" s="461">
        <v>0</v>
      </c>
      <c r="AM118" s="461">
        <v>0</v>
      </c>
      <c r="AN118" s="461">
        <v>0</v>
      </c>
      <c r="AO118" s="461">
        <v>0</v>
      </c>
      <c r="AP118" s="461">
        <f t="shared" si="120"/>
        <v>2</v>
      </c>
      <c r="AQ118" s="461">
        <f t="shared" si="121"/>
        <v>0</v>
      </c>
      <c r="AR118" s="737">
        <f t="shared" si="122"/>
        <v>2</v>
      </c>
      <c r="AS118" s="470">
        <f t="shared" si="123"/>
        <v>913261</v>
      </c>
      <c r="AT118" s="460">
        <f t="shared" si="124"/>
        <v>677493</v>
      </c>
      <c r="AU118" s="460">
        <f t="shared" si="125"/>
        <v>0</v>
      </c>
      <c r="AV118" s="460">
        <f t="shared" si="126"/>
        <v>228993</v>
      </c>
      <c r="AW118" s="460">
        <f t="shared" si="127"/>
        <v>6775</v>
      </c>
      <c r="AX118" s="460">
        <f t="shared" si="128"/>
        <v>0</v>
      </c>
      <c r="AY118" s="461">
        <f t="shared" si="129"/>
        <v>2</v>
      </c>
      <c r="AZ118" s="461">
        <f t="shared" si="130"/>
        <v>2</v>
      </c>
      <c r="BA118" s="463">
        <f t="shared" si="131"/>
        <v>0</v>
      </c>
    </row>
    <row r="119" spans="1:53" ht="14.1" customHeight="1" x14ac:dyDescent="0.2">
      <c r="A119" s="67">
        <v>29</v>
      </c>
      <c r="B119" s="64">
        <v>2433</v>
      </c>
      <c r="C119" s="65">
        <v>600079643</v>
      </c>
      <c r="D119" s="64">
        <v>66113334</v>
      </c>
      <c r="E119" s="66" t="s">
        <v>611</v>
      </c>
      <c r="F119" s="67">
        <v>3141</v>
      </c>
      <c r="G119" s="66" t="s">
        <v>311</v>
      </c>
      <c r="H119" s="68" t="s">
        <v>278</v>
      </c>
      <c r="I119" s="462">
        <v>869779</v>
      </c>
      <c r="J119" s="728">
        <v>642266</v>
      </c>
      <c r="K119" s="457">
        <v>217086</v>
      </c>
      <c r="L119" s="457">
        <v>6423</v>
      </c>
      <c r="M119" s="728">
        <v>4004</v>
      </c>
      <c r="N119" s="458">
        <v>2.06</v>
      </c>
      <c r="O119" s="459">
        <v>0</v>
      </c>
      <c r="P119" s="646">
        <v>2.06</v>
      </c>
      <c r="Q119" s="469">
        <f t="shared" si="115"/>
        <v>0</v>
      </c>
      <c r="R119" s="469">
        <v>0</v>
      </c>
      <c r="S119" s="460">
        <v>0</v>
      </c>
      <c r="T119" s="460">
        <v>0</v>
      </c>
      <c r="U119" s="460">
        <v>0</v>
      </c>
      <c r="V119" s="460">
        <f>SUM(Q119:U119)</f>
        <v>0</v>
      </c>
      <c r="W119" s="460">
        <v>0</v>
      </c>
      <c r="X119" s="460">
        <v>0</v>
      </c>
      <c r="Y119" s="460">
        <v>0</v>
      </c>
      <c r="Z119" s="460">
        <f t="shared" si="194"/>
        <v>0</v>
      </c>
      <c r="AA119" s="460">
        <f t="shared" si="195"/>
        <v>0</v>
      </c>
      <c r="AB119" s="69">
        <f t="shared" si="196"/>
        <v>0</v>
      </c>
      <c r="AC119" s="69">
        <f t="shared" si="197"/>
        <v>0</v>
      </c>
      <c r="AD119" s="460">
        <v>0</v>
      </c>
      <c r="AE119" s="460">
        <v>0</v>
      </c>
      <c r="AF119" s="460">
        <f>SUM(AD119:AE119)</f>
        <v>0</v>
      </c>
      <c r="AG119" s="460">
        <f>AA119+AB119+AC119+AF119</f>
        <v>0</v>
      </c>
      <c r="AH119" s="461">
        <v>0</v>
      </c>
      <c r="AI119" s="461">
        <v>0</v>
      </c>
      <c r="AJ119" s="461">
        <v>0</v>
      </c>
      <c r="AK119" s="461">
        <v>0</v>
      </c>
      <c r="AL119" s="461">
        <v>0</v>
      </c>
      <c r="AM119" s="461">
        <v>0</v>
      </c>
      <c r="AN119" s="461">
        <v>0</v>
      </c>
      <c r="AO119" s="461">
        <v>0</v>
      </c>
      <c r="AP119" s="461">
        <f t="shared" si="120"/>
        <v>0</v>
      </c>
      <c r="AQ119" s="461">
        <f t="shared" si="121"/>
        <v>0</v>
      </c>
      <c r="AR119" s="737">
        <f t="shared" si="122"/>
        <v>0</v>
      </c>
      <c r="AS119" s="470">
        <f t="shared" si="123"/>
        <v>869779</v>
      </c>
      <c r="AT119" s="460">
        <f t="shared" si="124"/>
        <v>642266</v>
      </c>
      <c r="AU119" s="460">
        <f t="shared" si="125"/>
        <v>0</v>
      </c>
      <c r="AV119" s="460">
        <f t="shared" si="126"/>
        <v>217086</v>
      </c>
      <c r="AW119" s="460">
        <f t="shared" si="127"/>
        <v>6423</v>
      </c>
      <c r="AX119" s="460">
        <f t="shared" si="128"/>
        <v>4004</v>
      </c>
      <c r="AY119" s="461">
        <f t="shared" si="129"/>
        <v>2.06</v>
      </c>
      <c r="AZ119" s="461">
        <f t="shared" si="130"/>
        <v>0</v>
      </c>
      <c r="BA119" s="463">
        <f t="shared" si="131"/>
        <v>2.06</v>
      </c>
    </row>
    <row r="120" spans="1:53" ht="14.1" customHeight="1" x14ac:dyDescent="0.2">
      <c r="A120" s="73">
        <v>29</v>
      </c>
      <c r="B120" s="70">
        <v>2433</v>
      </c>
      <c r="C120" s="71">
        <v>600079643</v>
      </c>
      <c r="D120" s="70">
        <v>66113334</v>
      </c>
      <c r="E120" s="72" t="s">
        <v>612</v>
      </c>
      <c r="F120" s="73"/>
      <c r="G120" s="72"/>
      <c r="H120" s="74"/>
      <c r="I120" s="701">
        <f t="shared" ref="I120:P120" si="198">SUM(I117:I119)</f>
        <v>7802450</v>
      </c>
      <c r="J120" s="75">
        <f t="shared" si="198"/>
        <v>5752630</v>
      </c>
      <c r="K120" s="75">
        <f t="shared" si="198"/>
        <v>1944389</v>
      </c>
      <c r="L120" s="75">
        <f t="shared" si="198"/>
        <v>57527</v>
      </c>
      <c r="M120" s="75">
        <f t="shared" si="198"/>
        <v>47904</v>
      </c>
      <c r="N120" s="76">
        <f t="shared" si="198"/>
        <v>12.687100000000001</v>
      </c>
      <c r="O120" s="76">
        <f t="shared" si="198"/>
        <v>8.3871000000000002</v>
      </c>
      <c r="P120" s="77">
        <f t="shared" si="198"/>
        <v>4.3000000000000007</v>
      </c>
      <c r="Q120" s="724">
        <f t="shared" ref="Q120:BA120" si="199">SUM(Q117:Q119)</f>
        <v>0</v>
      </c>
      <c r="R120" s="724">
        <f t="shared" si="199"/>
        <v>677493</v>
      </c>
      <c r="S120" s="75">
        <f t="shared" si="199"/>
        <v>0</v>
      </c>
      <c r="T120" s="75">
        <f t="shared" si="199"/>
        <v>0</v>
      </c>
      <c r="U120" s="75">
        <f t="shared" si="199"/>
        <v>0</v>
      </c>
      <c r="V120" s="75">
        <f t="shared" si="199"/>
        <v>677493</v>
      </c>
      <c r="W120" s="75">
        <f t="shared" si="199"/>
        <v>0</v>
      </c>
      <c r="X120" s="75">
        <f t="shared" si="199"/>
        <v>0</v>
      </c>
      <c r="Y120" s="75">
        <f t="shared" si="199"/>
        <v>0</v>
      </c>
      <c r="Z120" s="75">
        <f t="shared" si="199"/>
        <v>0</v>
      </c>
      <c r="AA120" s="75">
        <f t="shared" si="199"/>
        <v>677493</v>
      </c>
      <c r="AB120" s="75">
        <f t="shared" si="199"/>
        <v>228993</v>
      </c>
      <c r="AC120" s="75">
        <f t="shared" si="199"/>
        <v>6775</v>
      </c>
      <c r="AD120" s="75">
        <f t="shared" si="199"/>
        <v>0</v>
      </c>
      <c r="AE120" s="75">
        <f t="shared" si="199"/>
        <v>0</v>
      </c>
      <c r="AF120" s="75">
        <f t="shared" si="199"/>
        <v>0</v>
      </c>
      <c r="AG120" s="75">
        <f t="shared" si="199"/>
        <v>913261</v>
      </c>
      <c r="AH120" s="76">
        <f t="shared" si="199"/>
        <v>0</v>
      </c>
      <c r="AI120" s="76">
        <f t="shared" si="199"/>
        <v>0</v>
      </c>
      <c r="AJ120" s="76">
        <f t="shared" si="199"/>
        <v>2</v>
      </c>
      <c r="AK120" s="76">
        <f t="shared" si="199"/>
        <v>0</v>
      </c>
      <c r="AL120" s="76">
        <f t="shared" si="199"/>
        <v>0</v>
      </c>
      <c r="AM120" s="76">
        <f t="shared" si="199"/>
        <v>0</v>
      </c>
      <c r="AN120" s="76">
        <f t="shared" si="199"/>
        <v>0</v>
      </c>
      <c r="AO120" s="76">
        <f t="shared" si="199"/>
        <v>0</v>
      </c>
      <c r="AP120" s="76">
        <f t="shared" si="199"/>
        <v>2</v>
      </c>
      <c r="AQ120" s="76">
        <f t="shared" si="199"/>
        <v>0</v>
      </c>
      <c r="AR120" s="720">
        <f t="shared" si="199"/>
        <v>2</v>
      </c>
      <c r="AS120" s="701">
        <f t="shared" si="199"/>
        <v>8715711</v>
      </c>
      <c r="AT120" s="75">
        <f t="shared" si="199"/>
        <v>6430123</v>
      </c>
      <c r="AU120" s="75">
        <f t="shared" si="199"/>
        <v>0</v>
      </c>
      <c r="AV120" s="75">
        <f t="shared" si="199"/>
        <v>2173382</v>
      </c>
      <c r="AW120" s="75">
        <f t="shared" si="199"/>
        <v>64302</v>
      </c>
      <c r="AX120" s="75">
        <f t="shared" si="199"/>
        <v>47904</v>
      </c>
      <c r="AY120" s="76">
        <f t="shared" si="199"/>
        <v>14.687100000000001</v>
      </c>
      <c r="AZ120" s="76">
        <f t="shared" si="199"/>
        <v>10.3871</v>
      </c>
      <c r="BA120" s="77">
        <f t="shared" si="199"/>
        <v>4.3000000000000007</v>
      </c>
    </row>
    <row r="121" spans="1:53" ht="14.1" customHeight="1" x14ac:dyDescent="0.2">
      <c r="A121" s="67">
        <v>30</v>
      </c>
      <c r="B121" s="64">
        <v>2435</v>
      </c>
      <c r="C121" s="65">
        <v>600079341</v>
      </c>
      <c r="D121" s="64">
        <v>72743069</v>
      </c>
      <c r="E121" s="66" t="s">
        <v>613</v>
      </c>
      <c r="F121" s="67">
        <v>3111</v>
      </c>
      <c r="G121" s="66" t="s">
        <v>307</v>
      </c>
      <c r="H121" s="68" t="s">
        <v>277</v>
      </c>
      <c r="I121" s="462">
        <v>7212483</v>
      </c>
      <c r="J121" s="16">
        <v>5324439</v>
      </c>
      <c r="K121" s="457">
        <v>1799660</v>
      </c>
      <c r="L121" s="457">
        <v>53244</v>
      </c>
      <c r="M121" s="16">
        <v>35140</v>
      </c>
      <c r="N121" s="13">
        <v>10.687999999999999</v>
      </c>
      <c r="O121" s="13">
        <v>8.2579999999999991</v>
      </c>
      <c r="P121" s="17">
        <v>2.4299999999999997</v>
      </c>
      <c r="Q121" s="469">
        <f t="shared" si="115"/>
        <v>-8263</v>
      </c>
      <c r="R121" s="469">
        <v>0</v>
      </c>
      <c r="S121" s="460">
        <v>0</v>
      </c>
      <c r="T121" s="460">
        <v>0</v>
      </c>
      <c r="U121" s="460">
        <v>0</v>
      </c>
      <c r="V121" s="460">
        <f>SUM(Q121:U121)</f>
        <v>-8263</v>
      </c>
      <c r="W121" s="460">
        <v>8263</v>
      </c>
      <c r="X121" s="460">
        <v>0</v>
      </c>
      <c r="Y121" s="460">
        <v>0</v>
      </c>
      <c r="Z121" s="460">
        <f t="shared" ref="Z121:Z124" si="200">SUM(W121:Y121)</f>
        <v>8263</v>
      </c>
      <c r="AA121" s="460">
        <f t="shared" ref="AA121:AA124" si="201">V121+Z121</f>
        <v>0</v>
      </c>
      <c r="AB121" s="69">
        <f t="shared" ref="AB121:AB124" si="202">ROUND((V121+W121+X121)*33.8%,0)</f>
        <v>0</v>
      </c>
      <c r="AC121" s="69">
        <f t="shared" ref="AC121:AC124" si="203">ROUND(V121*1%,0)</f>
        <v>-83</v>
      </c>
      <c r="AD121" s="460">
        <v>0</v>
      </c>
      <c r="AE121" s="460">
        <v>0</v>
      </c>
      <c r="AF121" s="460">
        <f>SUM(AD121:AE121)</f>
        <v>0</v>
      </c>
      <c r="AG121" s="460">
        <f>AA121+AB121+AC121+AF121</f>
        <v>-83</v>
      </c>
      <c r="AH121" s="461">
        <v>0</v>
      </c>
      <c r="AI121" s="461">
        <v>-0.01</v>
      </c>
      <c r="AJ121" s="461">
        <v>0</v>
      </c>
      <c r="AK121" s="461">
        <v>0</v>
      </c>
      <c r="AL121" s="461">
        <v>0</v>
      </c>
      <c r="AM121" s="461">
        <v>0</v>
      </c>
      <c r="AN121" s="461">
        <v>0</v>
      </c>
      <c r="AO121" s="461">
        <v>0</v>
      </c>
      <c r="AP121" s="461">
        <f t="shared" si="120"/>
        <v>0</v>
      </c>
      <c r="AQ121" s="461">
        <f t="shared" si="121"/>
        <v>-0.01</v>
      </c>
      <c r="AR121" s="737">
        <f t="shared" si="122"/>
        <v>-0.01</v>
      </c>
      <c r="AS121" s="470">
        <f t="shared" si="123"/>
        <v>7212400</v>
      </c>
      <c r="AT121" s="460">
        <f t="shared" si="124"/>
        <v>5316176</v>
      </c>
      <c r="AU121" s="460">
        <f t="shared" si="125"/>
        <v>8263</v>
      </c>
      <c r="AV121" s="460">
        <f t="shared" si="126"/>
        <v>1799660</v>
      </c>
      <c r="AW121" s="460">
        <f t="shared" si="127"/>
        <v>53161</v>
      </c>
      <c r="AX121" s="460">
        <f t="shared" si="128"/>
        <v>35140</v>
      </c>
      <c r="AY121" s="461">
        <f t="shared" si="129"/>
        <v>10.677999999999999</v>
      </c>
      <c r="AZ121" s="461">
        <f t="shared" si="130"/>
        <v>8.2579999999999991</v>
      </c>
      <c r="BA121" s="463">
        <f t="shared" si="131"/>
        <v>2.42</v>
      </c>
    </row>
    <row r="122" spans="1:53" ht="14.1" customHeight="1" x14ac:dyDescent="0.2">
      <c r="A122" s="67">
        <v>30</v>
      </c>
      <c r="B122" s="64">
        <v>2435</v>
      </c>
      <c r="C122" s="65">
        <v>600079341</v>
      </c>
      <c r="D122" s="64">
        <v>72743069</v>
      </c>
      <c r="E122" s="66" t="s">
        <v>613</v>
      </c>
      <c r="F122" s="67">
        <v>3111</v>
      </c>
      <c r="G122" s="44" t="s">
        <v>309</v>
      </c>
      <c r="H122" s="68" t="s">
        <v>277</v>
      </c>
      <c r="I122" s="462">
        <v>449645</v>
      </c>
      <c r="J122" s="16">
        <v>333564</v>
      </c>
      <c r="K122" s="457">
        <v>112745</v>
      </c>
      <c r="L122" s="457">
        <v>3336</v>
      </c>
      <c r="M122" s="16">
        <v>0</v>
      </c>
      <c r="N122" s="13">
        <v>1</v>
      </c>
      <c r="O122" s="13">
        <v>1</v>
      </c>
      <c r="P122" s="17">
        <v>0</v>
      </c>
      <c r="Q122" s="469">
        <f t="shared" si="115"/>
        <v>0</v>
      </c>
      <c r="R122" s="469">
        <v>0</v>
      </c>
      <c r="S122" s="460">
        <v>0</v>
      </c>
      <c r="T122" s="460">
        <v>0</v>
      </c>
      <c r="U122" s="460">
        <v>0</v>
      </c>
      <c r="V122" s="460">
        <f>SUM(Q122:U122)</f>
        <v>0</v>
      </c>
      <c r="W122" s="460">
        <v>0</v>
      </c>
      <c r="X122" s="460">
        <v>0</v>
      </c>
      <c r="Y122" s="460">
        <v>0</v>
      </c>
      <c r="Z122" s="460">
        <f t="shared" si="200"/>
        <v>0</v>
      </c>
      <c r="AA122" s="460">
        <f t="shared" si="201"/>
        <v>0</v>
      </c>
      <c r="AB122" s="69">
        <f t="shared" si="202"/>
        <v>0</v>
      </c>
      <c r="AC122" s="69">
        <f t="shared" si="203"/>
        <v>0</v>
      </c>
      <c r="AD122" s="460">
        <v>0</v>
      </c>
      <c r="AE122" s="460">
        <v>0</v>
      </c>
      <c r="AF122" s="460">
        <f>SUM(AD122:AE122)</f>
        <v>0</v>
      </c>
      <c r="AG122" s="460">
        <f>AA122+AB122+AC122+AF122</f>
        <v>0</v>
      </c>
      <c r="AH122" s="461">
        <v>0</v>
      </c>
      <c r="AI122" s="461">
        <v>0</v>
      </c>
      <c r="AJ122" s="461">
        <v>0</v>
      </c>
      <c r="AK122" s="461">
        <v>0</v>
      </c>
      <c r="AL122" s="461">
        <v>0</v>
      </c>
      <c r="AM122" s="461">
        <v>0</v>
      </c>
      <c r="AN122" s="461">
        <v>0</v>
      </c>
      <c r="AO122" s="461">
        <v>0</v>
      </c>
      <c r="AP122" s="461">
        <f t="shared" si="120"/>
        <v>0</v>
      </c>
      <c r="AQ122" s="461">
        <f t="shared" si="121"/>
        <v>0</v>
      </c>
      <c r="AR122" s="737">
        <f t="shared" si="122"/>
        <v>0</v>
      </c>
      <c r="AS122" s="470">
        <f t="shared" si="123"/>
        <v>449645</v>
      </c>
      <c r="AT122" s="460">
        <f t="shared" si="124"/>
        <v>333564</v>
      </c>
      <c r="AU122" s="460">
        <f t="shared" si="125"/>
        <v>0</v>
      </c>
      <c r="AV122" s="460">
        <f t="shared" si="126"/>
        <v>112745</v>
      </c>
      <c r="AW122" s="460">
        <f t="shared" si="127"/>
        <v>3336</v>
      </c>
      <c r="AX122" s="460">
        <f t="shared" si="128"/>
        <v>0</v>
      </c>
      <c r="AY122" s="461">
        <f t="shared" si="129"/>
        <v>1</v>
      </c>
      <c r="AZ122" s="461">
        <f t="shared" si="130"/>
        <v>1</v>
      </c>
      <c r="BA122" s="463">
        <f t="shared" si="131"/>
        <v>0</v>
      </c>
    </row>
    <row r="123" spans="1:53" ht="14.1" customHeight="1" x14ac:dyDescent="0.2">
      <c r="A123" s="67">
        <v>30</v>
      </c>
      <c r="B123" s="64">
        <v>2435</v>
      </c>
      <c r="C123" s="65">
        <v>600079341</v>
      </c>
      <c r="D123" s="64">
        <v>72743069</v>
      </c>
      <c r="E123" s="66" t="s">
        <v>613</v>
      </c>
      <c r="F123" s="67">
        <v>3111</v>
      </c>
      <c r="G123" s="44" t="s">
        <v>308</v>
      </c>
      <c r="H123" s="68" t="s">
        <v>278</v>
      </c>
      <c r="I123" s="462">
        <v>0</v>
      </c>
      <c r="J123" s="457">
        <v>0</v>
      </c>
      <c r="K123" s="457">
        <v>0</v>
      </c>
      <c r="L123" s="457">
        <v>0</v>
      </c>
      <c r="M123" s="457">
        <v>0</v>
      </c>
      <c r="N123" s="458">
        <v>0</v>
      </c>
      <c r="O123" s="459">
        <v>0</v>
      </c>
      <c r="P123" s="646">
        <v>0</v>
      </c>
      <c r="Q123" s="469">
        <f t="shared" si="115"/>
        <v>0</v>
      </c>
      <c r="R123" s="469">
        <v>346447</v>
      </c>
      <c r="S123" s="460">
        <v>0</v>
      </c>
      <c r="T123" s="460">
        <v>0</v>
      </c>
      <c r="U123" s="460">
        <v>0</v>
      </c>
      <c r="V123" s="460">
        <f>SUM(Q123:U123)</f>
        <v>346447</v>
      </c>
      <c r="W123" s="460">
        <v>0</v>
      </c>
      <c r="X123" s="460">
        <v>0</v>
      </c>
      <c r="Y123" s="460">
        <v>0</v>
      </c>
      <c r="Z123" s="460">
        <f t="shared" si="200"/>
        <v>0</v>
      </c>
      <c r="AA123" s="460">
        <f t="shared" si="201"/>
        <v>346447</v>
      </c>
      <c r="AB123" s="69">
        <f t="shared" si="202"/>
        <v>117099</v>
      </c>
      <c r="AC123" s="69">
        <f t="shared" si="203"/>
        <v>3464</v>
      </c>
      <c r="AD123" s="460">
        <v>0</v>
      </c>
      <c r="AE123" s="460">
        <v>0</v>
      </c>
      <c r="AF123" s="460">
        <f>SUM(AD123:AE123)</f>
        <v>0</v>
      </c>
      <c r="AG123" s="460">
        <f>AA123+AB123+AC123+AF123</f>
        <v>467010</v>
      </c>
      <c r="AH123" s="461">
        <v>0</v>
      </c>
      <c r="AI123" s="461">
        <v>0</v>
      </c>
      <c r="AJ123" s="461">
        <v>1</v>
      </c>
      <c r="AK123" s="461">
        <v>0</v>
      </c>
      <c r="AL123" s="461">
        <v>0</v>
      </c>
      <c r="AM123" s="461">
        <v>0</v>
      </c>
      <c r="AN123" s="461">
        <v>0</v>
      </c>
      <c r="AO123" s="461">
        <v>0</v>
      </c>
      <c r="AP123" s="461">
        <f t="shared" si="120"/>
        <v>1</v>
      </c>
      <c r="AQ123" s="461">
        <f t="shared" si="121"/>
        <v>0</v>
      </c>
      <c r="AR123" s="737">
        <f t="shared" si="122"/>
        <v>1</v>
      </c>
      <c r="AS123" s="470">
        <f t="shared" si="123"/>
        <v>467010</v>
      </c>
      <c r="AT123" s="460">
        <f t="shared" si="124"/>
        <v>346447</v>
      </c>
      <c r="AU123" s="460">
        <f t="shared" si="125"/>
        <v>0</v>
      </c>
      <c r="AV123" s="460">
        <f t="shared" si="126"/>
        <v>117099</v>
      </c>
      <c r="AW123" s="460">
        <f t="shared" si="127"/>
        <v>3464</v>
      </c>
      <c r="AX123" s="460">
        <f t="shared" si="128"/>
        <v>0</v>
      </c>
      <c r="AY123" s="461">
        <f t="shared" si="129"/>
        <v>1</v>
      </c>
      <c r="AZ123" s="461">
        <f t="shared" si="130"/>
        <v>1</v>
      </c>
      <c r="BA123" s="463">
        <f t="shared" si="131"/>
        <v>0</v>
      </c>
    </row>
    <row r="124" spans="1:53" ht="14.1" customHeight="1" x14ac:dyDescent="0.2">
      <c r="A124" s="67">
        <v>30</v>
      </c>
      <c r="B124" s="64">
        <v>2435</v>
      </c>
      <c r="C124" s="65">
        <v>600079341</v>
      </c>
      <c r="D124" s="64">
        <v>72743069</v>
      </c>
      <c r="E124" s="66" t="s">
        <v>613</v>
      </c>
      <c r="F124" s="67">
        <v>3141</v>
      </c>
      <c r="G124" s="66" t="s">
        <v>311</v>
      </c>
      <c r="H124" s="68" t="s">
        <v>278</v>
      </c>
      <c r="I124" s="462">
        <v>877465</v>
      </c>
      <c r="J124" s="728">
        <v>647930</v>
      </c>
      <c r="K124" s="457">
        <v>219000</v>
      </c>
      <c r="L124" s="457">
        <v>6479</v>
      </c>
      <c r="M124" s="728">
        <v>4056</v>
      </c>
      <c r="N124" s="458">
        <v>2.08</v>
      </c>
      <c r="O124" s="459">
        <v>0</v>
      </c>
      <c r="P124" s="646">
        <v>2.08</v>
      </c>
      <c r="Q124" s="469">
        <f t="shared" si="115"/>
        <v>0</v>
      </c>
      <c r="R124" s="469">
        <v>0</v>
      </c>
      <c r="S124" s="460">
        <v>0</v>
      </c>
      <c r="T124" s="460">
        <v>0</v>
      </c>
      <c r="U124" s="460">
        <v>0</v>
      </c>
      <c r="V124" s="460">
        <f>SUM(Q124:U124)</f>
        <v>0</v>
      </c>
      <c r="W124" s="460">
        <v>0</v>
      </c>
      <c r="X124" s="460">
        <v>0</v>
      </c>
      <c r="Y124" s="460">
        <v>0</v>
      </c>
      <c r="Z124" s="460">
        <f t="shared" si="200"/>
        <v>0</v>
      </c>
      <c r="AA124" s="460">
        <f t="shared" si="201"/>
        <v>0</v>
      </c>
      <c r="AB124" s="69">
        <f t="shared" si="202"/>
        <v>0</v>
      </c>
      <c r="AC124" s="69">
        <f t="shared" si="203"/>
        <v>0</v>
      </c>
      <c r="AD124" s="460">
        <v>0</v>
      </c>
      <c r="AE124" s="460">
        <v>0</v>
      </c>
      <c r="AF124" s="460">
        <f>SUM(AD124:AE124)</f>
        <v>0</v>
      </c>
      <c r="AG124" s="460">
        <f>AA124+AB124+AC124+AF124</f>
        <v>0</v>
      </c>
      <c r="AH124" s="461">
        <v>0</v>
      </c>
      <c r="AI124" s="461">
        <v>0</v>
      </c>
      <c r="AJ124" s="461">
        <v>0</v>
      </c>
      <c r="AK124" s="461">
        <v>0</v>
      </c>
      <c r="AL124" s="461">
        <v>0</v>
      </c>
      <c r="AM124" s="461">
        <v>0</v>
      </c>
      <c r="AN124" s="461">
        <v>0</v>
      </c>
      <c r="AO124" s="461">
        <v>0</v>
      </c>
      <c r="AP124" s="461">
        <f t="shared" si="120"/>
        <v>0</v>
      </c>
      <c r="AQ124" s="461">
        <f t="shared" si="121"/>
        <v>0</v>
      </c>
      <c r="AR124" s="737">
        <f t="shared" si="122"/>
        <v>0</v>
      </c>
      <c r="AS124" s="470">
        <f t="shared" si="123"/>
        <v>877465</v>
      </c>
      <c r="AT124" s="460">
        <f t="shared" si="124"/>
        <v>647930</v>
      </c>
      <c r="AU124" s="460">
        <f t="shared" si="125"/>
        <v>0</v>
      </c>
      <c r="AV124" s="460">
        <f t="shared" si="126"/>
        <v>219000</v>
      </c>
      <c r="AW124" s="460">
        <f t="shared" si="127"/>
        <v>6479</v>
      </c>
      <c r="AX124" s="460">
        <f t="shared" si="128"/>
        <v>4056</v>
      </c>
      <c r="AY124" s="461">
        <f t="shared" si="129"/>
        <v>2.08</v>
      </c>
      <c r="AZ124" s="461">
        <f t="shared" si="130"/>
        <v>0</v>
      </c>
      <c r="BA124" s="463">
        <f t="shared" si="131"/>
        <v>2.08</v>
      </c>
    </row>
    <row r="125" spans="1:53" ht="14.1" customHeight="1" x14ac:dyDescent="0.2">
      <c r="A125" s="73">
        <v>30</v>
      </c>
      <c r="B125" s="70">
        <v>2435</v>
      </c>
      <c r="C125" s="71">
        <v>600079341</v>
      </c>
      <c r="D125" s="70">
        <v>72743069</v>
      </c>
      <c r="E125" s="72" t="s">
        <v>614</v>
      </c>
      <c r="F125" s="73"/>
      <c r="G125" s="72"/>
      <c r="H125" s="74"/>
      <c r="I125" s="701">
        <f t="shared" ref="I125:P125" si="204">SUM(I121:I124)</f>
        <v>8539593</v>
      </c>
      <c r="J125" s="75">
        <f t="shared" si="204"/>
        <v>6305933</v>
      </c>
      <c r="K125" s="75">
        <f t="shared" si="204"/>
        <v>2131405</v>
      </c>
      <c r="L125" s="75">
        <f t="shared" si="204"/>
        <v>63059</v>
      </c>
      <c r="M125" s="75">
        <f t="shared" si="204"/>
        <v>39196</v>
      </c>
      <c r="N125" s="76">
        <f t="shared" si="204"/>
        <v>13.767999999999999</v>
      </c>
      <c r="O125" s="76">
        <f t="shared" si="204"/>
        <v>9.2579999999999991</v>
      </c>
      <c r="P125" s="77">
        <f t="shared" si="204"/>
        <v>4.51</v>
      </c>
      <c r="Q125" s="724">
        <f t="shared" ref="Q125:BA125" si="205">SUM(Q121:Q124)</f>
        <v>-8263</v>
      </c>
      <c r="R125" s="724">
        <f t="shared" si="205"/>
        <v>346447</v>
      </c>
      <c r="S125" s="75">
        <f t="shared" si="205"/>
        <v>0</v>
      </c>
      <c r="T125" s="75">
        <f t="shared" si="205"/>
        <v>0</v>
      </c>
      <c r="U125" s="75">
        <f t="shared" si="205"/>
        <v>0</v>
      </c>
      <c r="V125" s="75">
        <f t="shared" si="205"/>
        <v>338184</v>
      </c>
      <c r="W125" s="75">
        <f t="shared" si="205"/>
        <v>8263</v>
      </c>
      <c r="X125" s="75">
        <f t="shared" si="205"/>
        <v>0</v>
      </c>
      <c r="Y125" s="75">
        <f t="shared" si="205"/>
        <v>0</v>
      </c>
      <c r="Z125" s="75">
        <f t="shared" si="205"/>
        <v>8263</v>
      </c>
      <c r="AA125" s="75">
        <f t="shared" si="205"/>
        <v>346447</v>
      </c>
      <c r="AB125" s="75">
        <f t="shared" si="205"/>
        <v>117099</v>
      </c>
      <c r="AC125" s="75">
        <f t="shared" si="205"/>
        <v>3381</v>
      </c>
      <c r="AD125" s="75">
        <f t="shared" si="205"/>
        <v>0</v>
      </c>
      <c r="AE125" s="75">
        <f t="shared" si="205"/>
        <v>0</v>
      </c>
      <c r="AF125" s="75">
        <f t="shared" si="205"/>
        <v>0</v>
      </c>
      <c r="AG125" s="75">
        <f t="shared" si="205"/>
        <v>466927</v>
      </c>
      <c r="AH125" s="76">
        <f t="shared" si="205"/>
        <v>0</v>
      </c>
      <c r="AI125" s="76">
        <f t="shared" si="205"/>
        <v>-0.01</v>
      </c>
      <c r="AJ125" s="76">
        <f t="shared" si="205"/>
        <v>1</v>
      </c>
      <c r="AK125" s="76">
        <f t="shared" si="205"/>
        <v>0</v>
      </c>
      <c r="AL125" s="76">
        <f t="shared" si="205"/>
        <v>0</v>
      </c>
      <c r="AM125" s="76">
        <f t="shared" si="205"/>
        <v>0</v>
      </c>
      <c r="AN125" s="76">
        <f t="shared" si="205"/>
        <v>0</v>
      </c>
      <c r="AO125" s="76">
        <f t="shared" si="205"/>
        <v>0</v>
      </c>
      <c r="AP125" s="76">
        <f t="shared" si="205"/>
        <v>1</v>
      </c>
      <c r="AQ125" s="76">
        <f t="shared" si="205"/>
        <v>-0.01</v>
      </c>
      <c r="AR125" s="720">
        <f t="shared" si="205"/>
        <v>0.99</v>
      </c>
      <c r="AS125" s="701">
        <f t="shared" si="205"/>
        <v>9006520</v>
      </c>
      <c r="AT125" s="75">
        <f t="shared" si="205"/>
        <v>6644117</v>
      </c>
      <c r="AU125" s="75">
        <f t="shared" si="205"/>
        <v>8263</v>
      </c>
      <c r="AV125" s="75">
        <f t="shared" si="205"/>
        <v>2248504</v>
      </c>
      <c r="AW125" s="75">
        <f t="shared" si="205"/>
        <v>66440</v>
      </c>
      <c r="AX125" s="75">
        <f t="shared" si="205"/>
        <v>39196</v>
      </c>
      <c r="AY125" s="76">
        <f t="shared" si="205"/>
        <v>14.757999999999999</v>
      </c>
      <c r="AZ125" s="76">
        <f t="shared" si="205"/>
        <v>10.257999999999999</v>
      </c>
      <c r="BA125" s="77">
        <f t="shared" si="205"/>
        <v>4.5</v>
      </c>
    </row>
    <row r="126" spans="1:53" ht="14.1" customHeight="1" x14ac:dyDescent="0.2">
      <c r="A126" s="67">
        <v>31</v>
      </c>
      <c r="B126" s="64">
        <v>2474</v>
      </c>
      <c r="C126" s="65">
        <v>600080307</v>
      </c>
      <c r="D126" s="64">
        <v>65635612</v>
      </c>
      <c r="E126" s="66" t="s">
        <v>615</v>
      </c>
      <c r="F126" s="67">
        <v>3111</v>
      </c>
      <c r="G126" s="66" t="s">
        <v>307</v>
      </c>
      <c r="H126" s="68" t="s">
        <v>277</v>
      </c>
      <c r="I126" s="462">
        <v>3352577</v>
      </c>
      <c r="J126" s="16">
        <v>2473722</v>
      </c>
      <c r="K126" s="457">
        <v>836118</v>
      </c>
      <c r="L126" s="457">
        <v>24737</v>
      </c>
      <c r="M126" s="16">
        <v>18000</v>
      </c>
      <c r="N126" s="13">
        <v>4.8</v>
      </c>
      <c r="O126" s="13">
        <v>4</v>
      </c>
      <c r="P126" s="17">
        <v>0.8</v>
      </c>
      <c r="Q126" s="469">
        <f t="shared" si="115"/>
        <v>-3900</v>
      </c>
      <c r="R126" s="469">
        <v>0</v>
      </c>
      <c r="S126" s="460">
        <v>0</v>
      </c>
      <c r="T126" s="460">
        <v>0</v>
      </c>
      <c r="U126" s="460">
        <v>0</v>
      </c>
      <c r="V126" s="460">
        <f t="shared" ref="V126:V131" si="206">SUM(Q126:U126)</f>
        <v>-3900</v>
      </c>
      <c r="W126" s="460">
        <v>3900</v>
      </c>
      <c r="X126" s="460">
        <v>0</v>
      </c>
      <c r="Y126" s="460">
        <v>0</v>
      </c>
      <c r="Z126" s="460">
        <f t="shared" ref="Z126:Z131" si="207">SUM(W126:Y126)</f>
        <v>3900</v>
      </c>
      <c r="AA126" s="460">
        <f t="shared" ref="AA126:AA131" si="208">V126+Z126</f>
        <v>0</v>
      </c>
      <c r="AB126" s="69">
        <f t="shared" ref="AB126:AB131" si="209">ROUND((V126+W126+X126)*33.8%,0)</f>
        <v>0</v>
      </c>
      <c r="AC126" s="69">
        <f t="shared" ref="AC126:AC131" si="210">ROUND(V126*1%,0)</f>
        <v>-39</v>
      </c>
      <c r="AD126" s="460">
        <v>0</v>
      </c>
      <c r="AE126" s="460">
        <v>0</v>
      </c>
      <c r="AF126" s="460">
        <f t="shared" ref="AF126:AF131" si="211">SUM(AD126:AE126)</f>
        <v>0</v>
      </c>
      <c r="AG126" s="460">
        <f t="shared" ref="AG126:AG131" si="212">AA126+AB126+AC126+AF126</f>
        <v>-39</v>
      </c>
      <c r="AH126" s="461">
        <v>0</v>
      </c>
      <c r="AI126" s="461">
        <v>-0.01</v>
      </c>
      <c r="AJ126" s="461">
        <v>0</v>
      </c>
      <c r="AK126" s="461">
        <v>0</v>
      </c>
      <c r="AL126" s="461">
        <v>0</v>
      </c>
      <c r="AM126" s="461">
        <v>0</v>
      </c>
      <c r="AN126" s="461">
        <v>0</v>
      </c>
      <c r="AO126" s="461">
        <v>0</v>
      </c>
      <c r="AP126" s="461">
        <f t="shared" si="120"/>
        <v>0</v>
      </c>
      <c r="AQ126" s="461">
        <f t="shared" si="121"/>
        <v>-0.01</v>
      </c>
      <c r="AR126" s="737">
        <f t="shared" si="122"/>
        <v>-0.01</v>
      </c>
      <c r="AS126" s="470">
        <f t="shared" si="123"/>
        <v>3352538</v>
      </c>
      <c r="AT126" s="460">
        <f t="shared" si="124"/>
        <v>2469822</v>
      </c>
      <c r="AU126" s="460">
        <f t="shared" si="125"/>
        <v>3900</v>
      </c>
      <c r="AV126" s="460">
        <f t="shared" si="126"/>
        <v>836118</v>
      </c>
      <c r="AW126" s="460">
        <f t="shared" si="127"/>
        <v>24698</v>
      </c>
      <c r="AX126" s="460">
        <f t="shared" si="128"/>
        <v>18000</v>
      </c>
      <c r="AY126" s="461">
        <f t="shared" si="129"/>
        <v>4.79</v>
      </c>
      <c r="AZ126" s="461">
        <f t="shared" si="130"/>
        <v>4</v>
      </c>
      <c r="BA126" s="463">
        <f t="shared" si="131"/>
        <v>0.79</v>
      </c>
    </row>
    <row r="127" spans="1:53" ht="14.1" customHeight="1" x14ac:dyDescent="0.2">
      <c r="A127" s="67">
        <v>31</v>
      </c>
      <c r="B127" s="64">
        <v>2474</v>
      </c>
      <c r="C127" s="65">
        <v>600080307</v>
      </c>
      <c r="D127" s="64">
        <v>65635612</v>
      </c>
      <c r="E127" s="66" t="s">
        <v>615</v>
      </c>
      <c r="F127" s="67">
        <v>3113</v>
      </c>
      <c r="G127" s="66" t="s">
        <v>310</v>
      </c>
      <c r="H127" s="68" t="s">
        <v>277</v>
      </c>
      <c r="I127" s="462">
        <v>28882170</v>
      </c>
      <c r="J127" s="16">
        <v>21021283</v>
      </c>
      <c r="K127" s="457">
        <v>7105194</v>
      </c>
      <c r="L127" s="457">
        <v>210213</v>
      </c>
      <c r="M127" s="16">
        <v>545480</v>
      </c>
      <c r="N127" s="13">
        <v>35.311</v>
      </c>
      <c r="O127" s="13">
        <v>28.181000000000001</v>
      </c>
      <c r="P127" s="17">
        <v>7.13</v>
      </c>
      <c r="Q127" s="469">
        <f t="shared" si="115"/>
        <v>-37700</v>
      </c>
      <c r="R127" s="469">
        <v>0</v>
      </c>
      <c r="S127" s="460">
        <v>0</v>
      </c>
      <c r="T127" s="460">
        <v>0</v>
      </c>
      <c r="U127" s="460">
        <v>0</v>
      </c>
      <c r="V127" s="460">
        <f t="shared" si="206"/>
        <v>-37700</v>
      </c>
      <c r="W127" s="460">
        <v>37700</v>
      </c>
      <c r="X127" s="460">
        <v>0</v>
      </c>
      <c r="Y127" s="460">
        <v>0</v>
      </c>
      <c r="Z127" s="460">
        <f t="shared" si="207"/>
        <v>37700</v>
      </c>
      <c r="AA127" s="460">
        <f t="shared" si="208"/>
        <v>0</v>
      </c>
      <c r="AB127" s="69">
        <f t="shared" si="209"/>
        <v>0</v>
      </c>
      <c r="AC127" s="69">
        <f t="shared" si="210"/>
        <v>-377</v>
      </c>
      <c r="AD127" s="460">
        <v>0</v>
      </c>
      <c r="AE127" s="460">
        <v>0</v>
      </c>
      <c r="AF127" s="460">
        <f t="shared" si="211"/>
        <v>0</v>
      </c>
      <c r="AG127" s="460">
        <f t="shared" si="212"/>
        <v>-377</v>
      </c>
      <c r="AH127" s="461">
        <v>-0.03</v>
      </c>
      <c r="AI127" s="461">
        <v>-0.05</v>
      </c>
      <c r="AJ127" s="461">
        <v>0</v>
      </c>
      <c r="AK127" s="461">
        <v>0</v>
      </c>
      <c r="AL127" s="461">
        <v>0</v>
      </c>
      <c r="AM127" s="461">
        <v>0</v>
      </c>
      <c r="AN127" s="461">
        <v>0</v>
      </c>
      <c r="AO127" s="461">
        <v>0</v>
      </c>
      <c r="AP127" s="461">
        <f t="shared" si="120"/>
        <v>-0.03</v>
      </c>
      <c r="AQ127" s="461">
        <f t="shared" si="121"/>
        <v>-0.05</v>
      </c>
      <c r="AR127" s="737">
        <f t="shared" si="122"/>
        <v>-0.08</v>
      </c>
      <c r="AS127" s="470">
        <f t="shared" si="123"/>
        <v>28881793</v>
      </c>
      <c r="AT127" s="460">
        <f t="shared" si="124"/>
        <v>20983583</v>
      </c>
      <c r="AU127" s="460">
        <f t="shared" si="125"/>
        <v>37700</v>
      </c>
      <c r="AV127" s="460">
        <f t="shared" si="126"/>
        <v>7105194</v>
      </c>
      <c r="AW127" s="460">
        <f t="shared" si="127"/>
        <v>209836</v>
      </c>
      <c r="AX127" s="460">
        <f t="shared" si="128"/>
        <v>545480</v>
      </c>
      <c r="AY127" s="461">
        <f t="shared" si="129"/>
        <v>35.231000000000002</v>
      </c>
      <c r="AZ127" s="461">
        <f t="shared" si="130"/>
        <v>28.151</v>
      </c>
      <c r="BA127" s="463">
        <f t="shared" si="131"/>
        <v>7.08</v>
      </c>
    </row>
    <row r="128" spans="1:53" ht="14.1" customHeight="1" x14ac:dyDescent="0.2">
      <c r="A128" s="67">
        <v>31</v>
      </c>
      <c r="B128" s="64">
        <v>2474</v>
      </c>
      <c r="C128" s="65">
        <v>600080307</v>
      </c>
      <c r="D128" s="64">
        <v>65635612</v>
      </c>
      <c r="E128" s="66" t="s">
        <v>615</v>
      </c>
      <c r="F128" s="67">
        <v>3113</v>
      </c>
      <c r="G128" s="78" t="s">
        <v>308</v>
      </c>
      <c r="H128" s="68" t="s">
        <v>278</v>
      </c>
      <c r="I128" s="462">
        <v>0</v>
      </c>
      <c r="J128" s="457">
        <v>0</v>
      </c>
      <c r="K128" s="457">
        <v>0</v>
      </c>
      <c r="L128" s="457">
        <v>0</v>
      </c>
      <c r="M128" s="457">
        <v>0</v>
      </c>
      <c r="N128" s="458">
        <v>0</v>
      </c>
      <c r="O128" s="459">
        <v>0</v>
      </c>
      <c r="P128" s="646">
        <v>0</v>
      </c>
      <c r="Q128" s="469">
        <f t="shared" si="115"/>
        <v>0</v>
      </c>
      <c r="R128" s="469">
        <v>1395417</v>
      </c>
      <c r="S128" s="460">
        <v>0</v>
      </c>
      <c r="T128" s="460">
        <v>0</v>
      </c>
      <c r="U128" s="460">
        <v>0</v>
      </c>
      <c r="V128" s="460">
        <f t="shared" si="206"/>
        <v>1395417</v>
      </c>
      <c r="W128" s="460">
        <v>0</v>
      </c>
      <c r="X128" s="460">
        <v>0</v>
      </c>
      <c r="Y128" s="460">
        <v>0</v>
      </c>
      <c r="Z128" s="460">
        <f t="shared" si="207"/>
        <v>0</v>
      </c>
      <c r="AA128" s="460">
        <f t="shared" si="208"/>
        <v>1395417</v>
      </c>
      <c r="AB128" s="69">
        <f t="shared" si="209"/>
        <v>471651</v>
      </c>
      <c r="AC128" s="69">
        <f t="shared" si="210"/>
        <v>13954</v>
      </c>
      <c r="AD128" s="460">
        <v>5250</v>
      </c>
      <c r="AE128" s="460">
        <v>0</v>
      </c>
      <c r="AF128" s="460">
        <f t="shared" si="211"/>
        <v>5250</v>
      </c>
      <c r="AG128" s="460">
        <f t="shared" si="212"/>
        <v>1886272</v>
      </c>
      <c r="AH128" s="461">
        <v>0</v>
      </c>
      <c r="AI128" s="461">
        <v>0</v>
      </c>
      <c r="AJ128" s="461">
        <v>4.03</v>
      </c>
      <c r="AK128" s="461">
        <v>0</v>
      </c>
      <c r="AL128" s="461">
        <v>0</v>
      </c>
      <c r="AM128" s="461">
        <v>0</v>
      </c>
      <c r="AN128" s="461">
        <v>0</v>
      </c>
      <c r="AO128" s="461">
        <v>0</v>
      </c>
      <c r="AP128" s="461">
        <f t="shared" si="120"/>
        <v>4.03</v>
      </c>
      <c r="AQ128" s="461">
        <f t="shared" si="121"/>
        <v>0</v>
      </c>
      <c r="AR128" s="737">
        <f t="shared" si="122"/>
        <v>4.03</v>
      </c>
      <c r="AS128" s="470">
        <f t="shared" si="123"/>
        <v>1886272</v>
      </c>
      <c r="AT128" s="460">
        <f t="shared" si="124"/>
        <v>1395417</v>
      </c>
      <c r="AU128" s="460">
        <f t="shared" si="125"/>
        <v>0</v>
      </c>
      <c r="AV128" s="460">
        <f t="shared" si="126"/>
        <v>471651</v>
      </c>
      <c r="AW128" s="460">
        <f t="shared" si="127"/>
        <v>13954</v>
      </c>
      <c r="AX128" s="460">
        <f t="shared" si="128"/>
        <v>5250</v>
      </c>
      <c r="AY128" s="461">
        <f t="shared" si="129"/>
        <v>4.03</v>
      </c>
      <c r="AZ128" s="461">
        <f t="shared" si="130"/>
        <v>4.03</v>
      </c>
      <c r="BA128" s="463">
        <f t="shared" si="131"/>
        <v>0</v>
      </c>
    </row>
    <row r="129" spans="1:53" ht="14.1" customHeight="1" x14ac:dyDescent="0.2">
      <c r="A129" s="67">
        <v>31</v>
      </c>
      <c r="B129" s="64">
        <v>2474</v>
      </c>
      <c r="C129" s="65">
        <v>600080307</v>
      </c>
      <c r="D129" s="64">
        <v>65635612</v>
      </c>
      <c r="E129" s="66" t="s">
        <v>615</v>
      </c>
      <c r="F129" s="67">
        <v>3141</v>
      </c>
      <c r="G129" s="66" t="s">
        <v>311</v>
      </c>
      <c r="H129" s="68" t="s">
        <v>278</v>
      </c>
      <c r="I129" s="462">
        <v>242200</v>
      </c>
      <c r="J129" s="728">
        <v>178539</v>
      </c>
      <c r="K129" s="457">
        <v>60346</v>
      </c>
      <c r="L129" s="457">
        <v>1785</v>
      </c>
      <c r="M129" s="728">
        <v>1530</v>
      </c>
      <c r="N129" s="458">
        <v>0.56999999999999995</v>
      </c>
      <c r="O129" s="459">
        <v>0</v>
      </c>
      <c r="P129" s="646">
        <v>0.56999999999999995</v>
      </c>
      <c r="Q129" s="469">
        <f t="shared" si="115"/>
        <v>0</v>
      </c>
      <c r="R129" s="469">
        <v>0</v>
      </c>
      <c r="S129" s="460">
        <v>0</v>
      </c>
      <c r="T129" s="460">
        <v>0</v>
      </c>
      <c r="U129" s="460">
        <v>0</v>
      </c>
      <c r="V129" s="460">
        <f t="shared" si="206"/>
        <v>0</v>
      </c>
      <c r="W129" s="460">
        <v>0</v>
      </c>
      <c r="X129" s="460">
        <v>0</v>
      </c>
      <c r="Y129" s="460">
        <v>0</v>
      </c>
      <c r="Z129" s="460">
        <f t="shared" si="207"/>
        <v>0</v>
      </c>
      <c r="AA129" s="460">
        <f t="shared" si="208"/>
        <v>0</v>
      </c>
      <c r="AB129" s="69">
        <f t="shared" si="209"/>
        <v>0</v>
      </c>
      <c r="AC129" s="69">
        <f t="shared" si="210"/>
        <v>0</v>
      </c>
      <c r="AD129" s="460">
        <v>0</v>
      </c>
      <c r="AE129" s="460">
        <v>0</v>
      </c>
      <c r="AF129" s="460">
        <f t="shared" si="211"/>
        <v>0</v>
      </c>
      <c r="AG129" s="460">
        <f t="shared" si="212"/>
        <v>0</v>
      </c>
      <c r="AH129" s="461">
        <v>0</v>
      </c>
      <c r="AI129" s="461">
        <v>0</v>
      </c>
      <c r="AJ129" s="461">
        <v>0</v>
      </c>
      <c r="AK129" s="461">
        <v>0</v>
      </c>
      <c r="AL129" s="461">
        <v>0</v>
      </c>
      <c r="AM129" s="461">
        <v>0</v>
      </c>
      <c r="AN129" s="461">
        <v>0</v>
      </c>
      <c r="AO129" s="461">
        <v>0</v>
      </c>
      <c r="AP129" s="461">
        <f t="shared" si="120"/>
        <v>0</v>
      </c>
      <c r="AQ129" s="461">
        <f t="shared" si="121"/>
        <v>0</v>
      </c>
      <c r="AR129" s="737">
        <f t="shared" si="122"/>
        <v>0</v>
      </c>
      <c r="AS129" s="470">
        <f t="shared" si="123"/>
        <v>242200</v>
      </c>
      <c r="AT129" s="460">
        <f t="shared" si="124"/>
        <v>178539</v>
      </c>
      <c r="AU129" s="460">
        <f t="shared" si="125"/>
        <v>0</v>
      </c>
      <c r="AV129" s="460">
        <f t="shared" si="126"/>
        <v>60346</v>
      </c>
      <c r="AW129" s="460">
        <f t="shared" si="127"/>
        <v>1785</v>
      </c>
      <c r="AX129" s="460">
        <f t="shared" si="128"/>
        <v>1530</v>
      </c>
      <c r="AY129" s="461">
        <f t="shared" si="129"/>
        <v>0.56999999999999995</v>
      </c>
      <c r="AZ129" s="461">
        <f t="shared" si="130"/>
        <v>0</v>
      </c>
      <c r="BA129" s="463">
        <f t="shared" si="131"/>
        <v>0.56999999999999995</v>
      </c>
    </row>
    <row r="130" spans="1:53" ht="14.1" customHeight="1" x14ac:dyDescent="0.2">
      <c r="A130" s="67">
        <v>31</v>
      </c>
      <c r="B130" s="64">
        <v>2474</v>
      </c>
      <c r="C130" s="65">
        <v>600080307</v>
      </c>
      <c r="D130" s="64">
        <v>65635612</v>
      </c>
      <c r="E130" s="66" t="s">
        <v>615</v>
      </c>
      <c r="F130" s="67">
        <v>3143</v>
      </c>
      <c r="G130" s="78" t="s">
        <v>616</v>
      </c>
      <c r="H130" s="68" t="s">
        <v>277</v>
      </c>
      <c r="I130" s="462">
        <v>2205680</v>
      </c>
      <c r="J130" s="16">
        <v>1636261</v>
      </c>
      <c r="K130" s="457">
        <v>553056</v>
      </c>
      <c r="L130" s="457">
        <v>16363</v>
      </c>
      <c r="M130" s="16">
        <v>0</v>
      </c>
      <c r="N130" s="458">
        <v>3.5539999999999998</v>
      </c>
      <c r="O130" s="13">
        <v>3.5539999999999998</v>
      </c>
      <c r="P130" s="17">
        <v>0</v>
      </c>
      <c r="Q130" s="469">
        <f t="shared" si="115"/>
        <v>-1950</v>
      </c>
      <c r="R130" s="469">
        <v>0</v>
      </c>
      <c r="S130" s="460">
        <v>0</v>
      </c>
      <c r="T130" s="460">
        <v>0</v>
      </c>
      <c r="U130" s="460">
        <v>0</v>
      </c>
      <c r="V130" s="460">
        <f t="shared" si="206"/>
        <v>-1950</v>
      </c>
      <c r="W130" s="460">
        <v>1950</v>
      </c>
      <c r="X130" s="460">
        <v>0</v>
      </c>
      <c r="Y130" s="460">
        <v>0</v>
      </c>
      <c r="Z130" s="460">
        <f t="shared" si="207"/>
        <v>1950</v>
      </c>
      <c r="AA130" s="460">
        <f t="shared" si="208"/>
        <v>0</v>
      </c>
      <c r="AB130" s="69">
        <f t="shared" si="209"/>
        <v>0</v>
      </c>
      <c r="AC130" s="69">
        <f t="shared" si="210"/>
        <v>-20</v>
      </c>
      <c r="AD130" s="460">
        <v>0</v>
      </c>
      <c r="AE130" s="460">
        <v>0</v>
      </c>
      <c r="AF130" s="460">
        <f t="shared" si="211"/>
        <v>0</v>
      </c>
      <c r="AG130" s="460">
        <f t="shared" si="212"/>
        <v>-20</v>
      </c>
      <c r="AH130" s="461">
        <v>0</v>
      </c>
      <c r="AI130" s="461">
        <v>0</v>
      </c>
      <c r="AJ130" s="461">
        <v>0</v>
      </c>
      <c r="AK130" s="461">
        <v>0</v>
      </c>
      <c r="AL130" s="461">
        <v>0</v>
      </c>
      <c r="AM130" s="461">
        <v>0</v>
      </c>
      <c r="AN130" s="461">
        <v>0</v>
      </c>
      <c r="AO130" s="461">
        <v>0</v>
      </c>
      <c r="AP130" s="461">
        <f t="shared" si="120"/>
        <v>0</v>
      </c>
      <c r="AQ130" s="461">
        <f t="shared" si="121"/>
        <v>0</v>
      </c>
      <c r="AR130" s="737">
        <f t="shared" si="122"/>
        <v>0</v>
      </c>
      <c r="AS130" s="470">
        <f t="shared" si="123"/>
        <v>2205660</v>
      </c>
      <c r="AT130" s="460">
        <f t="shared" si="124"/>
        <v>1634311</v>
      </c>
      <c r="AU130" s="460">
        <f t="shared" si="125"/>
        <v>1950</v>
      </c>
      <c r="AV130" s="460">
        <f t="shared" si="126"/>
        <v>553056</v>
      </c>
      <c r="AW130" s="460">
        <f t="shared" si="127"/>
        <v>16343</v>
      </c>
      <c r="AX130" s="460">
        <f t="shared" si="128"/>
        <v>0</v>
      </c>
      <c r="AY130" s="461">
        <f t="shared" si="129"/>
        <v>3.5539999999999998</v>
      </c>
      <c r="AZ130" s="461">
        <f t="shared" si="130"/>
        <v>3.5539999999999998</v>
      </c>
      <c r="BA130" s="463">
        <f t="shared" si="131"/>
        <v>0</v>
      </c>
    </row>
    <row r="131" spans="1:53" ht="14.1" customHeight="1" x14ac:dyDescent="0.2">
      <c r="A131" s="67">
        <v>31</v>
      </c>
      <c r="B131" s="64">
        <v>2474</v>
      </c>
      <c r="C131" s="65">
        <v>600080307</v>
      </c>
      <c r="D131" s="64">
        <v>65635612</v>
      </c>
      <c r="E131" s="66" t="s">
        <v>615</v>
      </c>
      <c r="F131" s="67">
        <v>3143</v>
      </c>
      <c r="G131" s="78" t="s">
        <v>617</v>
      </c>
      <c r="H131" s="68" t="s">
        <v>278</v>
      </c>
      <c r="I131" s="462">
        <v>79898</v>
      </c>
      <c r="J131" s="673">
        <v>57088</v>
      </c>
      <c r="K131" s="457">
        <v>19296</v>
      </c>
      <c r="L131" s="457">
        <v>571</v>
      </c>
      <c r="M131" s="673">
        <v>2943</v>
      </c>
      <c r="N131" s="458">
        <v>0.23</v>
      </c>
      <c r="O131" s="459">
        <v>0</v>
      </c>
      <c r="P131" s="717">
        <v>0.23</v>
      </c>
      <c r="Q131" s="469">
        <f t="shared" si="115"/>
        <v>0</v>
      </c>
      <c r="R131" s="469">
        <v>0</v>
      </c>
      <c r="S131" s="460">
        <v>0</v>
      </c>
      <c r="T131" s="460">
        <v>0</v>
      </c>
      <c r="U131" s="460">
        <v>0</v>
      </c>
      <c r="V131" s="460">
        <f t="shared" si="206"/>
        <v>0</v>
      </c>
      <c r="W131" s="460">
        <v>0</v>
      </c>
      <c r="X131" s="460">
        <v>0</v>
      </c>
      <c r="Y131" s="460">
        <v>0</v>
      </c>
      <c r="Z131" s="460">
        <f t="shared" si="207"/>
        <v>0</v>
      </c>
      <c r="AA131" s="460">
        <f t="shared" si="208"/>
        <v>0</v>
      </c>
      <c r="AB131" s="69">
        <f t="shared" si="209"/>
        <v>0</v>
      </c>
      <c r="AC131" s="69">
        <f t="shared" si="210"/>
        <v>0</v>
      </c>
      <c r="AD131" s="460">
        <v>0</v>
      </c>
      <c r="AE131" s="460">
        <v>0</v>
      </c>
      <c r="AF131" s="460">
        <f t="shared" si="211"/>
        <v>0</v>
      </c>
      <c r="AG131" s="460">
        <f t="shared" si="212"/>
        <v>0</v>
      </c>
      <c r="AH131" s="461">
        <v>0</v>
      </c>
      <c r="AI131" s="461">
        <v>0</v>
      </c>
      <c r="AJ131" s="461">
        <v>0</v>
      </c>
      <c r="AK131" s="461">
        <v>0</v>
      </c>
      <c r="AL131" s="461">
        <v>0</v>
      </c>
      <c r="AM131" s="461">
        <v>0</v>
      </c>
      <c r="AN131" s="461">
        <v>0</v>
      </c>
      <c r="AO131" s="461">
        <v>0</v>
      </c>
      <c r="AP131" s="461">
        <f t="shared" si="120"/>
        <v>0</v>
      </c>
      <c r="AQ131" s="461">
        <f t="shared" si="121"/>
        <v>0</v>
      </c>
      <c r="AR131" s="737">
        <f t="shared" si="122"/>
        <v>0</v>
      </c>
      <c r="AS131" s="470">
        <f t="shared" si="123"/>
        <v>79898</v>
      </c>
      <c r="AT131" s="460">
        <f t="shared" si="124"/>
        <v>57088</v>
      </c>
      <c r="AU131" s="460">
        <f t="shared" si="125"/>
        <v>0</v>
      </c>
      <c r="AV131" s="460">
        <f t="shared" si="126"/>
        <v>19296</v>
      </c>
      <c r="AW131" s="460">
        <f t="shared" si="127"/>
        <v>571</v>
      </c>
      <c r="AX131" s="460">
        <f t="shared" si="128"/>
        <v>2943</v>
      </c>
      <c r="AY131" s="461">
        <f t="shared" si="129"/>
        <v>0.23</v>
      </c>
      <c r="AZ131" s="461">
        <f t="shared" si="130"/>
        <v>0</v>
      </c>
      <c r="BA131" s="463">
        <f t="shared" si="131"/>
        <v>0.23</v>
      </c>
    </row>
    <row r="132" spans="1:53" ht="14.1" customHeight="1" x14ac:dyDescent="0.2">
      <c r="A132" s="73">
        <v>31</v>
      </c>
      <c r="B132" s="70">
        <v>2474</v>
      </c>
      <c r="C132" s="71">
        <v>600080307</v>
      </c>
      <c r="D132" s="70">
        <v>65635612</v>
      </c>
      <c r="E132" s="72" t="s">
        <v>618</v>
      </c>
      <c r="F132" s="73"/>
      <c r="G132" s="72"/>
      <c r="H132" s="74"/>
      <c r="I132" s="701">
        <f t="shared" ref="I132:P132" si="213">SUM(I126:I131)</f>
        <v>34762525</v>
      </c>
      <c r="J132" s="75">
        <f t="shared" si="213"/>
        <v>25366893</v>
      </c>
      <c r="K132" s="75">
        <f t="shared" si="213"/>
        <v>8574010</v>
      </c>
      <c r="L132" s="75">
        <f t="shared" si="213"/>
        <v>253669</v>
      </c>
      <c r="M132" s="75">
        <f t="shared" si="213"/>
        <v>567953</v>
      </c>
      <c r="N132" s="76">
        <f t="shared" si="213"/>
        <v>44.464999999999996</v>
      </c>
      <c r="O132" s="76">
        <f t="shared" si="213"/>
        <v>35.734999999999999</v>
      </c>
      <c r="P132" s="77">
        <f t="shared" si="213"/>
        <v>8.73</v>
      </c>
      <c r="Q132" s="724">
        <f t="shared" ref="Q132:BA132" si="214">SUM(Q126:Q131)</f>
        <v>-43550</v>
      </c>
      <c r="R132" s="724">
        <f t="shared" si="214"/>
        <v>1395417</v>
      </c>
      <c r="S132" s="75">
        <f t="shared" si="214"/>
        <v>0</v>
      </c>
      <c r="T132" s="75">
        <f t="shared" si="214"/>
        <v>0</v>
      </c>
      <c r="U132" s="75">
        <f t="shared" si="214"/>
        <v>0</v>
      </c>
      <c r="V132" s="75">
        <f t="shared" si="214"/>
        <v>1351867</v>
      </c>
      <c r="W132" s="75">
        <f t="shared" si="214"/>
        <v>43550</v>
      </c>
      <c r="X132" s="75">
        <f t="shared" si="214"/>
        <v>0</v>
      </c>
      <c r="Y132" s="75">
        <f t="shared" si="214"/>
        <v>0</v>
      </c>
      <c r="Z132" s="75">
        <f t="shared" si="214"/>
        <v>43550</v>
      </c>
      <c r="AA132" s="75">
        <f t="shared" si="214"/>
        <v>1395417</v>
      </c>
      <c r="AB132" s="75">
        <f t="shared" si="214"/>
        <v>471651</v>
      </c>
      <c r="AC132" s="75">
        <f t="shared" si="214"/>
        <v>13518</v>
      </c>
      <c r="AD132" s="75">
        <f t="shared" si="214"/>
        <v>5250</v>
      </c>
      <c r="AE132" s="75">
        <f t="shared" si="214"/>
        <v>0</v>
      </c>
      <c r="AF132" s="75">
        <f t="shared" si="214"/>
        <v>5250</v>
      </c>
      <c r="AG132" s="75">
        <f t="shared" si="214"/>
        <v>1885836</v>
      </c>
      <c r="AH132" s="76">
        <f t="shared" si="214"/>
        <v>-0.03</v>
      </c>
      <c r="AI132" s="76">
        <f t="shared" si="214"/>
        <v>-6.0000000000000005E-2</v>
      </c>
      <c r="AJ132" s="76">
        <f t="shared" si="214"/>
        <v>4.03</v>
      </c>
      <c r="AK132" s="76">
        <f t="shared" si="214"/>
        <v>0</v>
      </c>
      <c r="AL132" s="76">
        <f t="shared" si="214"/>
        <v>0</v>
      </c>
      <c r="AM132" s="76">
        <f t="shared" si="214"/>
        <v>0</v>
      </c>
      <c r="AN132" s="76">
        <f t="shared" si="214"/>
        <v>0</v>
      </c>
      <c r="AO132" s="76">
        <f t="shared" si="214"/>
        <v>0</v>
      </c>
      <c r="AP132" s="76">
        <f t="shared" si="214"/>
        <v>4</v>
      </c>
      <c r="AQ132" s="76">
        <f t="shared" si="214"/>
        <v>-6.0000000000000005E-2</v>
      </c>
      <c r="AR132" s="720">
        <f t="shared" si="214"/>
        <v>3.9400000000000004</v>
      </c>
      <c r="AS132" s="701">
        <f t="shared" si="214"/>
        <v>36648361</v>
      </c>
      <c r="AT132" s="75">
        <f t="shared" si="214"/>
        <v>26718760</v>
      </c>
      <c r="AU132" s="75">
        <f t="shared" si="214"/>
        <v>43550</v>
      </c>
      <c r="AV132" s="75">
        <f t="shared" si="214"/>
        <v>9045661</v>
      </c>
      <c r="AW132" s="75">
        <f t="shared" si="214"/>
        <v>267187</v>
      </c>
      <c r="AX132" s="75">
        <f t="shared" si="214"/>
        <v>573203</v>
      </c>
      <c r="AY132" s="76">
        <f t="shared" si="214"/>
        <v>48.405000000000001</v>
      </c>
      <c r="AZ132" s="76">
        <f t="shared" si="214"/>
        <v>39.734999999999999</v>
      </c>
      <c r="BA132" s="77">
        <f t="shared" si="214"/>
        <v>8.67</v>
      </c>
    </row>
    <row r="133" spans="1:53" ht="14.1" customHeight="1" x14ac:dyDescent="0.2">
      <c r="A133" s="67">
        <v>32</v>
      </c>
      <c r="B133" s="64">
        <v>2312</v>
      </c>
      <c r="C133" s="65">
        <v>600079899</v>
      </c>
      <c r="D133" s="64">
        <v>65642350</v>
      </c>
      <c r="E133" s="66" t="s">
        <v>619</v>
      </c>
      <c r="F133" s="67">
        <v>3113</v>
      </c>
      <c r="G133" s="66" t="s">
        <v>310</v>
      </c>
      <c r="H133" s="68" t="s">
        <v>277</v>
      </c>
      <c r="I133" s="462">
        <v>33162561</v>
      </c>
      <c r="J133" s="16">
        <v>24157912</v>
      </c>
      <c r="K133" s="457">
        <v>8165374</v>
      </c>
      <c r="L133" s="457">
        <v>241580</v>
      </c>
      <c r="M133" s="16">
        <v>597695</v>
      </c>
      <c r="N133" s="13">
        <v>39.941000000000003</v>
      </c>
      <c r="O133" s="13">
        <v>32.591000000000001</v>
      </c>
      <c r="P133" s="17">
        <v>7.35</v>
      </c>
      <c r="Q133" s="469">
        <f t="shared" si="115"/>
        <v>-130000</v>
      </c>
      <c r="R133" s="469">
        <v>0</v>
      </c>
      <c r="S133" s="460">
        <v>0</v>
      </c>
      <c r="T133" s="460">
        <v>0</v>
      </c>
      <c r="U133" s="460">
        <v>0</v>
      </c>
      <c r="V133" s="460">
        <f t="shared" ref="V133:V138" si="215">SUM(Q133:U133)</f>
        <v>-130000</v>
      </c>
      <c r="W133" s="460">
        <v>130000</v>
      </c>
      <c r="X133" s="460">
        <v>0</v>
      </c>
      <c r="Y133" s="460">
        <v>0</v>
      </c>
      <c r="Z133" s="460">
        <f t="shared" ref="Z133:Z138" si="216">SUM(W133:Y133)</f>
        <v>130000</v>
      </c>
      <c r="AA133" s="460">
        <f t="shared" ref="AA133:AA138" si="217">V133+Z133</f>
        <v>0</v>
      </c>
      <c r="AB133" s="69">
        <f t="shared" ref="AB133:AB138" si="218">ROUND((V133+W133+X133)*33.8%,0)</f>
        <v>0</v>
      </c>
      <c r="AC133" s="69">
        <f t="shared" ref="AC133:AC138" si="219">ROUND(V133*1%,0)</f>
        <v>-1300</v>
      </c>
      <c r="AD133" s="460">
        <v>0</v>
      </c>
      <c r="AE133" s="460">
        <v>0</v>
      </c>
      <c r="AF133" s="460">
        <f t="shared" ref="AF133:AF138" si="220">SUM(AD133:AE133)</f>
        <v>0</v>
      </c>
      <c r="AG133" s="460">
        <f t="shared" ref="AG133:AG138" si="221">AA133+AB133+AC133+AF133</f>
        <v>-1300</v>
      </c>
      <c r="AH133" s="461">
        <v>-0.02</v>
      </c>
      <c r="AI133" s="461">
        <v>-0.28999999999999998</v>
      </c>
      <c r="AJ133" s="461">
        <v>0</v>
      </c>
      <c r="AK133" s="461">
        <v>0</v>
      </c>
      <c r="AL133" s="461">
        <v>0</v>
      </c>
      <c r="AM133" s="461">
        <v>0</v>
      </c>
      <c r="AN133" s="461">
        <v>0</v>
      </c>
      <c r="AO133" s="461">
        <v>0</v>
      </c>
      <c r="AP133" s="461">
        <f t="shared" si="120"/>
        <v>-0.02</v>
      </c>
      <c r="AQ133" s="461">
        <f t="shared" si="121"/>
        <v>-0.28999999999999998</v>
      </c>
      <c r="AR133" s="737">
        <f t="shared" si="122"/>
        <v>-0.31</v>
      </c>
      <c r="AS133" s="470">
        <f t="shared" si="123"/>
        <v>33161261</v>
      </c>
      <c r="AT133" s="460">
        <f t="shared" si="124"/>
        <v>24027912</v>
      </c>
      <c r="AU133" s="460">
        <f t="shared" si="125"/>
        <v>130000</v>
      </c>
      <c r="AV133" s="460">
        <f t="shared" si="126"/>
        <v>8165374</v>
      </c>
      <c r="AW133" s="460">
        <f t="shared" si="127"/>
        <v>240280</v>
      </c>
      <c r="AX133" s="460">
        <f t="shared" si="128"/>
        <v>597695</v>
      </c>
      <c r="AY133" s="461">
        <f t="shared" si="129"/>
        <v>39.631</v>
      </c>
      <c r="AZ133" s="461">
        <f t="shared" si="130"/>
        <v>32.570999999999998</v>
      </c>
      <c r="BA133" s="463">
        <f t="shared" si="131"/>
        <v>7.06</v>
      </c>
    </row>
    <row r="134" spans="1:53" ht="14.1" customHeight="1" x14ac:dyDescent="0.2">
      <c r="A134" s="67">
        <v>32</v>
      </c>
      <c r="B134" s="64">
        <v>2312</v>
      </c>
      <c r="C134" s="65">
        <v>600079899</v>
      </c>
      <c r="D134" s="64">
        <v>65642350</v>
      </c>
      <c r="E134" s="66" t="s">
        <v>619</v>
      </c>
      <c r="F134" s="67">
        <v>3113</v>
      </c>
      <c r="G134" s="78" t="s">
        <v>308</v>
      </c>
      <c r="H134" s="68" t="s">
        <v>278</v>
      </c>
      <c r="I134" s="462">
        <v>0</v>
      </c>
      <c r="J134" s="457">
        <v>0</v>
      </c>
      <c r="K134" s="457">
        <v>0</v>
      </c>
      <c r="L134" s="457">
        <v>0</v>
      </c>
      <c r="M134" s="457">
        <v>0</v>
      </c>
      <c r="N134" s="458">
        <v>0</v>
      </c>
      <c r="O134" s="459">
        <v>0</v>
      </c>
      <c r="P134" s="646">
        <v>0</v>
      </c>
      <c r="Q134" s="469">
        <f t="shared" si="115"/>
        <v>0</v>
      </c>
      <c r="R134" s="469">
        <v>1522962</v>
      </c>
      <c r="S134" s="460">
        <v>0</v>
      </c>
      <c r="T134" s="460">
        <v>0</v>
      </c>
      <c r="U134" s="460">
        <v>0</v>
      </c>
      <c r="V134" s="460">
        <f t="shared" si="215"/>
        <v>1522962</v>
      </c>
      <c r="W134" s="460">
        <v>0</v>
      </c>
      <c r="X134" s="460">
        <v>0</v>
      </c>
      <c r="Y134" s="460">
        <v>0</v>
      </c>
      <c r="Z134" s="460">
        <f t="shared" si="216"/>
        <v>0</v>
      </c>
      <c r="AA134" s="460">
        <f t="shared" si="217"/>
        <v>1522962</v>
      </c>
      <c r="AB134" s="69">
        <f t="shared" si="218"/>
        <v>514761</v>
      </c>
      <c r="AC134" s="69">
        <f t="shared" si="219"/>
        <v>15230</v>
      </c>
      <c r="AD134" s="460">
        <v>0</v>
      </c>
      <c r="AE134" s="460">
        <v>0</v>
      </c>
      <c r="AF134" s="460">
        <f t="shared" si="220"/>
        <v>0</v>
      </c>
      <c r="AG134" s="460">
        <f t="shared" si="221"/>
        <v>2052953</v>
      </c>
      <c r="AH134" s="461">
        <v>0</v>
      </c>
      <c r="AI134" s="461">
        <v>0</v>
      </c>
      <c r="AJ134" s="461">
        <v>4.18</v>
      </c>
      <c r="AK134" s="461">
        <v>0</v>
      </c>
      <c r="AL134" s="461">
        <v>0</v>
      </c>
      <c r="AM134" s="461">
        <v>0</v>
      </c>
      <c r="AN134" s="461">
        <v>0</v>
      </c>
      <c r="AO134" s="461">
        <v>0</v>
      </c>
      <c r="AP134" s="461">
        <f t="shared" si="120"/>
        <v>4.18</v>
      </c>
      <c r="AQ134" s="461">
        <f t="shared" si="121"/>
        <v>0</v>
      </c>
      <c r="AR134" s="737">
        <f t="shared" si="122"/>
        <v>4.18</v>
      </c>
      <c r="AS134" s="470">
        <f t="shared" si="123"/>
        <v>2052953</v>
      </c>
      <c r="AT134" s="460">
        <f t="shared" si="124"/>
        <v>1522962</v>
      </c>
      <c r="AU134" s="460">
        <f t="shared" si="125"/>
        <v>0</v>
      </c>
      <c r="AV134" s="460">
        <f t="shared" si="126"/>
        <v>514761</v>
      </c>
      <c r="AW134" s="460">
        <f t="shared" si="127"/>
        <v>15230</v>
      </c>
      <c r="AX134" s="460">
        <f t="shared" si="128"/>
        <v>0</v>
      </c>
      <c r="AY134" s="461">
        <f t="shared" si="129"/>
        <v>4.18</v>
      </c>
      <c r="AZ134" s="461">
        <f t="shared" si="130"/>
        <v>4.18</v>
      </c>
      <c r="BA134" s="463">
        <f t="shared" si="131"/>
        <v>0</v>
      </c>
    </row>
    <row r="135" spans="1:53" ht="14.1" customHeight="1" x14ac:dyDescent="0.2">
      <c r="A135" s="67">
        <v>32</v>
      </c>
      <c r="B135" s="64">
        <v>2312</v>
      </c>
      <c r="C135" s="65">
        <v>600079899</v>
      </c>
      <c r="D135" s="64">
        <v>65642350</v>
      </c>
      <c r="E135" s="66" t="s">
        <v>619</v>
      </c>
      <c r="F135" s="67">
        <v>3141</v>
      </c>
      <c r="G135" s="66" t="s">
        <v>311</v>
      </c>
      <c r="H135" s="68" t="s">
        <v>278</v>
      </c>
      <c r="I135" s="462">
        <v>1344769</v>
      </c>
      <c r="J135" s="728">
        <v>990466</v>
      </c>
      <c r="K135" s="457">
        <v>334778</v>
      </c>
      <c r="L135" s="457">
        <v>9905</v>
      </c>
      <c r="M135" s="728">
        <v>9620</v>
      </c>
      <c r="N135" s="458">
        <v>3.18</v>
      </c>
      <c r="O135" s="459">
        <v>0</v>
      </c>
      <c r="P135" s="646">
        <v>3.18</v>
      </c>
      <c r="Q135" s="469">
        <f t="shared" si="115"/>
        <v>-32500</v>
      </c>
      <c r="R135" s="469">
        <v>0</v>
      </c>
      <c r="S135" s="460">
        <v>0</v>
      </c>
      <c r="T135" s="460">
        <v>0</v>
      </c>
      <c r="U135" s="460">
        <v>0</v>
      </c>
      <c r="V135" s="460">
        <f t="shared" si="215"/>
        <v>-32500</v>
      </c>
      <c r="W135" s="460">
        <v>32500</v>
      </c>
      <c r="X135" s="460">
        <v>0</v>
      </c>
      <c r="Y135" s="460">
        <v>0</v>
      </c>
      <c r="Z135" s="460">
        <f t="shared" si="216"/>
        <v>32500</v>
      </c>
      <c r="AA135" s="460">
        <f t="shared" si="217"/>
        <v>0</v>
      </c>
      <c r="AB135" s="69">
        <f t="shared" si="218"/>
        <v>0</v>
      </c>
      <c r="AC135" s="69">
        <f t="shared" si="219"/>
        <v>-325</v>
      </c>
      <c r="AD135" s="460">
        <v>0</v>
      </c>
      <c r="AE135" s="460">
        <v>0</v>
      </c>
      <c r="AF135" s="460">
        <f t="shared" si="220"/>
        <v>0</v>
      </c>
      <c r="AG135" s="460">
        <f t="shared" si="221"/>
        <v>-325</v>
      </c>
      <c r="AH135" s="461">
        <v>0</v>
      </c>
      <c r="AI135" s="461">
        <v>-0.04</v>
      </c>
      <c r="AJ135" s="461">
        <v>0</v>
      </c>
      <c r="AK135" s="461">
        <v>0</v>
      </c>
      <c r="AL135" s="461">
        <v>0</v>
      </c>
      <c r="AM135" s="461">
        <v>0</v>
      </c>
      <c r="AN135" s="461">
        <v>0</v>
      </c>
      <c r="AO135" s="461">
        <v>0</v>
      </c>
      <c r="AP135" s="461">
        <f t="shared" si="120"/>
        <v>0</v>
      </c>
      <c r="AQ135" s="461">
        <f t="shared" si="121"/>
        <v>-0.04</v>
      </c>
      <c r="AR135" s="737">
        <f t="shared" si="122"/>
        <v>-0.04</v>
      </c>
      <c r="AS135" s="470">
        <f t="shared" si="123"/>
        <v>1344444</v>
      </c>
      <c r="AT135" s="460">
        <f t="shared" si="124"/>
        <v>957966</v>
      </c>
      <c r="AU135" s="460">
        <f t="shared" si="125"/>
        <v>32500</v>
      </c>
      <c r="AV135" s="460">
        <f t="shared" si="126"/>
        <v>334778</v>
      </c>
      <c r="AW135" s="460">
        <f t="shared" si="127"/>
        <v>9580</v>
      </c>
      <c r="AX135" s="460">
        <f t="shared" si="128"/>
        <v>9620</v>
      </c>
      <c r="AY135" s="461">
        <f t="shared" si="129"/>
        <v>3.14</v>
      </c>
      <c r="AZ135" s="461">
        <f t="shared" si="130"/>
        <v>0</v>
      </c>
      <c r="BA135" s="463">
        <f t="shared" si="131"/>
        <v>3.14</v>
      </c>
    </row>
    <row r="136" spans="1:53" ht="14.1" customHeight="1" x14ac:dyDescent="0.2">
      <c r="A136" s="67">
        <v>32</v>
      </c>
      <c r="B136" s="64">
        <v>2312</v>
      </c>
      <c r="C136" s="65">
        <v>600079899</v>
      </c>
      <c r="D136" s="64">
        <v>65642350</v>
      </c>
      <c r="E136" s="66" t="s">
        <v>619</v>
      </c>
      <c r="F136" s="67">
        <v>3143</v>
      </c>
      <c r="G136" s="78" t="s">
        <v>616</v>
      </c>
      <c r="H136" s="68" t="s">
        <v>277</v>
      </c>
      <c r="I136" s="462">
        <v>3554568</v>
      </c>
      <c r="J136" s="16">
        <v>2636920</v>
      </c>
      <c r="K136" s="457">
        <v>891279</v>
      </c>
      <c r="L136" s="457">
        <v>26369</v>
      </c>
      <c r="M136" s="16">
        <v>0</v>
      </c>
      <c r="N136" s="458">
        <v>5.5</v>
      </c>
      <c r="O136" s="13">
        <v>5.5</v>
      </c>
      <c r="P136" s="17">
        <v>0</v>
      </c>
      <c r="Q136" s="469">
        <f t="shared" si="115"/>
        <v>-6500</v>
      </c>
      <c r="R136" s="469">
        <v>0</v>
      </c>
      <c r="S136" s="460">
        <v>0</v>
      </c>
      <c r="T136" s="460">
        <v>0</v>
      </c>
      <c r="U136" s="460">
        <v>0</v>
      </c>
      <c r="V136" s="460">
        <f t="shared" si="215"/>
        <v>-6500</v>
      </c>
      <c r="W136" s="460">
        <v>6500</v>
      </c>
      <c r="X136" s="460">
        <v>0</v>
      </c>
      <c r="Y136" s="460">
        <v>0</v>
      </c>
      <c r="Z136" s="460">
        <f t="shared" si="216"/>
        <v>6500</v>
      </c>
      <c r="AA136" s="460">
        <f t="shared" si="217"/>
        <v>0</v>
      </c>
      <c r="AB136" s="69">
        <f t="shared" si="218"/>
        <v>0</v>
      </c>
      <c r="AC136" s="69">
        <f t="shared" si="219"/>
        <v>-65</v>
      </c>
      <c r="AD136" s="460">
        <v>0</v>
      </c>
      <c r="AE136" s="460">
        <v>0</v>
      </c>
      <c r="AF136" s="460">
        <f t="shared" si="220"/>
        <v>0</v>
      </c>
      <c r="AG136" s="460">
        <f t="shared" si="221"/>
        <v>-65</v>
      </c>
      <c r="AH136" s="461">
        <v>0</v>
      </c>
      <c r="AI136" s="461">
        <v>0</v>
      </c>
      <c r="AJ136" s="461">
        <v>0</v>
      </c>
      <c r="AK136" s="461">
        <v>0</v>
      </c>
      <c r="AL136" s="461">
        <v>0</v>
      </c>
      <c r="AM136" s="461">
        <v>0</v>
      </c>
      <c r="AN136" s="461">
        <v>0</v>
      </c>
      <c r="AO136" s="461">
        <v>0</v>
      </c>
      <c r="AP136" s="461">
        <f t="shared" si="120"/>
        <v>0</v>
      </c>
      <c r="AQ136" s="461">
        <f t="shared" si="121"/>
        <v>0</v>
      </c>
      <c r="AR136" s="737">
        <f t="shared" si="122"/>
        <v>0</v>
      </c>
      <c r="AS136" s="470">
        <f t="shared" si="123"/>
        <v>3554503</v>
      </c>
      <c r="AT136" s="460">
        <f t="shared" si="124"/>
        <v>2630420</v>
      </c>
      <c r="AU136" s="460">
        <f t="shared" si="125"/>
        <v>6500</v>
      </c>
      <c r="AV136" s="460">
        <f t="shared" si="126"/>
        <v>891279</v>
      </c>
      <c r="AW136" s="460">
        <f t="shared" si="127"/>
        <v>26304</v>
      </c>
      <c r="AX136" s="460">
        <f t="shared" si="128"/>
        <v>0</v>
      </c>
      <c r="AY136" s="461">
        <f t="shared" si="129"/>
        <v>5.5</v>
      </c>
      <c r="AZ136" s="461">
        <f t="shared" si="130"/>
        <v>5.5</v>
      </c>
      <c r="BA136" s="463">
        <f t="shared" si="131"/>
        <v>0</v>
      </c>
    </row>
    <row r="137" spans="1:53" ht="14.1" customHeight="1" x14ac:dyDescent="0.2">
      <c r="A137" s="67">
        <v>32</v>
      </c>
      <c r="B137" s="64">
        <v>2312</v>
      </c>
      <c r="C137" s="65">
        <v>600079899</v>
      </c>
      <c r="D137" s="64">
        <v>65642350</v>
      </c>
      <c r="E137" s="66" t="s">
        <v>619</v>
      </c>
      <c r="F137" s="67">
        <v>3143</v>
      </c>
      <c r="G137" s="78" t="s">
        <v>617</v>
      </c>
      <c r="H137" s="68" t="s">
        <v>278</v>
      </c>
      <c r="I137" s="462">
        <v>112883</v>
      </c>
      <c r="J137" s="673">
        <v>80656</v>
      </c>
      <c r="K137" s="457">
        <v>27262</v>
      </c>
      <c r="L137" s="457">
        <v>807</v>
      </c>
      <c r="M137" s="673">
        <v>4158</v>
      </c>
      <c r="N137" s="458">
        <v>0.32</v>
      </c>
      <c r="O137" s="459">
        <v>0</v>
      </c>
      <c r="P137" s="717">
        <v>0.32</v>
      </c>
      <c r="Q137" s="469">
        <f t="shared" si="115"/>
        <v>-6500</v>
      </c>
      <c r="R137" s="469">
        <v>0</v>
      </c>
      <c r="S137" s="460">
        <v>0</v>
      </c>
      <c r="T137" s="460">
        <v>0</v>
      </c>
      <c r="U137" s="460">
        <v>0</v>
      </c>
      <c r="V137" s="460">
        <f t="shared" si="215"/>
        <v>-6500</v>
      </c>
      <c r="W137" s="460">
        <v>6500</v>
      </c>
      <c r="X137" s="460">
        <v>0</v>
      </c>
      <c r="Y137" s="460">
        <v>0</v>
      </c>
      <c r="Z137" s="460">
        <f t="shared" si="216"/>
        <v>6500</v>
      </c>
      <c r="AA137" s="460">
        <f t="shared" si="217"/>
        <v>0</v>
      </c>
      <c r="AB137" s="69">
        <f t="shared" si="218"/>
        <v>0</v>
      </c>
      <c r="AC137" s="69">
        <f t="shared" si="219"/>
        <v>-65</v>
      </c>
      <c r="AD137" s="460">
        <v>0</v>
      </c>
      <c r="AE137" s="460">
        <v>0</v>
      </c>
      <c r="AF137" s="460">
        <f t="shared" si="220"/>
        <v>0</v>
      </c>
      <c r="AG137" s="460">
        <f t="shared" si="221"/>
        <v>-65</v>
      </c>
      <c r="AH137" s="461">
        <v>0</v>
      </c>
      <c r="AI137" s="461">
        <v>0</v>
      </c>
      <c r="AJ137" s="461">
        <v>0</v>
      </c>
      <c r="AK137" s="461">
        <v>0</v>
      </c>
      <c r="AL137" s="461">
        <v>0</v>
      </c>
      <c r="AM137" s="461">
        <v>0</v>
      </c>
      <c r="AN137" s="461">
        <v>0</v>
      </c>
      <c r="AO137" s="461">
        <v>0</v>
      </c>
      <c r="AP137" s="461">
        <f t="shared" si="120"/>
        <v>0</v>
      </c>
      <c r="AQ137" s="461">
        <f t="shared" si="121"/>
        <v>0</v>
      </c>
      <c r="AR137" s="737">
        <f t="shared" si="122"/>
        <v>0</v>
      </c>
      <c r="AS137" s="470">
        <f t="shared" si="123"/>
        <v>112818</v>
      </c>
      <c r="AT137" s="460">
        <f t="shared" si="124"/>
        <v>74156</v>
      </c>
      <c r="AU137" s="460">
        <f t="shared" si="125"/>
        <v>6500</v>
      </c>
      <c r="AV137" s="460">
        <f t="shared" si="126"/>
        <v>27262</v>
      </c>
      <c r="AW137" s="460">
        <f t="shared" si="127"/>
        <v>742</v>
      </c>
      <c r="AX137" s="460">
        <f t="shared" si="128"/>
        <v>4158</v>
      </c>
      <c r="AY137" s="461">
        <f t="shared" si="129"/>
        <v>0.32</v>
      </c>
      <c r="AZ137" s="461">
        <f t="shared" si="130"/>
        <v>0</v>
      </c>
      <c r="BA137" s="463">
        <f t="shared" si="131"/>
        <v>0.32</v>
      </c>
    </row>
    <row r="138" spans="1:53" ht="14.1" customHeight="1" x14ac:dyDescent="0.2">
      <c r="A138" s="67">
        <v>32</v>
      </c>
      <c r="B138" s="64">
        <v>2312</v>
      </c>
      <c r="C138" s="65">
        <v>600079899</v>
      </c>
      <c r="D138" s="64">
        <v>65642350</v>
      </c>
      <c r="E138" s="66" t="s">
        <v>619</v>
      </c>
      <c r="F138" s="67">
        <v>3231</v>
      </c>
      <c r="G138" s="66" t="s">
        <v>312</v>
      </c>
      <c r="H138" s="68" t="s">
        <v>277</v>
      </c>
      <c r="I138" s="462">
        <v>14627443</v>
      </c>
      <c r="J138" s="16">
        <v>10830329</v>
      </c>
      <c r="K138" s="457">
        <v>3660651</v>
      </c>
      <c r="L138" s="457">
        <v>108303</v>
      </c>
      <c r="M138" s="16">
        <v>28160</v>
      </c>
      <c r="N138" s="13">
        <v>19.026500000000002</v>
      </c>
      <c r="O138" s="13">
        <v>17.336500000000001</v>
      </c>
      <c r="P138" s="17">
        <v>1.69</v>
      </c>
      <c r="Q138" s="469">
        <f t="shared" si="115"/>
        <v>-39000</v>
      </c>
      <c r="R138" s="469">
        <v>0</v>
      </c>
      <c r="S138" s="460">
        <v>0</v>
      </c>
      <c r="T138" s="460">
        <v>0</v>
      </c>
      <c r="U138" s="460">
        <v>0</v>
      </c>
      <c r="V138" s="460">
        <f t="shared" si="215"/>
        <v>-39000</v>
      </c>
      <c r="W138" s="460">
        <v>39000</v>
      </c>
      <c r="X138" s="460">
        <v>0</v>
      </c>
      <c r="Y138" s="460">
        <v>0</v>
      </c>
      <c r="Z138" s="460">
        <f t="shared" si="216"/>
        <v>39000</v>
      </c>
      <c r="AA138" s="460">
        <f t="shared" si="217"/>
        <v>0</v>
      </c>
      <c r="AB138" s="69">
        <f t="shared" si="218"/>
        <v>0</v>
      </c>
      <c r="AC138" s="69">
        <f t="shared" si="219"/>
        <v>-390</v>
      </c>
      <c r="AD138" s="460">
        <v>0</v>
      </c>
      <c r="AE138" s="460">
        <v>0</v>
      </c>
      <c r="AF138" s="460">
        <f t="shared" si="220"/>
        <v>0</v>
      </c>
      <c r="AG138" s="460">
        <f t="shared" si="221"/>
        <v>-390</v>
      </c>
      <c r="AH138" s="461">
        <v>-0.03</v>
      </c>
      <c r="AI138" s="461">
        <v>0</v>
      </c>
      <c r="AJ138" s="461">
        <v>0</v>
      </c>
      <c r="AK138" s="461">
        <v>0</v>
      </c>
      <c r="AL138" s="461">
        <v>0</v>
      </c>
      <c r="AM138" s="461">
        <v>0</v>
      </c>
      <c r="AN138" s="461">
        <v>0</v>
      </c>
      <c r="AO138" s="461">
        <v>0</v>
      </c>
      <c r="AP138" s="461">
        <f t="shared" si="120"/>
        <v>-0.03</v>
      </c>
      <c r="AQ138" s="461">
        <f t="shared" si="121"/>
        <v>0</v>
      </c>
      <c r="AR138" s="737">
        <f t="shared" si="122"/>
        <v>-0.03</v>
      </c>
      <c r="AS138" s="470">
        <f t="shared" si="123"/>
        <v>14627053</v>
      </c>
      <c r="AT138" s="460">
        <f t="shared" si="124"/>
        <v>10791329</v>
      </c>
      <c r="AU138" s="460">
        <f t="shared" si="125"/>
        <v>39000</v>
      </c>
      <c r="AV138" s="460">
        <f t="shared" si="126"/>
        <v>3660651</v>
      </c>
      <c r="AW138" s="460">
        <f t="shared" si="127"/>
        <v>107913</v>
      </c>
      <c r="AX138" s="460">
        <f t="shared" si="128"/>
        <v>28160</v>
      </c>
      <c r="AY138" s="461">
        <f t="shared" si="129"/>
        <v>18.996500000000001</v>
      </c>
      <c r="AZ138" s="461">
        <f t="shared" si="130"/>
        <v>17.3065</v>
      </c>
      <c r="BA138" s="463">
        <f t="shared" si="131"/>
        <v>1.69</v>
      </c>
    </row>
    <row r="139" spans="1:53" ht="14.1" customHeight="1" x14ac:dyDescent="0.2">
      <c r="A139" s="73">
        <v>32</v>
      </c>
      <c r="B139" s="70">
        <v>2312</v>
      </c>
      <c r="C139" s="71">
        <v>600079899</v>
      </c>
      <c r="D139" s="70">
        <v>65642350</v>
      </c>
      <c r="E139" s="72" t="s">
        <v>620</v>
      </c>
      <c r="F139" s="73"/>
      <c r="G139" s="72"/>
      <c r="H139" s="74"/>
      <c r="I139" s="706">
        <f t="shared" ref="I139:P139" si="222">SUM(I133:I138)</f>
        <v>52802224</v>
      </c>
      <c r="J139" s="79">
        <f t="shared" si="222"/>
        <v>38696283</v>
      </c>
      <c r="K139" s="79">
        <f t="shared" si="222"/>
        <v>13079344</v>
      </c>
      <c r="L139" s="79">
        <f t="shared" si="222"/>
        <v>386964</v>
      </c>
      <c r="M139" s="79">
        <f t="shared" si="222"/>
        <v>639633</v>
      </c>
      <c r="N139" s="80">
        <f t="shared" si="222"/>
        <v>67.967500000000001</v>
      </c>
      <c r="O139" s="80">
        <f t="shared" si="222"/>
        <v>55.427500000000002</v>
      </c>
      <c r="P139" s="81">
        <f t="shared" si="222"/>
        <v>12.54</v>
      </c>
      <c r="Q139" s="725">
        <f t="shared" ref="Q139:BA139" si="223">SUM(Q133:Q138)</f>
        <v>-214500</v>
      </c>
      <c r="R139" s="725">
        <f t="shared" si="223"/>
        <v>1522962</v>
      </c>
      <c r="S139" s="79">
        <f t="shared" si="223"/>
        <v>0</v>
      </c>
      <c r="T139" s="79">
        <f t="shared" si="223"/>
        <v>0</v>
      </c>
      <c r="U139" s="79">
        <f t="shared" si="223"/>
        <v>0</v>
      </c>
      <c r="V139" s="79">
        <f t="shared" si="223"/>
        <v>1308462</v>
      </c>
      <c r="W139" s="79">
        <f t="shared" si="223"/>
        <v>214500</v>
      </c>
      <c r="X139" s="79">
        <f t="shared" si="223"/>
        <v>0</v>
      </c>
      <c r="Y139" s="79">
        <f t="shared" si="223"/>
        <v>0</v>
      </c>
      <c r="Z139" s="79">
        <f t="shared" si="223"/>
        <v>214500</v>
      </c>
      <c r="AA139" s="79">
        <f t="shared" si="223"/>
        <v>1522962</v>
      </c>
      <c r="AB139" s="79">
        <f t="shared" si="223"/>
        <v>514761</v>
      </c>
      <c r="AC139" s="79">
        <f t="shared" si="223"/>
        <v>13085</v>
      </c>
      <c r="AD139" s="79">
        <f t="shared" si="223"/>
        <v>0</v>
      </c>
      <c r="AE139" s="79">
        <f t="shared" si="223"/>
        <v>0</v>
      </c>
      <c r="AF139" s="79">
        <f t="shared" si="223"/>
        <v>0</v>
      </c>
      <c r="AG139" s="79">
        <f t="shared" si="223"/>
        <v>2050808</v>
      </c>
      <c r="AH139" s="80">
        <f t="shared" si="223"/>
        <v>-0.05</v>
      </c>
      <c r="AI139" s="80">
        <f t="shared" si="223"/>
        <v>-0.32999999999999996</v>
      </c>
      <c r="AJ139" s="80">
        <f t="shared" si="223"/>
        <v>4.18</v>
      </c>
      <c r="AK139" s="80">
        <f t="shared" si="223"/>
        <v>0</v>
      </c>
      <c r="AL139" s="80">
        <f t="shared" si="223"/>
        <v>0</v>
      </c>
      <c r="AM139" s="80">
        <f t="shared" si="223"/>
        <v>0</v>
      </c>
      <c r="AN139" s="80">
        <f t="shared" si="223"/>
        <v>0</v>
      </c>
      <c r="AO139" s="80">
        <f t="shared" si="223"/>
        <v>0</v>
      </c>
      <c r="AP139" s="80">
        <f t="shared" si="223"/>
        <v>4.13</v>
      </c>
      <c r="AQ139" s="80">
        <f t="shared" si="223"/>
        <v>-0.32999999999999996</v>
      </c>
      <c r="AR139" s="721">
        <f t="shared" si="223"/>
        <v>3.8</v>
      </c>
      <c r="AS139" s="706">
        <f t="shared" si="223"/>
        <v>54853032</v>
      </c>
      <c r="AT139" s="79">
        <f t="shared" si="223"/>
        <v>40004745</v>
      </c>
      <c r="AU139" s="79">
        <f t="shared" si="223"/>
        <v>214500</v>
      </c>
      <c r="AV139" s="79">
        <f t="shared" si="223"/>
        <v>13594105</v>
      </c>
      <c r="AW139" s="79">
        <f t="shared" si="223"/>
        <v>400049</v>
      </c>
      <c r="AX139" s="79">
        <f t="shared" si="223"/>
        <v>639633</v>
      </c>
      <c r="AY139" s="80">
        <f t="shared" si="223"/>
        <v>71.767499999999998</v>
      </c>
      <c r="AZ139" s="80">
        <f t="shared" si="223"/>
        <v>59.557499999999997</v>
      </c>
      <c r="BA139" s="81">
        <f t="shared" si="223"/>
        <v>12.209999999999999</v>
      </c>
    </row>
    <row r="140" spans="1:53" ht="14.1" customHeight="1" x14ac:dyDescent="0.2">
      <c r="A140" s="67">
        <v>33</v>
      </c>
      <c r="B140" s="64">
        <v>2479</v>
      </c>
      <c r="C140" s="65">
        <v>600080340</v>
      </c>
      <c r="D140" s="64">
        <v>65100280</v>
      </c>
      <c r="E140" s="66" t="s">
        <v>621</v>
      </c>
      <c r="F140" s="67">
        <v>3113</v>
      </c>
      <c r="G140" s="66" t="s">
        <v>310</v>
      </c>
      <c r="H140" s="68" t="s">
        <v>277</v>
      </c>
      <c r="I140" s="462">
        <v>37053550</v>
      </c>
      <c r="J140" s="16">
        <v>26962467</v>
      </c>
      <c r="K140" s="457">
        <v>9113314</v>
      </c>
      <c r="L140" s="457">
        <v>269624</v>
      </c>
      <c r="M140" s="16">
        <v>708145</v>
      </c>
      <c r="N140" s="13">
        <v>46.055499999999995</v>
      </c>
      <c r="O140" s="13">
        <v>37.715499999999999</v>
      </c>
      <c r="P140" s="17">
        <v>8.34</v>
      </c>
      <c r="Q140" s="469">
        <f t="shared" ref="Q140:Q203" si="224">W140*-1</f>
        <v>-48750</v>
      </c>
      <c r="R140" s="469">
        <v>0</v>
      </c>
      <c r="S140" s="460">
        <v>0</v>
      </c>
      <c r="T140" s="460">
        <v>0</v>
      </c>
      <c r="U140" s="460">
        <v>0</v>
      </c>
      <c r="V140" s="460">
        <f>SUM(Q140:U140)</f>
        <v>-48750</v>
      </c>
      <c r="W140" s="460">
        <v>48750</v>
      </c>
      <c r="X140" s="460">
        <v>0</v>
      </c>
      <c r="Y140" s="460">
        <v>0</v>
      </c>
      <c r="Z140" s="460">
        <f t="shared" ref="Z140:Z144" si="225">SUM(W140:Y140)</f>
        <v>48750</v>
      </c>
      <c r="AA140" s="460">
        <f t="shared" ref="AA140:AA144" si="226">V140+Z140</f>
        <v>0</v>
      </c>
      <c r="AB140" s="69">
        <f t="shared" ref="AB140:AB144" si="227">ROUND((V140+W140+X140)*33.8%,0)</f>
        <v>0</v>
      </c>
      <c r="AC140" s="69">
        <f t="shared" ref="AC140:AC144" si="228">ROUND(V140*1%,0)</f>
        <v>-488</v>
      </c>
      <c r="AD140" s="460">
        <v>0</v>
      </c>
      <c r="AE140" s="460">
        <v>0</v>
      </c>
      <c r="AF140" s="460">
        <f>SUM(AD140:AE140)</f>
        <v>0</v>
      </c>
      <c r="AG140" s="460">
        <f>AA140+AB140+AC140+AF140</f>
        <v>-488</v>
      </c>
      <c r="AH140" s="461">
        <v>0</v>
      </c>
      <c r="AI140" s="461">
        <v>0</v>
      </c>
      <c r="AJ140" s="461">
        <v>0</v>
      </c>
      <c r="AK140" s="461">
        <v>0</v>
      </c>
      <c r="AL140" s="461">
        <v>0</v>
      </c>
      <c r="AM140" s="461">
        <v>0</v>
      </c>
      <c r="AN140" s="461">
        <v>0</v>
      </c>
      <c r="AO140" s="461">
        <v>0</v>
      </c>
      <c r="AP140" s="461">
        <f t="shared" si="120"/>
        <v>0</v>
      </c>
      <c r="AQ140" s="461">
        <f t="shared" si="121"/>
        <v>0</v>
      </c>
      <c r="AR140" s="737">
        <f t="shared" si="122"/>
        <v>0</v>
      </c>
      <c r="AS140" s="470">
        <f t="shared" si="123"/>
        <v>37053062</v>
      </c>
      <c r="AT140" s="460">
        <f t="shared" si="124"/>
        <v>26913717</v>
      </c>
      <c r="AU140" s="460">
        <f t="shared" si="125"/>
        <v>48750</v>
      </c>
      <c r="AV140" s="460">
        <f t="shared" si="126"/>
        <v>9113314</v>
      </c>
      <c r="AW140" s="460">
        <f t="shared" si="127"/>
        <v>269136</v>
      </c>
      <c r="AX140" s="460">
        <f t="shared" si="128"/>
        <v>708145</v>
      </c>
      <c r="AY140" s="461">
        <f t="shared" si="129"/>
        <v>46.055499999999995</v>
      </c>
      <c r="AZ140" s="461">
        <f t="shared" si="130"/>
        <v>37.715499999999999</v>
      </c>
      <c r="BA140" s="463">
        <f t="shared" si="131"/>
        <v>8.34</v>
      </c>
    </row>
    <row r="141" spans="1:53" ht="14.1" customHeight="1" x14ac:dyDescent="0.2">
      <c r="A141" s="67">
        <v>33</v>
      </c>
      <c r="B141" s="64">
        <v>2479</v>
      </c>
      <c r="C141" s="65">
        <v>600080340</v>
      </c>
      <c r="D141" s="64">
        <v>65100280</v>
      </c>
      <c r="E141" s="66" t="s">
        <v>621</v>
      </c>
      <c r="F141" s="67">
        <v>3113</v>
      </c>
      <c r="G141" s="78" t="s">
        <v>308</v>
      </c>
      <c r="H141" s="68" t="s">
        <v>278</v>
      </c>
      <c r="I141" s="462">
        <v>0</v>
      </c>
      <c r="J141" s="457">
        <v>0</v>
      </c>
      <c r="K141" s="457">
        <v>0</v>
      </c>
      <c r="L141" s="457">
        <v>0</v>
      </c>
      <c r="M141" s="457">
        <v>0</v>
      </c>
      <c r="N141" s="458">
        <v>0</v>
      </c>
      <c r="O141" s="459">
        <v>0</v>
      </c>
      <c r="P141" s="646">
        <v>0</v>
      </c>
      <c r="Q141" s="469">
        <f t="shared" si="224"/>
        <v>0</v>
      </c>
      <c r="R141" s="469">
        <v>3261048</v>
      </c>
      <c r="S141" s="460">
        <v>0</v>
      </c>
      <c r="T141" s="460">
        <v>0</v>
      </c>
      <c r="U141" s="460">
        <v>0</v>
      </c>
      <c r="V141" s="460">
        <f>SUM(Q141:U141)</f>
        <v>3261048</v>
      </c>
      <c r="W141" s="460">
        <v>0</v>
      </c>
      <c r="X141" s="460">
        <v>0</v>
      </c>
      <c r="Y141" s="460">
        <v>0</v>
      </c>
      <c r="Z141" s="460">
        <f t="shared" si="225"/>
        <v>0</v>
      </c>
      <c r="AA141" s="460">
        <f t="shared" si="226"/>
        <v>3261048</v>
      </c>
      <c r="AB141" s="69">
        <f t="shared" si="227"/>
        <v>1102234</v>
      </c>
      <c r="AC141" s="69">
        <f t="shared" si="228"/>
        <v>32610</v>
      </c>
      <c r="AD141" s="460">
        <v>0</v>
      </c>
      <c r="AE141" s="460">
        <v>0</v>
      </c>
      <c r="AF141" s="460">
        <f>SUM(AD141:AE141)</f>
        <v>0</v>
      </c>
      <c r="AG141" s="460">
        <f>AA141+AB141+AC141+AF141</f>
        <v>4395892</v>
      </c>
      <c r="AH141" s="461">
        <v>0</v>
      </c>
      <c r="AI141" s="461">
        <v>0</v>
      </c>
      <c r="AJ141" s="461">
        <v>9.17</v>
      </c>
      <c r="AK141" s="461">
        <v>0</v>
      </c>
      <c r="AL141" s="461">
        <v>0</v>
      </c>
      <c r="AM141" s="461">
        <v>0</v>
      </c>
      <c r="AN141" s="461">
        <v>0</v>
      </c>
      <c r="AO141" s="461">
        <v>0</v>
      </c>
      <c r="AP141" s="461">
        <f t="shared" ref="AP141:AP204" si="229">AH141+AJ141+AK141+AM141+AN141</f>
        <v>9.17</v>
      </c>
      <c r="AQ141" s="461">
        <f t="shared" ref="AQ141:AQ204" si="230">AI141+AL141+AO141</f>
        <v>0</v>
      </c>
      <c r="AR141" s="737">
        <f t="shared" ref="AR141:AR204" si="231">SUM(AP141:AQ141)</f>
        <v>9.17</v>
      </c>
      <c r="AS141" s="470">
        <f t="shared" ref="AS141:AS204" si="232">I141+AG141</f>
        <v>4395892</v>
      </c>
      <c r="AT141" s="460">
        <f t="shared" ref="AT141:AT204" si="233">J141+V141</f>
        <v>3261048</v>
      </c>
      <c r="AU141" s="460">
        <f t="shared" ref="AU141:AU204" si="234">Z141</f>
        <v>0</v>
      </c>
      <c r="AV141" s="460">
        <f t="shared" ref="AV141:AV204" si="235">K141+AB141</f>
        <v>1102234</v>
      </c>
      <c r="AW141" s="460">
        <f t="shared" ref="AW141:AW204" si="236">L141+AC141</f>
        <v>32610</v>
      </c>
      <c r="AX141" s="460">
        <f t="shared" ref="AX141:AX204" si="237">M141+AF141</f>
        <v>0</v>
      </c>
      <c r="AY141" s="461">
        <f t="shared" ref="AY141:AY204" si="238">N141+AR141</f>
        <v>9.17</v>
      </c>
      <c r="AZ141" s="461">
        <f t="shared" ref="AZ141:AZ204" si="239">O141+AP141</f>
        <v>9.17</v>
      </c>
      <c r="BA141" s="463">
        <f t="shared" ref="BA141:BA204" si="240">P141+AQ141</f>
        <v>0</v>
      </c>
    </row>
    <row r="142" spans="1:53" ht="14.1" customHeight="1" x14ac:dyDescent="0.2">
      <c r="A142" s="67">
        <v>33</v>
      </c>
      <c r="B142" s="64">
        <v>2479</v>
      </c>
      <c r="C142" s="65">
        <v>600080340</v>
      </c>
      <c r="D142" s="64">
        <v>65100280</v>
      </c>
      <c r="E142" s="66" t="s">
        <v>621</v>
      </c>
      <c r="F142" s="67">
        <v>3141</v>
      </c>
      <c r="G142" s="66" t="s">
        <v>311</v>
      </c>
      <c r="H142" s="68" t="s">
        <v>278</v>
      </c>
      <c r="I142" s="462">
        <v>3011474</v>
      </c>
      <c r="J142" s="728">
        <v>2214435</v>
      </c>
      <c r="K142" s="457">
        <v>748479</v>
      </c>
      <c r="L142" s="457">
        <v>22144</v>
      </c>
      <c r="M142" s="728">
        <v>26416</v>
      </c>
      <c r="N142" s="458">
        <v>7.12</v>
      </c>
      <c r="O142" s="459">
        <v>0</v>
      </c>
      <c r="P142" s="646">
        <v>7.12</v>
      </c>
      <c r="Q142" s="469">
        <f t="shared" si="224"/>
        <v>-2080</v>
      </c>
      <c r="R142" s="469">
        <v>0</v>
      </c>
      <c r="S142" s="460">
        <v>0</v>
      </c>
      <c r="T142" s="460">
        <v>0</v>
      </c>
      <c r="U142" s="460">
        <v>0</v>
      </c>
      <c r="V142" s="460">
        <f>SUM(Q142:U142)</f>
        <v>-2080</v>
      </c>
      <c r="W142" s="460">
        <v>2080</v>
      </c>
      <c r="X142" s="460">
        <v>0</v>
      </c>
      <c r="Y142" s="460">
        <v>0</v>
      </c>
      <c r="Z142" s="460">
        <f t="shared" si="225"/>
        <v>2080</v>
      </c>
      <c r="AA142" s="460">
        <f t="shared" si="226"/>
        <v>0</v>
      </c>
      <c r="AB142" s="69">
        <f t="shared" si="227"/>
        <v>0</v>
      </c>
      <c r="AC142" s="69">
        <f t="shared" si="228"/>
        <v>-21</v>
      </c>
      <c r="AD142" s="460">
        <v>0</v>
      </c>
      <c r="AE142" s="460">
        <v>0</v>
      </c>
      <c r="AF142" s="460">
        <f>SUM(AD142:AE142)</f>
        <v>0</v>
      </c>
      <c r="AG142" s="460">
        <f>AA142+AB142+AC142+AF142</f>
        <v>-21</v>
      </c>
      <c r="AH142" s="461">
        <v>0</v>
      </c>
      <c r="AI142" s="461">
        <v>0</v>
      </c>
      <c r="AJ142" s="461">
        <v>0</v>
      </c>
      <c r="AK142" s="461">
        <v>0</v>
      </c>
      <c r="AL142" s="461">
        <v>0</v>
      </c>
      <c r="AM142" s="461">
        <v>0</v>
      </c>
      <c r="AN142" s="461">
        <v>0</v>
      </c>
      <c r="AO142" s="461">
        <v>0</v>
      </c>
      <c r="AP142" s="461">
        <f t="shared" si="229"/>
        <v>0</v>
      </c>
      <c r="AQ142" s="461">
        <f t="shared" si="230"/>
        <v>0</v>
      </c>
      <c r="AR142" s="737">
        <f t="shared" si="231"/>
        <v>0</v>
      </c>
      <c r="AS142" s="470">
        <f t="shared" si="232"/>
        <v>3011453</v>
      </c>
      <c r="AT142" s="460">
        <f t="shared" si="233"/>
        <v>2212355</v>
      </c>
      <c r="AU142" s="460">
        <f t="shared" si="234"/>
        <v>2080</v>
      </c>
      <c r="AV142" s="460">
        <f t="shared" si="235"/>
        <v>748479</v>
      </c>
      <c r="AW142" s="460">
        <f t="shared" si="236"/>
        <v>22123</v>
      </c>
      <c r="AX142" s="460">
        <f t="shared" si="237"/>
        <v>26416</v>
      </c>
      <c r="AY142" s="461">
        <f t="shared" si="238"/>
        <v>7.12</v>
      </c>
      <c r="AZ142" s="461">
        <f t="shared" si="239"/>
        <v>0</v>
      </c>
      <c r="BA142" s="463">
        <f t="shared" si="240"/>
        <v>7.12</v>
      </c>
    </row>
    <row r="143" spans="1:53" ht="14.1" customHeight="1" x14ac:dyDescent="0.2">
      <c r="A143" s="67">
        <v>33</v>
      </c>
      <c r="B143" s="64">
        <v>2479</v>
      </c>
      <c r="C143" s="65">
        <v>600080340</v>
      </c>
      <c r="D143" s="64">
        <v>65100280</v>
      </c>
      <c r="E143" s="66" t="s">
        <v>621</v>
      </c>
      <c r="F143" s="67">
        <v>3143</v>
      </c>
      <c r="G143" s="78" t="s">
        <v>616</v>
      </c>
      <c r="H143" s="68" t="s">
        <v>277</v>
      </c>
      <c r="I143" s="462">
        <v>4052320</v>
      </c>
      <c r="J143" s="16">
        <v>3006172</v>
      </c>
      <c r="K143" s="457">
        <v>1016086</v>
      </c>
      <c r="L143" s="457">
        <v>30062</v>
      </c>
      <c r="M143" s="16">
        <v>0</v>
      </c>
      <c r="N143" s="458">
        <v>6.07</v>
      </c>
      <c r="O143" s="13">
        <v>6.07</v>
      </c>
      <c r="P143" s="17">
        <v>0</v>
      </c>
      <c r="Q143" s="469">
        <f t="shared" si="224"/>
        <v>-3250</v>
      </c>
      <c r="R143" s="469">
        <v>0</v>
      </c>
      <c r="S143" s="460">
        <v>0</v>
      </c>
      <c r="T143" s="460">
        <v>0</v>
      </c>
      <c r="U143" s="460">
        <v>0</v>
      </c>
      <c r="V143" s="460">
        <f>SUM(Q143:U143)</f>
        <v>-3250</v>
      </c>
      <c r="W143" s="460">
        <v>3250</v>
      </c>
      <c r="X143" s="460">
        <v>0</v>
      </c>
      <c r="Y143" s="460">
        <v>0</v>
      </c>
      <c r="Z143" s="460">
        <f t="shared" si="225"/>
        <v>3250</v>
      </c>
      <c r="AA143" s="460">
        <f t="shared" si="226"/>
        <v>0</v>
      </c>
      <c r="AB143" s="69">
        <f t="shared" si="227"/>
        <v>0</v>
      </c>
      <c r="AC143" s="69">
        <f t="shared" si="228"/>
        <v>-33</v>
      </c>
      <c r="AD143" s="460">
        <v>0</v>
      </c>
      <c r="AE143" s="460">
        <v>0</v>
      </c>
      <c r="AF143" s="460">
        <f>SUM(AD143:AE143)</f>
        <v>0</v>
      </c>
      <c r="AG143" s="460">
        <f>AA143+AB143+AC143+AF143</f>
        <v>-33</v>
      </c>
      <c r="AH143" s="461">
        <v>0</v>
      </c>
      <c r="AI143" s="461">
        <v>0</v>
      </c>
      <c r="AJ143" s="461">
        <v>0</v>
      </c>
      <c r="AK143" s="461">
        <v>0</v>
      </c>
      <c r="AL143" s="461">
        <v>0</v>
      </c>
      <c r="AM143" s="461">
        <v>0</v>
      </c>
      <c r="AN143" s="461">
        <v>0</v>
      </c>
      <c r="AO143" s="461">
        <v>0</v>
      </c>
      <c r="AP143" s="461">
        <f t="shared" si="229"/>
        <v>0</v>
      </c>
      <c r="AQ143" s="461">
        <f t="shared" si="230"/>
        <v>0</v>
      </c>
      <c r="AR143" s="737">
        <f t="shared" si="231"/>
        <v>0</v>
      </c>
      <c r="AS143" s="470">
        <f t="shared" si="232"/>
        <v>4052287</v>
      </c>
      <c r="AT143" s="460">
        <f t="shared" si="233"/>
        <v>3002922</v>
      </c>
      <c r="AU143" s="460">
        <f t="shared" si="234"/>
        <v>3250</v>
      </c>
      <c r="AV143" s="460">
        <f t="shared" si="235"/>
        <v>1016086</v>
      </c>
      <c r="AW143" s="460">
        <f t="shared" si="236"/>
        <v>30029</v>
      </c>
      <c r="AX143" s="460">
        <f t="shared" si="237"/>
        <v>0</v>
      </c>
      <c r="AY143" s="461">
        <f t="shared" si="238"/>
        <v>6.07</v>
      </c>
      <c r="AZ143" s="461">
        <f t="shared" si="239"/>
        <v>6.07</v>
      </c>
      <c r="BA143" s="463">
        <f t="shared" si="240"/>
        <v>0</v>
      </c>
    </row>
    <row r="144" spans="1:53" ht="14.1" customHeight="1" x14ac:dyDescent="0.2">
      <c r="A144" s="67">
        <v>33</v>
      </c>
      <c r="B144" s="64">
        <v>2479</v>
      </c>
      <c r="C144" s="65">
        <v>600080340</v>
      </c>
      <c r="D144" s="64">
        <v>65100280</v>
      </c>
      <c r="E144" s="66" t="s">
        <v>621</v>
      </c>
      <c r="F144" s="67">
        <v>3143</v>
      </c>
      <c r="G144" s="78" t="s">
        <v>617</v>
      </c>
      <c r="H144" s="68" t="s">
        <v>278</v>
      </c>
      <c r="I144" s="462">
        <v>146600</v>
      </c>
      <c r="J144" s="673">
        <v>104748</v>
      </c>
      <c r="K144" s="457">
        <v>35405</v>
      </c>
      <c r="L144" s="457">
        <v>1047</v>
      </c>
      <c r="M144" s="673">
        <v>5400</v>
      </c>
      <c r="N144" s="458">
        <v>0.42</v>
      </c>
      <c r="O144" s="459">
        <v>0</v>
      </c>
      <c r="P144" s="717">
        <v>0.42</v>
      </c>
      <c r="Q144" s="469">
        <f t="shared" si="224"/>
        <v>0</v>
      </c>
      <c r="R144" s="469">
        <v>0</v>
      </c>
      <c r="S144" s="460">
        <v>0</v>
      </c>
      <c r="T144" s="460">
        <v>0</v>
      </c>
      <c r="U144" s="460">
        <v>0</v>
      </c>
      <c r="V144" s="460">
        <f>SUM(Q144:U144)</f>
        <v>0</v>
      </c>
      <c r="W144" s="460">
        <v>0</v>
      </c>
      <c r="X144" s="460">
        <v>0</v>
      </c>
      <c r="Y144" s="460">
        <v>0</v>
      </c>
      <c r="Z144" s="460">
        <f t="shared" si="225"/>
        <v>0</v>
      </c>
      <c r="AA144" s="460">
        <f t="shared" si="226"/>
        <v>0</v>
      </c>
      <c r="AB144" s="69">
        <f t="shared" si="227"/>
        <v>0</v>
      </c>
      <c r="AC144" s="69">
        <f t="shared" si="228"/>
        <v>0</v>
      </c>
      <c r="AD144" s="460">
        <v>0</v>
      </c>
      <c r="AE144" s="460">
        <v>0</v>
      </c>
      <c r="AF144" s="460">
        <f>SUM(AD144:AE144)</f>
        <v>0</v>
      </c>
      <c r="AG144" s="460">
        <f>AA144+AB144+AC144+AF144</f>
        <v>0</v>
      </c>
      <c r="AH144" s="461">
        <v>0</v>
      </c>
      <c r="AI144" s="461">
        <v>0</v>
      </c>
      <c r="AJ144" s="461">
        <v>0</v>
      </c>
      <c r="AK144" s="461">
        <v>0</v>
      </c>
      <c r="AL144" s="461">
        <v>0</v>
      </c>
      <c r="AM144" s="461">
        <v>0</v>
      </c>
      <c r="AN144" s="461">
        <v>0</v>
      </c>
      <c r="AO144" s="461">
        <v>0</v>
      </c>
      <c r="AP144" s="461">
        <f t="shared" si="229"/>
        <v>0</v>
      </c>
      <c r="AQ144" s="461">
        <f t="shared" si="230"/>
        <v>0</v>
      </c>
      <c r="AR144" s="737">
        <f t="shared" si="231"/>
        <v>0</v>
      </c>
      <c r="AS144" s="470">
        <f t="shared" si="232"/>
        <v>146600</v>
      </c>
      <c r="AT144" s="460">
        <f t="shared" si="233"/>
        <v>104748</v>
      </c>
      <c r="AU144" s="460">
        <f t="shared" si="234"/>
        <v>0</v>
      </c>
      <c r="AV144" s="460">
        <f t="shared" si="235"/>
        <v>35405</v>
      </c>
      <c r="AW144" s="460">
        <f t="shared" si="236"/>
        <v>1047</v>
      </c>
      <c r="AX144" s="460">
        <f t="shared" si="237"/>
        <v>5400</v>
      </c>
      <c r="AY144" s="461">
        <f t="shared" si="238"/>
        <v>0.42</v>
      </c>
      <c r="AZ144" s="461">
        <f t="shared" si="239"/>
        <v>0</v>
      </c>
      <c r="BA144" s="463">
        <f t="shared" si="240"/>
        <v>0.42</v>
      </c>
    </row>
    <row r="145" spans="1:53" ht="14.1" customHeight="1" x14ac:dyDescent="0.2">
      <c r="A145" s="73">
        <v>33</v>
      </c>
      <c r="B145" s="70">
        <v>2479</v>
      </c>
      <c r="C145" s="71">
        <v>600080340</v>
      </c>
      <c r="D145" s="70">
        <v>65100280</v>
      </c>
      <c r="E145" s="72" t="s">
        <v>622</v>
      </c>
      <c r="F145" s="73"/>
      <c r="G145" s="72"/>
      <c r="H145" s="74"/>
      <c r="I145" s="701">
        <f t="shared" ref="I145:P145" si="241">SUM(I140:I144)</f>
        <v>44263944</v>
      </c>
      <c r="J145" s="75">
        <f t="shared" si="241"/>
        <v>32287822</v>
      </c>
      <c r="K145" s="75">
        <f t="shared" si="241"/>
        <v>10913284</v>
      </c>
      <c r="L145" s="75">
        <f t="shared" si="241"/>
        <v>322877</v>
      </c>
      <c r="M145" s="75">
        <f t="shared" si="241"/>
        <v>739961</v>
      </c>
      <c r="N145" s="76">
        <f t="shared" si="241"/>
        <v>59.665499999999994</v>
      </c>
      <c r="O145" s="76">
        <f t="shared" si="241"/>
        <v>43.785499999999999</v>
      </c>
      <c r="P145" s="77">
        <f t="shared" si="241"/>
        <v>15.88</v>
      </c>
      <c r="Q145" s="724">
        <f t="shared" ref="Q145:BA145" si="242">SUM(Q140:Q144)</f>
        <v>-54080</v>
      </c>
      <c r="R145" s="724">
        <f t="shared" si="242"/>
        <v>3261048</v>
      </c>
      <c r="S145" s="75">
        <f t="shared" si="242"/>
        <v>0</v>
      </c>
      <c r="T145" s="75">
        <f t="shared" si="242"/>
        <v>0</v>
      </c>
      <c r="U145" s="75">
        <f t="shared" si="242"/>
        <v>0</v>
      </c>
      <c r="V145" s="75">
        <f t="shared" si="242"/>
        <v>3206968</v>
      </c>
      <c r="W145" s="75">
        <f t="shared" si="242"/>
        <v>54080</v>
      </c>
      <c r="X145" s="75">
        <f t="shared" si="242"/>
        <v>0</v>
      </c>
      <c r="Y145" s="75">
        <f t="shared" si="242"/>
        <v>0</v>
      </c>
      <c r="Z145" s="75">
        <f t="shared" si="242"/>
        <v>54080</v>
      </c>
      <c r="AA145" s="75">
        <f t="shared" si="242"/>
        <v>3261048</v>
      </c>
      <c r="AB145" s="75">
        <f t="shared" si="242"/>
        <v>1102234</v>
      </c>
      <c r="AC145" s="75">
        <f t="shared" si="242"/>
        <v>32068</v>
      </c>
      <c r="AD145" s="75">
        <f t="shared" si="242"/>
        <v>0</v>
      </c>
      <c r="AE145" s="75">
        <f t="shared" si="242"/>
        <v>0</v>
      </c>
      <c r="AF145" s="75">
        <f t="shared" si="242"/>
        <v>0</v>
      </c>
      <c r="AG145" s="75">
        <f t="shared" si="242"/>
        <v>4395350</v>
      </c>
      <c r="AH145" s="76">
        <f t="shared" si="242"/>
        <v>0</v>
      </c>
      <c r="AI145" s="76">
        <f t="shared" si="242"/>
        <v>0</v>
      </c>
      <c r="AJ145" s="76">
        <f t="shared" si="242"/>
        <v>9.17</v>
      </c>
      <c r="AK145" s="76">
        <f t="shared" si="242"/>
        <v>0</v>
      </c>
      <c r="AL145" s="76">
        <f t="shared" si="242"/>
        <v>0</v>
      </c>
      <c r="AM145" s="76">
        <f t="shared" si="242"/>
        <v>0</v>
      </c>
      <c r="AN145" s="76">
        <f t="shared" si="242"/>
        <v>0</v>
      </c>
      <c r="AO145" s="76">
        <f t="shared" si="242"/>
        <v>0</v>
      </c>
      <c r="AP145" s="76">
        <f t="shared" si="242"/>
        <v>9.17</v>
      </c>
      <c r="AQ145" s="76">
        <f t="shared" si="242"/>
        <v>0</v>
      </c>
      <c r="AR145" s="720">
        <f t="shared" si="242"/>
        <v>9.17</v>
      </c>
      <c r="AS145" s="701">
        <f t="shared" si="242"/>
        <v>48659294</v>
      </c>
      <c r="AT145" s="75">
        <f t="shared" si="242"/>
        <v>35494790</v>
      </c>
      <c r="AU145" s="75">
        <f t="shared" si="242"/>
        <v>54080</v>
      </c>
      <c r="AV145" s="75">
        <f t="shared" si="242"/>
        <v>12015518</v>
      </c>
      <c r="AW145" s="75">
        <f t="shared" si="242"/>
        <v>354945</v>
      </c>
      <c r="AX145" s="75">
        <f t="shared" si="242"/>
        <v>739961</v>
      </c>
      <c r="AY145" s="76">
        <f t="shared" si="242"/>
        <v>68.835499999999996</v>
      </c>
      <c r="AZ145" s="76">
        <f t="shared" si="242"/>
        <v>52.955500000000001</v>
      </c>
      <c r="BA145" s="77">
        <f t="shared" si="242"/>
        <v>15.88</v>
      </c>
    </row>
    <row r="146" spans="1:53" ht="14.1" customHeight="1" x14ac:dyDescent="0.2">
      <c r="A146" s="67">
        <v>34</v>
      </c>
      <c r="B146" s="64">
        <v>2475</v>
      </c>
      <c r="C146" s="65">
        <v>600080331</v>
      </c>
      <c r="D146" s="64">
        <v>65642368</v>
      </c>
      <c r="E146" s="66" t="s">
        <v>623</v>
      </c>
      <c r="F146" s="67">
        <v>3113</v>
      </c>
      <c r="G146" s="66" t="s">
        <v>310</v>
      </c>
      <c r="H146" s="68" t="s">
        <v>277</v>
      </c>
      <c r="I146" s="462">
        <v>41720694</v>
      </c>
      <c r="J146" s="16">
        <v>30363282</v>
      </c>
      <c r="K146" s="457">
        <v>10262789</v>
      </c>
      <c r="L146" s="457">
        <v>303633</v>
      </c>
      <c r="M146" s="16">
        <v>790990</v>
      </c>
      <c r="N146" s="13">
        <v>50.185500000000005</v>
      </c>
      <c r="O146" s="13">
        <v>41.085500000000003</v>
      </c>
      <c r="P146" s="17">
        <v>9.1</v>
      </c>
      <c r="Q146" s="469">
        <f t="shared" si="224"/>
        <v>-224250</v>
      </c>
      <c r="R146" s="469">
        <v>0</v>
      </c>
      <c r="S146" s="460">
        <v>0</v>
      </c>
      <c r="T146" s="460">
        <v>42711</v>
      </c>
      <c r="U146" s="460">
        <v>0</v>
      </c>
      <c r="V146" s="460">
        <f>SUM(Q146:U146)</f>
        <v>-181539</v>
      </c>
      <c r="W146" s="460">
        <v>224250</v>
      </c>
      <c r="X146" s="460">
        <v>0</v>
      </c>
      <c r="Y146" s="460">
        <v>0</v>
      </c>
      <c r="Z146" s="460">
        <f t="shared" ref="Z146:Z150" si="243">SUM(W146:Y146)</f>
        <v>224250</v>
      </c>
      <c r="AA146" s="460">
        <f t="shared" ref="AA146:AA150" si="244">V146+Z146</f>
        <v>42711</v>
      </c>
      <c r="AB146" s="69">
        <f t="shared" ref="AB146:AB150" si="245">ROUND((V146+W146+X146)*33.8%,0)</f>
        <v>14436</v>
      </c>
      <c r="AC146" s="69">
        <f t="shared" ref="AC146:AC150" si="246">ROUND(V146*1%,0)</f>
        <v>-1815</v>
      </c>
      <c r="AD146" s="460">
        <v>0</v>
      </c>
      <c r="AE146" s="460">
        <v>0</v>
      </c>
      <c r="AF146" s="460">
        <f>SUM(AD146:AE146)</f>
        <v>0</v>
      </c>
      <c r="AG146" s="460">
        <f>AA146+AB146+AC146+AF146</f>
        <v>55332</v>
      </c>
      <c r="AH146" s="461">
        <v>-0.3</v>
      </c>
      <c r="AI146" s="461">
        <v>0</v>
      </c>
      <c r="AJ146" s="461">
        <v>0</v>
      </c>
      <c r="AK146" s="461">
        <v>0</v>
      </c>
      <c r="AL146" s="461">
        <v>0</v>
      </c>
      <c r="AM146" s="461">
        <v>7.0000000000000007E-2</v>
      </c>
      <c r="AN146" s="461">
        <v>0</v>
      </c>
      <c r="AO146" s="461">
        <v>0</v>
      </c>
      <c r="AP146" s="461">
        <f t="shared" si="229"/>
        <v>-0.22999999999999998</v>
      </c>
      <c r="AQ146" s="461">
        <f t="shared" si="230"/>
        <v>0</v>
      </c>
      <c r="AR146" s="737">
        <f t="shared" si="231"/>
        <v>-0.22999999999999998</v>
      </c>
      <c r="AS146" s="470">
        <f t="shared" si="232"/>
        <v>41776026</v>
      </c>
      <c r="AT146" s="460">
        <f t="shared" si="233"/>
        <v>30181743</v>
      </c>
      <c r="AU146" s="460">
        <f t="shared" si="234"/>
        <v>224250</v>
      </c>
      <c r="AV146" s="460">
        <f t="shared" si="235"/>
        <v>10277225</v>
      </c>
      <c r="AW146" s="460">
        <f t="shared" si="236"/>
        <v>301818</v>
      </c>
      <c r="AX146" s="460">
        <f t="shared" si="237"/>
        <v>790990</v>
      </c>
      <c r="AY146" s="461">
        <f t="shared" si="238"/>
        <v>49.955500000000008</v>
      </c>
      <c r="AZ146" s="461">
        <f t="shared" si="239"/>
        <v>40.855500000000006</v>
      </c>
      <c r="BA146" s="463">
        <f t="shared" si="240"/>
        <v>9.1</v>
      </c>
    </row>
    <row r="147" spans="1:53" ht="14.1" customHeight="1" x14ac:dyDescent="0.2">
      <c r="A147" s="67">
        <v>34</v>
      </c>
      <c r="B147" s="64">
        <v>2475</v>
      </c>
      <c r="C147" s="65">
        <v>600080331</v>
      </c>
      <c r="D147" s="64">
        <v>65642368</v>
      </c>
      <c r="E147" s="66" t="s">
        <v>623</v>
      </c>
      <c r="F147" s="67">
        <v>3113</v>
      </c>
      <c r="G147" s="78" t="s">
        <v>308</v>
      </c>
      <c r="H147" s="68" t="s">
        <v>278</v>
      </c>
      <c r="I147" s="462">
        <v>0</v>
      </c>
      <c r="J147" s="457">
        <v>0</v>
      </c>
      <c r="K147" s="457">
        <v>0</v>
      </c>
      <c r="L147" s="457">
        <v>0</v>
      </c>
      <c r="M147" s="457">
        <v>0</v>
      </c>
      <c r="N147" s="458">
        <v>0</v>
      </c>
      <c r="O147" s="459">
        <v>0</v>
      </c>
      <c r="P147" s="646">
        <v>0</v>
      </c>
      <c r="Q147" s="469">
        <f t="shared" si="224"/>
        <v>0</v>
      </c>
      <c r="R147" s="469">
        <v>3156244</v>
      </c>
      <c r="S147" s="460">
        <v>0</v>
      </c>
      <c r="T147" s="460">
        <v>0</v>
      </c>
      <c r="U147" s="460">
        <v>0</v>
      </c>
      <c r="V147" s="460">
        <f>SUM(Q147:U147)</f>
        <v>3156244</v>
      </c>
      <c r="W147" s="460">
        <v>0</v>
      </c>
      <c r="X147" s="460">
        <v>0</v>
      </c>
      <c r="Y147" s="460">
        <v>0</v>
      </c>
      <c r="Z147" s="460">
        <f t="shared" si="243"/>
        <v>0</v>
      </c>
      <c r="AA147" s="460">
        <f t="shared" si="244"/>
        <v>3156244</v>
      </c>
      <c r="AB147" s="69">
        <f t="shared" si="245"/>
        <v>1066810</v>
      </c>
      <c r="AC147" s="69">
        <f t="shared" si="246"/>
        <v>31562</v>
      </c>
      <c r="AD147" s="460">
        <v>0</v>
      </c>
      <c r="AE147" s="460">
        <v>0</v>
      </c>
      <c r="AF147" s="460">
        <f>SUM(AD147:AE147)</f>
        <v>0</v>
      </c>
      <c r="AG147" s="460">
        <f>AA147+AB147+AC147+AF147</f>
        <v>4254616</v>
      </c>
      <c r="AH147" s="461">
        <v>0</v>
      </c>
      <c r="AI147" s="461">
        <v>0</v>
      </c>
      <c r="AJ147" s="461">
        <v>8.94</v>
      </c>
      <c r="AK147" s="461">
        <v>0</v>
      </c>
      <c r="AL147" s="461">
        <v>0</v>
      </c>
      <c r="AM147" s="461">
        <v>0</v>
      </c>
      <c r="AN147" s="461">
        <v>0</v>
      </c>
      <c r="AO147" s="461">
        <v>0</v>
      </c>
      <c r="AP147" s="461">
        <f t="shared" si="229"/>
        <v>8.94</v>
      </c>
      <c r="AQ147" s="461">
        <f t="shared" si="230"/>
        <v>0</v>
      </c>
      <c r="AR147" s="737">
        <f t="shared" si="231"/>
        <v>8.94</v>
      </c>
      <c r="AS147" s="470">
        <f t="shared" si="232"/>
        <v>4254616</v>
      </c>
      <c r="AT147" s="460">
        <f t="shared" si="233"/>
        <v>3156244</v>
      </c>
      <c r="AU147" s="460">
        <f t="shared" si="234"/>
        <v>0</v>
      </c>
      <c r="AV147" s="460">
        <f t="shared" si="235"/>
        <v>1066810</v>
      </c>
      <c r="AW147" s="460">
        <f t="shared" si="236"/>
        <v>31562</v>
      </c>
      <c r="AX147" s="460">
        <f t="shared" si="237"/>
        <v>0</v>
      </c>
      <c r="AY147" s="461">
        <f t="shared" si="238"/>
        <v>8.94</v>
      </c>
      <c r="AZ147" s="461">
        <f t="shared" si="239"/>
        <v>8.94</v>
      </c>
      <c r="BA147" s="463">
        <f t="shared" si="240"/>
        <v>0</v>
      </c>
    </row>
    <row r="148" spans="1:53" ht="14.1" customHeight="1" x14ac:dyDescent="0.2">
      <c r="A148" s="67">
        <v>34</v>
      </c>
      <c r="B148" s="64">
        <v>2475</v>
      </c>
      <c r="C148" s="65">
        <v>600080331</v>
      </c>
      <c r="D148" s="64">
        <v>65642368</v>
      </c>
      <c r="E148" s="66" t="s">
        <v>624</v>
      </c>
      <c r="F148" s="67">
        <v>3141</v>
      </c>
      <c r="G148" s="66" t="s">
        <v>311</v>
      </c>
      <c r="H148" s="68" t="s">
        <v>278</v>
      </c>
      <c r="I148" s="462">
        <v>1458836</v>
      </c>
      <c r="J148" s="728">
        <v>1066080</v>
      </c>
      <c r="K148" s="457">
        <v>360335</v>
      </c>
      <c r="L148" s="457">
        <v>10661</v>
      </c>
      <c r="M148" s="728">
        <v>21760</v>
      </c>
      <c r="N148" s="458">
        <v>3.43</v>
      </c>
      <c r="O148" s="459">
        <v>0</v>
      </c>
      <c r="P148" s="646">
        <v>3.43</v>
      </c>
      <c r="Q148" s="469">
        <f t="shared" si="224"/>
        <v>-3250</v>
      </c>
      <c r="R148" s="469">
        <v>0</v>
      </c>
      <c r="S148" s="460">
        <v>0</v>
      </c>
      <c r="T148" s="460">
        <v>0</v>
      </c>
      <c r="U148" s="460">
        <v>0</v>
      </c>
      <c r="V148" s="460">
        <f>SUM(Q148:U148)</f>
        <v>-3250</v>
      </c>
      <c r="W148" s="460">
        <v>3250</v>
      </c>
      <c r="X148" s="460">
        <v>0</v>
      </c>
      <c r="Y148" s="460">
        <v>0</v>
      </c>
      <c r="Z148" s="460">
        <f t="shared" si="243"/>
        <v>3250</v>
      </c>
      <c r="AA148" s="460">
        <f t="shared" si="244"/>
        <v>0</v>
      </c>
      <c r="AB148" s="69">
        <f t="shared" si="245"/>
        <v>0</v>
      </c>
      <c r="AC148" s="69">
        <f t="shared" si="246"/>
        <v>-33</v>
      </c>
      <c r="AD148" s="460">
        <v>0</v>
      </c>
      <c r="AE148" s="460">
        <v>0</v>
      </c>
      <c r="AF148" s="460">
        <f>SUM(AD148:AE148)</f>
        <v>0</v>
      </c>
      <c r="AG148" s="460">
        <f>AA148+AB148+AC148+AF148</f>
        <v>-33</v>
      </c>
      <c r="AH148" s="461">
        <v>0</v>
      </c>
      <c r="AI148" s="461">
        <v>0</v>
      </c>
      <c r="AJ148" s="461">
        <v>0</v>
      </c>
      <c r="AK148" s="461">
        <v>0</v>
      </c>
      <c r="AL148" s="461">
        <v>0</v>
      </c>
      <c r="AM148" s="461">
        <v>0</v>
      </c>
      <c r="AN148" s="461">
        <v>0</v>
      </c>
      <c r="AO148" s="461">
        <v>0</v>
      </c>
      <c r="AP148" s="461">
        <f t="shared" si="229"/>
        <v>0</v>
      </c>
      <c r="AQ148" s="461">
        <f t="shared" si="230"/>
        <v>0</v>
      </c>
      <c r="AR148" s="737">
        <f t="shared" si="231"/>
        <v>0</v>
      </c>
      <c r="AS148" s="470">
        <f t="shared" si="232"/>
        <v>1458803</v>
      </c>
      <c r="AT148" s="460">
        <f t="shared" si="233"/>
        <v>1062830</v>
      </c>
      <c r="AU148" s="460">
        <f t="shared" si="234"/>
        <v>3250</v>
      </c>
      <c r="AV148" s="460">
        <f t="shared" si="235"/>
        <v>360335</v>
      </c>
      <c r="AW148" s="460">
        <f t="shared" si="236"/>
        <v>10628</v>
      </c>
      <c r="AX148" s="460">
        <f t="shared" si="237"/>
        <v>21760</v>
      </c>
      <c r="AY148" s="461">
        <f t="shared" si="238"/>
        <v>3.43</v>
      </c>
      <c r="AZ148" s="461">
        <f t="shared" si="239"/>
        <v>0</v>
      </c>
      <c r="BA148" s="463">
        <f t="shared" si="240"/>
        <v>3.43</v>
      </c>
    </row>
    <row r="149" spans="1:53" ht="14.1" customHeight="1" x14ac:dyDescent="0.2">
      <c r="A149" s="67">
        <v>34</v>
      </c>
      <c r="B149" s="64">
        <v>2475</v>
      </c>
      <c r="C149" s="65">
        <v>600080331</v>
      </c>
      <c r="D149" s="64">
        <v>65642368</v>
      </c>
      <c r="E149" s="66" t="s">
        <v>623</v>
      </c>
      <c r="F149" s="67">
        <v>3143</v>
      </c>
      <c r="G149" s="78" t="s">
        <v>616</v>
      </c>
      <c r="H149" s="68" t="s">
        <v>277</v>
      </c>
      <c r="I149" s="462">
        <v>4140214</v>
      </c>
      <c r="J149" s="16">
        <v>3071375</v>
      </c>
      <c r="K149" s="457">
        <v>1038125</v>
      </c>
      <c r="L149" s="457">
        <v>30714</v>
      </c>
      <c r="M149" s="16">
        <v>0</v>
      </c>
      <c r="N149" s="458">
        <v>6.3390000000000004</v>
      </c>
      <c r="O149" s="13">
        <v>6.3390000000000004</v>
      </c>
      <c r="P149" s="17">
        <v>0</v>
      </c>
      <c r="Q149" s="469">
        <f t="shared" si="224"/>
        <v>0</v>
      </c>
      <c r="R149" s="469">
        <v>0</v>
      </c>
      <c r="S149" s="460">
        <v>0</v>
      </c>
      <c r="T149" s="460">
        <v>0</v>
      </c>
      <c r="U149" s="460">
        <v>0</v>
      </c>
      <c r="V149" s="460">
        <f>SUM(Q149:U149)</f>
        <v>0</v>
      </c>
      <c r="W149" s="460">
        <v>0</v>
      </c>
      <c r="X149" s="460">
        <v>0</v>
      </c>
      <c r="Y149" s="460">
        <v>0</v>
      </c>
      <c r="Z149" s="460">
        <f t="shared" si="243"/>
        <v>0</v>
      </c>
      <c r="AA149" s="460">
        <f t="shared" si="244"/>
        <v>0</v>
      </c>
      <c r="AB149" s="69">
        <f t="shared" si="245"/>
        <v>0</v>
      </c>
      <c r="AC149" s="69">
        <f t="shared" si="246"/>
        <v>0</v>
      </c>
      <c r="AD149" s="460">
        <v>0</v>
      </c>
      <c r="AE149" s="460">
        <v>0</v>
      </c>
      <c r="AF149" s="460">
        <f>SUM(AD149:AE149)</f>
        <v>0</v>
      </c>
      <c r="AG149" s="460">
        <f>AA149+AB149+AC149+AF149</f>
        <v>0</v>
      </c>
      <c r="AH149" s="461">
        <v>0</v>
      </c>
      <c r="AI149" s="461">
        <v>0</v>
      </c>
      <c r="AJ149" s="461">
        <v>0</v>
      </c>
      <c r="AK149" s="461">
        <v>0</v>
      </c>
      <c r="AL149" s="461">
        <v>0</v>
      </c>
      <c r="AM149" s="461">
        <v>0</v>
      </c>
      <c r="AN149" s="461">
        <v>0</v>
      </c>
      <c r="AO149" s="461">
        <v>0</v>
      </c>
      <c r="AP149" s="461">
        <f t="shared" si="229"/>
        <v>0</v>
      </c>
      <c r="AQ149" s="461">
        <f t="shared" si="230"/>
        <v>0</v>
      </c>
      <c r="AR149" s="737">
        <f t="shared" si="231"/>
        <v>0</v>
      </c>
      <c r="AS149" s="470">
        <f t="shared" si="232"/>
        <v>4140214</v>
      </c>
      <c r="AT149" s="460">
        <f t="shared" si="233"/>
        <v>3071375</v>
      </c>
      <c r="AU149" s="460">
        <f t="shared" si="234"/>
        <v>0</v>
      </c>
      <c r="AV149" s="460">
        <f t="shared" si="235"/>
        <v>1038125</v>
      </c>
      <c r="AW149" s="460">
        <f t="shared" si="236"/>
        <v>30714</v>
      </c>
      <c r="AX149" s="460">
        <f t="shared" si="237"/>
        <v>0</v>
      </c>
      <c r="AY149" s="461">
        <f t="shared" si="238"/>
        <v>6.3390000000000004</v>
      </c>
      <c r="AZ149" s="461">
        <f t="shared" si="239"/>
        <v>6.3390000000000004</v>
      </c>
      <c r="BA149" s="463">
        <f t="shared" si="240"/>
        <v>0</v>
      </c>
    </row>
    <row r="150" spans="1:53" ht="14.1" customHeight="1" x14ac:dyDescent="0.2">
      <c r="A150" s="67">
        <v>34</v>
      </c>
      <c r="B150" s="64">
        <v>2475</v>
      </c>
      <c r="C150" s="65">
        <v>600080331</v>
      </c>
      <c r="D150" s="64">
        <v>65642368</v>
      </c>
      <c r="E150" s="66" t="s">
        <v>623</v>
      </c>
      <c r="F150" s="67">
        <v>3143</v>
      </c>
      <c r="G150" s="78" t="s">
        <v>617</v>
      </c>
      <c r="H150" s="68" t="s">
        <v>278</v>
      </c>
      <c r="I150" s="462">
        <v>131940</v>
      </c>
      <c r="J150" s="673">
        <v>94273</v>
      </c>
      <c r="K150" s="457">
        <v>31864</v>
      </c>
      <c r="L150" s="457">
        <v>943</v>
      </c>
      <c r="M150" s="673">
        <v>4860</v>
      </c>
      <c r="N150" s="458">
        <v>0.38</v>
      </c>
      <c r="O150" s="459">
        <v>0</v>
      </c>
      <c r="P150" s="717">
        <v>0.38</v>
      </c>
      <c r="Q150" s="469">
        <f t="shared" si="224"/>
        <v>0</v>
      </c>
      <c r="R150" s="469">
        <v>0</v>
      </c>
      <c r="S150" s="460">
        <v>0</v>
      </c>
      <c r="T150" s="460">
        <v>0</v>
      </c>
      <c r="U150" s="460">
        <v>0</v>
      </c>
      <c r="V150" s="460">
        <f>SUM(Q150:U150)</f>
        <v>0</v>
      </c>
      <c r="W150" s="460">
        <v>0</v>
      </c>
      <c r="X150" s="460">
        <v>0</v>
      </c>
      <c r="Y150" s="460">
        <v>0</v>
      </c>
      <c r="Z150" s="460">
        <f t="shared" si="243"/>
        <v>0</v>
      </c>
      <c r="AA150" s="460">
        <f t="shared" si="244"/>
        <v>0</v>
      </c>
      <c r="AB150" s="69">
        <f t="shared" si="245"/>
        <v>0</v>
      </c>
      <c r="AC150" s="69">
        <f t="shared" si="246"/>
        <v>0</v>
      </c>
      <c r="AD150" s="460">
        <v>0</v>
      </c>
      <c r="AE150" s="460">
        <v>0</v>
      </c>
      <c r="AF150" s="460">
        <f>SUM(AD150:AE150)</f>
        <v>0</v>
      </c>
      <c r="AG150" s="460">
        <f>AA150+AB150+AC150+AF150</f>
        <v>0</v>
      </c>
      <c r="AH150" s="461">
        <v>0</v>
      </c>
      <c r="AI150" s="461">
        <v>0</v>
      </c>
      <c r="AJ150" s="461">
        <v>0</v>
      </c>
      <c r="AK150" s="461">
        <v>0</v>
      </c>
      <c r="AL150" s="461">
        <v>0</v>
      </c>
      <c r="AM150" s="461">
        <v>0</v>
      </c>
      <c r="AN150" s="461">
        <v>0</v>
      </c>
      <c r="AO150" s="461">
        <v>0</v>
      </c>
      <c r="AP150" s="461">
        <f t="shared" si="229"/>
        <v>0</v>
      </c>
      <c r="AQ150" s="461">
        <f t="shared" si="230"/>
        <v>0</v>
      </c>
      <c r="AR150" s="737">
        <f t="shared" si="231"/>
        <v>0</v>
      </c>
      <c r="AS150" s="470">
        <f t="shared" si="232"/>
        <v>131940</v>
      </c>
      <c r="AT150" s="460">
        <f t="shared" si="233"/>
        <v>94273</v>
      </c>
      <c r="AU150" s="460">
        <f t="shared" si="234"/>
        <v>0</v>
      </c>
      <c r="AV150" s="460">
        <f t="shared" si="235"/>
        <v>31864</v>
      </c>
      <c r="AW150" s="460">
        <f t="shared" si="236"/>
        <v>943</v>
      </c>
      <c r="AX150" s="460">
        <f t="shared" si="237"/>
        <v>4860</v>
      </c>
      <c r="AY150" s="461">
        <f t="shared" si="238"/>
        <v>0.38</v>
      </c>
      <c r="AZ150" s="461">
        <f t="shared" si="239"/>
        <v>0</v>
      </c>
      <c r="BA150" s="463">
        <f t="shared" si="240"/>
        <v>0.38</v>
      </c>
    </row>
    <row r="151" spans="1:53" ht="14.1" customHeight="1" x14ac:dyDescent="0.2">
      <c r="A151" s="73">
        <v>34</v>
      </c>
      <c r="B151" s="70">
        <v>2475</v>
      </c>
      <c r="C151" s="71">
        <v>600080331</v>
      </c>
      <c r="D151" s="70">
        <v>65642368</v>
      </c>
      <c r="E151" s="72" t="s">
        <v>625</v>
      </c>
      <c r="F151" s="73"/>
      <c r="G151" s="72"/>
      <c r="H151" s="74"/>
      <c r="I151" s="701">
        <f t="shared" ref="I151:P151" si="247">SUM(I146:I150)</f>
        <v>47451684</v>
      </c>
      <c r="J151" s="75">
        <f t="shared" si="247"/>
        <v>34595010</v>
      </c>
      <c r="K151" s="75">
        <f t="shared" si="247"/>
        <v>11693113</v>
      </c>
      <c r="L151" s="75">
        <f t="shared" si="247"/>
        <v>345951</v>
      </c>
      <c r="M151" s="75">
        <f t="shared" si="247"/>
        <v>817610</v>
      </c>
      <c r="N151" s="76">
        <f t="shared" si="247"/>
        <v>60.334500000000006</v>
      </c>
      <c r="O151" s="76">
        <f t="shared" si="247"/>
        <v>47.424500000000002</v>
      </c>
      <c r="P151" s="77">
        <f t="shared" si="247"/>
        <v>12.91</v>
      </c>
      <c r="Q151" s="724">
        <f t="shared" ref="Q151:BA151" si="248">SUM(Q146:Q150)</f>
        <v>-227500</v>
      </c>
      <c r="R151" s="724">
        <f t="shared" si="248"/>
        <v>3156244</v>
      </c>
      <c r="S151" s="75">
        <f t="shared" si="248"/>
        <v>0</v>
      </c>
      <c r="T151" s="75">
        <f t="shared" si="248"/>
        <v>42711</v>
      </c>
      <c r="U151" s="75">
        <f t="shared" si="248"/>
        <v>0</v>
      </c>
      <c r="V151" s="75">
        <f t="shared" si="248"/>
        <v>2971455</v>
      </c>
      <c r="W151" s="75">
        <f t="shared" si="248"/>
        <v>227500</v>
      </c>
      <c r="X151" s="75">
        <f t="shared" si="248"/>
        <v>0</v>
      </c>
      <c r="Y151" s="75">
        <f t="shared" si="248"/>
        <v>0</v>
      </c>
      <c r="Z151" s="75">
        <f t="shared" si="248"/>
        <v>227500</v>
      </c>
      <c r="AA151" s="75">
        <f t="shared" si="248"/>
        <v>3198955</v>
      </c>
      <c r="AB151" s="75">
        <f t="shared" si="248"/>
        <v>1081246</v>
      </c>
      <c r="AC151" s="75">
        <f t="shared" si="248"/>
        <v>29714</v>
      </c>
      <c r="AD151" s="75">
        <f t="shared" si="248"/>
        <v>0</v>
      </c>
      <c r="AE151" s="75">
        <f t="shared" si="248"/>
        <v>0</v>
      </c>
      <c r="AF151" s="75">
        <f t="shared" si="248"/>
        <v>0</v>
      </c>
      <c r="AG151" s="75">
        <f t="shared" si="248"/>
        <v>4309915</v>
      </c>
      <c r="AH151" s="76">
        <f t="shared" si="248"/>
        <v>-0.3</v>
      </c>
      <c r="AI151" s="76">
        <f t="shared" si="248"/>
        <v>0</v>
      </c>
      <c r="AJ151" s="76">
        <f t="shared" si="248"/>
        <v>8.94</v>
      </c>
      <c r="AK151" s="76">
        <f t="shared" si="248"/>
        <v>0</v>
      </c>
      <c r="AL151" s="76">
        <f t="shared" si="248"/>
        <v>0</v>
      </c>
      <c r="AM151" s="76">
        <f t="shared" si="248"/>
        <v>7.0000000000000007E-2</v>
      </c>
      <c r="AN151" s="76">
        <f t="shared" si="248"/>
        <v>0</v>
      </c>
      <c r="AO151" s="76">
        <f t="shared" si="248"/>
        <v>0</v>
      </c>
      <c r="AP151" s="76">
        <f t="shared" si="248"/>
        <v>8.7099999999999991</v>
      </c>
      <c r="AQ151" s="76">
        <f t="shared" si="248"/>
        <v>0</v>
      </c>
      <c r="AR151" s="720">
        <f t="shared" si="248"/>
        <v>8.7099999999999991</v>
      </c>
      <c r="AS151" s="701">
        <f t="shared" si="248"/>
        <v>51761599</v>
      </c>
      <c r="AT151" s="75">
        <f t="shared" si="248"/>
        <v>37566465</v>
      </c>
      <c r="AU151" s="75">
        <f t="shared" si="248"/>
        <v>227500</v>
      </c>
      <c r="AV151" s="75">
        <f t="shared" si="248"/>
        <v>12774359</v>
      </c>
      <c r="AW151" s="75">
        <f t="shared" si="248"/>
        <v>375665</v>
      </c>
      <c r="AX151" s="75">
        <f t="shared" si="248"/>
        <v>817610</v>
      </c>
      <c r="AY151" s="76">
        <f t="shared" si="248"/>
        <v>69.044499999999999</v>
      </c>
      <c r="AZ151" s="76">
        <f t="shared" si="248"/>
        <v>56.134500000000003</v>
      </c>
      <c r="BA151" s="77">
        <f t="shared" si="248"/>
        <v>12.91</v>
      </c>
    </row>
    <row r="152" spans="1:53" ht="14.1" customHeight="1" x14ac:dyDescent="0.2">
      <c r="A152" s="67">
        <v>35</v>
      </c>
      <c r="B152" s="64">
        <v>2476</v>
      </c>
      <c r="C152" s="65">
        <v>600080170</v>
      </c>
      <c r="D152" s="64">
        <v>64040364</v>
      </c>
      <c r="E152" s="66" t="s">
        <v>626</v>
      </c>
      <c r="F152" s="67">
        <v>3113</v>
      </c>
      <c r="G152" s="66" t="s">
        <v>310</v>
      </c>
      <c r="H152" s="68" t="s">
        <v>277</v>
      </c>
      <c r="I152" s="462">
        <v>40306106</v>
      </c>
      <c r="J152" s="16">
        <v>29286043</v>
      </c>
      <c r="K152" s="457">
        <v>9898683</v>
      </c>
      <c r="L152" s="457">
        <v>292860</v>
      </c>
      <c r="M152" s="16">
        <v>828520</v>
      </c>
      <c r="N152" s="13">
        <v>49.887</v>
      </c>
      <c r="O152" s="13">
        <v>40.226999999999997</v>
      </c>
      <c r="P152" s="17">
        <v>9.66</v>
      </c>
      <c r="Q152" s="469">
        <f t="shared" si="224"/>
        <v>-32500</v>
      </c>
      <c r="R152" s="469">
        <v>0</v>
      </c>
      <c r="S152" s="460">
        <v>0</v>
      </c>
      <c r="T152" s="460">
        <v>0</v>
      </c>
      <c r="U152" s="460">
        <v>0</v>
      </c>
      <c r="V152" s="460">
        <f>SUM(Q152:U152)</f>
        <v>-32500</v>
      </c>
      <c r="W152" s="460">
        <v>32500</v>
      </c>
      <c r="X152" s="460">
        <v>0</v>
      </c>
      <c r="Y152" s="460">
        <v>0</v>
      </c>
      <c r="Z152" s="460">
        <f t="shared" ref="Z152:Z156" si="249">SUM(W152:Y152)</f>
        <v>32500</v>
      </c>
      <c r="AA152" s="460">
        <f t="shared" ref="AA152:AA156" si="250">V152+Z152</f>
        <v>0</v>
      </c>
      <c r="AB152" s="69">
        <f t="shared" ref="AB152:AB156" si="251">ROUND((V152+W152+X152)*33.8%,0)</f>
        <v>0</v>
      </c>
      <c r="AC152" s="69">
        <f t="shared" ref="AC152:AC156" si="252">ROUND(V152*1%,0)</f>
        <v>-325</v>
      </c>
      <c r="AD152" s="460">
        <v>0</v>
      </c>
      <c r="AE152" s="460">
        <v>0</v>
      </c>
      <c r="AF152" s="460">
        <f>SUM(AD152:AE152)</f>
        <v>0</v>
      </c>
      <c r="AG152" s="460">
        <f>AA152+AB152+AC152+AF152</f>
        <v>-325</v>
      </c>
      <c r="AH152" s="461">
        <v>0</v>
      </c>
      <c r="AI152" s="461">
        <v>0</v>
      </c>
      <c r="AJ152" s="461">
        <v>0</v>
      </c>
      <c r="AK152" s="461">
        <v>0</v>
      </c>
      <c r="AL152" s="461">
        <v>0</v>
      </c>
      <c r="AM152" s="461">
        <v>0</v>
      </c>
      <c r="AN152" s="461">
        <v>0</v>
      </c>
      <c r="AO152" s="461">
        <v>0</v>
      </c>
      <c r="AP152" s="461">
        <f t="shared" si="229"/>
        <v>0</v>
      </c>
      <c r="AQ152" s="461">
        <f t="shared" si="230"/>
        <v>0</v>
      </c>
      <c r="AR152" s="737">
        <f t="shared" si="231"/>
        <v>0</v>
      </c>
      <c r="AS152" s="470">
        <f t="shared" si="232"/>
        <v>40305781</v>
      </c>
      <c r="AT152" s="460">
        <f t="shared" si="233"/>
        <v>29253543</v>
      </c>
      <c r="AU152" s="460">
        <f t="shared" si="234"/>
        <v>32500</v>
      </c>
      <c r="AV152" s="460">
        <f t="shared" si="235"/>
        <v>9898683</v>
      </c>
      <c r="AW152" s="460">
        <f t="shared" si="236"/>
        <v>292535</v>
      </c>
      <c r="AX152" s="460">
        <f t="shared" si="237"/>
        <v>828520</v>
      </c>
      <c r="AY152" s="461">
        <f t="shared" si="238"/>
        <v>49.887</v>
      </c>
      <c r="AZ152" s="461">
        <f t="shared" si="239"/>
        <v>40.226999999999997</v>
      </c>
      <c r="BA152" s="463">
        <f t="shared" si="240"/>
        <v>9.66</v>
      </c>
    </row>
    <row r="153" spans="1:53" ht="14.1" customHeight="1" x14ac:dyDescent="0.2">
      <c r="A153" s="67">
        <v>35</v>
      </c>
      <c r="B153" s="64">
        <v>2476</v>
      </c>
      <c r="C153" s="65">
        <v>600080170</v>
      </c>
      <c r="D153" s="64">
        <v>64040364</v>
      </c>
      <c r="E153" s="66" t="s">
        <v>626</v>
      </c>
      <c r="F153" s="67">
        <v>3113</v>
      </c>
      <c r="G153" s="78" t="s">
        <v>308</v>
      </c>
      <c r="H153" s="68" t="s">
        <v>278</v>
      </c>
      <c r="I153" s="462">
        <v>0</v>
      </c>
      <c r="J153" s="457">
        <v>0</v>
      </c>
      <c r="K153" s="457">
        <v>0</v>
      </c>
      <c r="L153" s="457">
        <v>0</v>
      </c>
      <c r="M153" s="457">
        <v>0</v>
      </c>
      <c r="N153" s="458">
        <v>0</v>
      </c>
      <c r="O153" s="459">
        <v>0</v>
      </c>
      <c r="P153" s="646">
        <v>0</v>
      </c>
      <c r="Q153" s="469">
        <f t="shared" si="224"/>
        <v>0</v>
      </c>
      <c r="R153" s="469">
        <v>4128500</v>
      </c>
      <c r="S153" s="460">
        <v>0</v>
      </c>
      <c r="T153" s="460">
        <v>0</v>
      </c>
      <c r="U153" s="460">
        <v>0</v>
      </c>
      <c r="V153" s="460">
        <f>SUM(Q153:U153)</f>
        <v>4128500</v>
      </c>
      <c r="W153" s="460">
        <v>0</v>
      </c>
      <c r="X153" s="460">
        <v>0</v>
      </c>
      <c r="Y153" s="460">
        <v>0</v>
      </c>
      <c r="Z153" s="460">
        <f t="shared" si="249"/>
        <v>0</v>
      </c>
      <c r="AA153" s="460">
        <f t="shared" si="250"/>
        <v>4128500</v>
      </c>
      <c r="AB153" s="69">
        <f t="shared" si="251"/>
        <v>1395433</v>
      </c>
      <c r="AC153" s="69">
        <f t="shared" si="252"/>
        <v>41285</v>
      </c>
      <c r="AD153" s="460">
        <v>500</v>
      </c>
      <c r="AE153" s="460">
        <v>0</v>
      </c>
      <c r="AF153" s="460">
        <f>SUM(AD153:AE153)</f>
        <v>500</v>
      </c>
      <c r="AG153" s="460">
        <f>AA153+AB153+AC153+AF153</f>
        <v>5565718</v>
      </c>
      <c r="AH153" s="461">
        <v>0</v>
      </c>
      <c r="AI153" s="461">
        <v>0</v>
      </c>
      <c r="AJ153" s="461">
        <v>11.92</v>
      </c>
      <c r="AK153" s="461">
        <v>0</v>
      </c>
      <c r="AL153" s="461">
        <v>0</v>
      </c>
      <c r="AM153" s="461">
        <v>0</v>
      </c>
      <c r="AN153" s="461">
        <v>0</v>
      </c>
      <c r="AO153" s="461">
        <v>0</v>
      </c>
      <c r="AP153" s="461">
        <f t="shared" si="229"/>
        <v>11.92</v>
      </c>
      <c r="AQ153" s="461">
        <f t="shared" si="230"/>
        <v>0</v>
      </c>
      <c r="AR153" s="737">
        <f t="shared" si="231"/>
        <v>11.92</v>
      </c>
      <c r="AS153" s="470">
        <f t="shared" si="232"/>
        <v>5565718</v>
      </c>
      <c r="AT153" s="460">
        <f t="shared" si="233"/>
        <v>4128500</v>
      </c>
      <c r="AU153" s="460">
        <f t="shared" si="234"/>
        <v>0</v>
      </c>
      <c r="AV153" s="460">
        <f t="shared" si="235"/>
        <v>1395433</v>
      </c>
      <c r="AW153" s="460">
        <f t="shared" si="236"/>
        <v>41285</v>
      </c>
      <c r="AX153" s="460">
        <f t="shared" si="237"/>
        <v>500</v>
      </c>
      <c r="AY153" s="461">
        <f t="shared" si="238"/>
        <v>11.92</v>
      </c>
      <c r="AZ153" s="461">
        <f t="shared" si="239"/>
        <v>11.92</v>
      </c>
      <c r="BA153" s="463">
        <f t="shared" si="240"/>
        <v>0</v>
      </c>
    </row>
    <row r="154" spans="1:53" ht="14.1" customHeight="1" x14ac:dyDescent="0.2">
      <c r="A154" s="67">
        <v>35</v>
      </c>
      <c r="B154" s="64">
        <v>2476</v>
      </c>
      <c r="C154" s="65">
        <v>600080170</v>
      </c>
      <c r="D154" s="64">
        <v>64040364</v>
      </c>
      <c r="E154" s="66" t="s">
        <v>626</v>
      </c>
      <c r="F154" s="67">
        <v>3141</v>
      </c>
      <c r="G154" s="66" t="s">
        <v>311</v>
      </c>
      <c r="H154" s="68" t="s">
        <v>278</v>
      </c>
      <c r="I154" s="462">
        <v>3280285</v>
      </c>
      <c r="J154" s="728">
        <v>2411650</v>
      </c>
      <c r="K154" s="457">
        <v>815138</v>
      </c>
      <c r="L154" s="457">
        <v>24117</v>
      </c>
      <c r="M154" s="728">
        <v>29380</v>
      </c>
      <c r="N154" s="458">
        <v>7.75</v>
      </c>
      <c r="O154" s="459">
        <v>0</v>
      </c>
      <c r="P154" s="646">
        <v>7.75</v>
      </c>
      <c r="Q154" s="469">
        <f t="shared" si="224"/>
        <v>-6500</v>
      </c>
      <c r="R154" s="469">
        <v>0</v>
      </c>
      <c r="S154" s="460">
        <v>0</v>
      </c>
      <c r="T154" s="460">
        <v>0</v>
      </c>
      <c r="U154" s="460">
        <v>0</v>
      </c>
      <c r="V154" s="460">
        <f>SUM(Q154:U154)</f>
        <v>-6500</v>
      </c>
      <c r="W154" s="460">
        <v>6500</v>
      </c>
      <c r="X154" s="460">
        <v>0</v>
      </c>
      <c r="Y154" s="460">
        <v>0</v>
      </c>
      <c r="Z154" s="460">
        <f t="shared" si="249"/>
        <v>6500</v>
      </c>
      <c r="AA154" s="460">
        <f t="shared" si="250"/>
        <v>0</v>
      </c>
      <c r="AB154" s="69">
        <f t="shared" si="251"/>
        <v>0</v>
      </c>
      <c r="AC154" s="69">
        <f t="shared" si="252"/>
        <v>-65</v>
      </c>
      <c r="AD154" s="460">
        <v>0</v>
      </c>
      <c r="AE154" s="460">
        <v>0</v>
      </c>
      <c r="AF154" s="460">
        <f>SUM(AD154:AE154)</f>
        <v>0</v>
      </c>
      <c r="AG154" s="460">
        <f>AA154+AB154+AC154+AF154</f>
        <v>-65</v>
      </c>
      <c r="AH154" s="461">
        <v>0</v>
      </c>
      <c r="AI154" s="461">
        <v>0</v>
      </c>
      <c r="AJ154" s="461">
        <v>0</v>
      </c>
      <c r="AK154" s="461">
        <v>0</v>
      </c>
      <c r="AL154" s="461">
        <v>0</v>
      </c>
      <c r="AM154" s="461">
        <v>0</v>
      </c>
      <c r="AN154" s="461">
        <v>0</v>
      </c>
      <c r="AO154" s="461">
        <v>0</v>
      </c>
      <c r="AP154" s="461">
        <f t="shared" si="229"/>
        <v>0</v>
      </c>
      <c r="AQ154" s="461">
        <f t="shared" si="230"/>
        <v>0</v>
      </c>
      <c r="AR154" s="737">
        <f t="shared" si="231"/>
        <v>0</v>
      </c>
      <c r="AS154" s="470">
        <f t="shared" si="232"/>
        <v>3280220</v>
      </c>
      <c r="AT154" s="460">
        <f t="shared" si="233"/>
        <v>2405150</v>
      </c>
      <c r="AU154" s="460">
        <f t="shared" si="234"/>
        <v>6500</v>
      </c>
      <c r="AV154" s="460">
        <f t="shared" si="235"/>
        <v>815138</v>
      </c>
      <c r="AW154" s="460">
        <f t="shared" si="236"/>
        <v>24052</v>
      </c>
      <c r="AX154" s="460">
        <f t="shared" si="237"/>
        <v>29380</v>
      </c>
      <c r="AY154" s="461">
        <f t="shared" si="238"/>
        <v>7.75</v>
      </c>
      <c r="AZ154" s="461">
        <f t="shared" si="239"/>
        <v>0</v>
      </c>
      <c r="BA154" s="463">
        <f t="shared" si="240"/>
        <v>7.75</v>
      </c>
    </row>
    <row r="155" spans="1:53" ht="14.1" customHeight="1" x14ac:dyDescent="0.2">
      <c r="A155" s="67">
        <v>35</v>
      </c>
      <c r="B155" s="64">
        <v>2476</v>
      </c>
      <c r="C155" s="65">
        <v>600080170</v>
      </c>
      <c r="D155" s="64">
        <v>64040364</v>
      </c>
      <c r="E155" s="66" t="s">
        <v>626</v>
      </c>
      <c r="F155" s="67">
        <v>3143</v>
      </c>
      <c r="G155" s="78" t="s">
        <v>616</v>
      </c>
      <c r="H155" s="68" t="s">
        <v>277</v>
      </c>
      <c r="I155" s="462">
        <v>4074957</v>
      </c>
      <c r="J155" s="16">
        <v>3022965</v>
      </c>
      <c r="K155" s="457">
        <v>1021762</v>
      </c>
      <c r="L155" s="457">
        <v>30230</v>
      </c>
      <c r="M155" s="16">
        <v>0</v>
      </c>
      <c r="N155" s="458">
        <v>6.07</v>
      </c>
      <c r="O155" s="13">
        <v>6.07</v>
      </c>
      <c r="P155" s="17">
        <v>0</v>
      </c>
      <c r="Q155" s="469">
        <f t="shared" si="224"/>
        <v>-6500</v>
      </c>
      <c r="R155" s="469">
        <v>0</v>
      </c>
      <c r="S155" s="460">
        <v>0</v>
      </c>
      <c r="T155" s="460">
        <v>0</v>
      </c>
      <c r="U155" s="460">
        <v>0</v>
      </c>
      <c r="V155" s="460">
        <f>SUM(Q155:U155)</f>
        <v>-6500</v>
      </c>
      <c r="W155" s="460">
        <v>6500</v>
      </c>
      <c r="X155" s="460">
        <v>0</v>
      </c>
      <c r="Y155" s="460">
        <v>0</v>
      </c>
      <c r="Z155" s="460">
        <f t="shared" si="249"/>
        <v>6500</v>
      </c>
      <c r="AA155" s="460">
        <f t="shared" si="250"/>
        <v>0</v>
      </c>
      <c r="AB155" s="69">
        <f t="shared" si="251"/>
        <v>0</v>
      </c>
      <c r="AC155" s="69">
        <f t="shared" si="252"/>
        <v>-65</v>
      </c>
      <c r="AD155" s="460">
        <v>0</v>
      </c>
      <c r="AE155" s="460">
        <v>0</v>
      </c>
      <c r="AF155" s="460">
        <f>SUM(AD155:AE155)</f>
        <v>0</v>
      </c>
      <c r="AG155" s="460">
        <f>AA155+AB155+AC155+AF155</f>
        <v>-65</v>
      </c>
      <c r="AH155" s="461">
        <v>0</v>
      </c>
      <c r="AI155" s="461">
        <v>0</v>
      </c>
      <c r="AJ155" s="461">
        <v>0</v>
      </c>
      <c r="AK155" s="461">
        <v>0</v>
      </c>
      <c r="AL155" s="461">
        <v>0</v>
      </c>
      <c r="AM155" s="461">
        <v>0</v>
      </c>
      <c r="AN155" s="461">
        <v>0</v>
      </c>
      <c r="AO155" s="461">
        <v>0</v>
      </c>
      <c r="AP155" s="461">
        <f t="shared" si="229"/>
        <v>0</v>
      </c>
      <c r="AQ155" s="461">
        <f t="shared" si="230"/>
        <v>0</v>
      </c>
      <c r="AR155" s="737">
        <f t="shared" si="231"/>
        <v>0</v>
      </c>
      <c r="AS155" s="470">
        <f t="shared" si="232"/>
        <v>4074892</v>
      </c>
      <c r="AT155" s="460">
        <f t="shared" si="233"/>
        <v>3016465</v>
      </c>
      <c r="AU155" s="460">
        <f t="shared" si="234"/>
        <v>6500</v>
      </c>
      <c r="AV155" s="460">
        <f t="shared" si="235"/>
        <v>1021762</v>
      </c>
      <c r="AW155" s="460">
        <f t="shared" si="236"/>
        <v>30165</v>
      </c>
      <c r="AX155" s="460">
        <f t="shared" si="237"/>
        <v>0</v>
      </c>
      <c r="AY155" s="461">
        <f t="shared" si="238"/>
        <v>6.07</v>
      </c>
      <c r="AZ155" s="461">
        <f t="shared" si="239"/>
        <v>6.07</v>
      </c>
      <c r="BA155" s="463">
        <f t="shared" si="240"/>
        <v>0</v>
      </c>
    </row>
    <row r="156" spans="1:53" ht="14.1" customHeight="1" x14ac:dyDescent="0.2">
      <c r="A156" s="67">
        <v>35</v>
      </c>
      <c r="B156" s="64">
        <v>2476</v>
      </c>
      <c r="C156" s="65">
        <v>600080170</v>
      </c>
      <c r="D156" s="64">
        <v>64040364</v>
      </c>
      <c r="E156" s="66" t="s">
        <v>626</v>
      </c>
      <c r="F156" s="67">
        <v>3143</v>
      </c>
      <c r="G156" s="78" t="s">
        <v>617</v>
      </c>
      <c r="H156" s="68" t="s">
        <v>278</v>
      </c>
      <c r="I156" s="462">
        <v>150998</v>
      </c>
      <c r="J156" s="673">
        <v>107890</v>
      </c>
      <c r="K156" s="457">
        <v>36467</v>
      </c>
      <c r="L156" s="457">
        <v>1079</v>
      </c>
      <c r="M156" s="673">
        <v>5562</v>
      </c>
      <c r="N156" s="458">
        <v>0.43</v>
      </c>
      <c r="O156" s="459">
        <v>0</v>
      </c>
      <c r="P156" s="717">
        <v>0.43</v>
      </c>
      <c r="Q156" s="469">
        <f t="shared" si="224"/>
        <v>-6500</v>
      </c>
      <c r="R156" s="469">
        <v>0</v>
      </c>
      <c r="S156" s="460">
        <v>0</v>
      </c>
      <c r="T156" s="460">
        <v>0</v>
      </c>
      <c r="U156" s="460">
        <v>0</v>
      </c>
      <c r="V156" s="460">
        <f>SUM(Q156:U156)</f>
        <v>-6500</v>
      </c>
      <c r="W156" s="460">
        <v>6500</v>
      </c>
      <c r="X156" s="460">
        <v>0</v>
      </c>
      <c r="Y156" s="460">
        <v>0</v>
      </c>
      <c r="Z156" s="460">
        <f t="shared" si="249"/>
        <v>6500</v>
      </c>
      <c r="AA156" s="460">
        <f t="shared" si="250"/>
        <v>0</v>
      </c>
      <c r="AB156" s="69">
        <f t="shared" si="251"/>
        <v>0</v>
      </c>
      <c r="AC156" s="69">
        <f t="shared" si="252"/>
        <v>-65</v>
      </c>
      <c r="AD156" s="460">
        <v>0</v>
      </c>
      <c r="AE156" s="460">
        <v>0</v>
      </c>
      <c r="AF156" s="460">
        <f>SUM(AD156:AE156)</f>
        <v>0</v>
      </c>
      <c r="AG156" s="460">
        <f>AA156+AB156+AC156+AF156</f>
        <v>-65</v>
      </c>
      <c r="AH156" s="461">
        <v>0</v>
      </c>
      <c r="AI156" s="461">
        <v>0</v>
      </c>
      <c r="AJ156" s="461">
        <v>0</v>
      </c>
      <c r="AK156" s="461">
        <v>0</v>
      </c>
      <c r="AL156" s="461">
        <v>0</v>
      </c>
      <c r="AM156" s="461">
        <v>0</v>
      </c>
      <c r="AN156" s="461">
        <v>0</v>
      </c>
      <c r="AO156" s="461">
        <v>0</v>
      </c>
      <c r="AP156" s="461">
        <f t="shared" si="229"/>
        <v>0</v>
      </c>
      <c r="AQ156" s="461">
        <f t="shared" si="230"/>
        <v>0</v>
      </c>
      <c r="AR156" s="737">
        <f t="shared" si="231"/>
        <v>0</v>
      </c>
      <c r="AS156" s="470">
        <f t="shared" si="232"/>
        <v>150933</v>
      </c>
      <c r="AT156" s="460">
        <f t="shared" si="233"/>
        <v>101390</v>
      </c>
      <c r="AU156" s="460">
        <f t="shared" si="234"/>
        <v>6500</v>
      </c>
      <c r="AV156" s="460">
        <f t="shared" si="235"/>
        <v>36467</v>
      </c>
      <c r="AW156" s="460">
        <f t="shared" si="236"/>
        <v>1014</v>
      </c>
      <c r="AX156" s="460">
        <f t="shared" si="237"/>
        <v>5562</v>
      </c>
      <c r="AY156" s="461">
        <f t="shared" si="238"/>
        <v>0.43</v>
      </c>
      <c r="AZ156" s="461">
        <f t="shared" si="239"/>
        <v>0</v>
      </c>
      <c r="BA156" s="463">
        <f t="shared" si="240"/>
        <v>0.43</v>
      </c>
    </row>
    <row r="157" spans="1:53" ht="14.1" customHeight="1" x14ac:dyDescent="0.2">
      <c r="A157" s="73">
        <v>35</v>
      </c>
      <c r="B157" s="70">
        <v>2476</v>
      </c>
      <c r="C157" s="71">
        <v>600080170</v>
      </c>
      <c r="D157" s="70">
        <v>64040364</v>
      </c>
      <c r="E157" s="72" t="s">
        <v>627</v>
      </c>
      <c r="F157" s="73"/>
      <c r="G157" s="72"/>
      <c r="H157" s="74"/>
      <c r="I157" s="701">
        <f t="shared" ref="I157:P157" si="253">SUM(I152:I156)</f>
        <v>47812346</v>
      </c>
      <c r="J157" s="75">
        <f t="shared" si="253"/>
        <v>34828548</v>
      </c>
      <c r="K157" s="75">
        <f t="shared" si="253"/>
        <v>11772050</v>
      </c>
      <c r="L157" s="75">
        <f t="shared" si="253"/>
        <v>348286</v>
      </c>
      <c r="M157" s="75">
        <f t="shared" si="253"/>
        <v>863462</v>
      </c>
      <c r="N157" s="76">
        <f t="shared" si="253"/>
        <v>64.137</v>
      </c>
      <c r="O157" s="76">
        <f t="shared" si="253"/>
        <v>46.296999999999997</v>
      </c>
      <c r="P157" s="77">
        <f t="shared" si="253"/>
        <v>17.84</v>
      </c>
      <c r="Q157" s="724">
        <f t="shared" ref="Q157:BA157" si="254">SUM(Q152:Q156)</f>
        <v>-52000</v>
      </c>
      <c r="R157" s="724">
        <f t="shared" si="254"/>
        <v>4128500</v>
      </c>
      <c r="S157" s="75">
        <f t="shared" si="254"/>
        <v>0</v>
      </c>
      <c r="T157" s="75">
        <f t="shared" si="254"/>
        <v>0</v>
      </c>
      <c r="U157" s="75">
        <f t="shared" si="254"/>
        <v>0</v>
      </c>
      <c r="V157" s="75">
        <f t="shared" si="254"/>
        <v>4076500</v>
      </c>
      <c r="W157" s="75">
        <f t="shared" si="254"/>
        <v>52000</v>
      </c>
      <c r="X157" s="75">
        <f t="shared" si="254"/>
        <v>0</v>
      </c>
      <c r="Y157" s="75">
        <f t="shared" si="254"/>
        <v>0</v>
      </c>
      <c r="Z157" s="75">
        <f t="shared" si="254"/>
        <v>52000</v>
      </c>
      <c r="AA157" s="75">
        <f t="shared" si="254"/>
        <v>4128500</v>
      </c>
      <c r="AB157" s="75">
        <f t="shared" si="254"/>
        <v>1395433</v>
      </c>
      <c r="AC157" s="75">
        <f t="shared" si="254"/>
        <v>40765</v>
      </c>
      <c r="AD157" s="75">
        <f t="shared" si="254"/>
        <v>500</v>
      </c>
      <c r="AE157" s="75">
        <f t="shared" si="254"/>
        <v>0</v>
      </c>
      <c r="AF157" s="75">
        <f t="shared" si="254"/>
        <v>500</v>
      </c>
      <c r="AG157" s="75">
        <f t="shared" si="254"/>
        <v>5565198</v>
      </c>
      <c r="AH157" s="76">
        <f t="shared" si="254"/>
        <v>0</v>
      </c>
      <c r="AI157" s="76">
        <f t="shared" si="254"/>
        <v>0</v>
      </c>
      <c r="AJ157" s="76">
        <f t="shared" si="254"/>
        <v>11.92</v>
      </c>
      <c r="AK157" s="76">
        <f t="shared" si="254"/>
        <v>0</v>
      </c>
      <c r="AL157" s="76">
        <f t="shared" si="254"/>
        <v>0</v>
      </c>
      <c r="AM157" s="76">
        <f t="shared" si="254"/>
        <v>0</v>
      </c>
      <c r="AN157" s="76">
        <f t="shared" si="254"/>
        <v>0</v>
      </c>
      <c r="AO157" s="76">
        <f t="shared" si="254"/>
        <v>0</v>
      </c>
      <c r="AP157" s="76">
        <f t="shared" si="254"/>
        <v>11.92</v>
      </c>
      <c r="AQ157" s="76">
        <f t="shared" si="254"/>
        <v>0</v>
      </c>
      <c r="AR157" s="720">
        <f t="shared" si="254"/>
        <v>11.92</v>
      </c>
      <c r="AS157" s="701">
        <f t="shared" si="254"/>
        <v>53377544</v>
      </c>
      <c r="AT157" s="75">
        <f t="shared" si="254"/>
        <v>38905048</v>
      </c>
      <c r="AU157" s="75">
        <f t="shared" si="254"/>
        <v>52000</v>
      </c>
      <c r="AV157" s="75">
        <f t="shared" si="254"/>
        <v>13167483</v>
      </c>
      <c r="AW157" s="75">
        <f t="shared" si="254"/>
        <v>389051</v>
      </c>
      <c r="AX157" s="75">
        <f t="shared" si="254"/>
        <v>863962</v>
      </c>
      <c r="AY157" s="76">
        <f t="shared" si="254"/>
        <v>76.057000000000016</v>
      </c>
      <c r="AZ157" s="76">
        <f t="shared" si="254"/>
        <v>58.216999999999999</v>
      </c>
      <c r="BA157" s="77">
        <f t="shared" si="254"/>
        <v>17.84</v>
      </c>
    </row>
    <row r="158" spans="1:53" ht="14.1" customHeight="1" x14ac:dyDescent="0.2">
      <c r="A158" s="67">
        <v>36</v>
      </c>
      <c r="B158" s="64">
        <v>2477</v>
      </c>
      <c r="C158" s="65">
        <v>600079872</v>
      </c>
      <c r="D158" s="64">
        <v>68975147</v>
      </c>
      <c r="E158" s="66" t="s">
        <v>628</v>
      </c>
      <c r="F158" s="67">
        <v>3113</v>
      </c>
      <c r="G158" s="66" t="s">
        <v>310</v>
      </c>
      <c r="H158" s="68" t="s">
        <v>277</v>
      </c>
      <c r="I158" s="462">
        <v>46578455</v>
      </c>
      <c r="J158" s="16">
        <v>33897663</v>
      </c>
      <c r="K158" s="457">
        <v>11457410</v>
      </c>
      <c r="L158" s="457">
        <v>338977</v>
      </c>
      <c r="M158" s="16">
        <v>884405</v>
      </c>
      <c r="N158" s="13">
        <v>56.363300000000002</v>
      </c>
      <c r="O158" s="13">
        <v>45.863300000000002</v>
      </c>
      <c r="P158" s="17">
        <v>10.5</v>
      </c>
      <c r="Q158" s="469">
        <f t="shared" si="224"/>
        <v>-65000</v>
      </c>
      <c r="R158" s="469">
        <v>0</v>
      </c>
      <c r="S158" s="460">
        <v>0</v>
      </c>
      <c r="T158" s="460">
        <v>61900</v>
      </c>
      <c r="U158" s="460">
        <v>0</v>
      </c>
      <c r="V158" s="460">
        <f>SUM(Q158:U158)</f>
        <v>-3100</v>
      </c>
      <c r="W158" s="460">
        <v>65000</v>
      </c>
      <c r="X158" s="460">
        <v>0</v>
      </c>
      <c r="Y158" s="460">
        <v>0</v>
      </c>
      <c r="Z158" s="460">
        <f t="shared" ref="Z158:Z161" si="255">SUM(W158:Y158)</f>
        <v>65000</v>
      </c>
      <c r="AA158" s="460">
        <f t="shared" ref="AA158:AA161" si="256">V158+Z158</f>
        <v>61900</v>
      </c>
      <c r="AB158" s="69">
        <f t="shared" ref="AB158:AB161" si="257">ROUND((V158+W158+X158)*33.8%,0)</f>
        <v>20922</v>
      </c>
      <c r="AC158" s="69">
        <f t="shared" ref="AC158:AC161" si="258">ROUND(V158*1%,0)</f>
        <v>-31</v>
      </c>
      <c r="AD158" s="460">
        <v>0</v>
      </c>
      <c r="AE158" s="460">
        <v>0</v>
      </c>
      <c r="AF158" s="460">
        <f>SUM(AD158:AE158)</f>
        <v>0</v>
      </c>
      <c r="AG158" s="460">
        <f>AA158+AB158+AC158+AF158</f>
        <v>82791</v>
      </c>
      <c r="AH158" s="461">
        <v>-0.02</v>
      </c>
      <c r="AI158" s="461">
        <v>-0.16</v>
      </c>
      <c r="AJ158" s="461">
        <v>0</v>
      </c>
      <c r="AK158" s="461">
        <v>0</v>
      </c>
      <c r="AL158" s="461">
        <v>0</v>
      </c>
      <c r="AM158" s="461">
        <v>0.1</v>
      </c>
      <c r="AN158" s="461">
        <v>0</v>
      </c>
      <c r="AO158" s="461">
        <v>0</v>
      </c>
      <c r="AP158" s="461">
        <f t="shared" si="229"/>
        <v>0.08</v>
      </c>
      <c r="AQ158" s="461">
        <f t="shared" si="230"/>
        <v>-0.16</v>
      </c>
      <c r="AR158" s="737">
        <f t="shared" si="231"/>
        <v>-0.08</v>
      </c>
      <c r="AS158" s="470">
        <f t="shared" si="232"/>
        <v>46661246</v>
      </c>
      <c r="AT158" s="460">
        <f t="shared" si="233"/>
        <v>33894563</v>
      </c>
      <c r="AU158" s="460">
        <f t="shared" si="234"/>
        <v>65000</v>
      </c>
      <c r="AV158" s="460">
        <f t="shared" si="235"/>
        <v>11478332</v>
      </c>
      <c r="AW158" s="460">
        <f t="shared" si="236"/>
        <v>338946</v>
      </c>
      <c r="AX158" s="460">
        <f t="shared" si="237"/>
        <v>884405</v>
      </c>
      <c r="AY158" s="461">
        <f t="shared" si="238"/>
        <v>56.283300000000004</v>
      </c>
      <c r="AZ158" s="461">
        <f t="shared" si="239"/>
        <v>45.943300000000001</v>
      </c>
      <c r="BA158" s="463">
        <f t="shared" si="240"/>
        <v>10.34</v>
      </c>
    </row>
    <row r="159" spans="1:53" ht="14.1" customHeight="1" x14ac:dyDescent="0.2">
      <c r="A159" s="67">
        <v>36</v>
      </c>
      <c r="B159" s="64">
        <v>2477</v>
      </c>
      <c r="C159" s="65">
        <v>600079872</v>
      </c>
      <c r="D159" s="64">
        <v>68975147</v>
      </c>
      <c r="E159" s="66" t="s">
        <v>628</v>
      </c>
      <c r="F159" s="67">
        <v>3113</v>
      </c>
      <c r="G159" s="78" t="s">
        <v>308</v>
      </c>
      <c r="H159" s="68" t="s">
        <v>278</v>
      </c>
      <c r="I159" s="462">
        <v>0</v>
      </c>
      <c r="J159" s="457">
        <v>0</v>
      </c>
      <c r="K159" s="457">
        <v>0</v>
      </c>
      <c r="L159" s="457">
        <v>0</v>
      </c>
      <c r="M159" s="457">
        <v>0</v>
      </c>
      <c r="N159" s="458">
        <v>0</v>
      </c>
      <c r="O159" s="459">
        <v>0</v>
      </c>
      <c r="P159" s="646">
        <v>0</v>
      </c>
      <c r="Q159" s="469">
        <f t="shared" si="224"/>
        <v>0</v>
      </c>
      <c r="R159" s="469">
        <v>3214958</v>
      </c>
      <c r="S159" s="460">
        <v>0</v>
      </c>
      <c r="T159" s="460">
        <v>0</v>
      </c>
      <c r="U159" s="460">
        <v>0</v>
      </c>
      <c r="V159" s="460">
        <f>SUM(Q159:U159)</f>
        <v>3214958</v>
      </c>
      <c r="W159" s="460">
        <v>0</v>
      </c>
      <c r="X159" s="460">
        <v>0</v>
      </c>
      <c r="Y159" s="460">
        <v>0</v>
      </c>
      <c r="Z159" s="460">
        <f t="shared" si="255"/>
        <v>0</v>
      </c>
      <c r="AA159" s="460">
        <f t="shared" si="256"/>
        <v>3214958</v>
      </c>
      <c r="AB159" s="69">
        <f t="shared" si="257"/>
        <v>1086656</v>
      </c>
      <c r="AC159" s="69">
        <f t="shared" si="258"/>
        <v>32150</v>
      </c>
      <c r="AD159" s="460">
        <v>4700</v>
      </c>
      <c r="AE159" s="460">
        <v>0</v>
      </c>
      <c r="AF159" s="460">
        <f>SUM(AD159:AE159)</f>
        <v>4700</v>
      </c>
      <c r="AG159" s="460">
        <f>AA159+AB159+AC159+AF159</f>
        <v>4338464</v>
      </c>
      <c r="AH159" s="461">
        <v>0</v>
      </c>
      <c r="AI159" s="461">
        <v>0</v>
      </c>
      <c r="AJ159" s="461">
        <v>8.9600000000000009</v>
      </c>
      <c r="AK159" s="461">
        <v>0</v>
      </c>
      <c r="AL159" s="461">
        <v>0</v>
      </c>
      <c r="AM159" s="461">
        <v>0</v>
      </c>
      <c r="AN159" s="461">
        <v>0</v>
      </c>
      <c r="AO159" s="461">
        <v>0</v>
      </c>
      <c r="AP159" s="461">
        <f t="shared" si="229"/>
        <v>8.9600000000000009</v>
      </c>
      <c r="AQ159" s="461">
        <f t="shared" si="230"/>
        <v>0</v>
      </c>
      <c r="AR159" s="737">
        <f t="shared" si="231"/>
        <v>8.9600000000000009</v>
      </c>
      <c r="AS159" s="470">
        <f t="shared" si="232"/>
        <v>4338464</v>
      </c>
      <c r="AT159" s="460">
        <f t="shared" si="233"/>
        <v>3214958</v>
      </c>
      <c r="AU159" s="460">
        <f t="shared" si="234"/>
        <v>0</v>
      </c>
      <c r="AV159" s="460">
        <f t="shared" si="235"/>
        <v>1086656</v>
      </c>
      <c r="AW159" s="460">
        <f t="shared" si="236"/>
        <v>32150</v>
      </c>
      <c r="AX159" s="460">
        <f t="shared" si="237"/>
        <v>4700</v>
      </c>
      <c r="AY159" s="461">
        <f t="shared" si="238"/>
        <v>8.9600000000000009</v>
      </c>
      <c r="AZ159" s="461">
        <f t="shared" si="239"/>
        <v>8.9600000000000009</v>
      </c>
      <c r="BA159" s="463">
        <f t="shared" si="240"/>
        <v>0</v>
      </c>
    </row>
    <row r="160" spans="1:53" ht="14.1" customHeight="1" x14ac:dyDescent="0.2">
      <c r="A160" s="67">
        <v>36</v>
      </c>
      <c r="B160" s="64">
        <v>2477</v>
      </c>
      <c r="C160" s="65">
        <v>600079872</v>
      </c>
      <c r="D160" s="64">
        <v>68975147</v>
      </c>
      <c r="E160" s="66" t="s">
        <v>628</v>
      </c>
      <c r="F160" s="67">
        <v>3143</v>
      </c>
      <c r="G160" s="78" t="s">
        <v>616</v>
      </c>
      <c r="H160" s="68" t="s">
        <v>277</v>
      </c>
      <c r="I160" s="462">
        <v>4263066</v>
      </c>
      <c r="J160" s="16">
        <v>3162512</v>
      </c>
      <c r="K160" s="457">
        <v>1068929</v>
      </c>
      <c r="L160" s="457">
        <v>31625</v>
      </c>
      <c r="M160" s="16">
        <v>0</v>
      </c>
      <c r="N160" s="458">
        <v>6.1570999999999998</v>
      </c>
      <c r="O160" s="13">
        <v>6.1570999999999998</v>
      </c>
      <c r="P160" s="17">
        <v>0</v>
      </c>
      <c r="Q160" s="469">
        <f t="shared" si="224"/>
        <v>0</v>
      </c>
      <c r="R160" s="469">
        <v>0</v>
      </c>
      <c r="S160" s="460">
        <v>0</v>
      </c>
      <c r="T160" s="460">
        <v>0</v>
      </c>
      <c r="U160" s="460">
        <v>0</v>
      </c>
      <c r="V160" s="460">
        <f>SUM(Q160:U160)</f>
        <v>0</v>
      </c>
      <c r="W160" s="460">
        <v>0</v>
      </c>
      <c r="X160" s="460">
        <v>0</v>
      </c>
      <c r="Y160" s="460">
        <v>0</v>
      </c>
      <c r="Z160" s="460">
        <f t="shared" si="255"/>
        <v>0</v>
      </c>
      <c r="AA160" s="460">
        <f t="shared" si="256"/>
        <v>0</v>
      </c>
      <c r="AB160" s="69">
        <f t="shared" si="257"/>
        <v>0</v>
      </c>
      <c r="AC160" s="69">
        <f t="shared" si="258"/>
        <v>0</v>
      </c>
      <c r="AD160" s="460">
        <v>0</v>
      </c>
      <c r="AE160" s="460">
        <v>0</v>
      </c>
      <c r="AF160" s="460">
        <f>SUM(AD160:AE160)</f>
        <v>0</v>
      </c>
      <c r="AG160" s="460">
        <f>AA160+AB160+AC160+AF160</f>
        <v>0</v>
      </c>
      <c r="AH160" s="461">
        <v>0</v>
      </c>
      <c r="AI160" s="461">
        <v>0</v>
      </c>
      <c r="AJ160" s="461">
        <v>0</v>
      </c>
      <c r="AK160" s="461">
        <v>0</v>
      </c>
      <c r="AL160" s="461">
        <v>0</v>
      </c>
      <c r="AM160" s="461">
        <v>0</v>
      </c>
      <c r="AN160" s="461">
        <v>0</v>
      </c>
      <c r="AO160" s="461">
        <v>0</v>
      </c>
      <c r="AP160" s="461">
        <f t="shared" si="229"/>
        <v>0</v>
      </c>
      <c r="AQ160" s="461">
        <f t="shared" si="230"/>
        <v>0</v>
      </c>
      <c r="AR160" s="737">
        <f t="shared" si="231"/>
        <v>0</v>
      </c>
      <c r="AS160" s="470">
        <f t="shared" si="232"/>
        <v>4263066</v>
      </c>
      <c r="AT160" s="460">
        <f t="shared" si="233"/>
        <v>3162512</v>
      </c>
      <c r="AU160" s="460">
        <f t="shared" si="234"/>
        <v>0</v>
      </c>
      <c r="AV160" s="460">
        <f t="shared" si="235"/>
        <v>1068929</v>
      </c>
      <c r="AW160" s="460">
        <f t="shared" si="236"/>
        <v>31625</v>
      </c>
      <c r="AX160" s="460">
        <f t="shared" si="237"/>
        <v>0</v>
      </c>
      <c r="AY160" s="461">
        <f t="shared" si="238"/>
        <v>6.1570999999999998</v>
      </c>
      <c r="AZ160" s="461">
        <f t="shared" si="239"/>
        <v>6.1570999999999998</v>
      </c>
      <c r="BA160" s="463">
        <f t="shared" si="240"/>
        <v>0</v>
      </c>
    </row>
    <row r="161" spans="1:53" ht="14.1" customHeight="1" x14ac:dyDescent="0.2">
      <c r="A161" s="67">
        <v>36</v>
      </c>
      <c r="B161" s="64">
        <v>2477</v>
      </c>
      <c r="C161" s="65">
        <v>600079872</v>
      </c>
      <c r="D161" s="64">
        <v>68975147</v>
      </c>
      <c r="E161" s="66" t="s">
        <v>628</v>
      </c>
      <c r="F161" s="67">
        <v>3143</v>
      </c>
      <c r="G161" s="78" t="s">
        <v>617</v>
      </c>
      <c r="H161" s="68" t="s">
        <v>278</v>
      </c>
      <c r="I161" s="462">
        <v>149532</v>
      </c>
      <c r="J161" s="673">
        <v>106843</v>
      </c>
      <c r="K161" s="457">
        <v>36113</v>
      </c>
      <c r="L161" s="457">
        <v>1068</v>
      </c>
      <c r="M161" s="673">
        <v>5508</v>
      </c>
      <c r="N161" s="458">
        <v>0.43</v>
      </c>
      <c r="O161" s="459">
        <v>0</v>
      </c>
      <c r="P161" s="717">
        <v>0.43</v>
      </c>
      <c r="Q161" s="469">
        <f t="shared" si="224"/>
        <v>0</v>
      </c>
      <c r="R161" s="469">
        <v>0</v>
      </c>
      <c r="S161" s="460">
        <v>0</v>
      </c>
      <c r="T161" s="460">
        <v>0</v>
      </c>
      <c r="U161" s="460">
        <v>0</v>
      </c>
      <c r="V161" s="460">
        <f>SUM(Q161:U161)</f>
        <v>0</v>
      </c>
      <c r="W161" s="460">
        <v>0</v>
      </c>
      <c r="X161" s="460">
        <v>0</v>
      </c>
      <c r="Y161" s="460">
        <v>0</v>
      </c>
      <c r="Z161" s="460">
        <f t="shared" si="255"/>
        <v>0</v>
      </c>
      <c r="AA161" s="460">
        <f t="shared" si="256"/>
        <v>0</v>
      </c>
      <c r="AB161" s="69">
        <f t="shared" si="257"/>
        <v>0</v>
      </c>
      <c r="AC161" s="69">
        <f t="shared" si="258"/>
        <v>0</v>
      </c>
      <c r="AD161" s="460">
        <v>0</v>
      </c>
      <c r="AE161" s="460">
        <v>0</v>
      </c>
      <c r="AF161" s="460">
        <f>SUM(AD161:AE161)</f>
        <v>0</v>
      </c>
      <c r="AG161" s="460">
        <f>AA161+AB161+AC161+AF161</f>
        <v>0</v>
      </c>
      <c r="AH161" s="461">
        <v>0</v>
      </c>
      <c r="AI161" s="461">
        <v>0</v>
      </c>
      <c r="AJ161" s="461">
        <v>0</v>
      </c>
      <c r="AK161" s="461">
        <v>0</v>
      </c>
      <c r="AL161" s="461">
        <v>0</v>
      </c>
      <c r="AM161" s="461">
        <v>0</v>
      </c>
      <c r="AN161" s="461">
        <v>0</v>
      </c>
      <c r="AO161" s="461">
        <v>0</v>
      </c>
      <c r="AP161" s="461">
        <f t="shared" si="229"/>
        <v>0</v>
      </c>
      <c r="AQ161" s="461">
        <f t="shared" si="230"/>
        <v>0</v>
      </c>
      <c r="AR161" s="737">
        <f t="shared" si="231"/>
        <v>0</v>
      </c>
      <c r="AS161" s="470">
        <f t="shared" si="232"/>
        <v>149532</v>
      </c>
      <c r="AT161" s="460">
        <f t="shared" si="233"/>
        <v>106843</v>
      </c>
      <c r="AU161" s="460">
        <f t="shared" si="234"/>
        <v>0</v>
      </c>
      <c r="AV161" s="460">
        <f t="shared" si="235"/>
        <v>36113</v>
      </c>
      <c r="AW161" s="460">
        <f t="shared" si="236"/>
        <v>1068</v>
      </c>
      <c r="AX161" s="460">
        <f t="shared" si="237"/>
        <v>5508</v>
      </c>
      <c r="AY161" s="461">
        <f t="shared" si="238"/>
        <v>0.43</v>
      </c>
      <c r="AZ161" s="461">
        <f t="shared" si="239"/>
        <v>0</v>
      </c>
      <c r="BA161" s="463">
        <f t="shared" si="240"/>
        <v>0.43</v>
      </c>
    </row>
    <row r="162" spans="1:53" ht="14.1" customHeight="1" x14ac:dyDescent="0.2">
      <c r="A162" s="73">
        <v>36</v>
      </c>
      <c r="B162" s="70">
        <v>2477</v>
      </c>
      <c r="C162" s="71">
        <v>600079872</v>
      </c>
      <c r="D162" s="70">
        <v>68975147</v>
      </c>
      <c r="E162" s="72" t="s">
        <v>629</v>
      </c>
      <c r="F162" s="73"/>
      <c r="G162" s="72"/>
      <c r="H162" s="74"/>
      <c r="I162" s="701">
        <f t="shared" ref="I162:P162" si="259">SUM(I158:I161)</f>
        <v>50991053</v>
      </c>
      <c r="J162" s="75">
        <f t="shared" si="259"/>
        <v>37167018</v>
      </c>
      <c r="K162" s="75">
        <f t="shared" si="259"/>
        <v>12562452</v>
      </c>
      <c r="L162" s="75">
        <f t="shared" si="259"/>
        <v>371670</v>
      </c>
      <c r="M162" s="75">
        <f t="shared" si="259"/>
        <v>889913</v>
      </c>
      <c r="N162" s="76">
        <f t="shared" si="259"/>
        <v>62.950400000000002</v>
      </c>
      <c r="O162" s="76">
        <f t="shared" si="259"/>
        <v>52.020400000000002</v>
      </c>
      <c r="P162" s="77">
        <f t="shared" si="259"/>
        <v>10.93</v>
      </c>
      <c r="Q162" s="724">
        <f t="shared" ref="Q162:BA162" si="260">SUM(Q158:Q161)</f>
        <v>-65000</v>
      </c>
      <c r="R162" s="724">
        <f t="shared" si="260"/>
        <v>3214958</v>
      </c>
      <c r="S162" s="75">
        <f t="shared" si="260"/>
        <v>0</v>
      </c>
      <c r="T162" s="75">
        <f t="shared" si="260"/>
        <v>61900</v>
      </c>
      <c r="U162" s="75">
        <f t="shared" si="260"/>
        <v>0</v>
      </c>
      <c r="V162" s="75">
        <f t="shared" si="260"/>
        <v>3211858</v>
      </c>
      <c r="W162" s="75">
        <f t="shared" si="260"/>
        <v>65000</v>
      </c>
      <c r="X162" s="75">
        <f t="shared" si="260"/>
        <v>0</v>
      </c>
      <c r="Y162" s="75">
        <f t="shared" si="260"/>
        <v>0</v>
      </c>
      <c r="Z162" s="75">
        <f t="shared" si="260"/>
        <v>65000</v>
      </c>
      <c r="AA162" s="75">
        <f t="shared" si="260"/>
        <v>3276858</v>
      </c>
      <c r="AB162" s="75">
        <f t="shared" si="260"/>
        <v>1107578</v>
      </c>
      <c r="AC162" s="75">
        <f t="shared" si="260"/>
        <v>32119</v>
      </c>
      <c r="AD162" s="75">
        <f t="shared" si="260"/>
        <v>4700</v>
      </c>
      <c r="AE162" s="75">
        <f t="shared" si="260"/>
        <v>0</v>
      </c>
      <c r="AF162" s="75">
        <f t="shared" si="260"/>
        <v>4700</v>
      </c>
      <c r="AG162" s="75">
        <f t="shared" si="260"/>
        <v>4421255</v>
      </c>
      <c r="AH162" s="76">
        <f t="shared" si="260"/>
        <v>-0.02</v>
      </c>
      <c r="AI162" s="76">
        <f t="shared" si="260"/>
        <v>-0.16</v>
      </c>
      <c r="AJ162" s="76">
        <f t="shared" si="260"/>
        <v>8.9600000000000009</v>
      </c>
      <c r="AK162" s="76">
        <f t="shared" si="260"/>
        <v>0</v>
      </c>
      <c r="AL162" s="76">
        <f t="shared" si="260"/>
        <v>0</v>
      </c>
      <c r="AM162" s="76">
        <f t="shared" si="260"/>
        <v>0.1</v>
      </c>
      <c r="AN162" s="76">
        <f t="shared" si="260"/>
        <v>0</v>
      </c>
      <c r="AO162" s="76">
        <f t="shared" si="260"/>
        <v>0</v>
      </c>
      <c r="AP162" s="76">
        <f t="shared" si="260"/>
        <v>9.0400000000000009</v>
      </c>
      <c r="AQ162" s="76">
        <f t="shared" si="260"/>
        <v>-0.16</v>
      </c>
      <c r="AR162" s="720">
        <f t="shared" si="260"/>
        <v>8.8800000000000008</v>
      </c>
      <c r="AS162" s="701">
        <f t="shared" si="260"/>
        <v>55412308</v>
      </c>
      <c r="AT162" s="75">
        <f t="shared" si="260"/>
        <v>40378876</v>
      </c>
      <c r="AU162" s="75">
        <f t="shared" si="260"/>
        <v>65000</v>
      </c>
      <c r="AV162" s="75">
        <f t="shared" si="260"/>
        <v>13670030</v>
      </c>
      <c r="AW162" s="75">
        <f t="shared" si="260"/>
        <v>403789</v>
      </c>
      <c r="AX162" s="75">
        <f t="shared" si="260"/>
        <v>894613</v>
      </c>
      <c r="AY162" s="76">
        <f t="shared" si="260"/>
        <v>71.830400000000012</v>
      </c>
      <c r="AZ162" s="76">
        <f t="shared" si="260"/>
        <v>61.060400000000001</v>
      </c>
      <c r="BA162" s="77">
        <f t="shared" si="260"/>
        <v>10.77</v>
      </c>
    </row>
    <row r="163" spans="1:53" ht="14.1" customHeight="1" x14ac:dyDescent="0.2">
      <c r="A163" s="67">
        <v>37</v>
      </c>
      <c r="B163" s="64">
        <v>2470</v>
      </c>
      <c r="C163" s="65">
        <v>600080013</v>
      </c>
      <c r="D163" s="64">
        <v>72741554</v>
      </c>
      <c r="E163" s="66" t="s">
        <v>630</v>
      </c>
      <c r="F163" s="67">
        <v>3113</v>
      </c>
      <c r="G163" s="66" t="s">
        <v>310</v>
      </c>
      <c r="H163" s="68" t="s">
        <v>277</v>
      </c>
      <c r="I163" s="462">
        <v>39454480</v>
      </c>
      <c r="J163" s="16">
        <v>28745920</v>
      </c>
      <c r="K163" s="457">
        <v>9716121</v>
      </c>
      <c r="L163" s="457">
        <v>287459</v>
      </c>
      <c r="M163" s="16">
        <v>704980</v>
      </c>
      <c r="N163" s="13">
        <v>43.576999999999998</v>
      </c>
      <c r="O163" s="13">
        <v>36.226999999999997</v>
      </c>
      <c r="P163" s="17">
        <v>7.35</v>
      </c>
      <c r="Q163" s="469">
        <f t="shared" si="224"/>
        <v>-162500</v>
      </c>
      <c r="R163" s="469">
        <v>0</v>
      </c>
      <c r="S163" s="460">
        <v>0</v>
      </c>
      <c r="T163" s="460">
        <v>71185</v>
      </c>
      <c r="U163" s="460">
        <v>0</v>
      </c>
      <c r="V163" s="460">
        <f>SUM(Q163:U163)</f>
        <v>-91315</v>
      </c>
      <c r="W163" s="460">
        <v>162500</v>
      </c>
      <c r="X163" s="460">
        <v>0</v>
      </c>
      <c r="Y163" s="460">
        <v>0</v>
      </c>
      <c r="Z163" s="460">
        <f t="shared" ref="Z163:Z167" si="261">SUM(W163:Y163)</f>
        <v>162500</v>
      </c>
      <c r="AA163" s="460">
        <f t="shared" ref="AA163:AA167" si="262">V163+Z163</f>
        <v>71185</v>
      </c>
      <c r="AB163" s="69">
        <f t="shared" ref="AB163:AB167" si="263">ROUND((V163+W163+X163)*33.8%,0)</f>
        <v>24061</v>
      </c>
      <c r="AC163" s="69">
        <f t="shared" ref="AC163:AC167" si="264">ROUND(V163*1%,0)</f>
        <v>-913</v>
      </c>
      <c r="AD163" s="460">
        <v>0</v>
      </c>
      <c r="AE163" s="460">
        <v>0</v>
      </c>
      <c r="AF163" s="460">
        <f>SUM(AD163:AE163)</f>
        <v>0</v>
      </c>
      <c r="AG163" s="460">
        <f>AA163+AB163+AC163+AF163</f>
        <v>94333</v>
      </c>
      <c r="AH163" s="461">
        <v>-0.13</v>
      </c>
      <c r="AI163" s="461">
        <v>-0.21</v>
      </c>
      <c r="AJ163" s="461">
        <v>0</v>
      </c>
      <c r="AK163" s="461">
        <v>0</v>
      </c>
      <c r="AL163" s="461">
        <v>0</v>
      </c>
      <c r="AM163" s="461">
        <v>0.11</v>
      </c>
      <c r="AN163" s="461">
        <v>0</v>
      </c>
      <c r="AO163" s="461">
        <v>0</v>
      </c>
      <c r="AP163" s="461">
        <f t="shared" si="229"/>
        <v>-2.0000000000000004E-2</v>
      </c>
      <c r="AQ163" s="461">
        <f t="shared" si="230"/>
        <v>-0.21</v>
      </c>
      <c r="AR163" s="737">
        <f t="shared" si="231"/>
        <v>-0.22999999999999998</v>
      </c>
      <c r="AS163" s="470">
        <f t="shared" si="232"/>
        <v>39548813</v>
      </c>
      <c r="AT163" s="460">
        <f t="shared" si="233"/>
        <v>28654605</v>
      </c>
      <c r="AU163" s="460">
        <f t="shared" si="234"/>
        <v>162500</v>
      </c>
      <c r="AV163" s="460">
        <f t="shared" si="235"/>
        <v>9740182</v>
      </c>
      <c r="AW163" s="460">
        <f t="shared" si="236"/>
        <v>286546</v>
      </c>
      <c r="AX163" s="460">
        <f t="shared" si="237"/>
        <v>704980</v>
      </c>
      <c r="AY163" s="461">
        <f t="shared" si="238"/>
        <v>43.347000000000001</v>
      </c>
      <c r="AZ163" s="461">
        <f t="shared" si="239"/>
        <v>36.206999999999994</v>
      </c>
      <c r="BA163" s="463">
        <f t="shared" si="240"/>
        <v>7.14</v>
      </c>
    </row>
    <row r="164" spans="1:53" ht="14.1" customHeight="1" x14ac:dyDescent="0.2">
      <c r="A164" s="67">
        <v>37</v>
      </c>
      <c r="B164" s="64">
        <v>2470</v>
      </c>
      <c r="C164" s="65">
        <v>600080013</v>
      </c>
      <c r="D164" s="64">
        <v>72741554</v>
      </c>
      <c r="E164" s="66" t="s">
        <v>630</v>
      </c>
      <c r="F164" s="67">
        <v>3113</v>
      </c>
      <c r="G164" s="78" t="s">
        <v>308</v>
      </c>
      <c r="H164" s="68" t="s">
        <v>278</v>
      </c>
      <c r="I164" s="462">
        <v>0</v>
      </c>
      <c r="J164" s="457">
        <v>0</v>
      </c>
      <c r="K164" s="457">
        <v>0</v>
      </c>
      <c r="L164" s="457">
        <v>0</v>
      </c>
      <c r="M164" s="457">
        <v>0</v>
      </c>
      <c r="N164" s="458">
        <v>0</v>
      </c>
      <c r="O164" s="459">
        <v>0</v>
      </c>
      <c r="P164" s="646">
        <v>0</v>
      </c>
      <c r="Q164" s="469">
        <f t="shared" si="224"/>
        <v>0</v>
      </c>
      <c r="R164" s="469">
        <v>827626</v>
      </c>
      <c r="S164" s="460">
        <v>0</v>
      </c>
      <c r="T164" s="460">
        <v>0</v>
      </c>
      <c r="U164" s="460">
        <v>0</v>
      </c>
      <c r="V164" s="460">
        <f>SUM(Q164:U164)</f>
        <v>827626</v>
      </c>
      <c r="W164" s="460">
        <v>0</v>
      </c>
      <c r="X164" s="460">
        <v>0</v>
      </c>
      <c r="Y164" s="460">
        <v>0</v>
      </c>
      <c r="Z164" s="460">
        <f t="shared" si="261"/>
        <v>0</v>
      </c>
      <c r="AA164" s="460">
        <f t="shared" si="262"/>
        <v>827626</v>
      </c>
      <c r="AB164" s="69">
        <f t="shared" si="263"/>
        <v>279738</v>
      </c>
      <c r="AC164" s="69">
        <f t="shared" si="264"/>
        <v>8276</v>
      </c>
      <c r="AD164" s="460">
        <v>1500</v>
      </c>
      <c r="AE164" s="460">
        <v>0</v>
      </c>
      <c r="AF164" s="460">
        <f>SUM(AD164:AE164)</f>
        <v>1500</v>
      </c>
      <c r="AG164" s="460">
        <f>AA164+AB164+AC164+AF164</f>
        <v>1117140</v>
      </c>
      <c r="AH164" s="461">
        <v>0</v>
      </c>
      <c r="AI164" s="461">
        <v>0</v>
      </c>
      <c r="AJ164" s="461">
        <v>2.39</v>
      </c>
      <c r="AK164" s="461">
        <v>0</v>
      </c>
      <c r="AL164" s="461">
        <v>0</v>
      </c>
      <c r="AM164" s="461">
        <v>0</v>
      </c>
      <c r="AN164" s="461">
        <v>0</v>
      </c>
      <c r="AO164" s="461">
        <v>0</v>
      </c>
      <c r="AP164" s="461">
        <f t="shared" si="229"/>
        <v>2.39</v>
      </c>
      <c r="AQ164" s="461">
        <f t="shared" si="230"/>
        <v>0</v>
      </c>
      <c r="AR164" s="737">
        <f t="shared" si="231"/>
        <v>2.39</v>
      </c>
      <c r="AS164" s="470">
        <f t="shared" si="232"/>
        <v>1117140</v>
      </c>
      <c r="AT164" s="460">
        <f t="shared" si="233"/>
        <v>827626</v>
      </c>
      <c r="AU164" s="460">
        <f t="shared" si="234"/>
        <v>0</v>
      </c>
      <c r="AV164" s="460">
        <f t="shared" si="235"/>
        <v>279738</v>
      </c>
      <c r="AW164" s="460">
        <f t="shared" si="236"/>
        <v>8276</v>
      </c>
      <c r="AX164" s="460">
        <f t="shared" si="237"/>
        <v>1500</v>
      </c>
      <c r="AY164" s="461">
        <f t="shared" si="238"/>
        <v>2.39</v>
      </c>
      <c r="AZ164" s="461">
        <f t="shared" si="239"/>
        <v>2.39</v>
      </c>
      <c r="BA164" s="463">
        <f t="shared" si="240"/>
        <v>0</v>
      </c>
    </row>
    <row r="165" spans="1:53" ht="14.1" customHeight="1" x14ac:dyDescent="0.2">
      <c r="A165" s="67">
        <v>37</v>
      </c>
      <c r="B165" s="64">
        <v>2470</v>
      </c>
      <c r="C165" s="65">
        <v>600080013</v>
      </c>
      <c r="D165" s="64">
        <v>72741554</v>
      </c>
      <c r="E165" s="66" t="s">
        <v>630</v>
      </c>
      <c r="F165" s="67">
        <v>3141</v>
      </c>
      <c r="G165" s="78" t="s">
        <v>311</v>
      </c>
      <c r="H165" s="68" t="s">
        <v>278</v>
      </c>
      <c r="I165" s="462">
        <v>3233523</v>
      </c>
      <c r="J165" s="728">
        <v>2377347</v>
      </c>
      <c r="K165" s="457">
        <v>803543</v>
      </c>
      <c r="L165" s="457">
        <v>23773</v>
      </c>
      <c r="M165" s="728">
        <v>28860</v>
      </c>
      <c r="N165" s="458">
        <v>7.64</v>
      </c>
      <c r="O165" s="459">
        <v>0</v>
      </c>
      <c r="P165" s="646">
        <v>7.64</v>
      </c>
      <c r="Q165" s="469">
        <f t="shared" si="224"/>
        <v>-110500</v>
      </c>
      <c r="R165" s="469">
        <v>0</v>
      </c>
      <c r="S165" s="460">
        <v>0</v>
      </c>
      <c r="T165" s="460">
        <v>0</v>
      </c>
      <c r="U165" s="460">
        <v>0</v>
      </c>
      <c r="V165" s="460">
        <f>SUM(Q165:U165)</f>
        <v>-110500</v>
      </c>
      <c r="W165" s="460">
        <v>110500</v>
      </c>
      <c r="X165" s="460">
        <v>0</v>
      </c>
      <c r="Y165" s="460">
        <v>0</v>
      </c>
      <c r="Z165" s="460">
        <f t="shared" si="261"/>
        <v>110500</v>
      </c>
      <c r="AA165" s="460">
        <f t="shared" si="262"/>
        <v>0</v>
      </c>
      <c r="AB165" s="69">
        <f t="shared" si="263"/>
        <v>0</v>
      </c>
      <c r="AC165" s="69">
        <f t="shared" si="264"/>
        <v>-1105</v>
      </c>
      <c r="AD165" s="460">
        <v>0</v>
      </c>
      <c r="AE165" s="460">
        <v>0</v>
      </c>
      <c r="AF165" s="460">
        <f>SUM(AD165:AE165)</f>
        <v>0</v>
      </c>
      <c r="AG165" s="460">
        <f>AA165+AB165+AC165+AF165</f>
        <v>-1105</v>
      </c>
      <c r="AH165" s="461">
        <v>0</v>
      </c>
      <c r="AI165" s="461">
        <v>-0.31</v>
      </c>
      <c r="AJ165" s="461">
        <v>0</v>
      </c>
      <c r="AK165" s="461">
        <v>0</v>
      </c>
      <c r="AL165" s="461">
        <v>0</v>
      </c>
      <c r="AM165" s="461">
        <v>0</v>
      </c>
      <c r="AN165" s="461">
        <v>0</v>
      </c>
      <c r="AO165" s="461">
        <v>0</v>
      </c>
      <c r="AP165" s="461">
        <f t="shared" si="229"/>
        <v>0</v>
      </c>
      <c r="AQ165" s="461">
        <f t="shared" si="230"/>
        <v>-0.31</v>
      </c>
      <c r="AR165" s="737">
        <f t="shared" si="231"/>
        <v>-0.31</v>
      </c>
      <c r="AS165" s="470">
        <f t="shared" si="232"/>
        <v>3232418</v>
      </c>
      <c r="AT165" s="460">
        <f t="shared" si="233"/>
        <v>2266847</v>
      </c>
      <c r="AU165" s="460">
        <f t="shared" si="234"/>
        <v>110500</v>
      </c>
      <c r="AV165" s="460">
        <f t="shared" si="235"/>
        <v>803543</v>
      </c>
      <c r="AW165" s="460">
        <f t="shared" si="236"/>
        <v>22668</v>
      </c>
      <c r="AX165" s="460">
        <f t="shared" si="237"/>
        <v>28860</v>
      </c>
      <c r="AY165" s="461">
        <f t="shared" si="238"/>
        <v>7.33</v>
      </c>
      <c r="AZ165" s="461">
        <f t="shared" si="239"/>
        <v>0</v>
      </c>
      <c r="BA165" s="463">
        <f t="shared" si="240"/>
        <v>7.33</v>
      </c>
    </row>
    <row r="166" spans="1:53" ht="14.1" customHeight="1" x14ac:dyDescent="0.2">
      <c r="A166" s="67">
        <v>37</v>
      </c>
      <c r="B166" s="64">
        <v>2470</v>
      </c>
      <c r="C166" s="65">
        <v>600080013</v>
      </c>
      <c r="D166" s="64">
        <v>72741554</v>
      </c>
      <c r="E166" s="66" t="s">
        <v>630</v>
      </c>
      <c r="F166" s="67">
        <v>3143</v>
      </c>
      <c r="G166" s="78" t="s">
        <v>616</v>
      </c>
      <c r="H166" s="68" t="s">
        <v>277</v>
      </c>
      <c r="I166" s="462">
        <v>3918198</v>
      </c>
      <c r="J166" s="16">
        <v>2906675</v>
      </c>
      <c r="K166" s="457">
        <v>982456</v>
      </c>
      <c r="L166" s="457">
        <v>29067</v>
      </c>
      <c r="M166" s="16">
        <v>0</v>
      </c>
      <c r="N166" s="458">
        <v>6.3391000000000002</v>
      </c>
      <c r="O166" s="13">
        <v>6.3391000000000002</v>
      </c>
      <c r="P166" s="17">
        <v>0</v>
      </c>
      <c r="Q166" s="469">
        <f t="shared" si="224"/>
        <v>-19500</v>
      </c>
      <c r="R166" s="469">
        <v>0</v>
      </c>
      <c r="S166" s="460">
        <v>0</v>
      </c>
      <c r="T166" s="460">
        <v>0</v>
      </c>
      <c r="U166" s="460">
        <v>0</v>
      </c>
      <c r="V166" s="460">
        <f>SUM(Q166:U166)</f>
        <v>-19500</v>
      </c>
      <c r="W166" s="460">
        <v>19500</v>
      </c>
      <c r="X166" s="460">
        <v>0</v>
      </c>
      <c r="Y166" s="460">
        <v>0</v>
      </c>
      <c r="Z166" s="460">
        <f t="shared" si="261"/>
        <v>19500</v>
      </c>
      <c r="AA166" s="460">
        <f t="shared" si="262"/>
        <v>0</v>
      </c>
      <c r="AB166" s="69">
        <f t="shared" si="263"/>
        <v>0</v>
      </c>
      <c r="AC166" s="69">
        <f t="shared" si="264"/>
        <v>-195</v>
      </c>
      <c r="AD166" s="460">
        <v>0</v>
      </c>
      <c r="AE166" s="460">
        <v>0</v>
      </c>
      <c r="AF166" s="460">
        <f>SUM(AD166:AE166)</f>
        <v>0</v>
      </c>
      <c r="AG166" s="460">
        <f>AA166+AB166+AC166+AF166</f>
        <v>-195</v>
      </c>
      <c r="AH166" s="461">
        <v>-0.01</v>
      </c>
      <c r="AI166" s="461">
        <v>0</v>
      </c>
      <c r="AJ166" s="461">
        <v>0</v>
      </c>
      <c r="AK166" s="461">
        <v>0</v>
      </c>
      <c r="AL166" s="461">
        <v>0</v>
      </c>
      <c r="AM166" s="461">
        <v>0</v>
      </c>
      <c r="AN166" s="461">
        <v>0</v>
      </c>
      <c r="AO166" s="461">
        <v>0</v>
      </c>
      <c r="AP166" s="461">
        <f t="shared" si="229"/>
        <v>-0.01</v>
      </c>
      <c r="AQ166" s="461">
        <f t="shared" si="230"/>
        <v>0</v>
      </c>
      <c r="AR166" s="737">
        <f t="shared" si="231"/>
        <v>-0.01</v>
      </c>
      <c r="AS166" s="470">
        <f t="shared" si="232"/>
        <v>3918003</v>
      </c>
      <c r="AT166" s="460">
        <f t="shared" si="233"/>
        <v>2887175</v>
      </c>
      <c r="AU166" s="460">
        <f t="shared" si="234"/>
        <v>19500</v>
      </c>
      <c r="AV166" s="460">
        <f t="shared" si="235"/>
        <v>982456</v>
      </c>
      <c r="AW166" s="460">
        <f t="shared" si="236"/>
        <v>28872</v>
      </c>
      <c r="AX166" s="460">
        <f t="shared" si="237"/>
        <v>0</v>
      </c>
      <c r="AY166" s="461">
        <f t="shared" si="238"/>
        <v>6.3291000000000004</v>
      </c>
      <c r="AZ166" s="461">
        <f t="shared" si="239"/>
        <v>6.3291000000000004</v>
      </c>
      <c r="BA166" s="463">
        <f t="shared" si="240"/>
        <v>0</v>
      </c>
    </row>
    <row r="167" spans="1:53" ht="14.1" customHeight="1" x14ac:dyDescent="0.2">
      <c r="A167" s="67">
        <v>37</v>
      </c>
      <c r="B167" s="64">
        <v>2470</v>
      </c>
      <c r="C167" s="65">
        <v>600080013</v>
      </c>
      <c r="D167" s="64">
        <v>72741554</v>
      </c>
      <c r="E167" s="66" t="s">
        <v>630</v>
      </c>
      <c r="F167" s="67">
        <v>3143</v>
      </c>
      <c r="G167" s="78" t="s">
        <v>617</v>
      </c>
      <c r="H167" s="68" t="s">
        <v>278</v>
      </c>
      <c r="I167" s="462">
        <v>120945</v>
      </c>
      <c r="J167" s="673">
        <v>86417</v>
      </c>
      <c r="K167" s="457">
        <v>29209</v>
      </c>
      <c r="L167" s="457">
        <v>864</v>
      </c>
      <c r="M167" s="673">
        <v>4455</v>
      </c>
      <c r="N167" s="458">
        <v>0.34</v>
      </c>
      <c r="O167" s="459">
        <v>0</v>
      </c>
      <c r="P167" s="717">
        <v>0.34</v>
      </c>
      <c r="Q167" s="469">
        <f t="shared" si="224"/>
        <v>0</v>
      </c>
      <c r="R167" s="469">
        <v>0</v>
      </c>
      <c r="S167" s="460">
        <v>0</v>
      </c>
      <c r="T167" s="460">
        <v>0</v>
      </c>
      <c r="U167" s="460">
        <v>0</v>
      </c>
      <c r="V167" s="460">
        <f>SUM(Q167:U167)</f>
        <v>0</v>
      </c>
      <c r="W167" s="460">
        <v>0</v>
      </c>
      <c r="X167" s="460">
        <v>0</v>
      </c>
      <c r="Y167" s="460">
        <v>0</v>
      </c>
      <c r="Z167" s="460">
        <f t="shared" si="261"/>
        <v>0</v>
      </c>
      <c r="AA167" s="460">
        <f t="shared" si="262"/>
        <v>0</v>
      </c>
      <c r="AB167" s="69">
        <f t="shared" si="263"/>
        <v>0</v>
      </c>
      <c r="AC167" s="69">
        <f t="shared" si="264"/>
        <v>0</v>
      </c>
      <c r="AD167" s="460">
        <v>0</v>
      </c>
      <c r="AE167" s="460">
        <v>0</v>
      </c>
      <c r="AF167" s="460">
        <f>SUM(AD167:AE167)</f>
        <v>0</v>
      </c>
      <c r="AG167" s="460">
        <f>AA167+AB167+AC167+AF167</f>
        <v>0</v>
      </c>
      <c r="AH167" s="461">
        <v>0</v>
      </c>
      <c r="AI167" s="461">
        <v>0</v>
      </c>
      <c r="AJ167" s="461">
        <v>0</v>
      </c>
      <c r="AK167" s="461">
        <v>0</v>
      </c>
      <c r="AL167" s="461">
        <v>0</v>
      </c>
      <c r="AM167" s="461">
        <v>0</v>
      </c>
      <c r="AN167" s="461">
        <v>0</v>
      </c>
      <c r="AO167" s="461">
        <v>0</v>
      </c>
      <c r="AP167" s="461">
        <f t="shared" si="229"/>
        <v>0</v>
      </c>
      <c r="AQ167" s="461">
        <f t="shared" si="230"/>
        <v>0</v>
      </c>
      <c r="AR167" s="737">
        <f t="shared" si="231"/>
        <v>0</v>
      </c>
      <c r="AS167" s="470">
        <f t="shared" si="232"/>
        <v>120945</v>
      </c>
      <c r="AT167" s="460">
        <f t="shared" si="233"/>
        <v>86417</v>
      </c>
      <c r="AU167" s="460">
        <f t="shared" si="234"/>
        <v>0</v>
      </c>
      <c r="AV167" s="460">
        <f t="shared" si="235"/>
        <v>29209</v>
      </c>
      <c r="AW167" s="460">
        <f t="shared" si="236"/>
        <v>864</v>
      </c>
      <c r="AX167" s="460">
        <f t="shared" si="237"/>
        <v>4455</v>
      </c>
      <c r="AY167" s="461">
        <f t="shared" si="238"/>
        <v>0.34</v>
      </c>
      <c r="AZ167" s="461">
        <f t="shared" si="239"/>
        <v>0</v>
      </c>
      <c r="BA167" s="463">
        <f t="shared" si="240"/>
        <v>0.34</v>
      </c>
    </row>
    <row r="168" spans="1:53" ht="14.1" customHeight="1" x14ac:dyDescent="0.2">
      <c r="A168" s="73">
        <v>37</v>
      </c>
      <c r="B168" s="70">
        <v>2470</v>
      </c>
      <c r="C168" s="71">
        <v>600080013</v>
      </c>
      <c r="D168" s="70">
        <v>72741554</v>
      </c>
      <c r="E168" s="72" t="s">
        <v>631</v>
      </c>
      <c r="F168" s="73"/>
      <c r="G168" s="72"/>
      <c r="H168" s="74"/>
      <c r="I168" s="701">
        <f t="shared" ref="I168:P168" si="265">SUM(I163:I167)</f>
        <v>46727146</v>
      </c>
      <c r="J168" s="75">
        <f t="shared" si="265"/>
        <v>34116359</v>
      </c>
      <c r="K168" s="75">
        <f t="shared" si="265"/>
        <v>11531329</v>
      </c>
      <c r="L168" s="75">
        <f t="shared" si="265"/>
        <v>341163</v>
      </c>
      <c r="M168" s="75">
        <f t="shared" si="265"/>
        <v>738295</v>
      </c>
      <c r="N168" s="76">
        <f t="shared" si="265"/>
        <v>57.896100000000004</v>
      </c>
      <c r="O168" s="76">
        <f t="shared" si="265"/>
        <v>42.566099999999999</v>
      </c>
      <c r="P168" s="77">
        <f t="shared" si="265"/>
        <v>15.329999999999998</v>
      </c>
      <c r="Q168" s="724">
        <f t="shared" ref="Q168:BA168" si="266">SUM(Q163:Q167)</f>
        <v>-292500</v>
      </c>
      <c r="R168" s="724">
        <f t="shared" si="266"/>
        <v>827626</v>
      </c>
      <c r="S168" s="75">
        <f t="shared" si="266"/>
        <v>0</v>
      </c>
      <c r="T168" s="75">
        <f t="shared" si="266"/>
        <v>71185</v>
      </c>
      <c r="U168" s="75">
        <f t="shared" si="266"/>
        <v>0</v>
      </c>
      <c r="V168" s="75">
        <f t="shared" si="266"/>
        <v>606311</v>
      </c>
      <c r="W168" s="75">
        <f t="shared" si="266"/>
        <v>292500</v>
      </c>
      <c r="X168" s="75">
        <f t="shared" si="266"/>
        <v>0</v>
      </c>
      <c r="Y168" s="75">
        <f t="shared" si="266"/>
        <v>0</v>
      </c>
      <c r="Z168" s="75">
        <f t="shared" si="266"/>
        <v>292500</v>
      </c>
      <c r="AA168" s="75">
        <f t="shared" si="266"/>
        <v>898811</v>
      </c>
      <c r="AB168" s="75">
        <f t="shared" si="266"/>
        <v>303799</v>
      </c>
      <c r="AC168" s="75">
        <f t="shared" si="266"/>
        <v>6063</v>
      </c>
      <c r="AD168" s="75">
        <f t="shared" si="266"/>
        <v>1500</v>
      </c>
      <c r="AE168" s="75">
        <f t="shared" si="266"/>
        <v>0</v>
      </c>
      <c r="AF168" s="75">
        <f t="shared" si="266"/>
        <v>1500</v>
      </c>
      <c r="AG168" s="75">
        <f t="shared" si="266"/>
        <v>1210173</v>
      </c>
      <c r="AH168" s="76">
        <f t="shared" si="266"/>
        <v>-0.14000000000000001</v>
      </c>
      <c r="AI168" s="76">
        <f t="shared" si="266"/>
        <v>-0.52</v>
      </c>
      <c r="AJ168" s="76">
        <f t="shared" si="266"/>
        <v>2.39</v>
      </c>
      <c r="AK168" s="76">
        <f t="shared" si="266"/>
        <v>0</v>
      </c>
      <c r="AL168" s="76">
        <f t="shared" si="266"/>
        <v>0</v>
      </c>
      <c r="AM168" s="76">
        <f t="shared" si="266"/>
        <v>0.11</v>
      </c>
      <c r="AN168" s="76">
        <f t="shared" si="266"/>
        <v>0</v>
      </c>
      <c r="AO168" s="76">
        <f t="shared" si="266"/>
        <v>0</v>
      </c>
      <c r="AP168" s="76">
        <f t="shared" si="266"/>
        <v>2.3600000000000003</v>
      </c>
      <c r="AQ168" s="76">
        <f t="shared" si="266"/>
        <v>-0.52</v>
      </c>
      <c r="AR168" s="720">
        <f t="shared" si="266"/>
        <v>1.84</v>
      </c>
      <c r="AS168" s="701">
        <f t="shared" si="266"/>
        <v>47937319</v>
      </c>
      <c r="AT168" s="75">
        <f t="shared" si="266"/>
        <v>34722670</v>
      </c>
      <c r="AU168" s="75">
        <f t="shared" si="266"/>
        <v>292500</v>
      </c>
      <c r="AV168" s="75">
        <f t="shared" si="266"/>
        <v>11835128</v>
      </c>
      <c r="AW168" s="75">
        <f t="shared" si="266"/>
        <v>347226</v>
      </c>
      <c r="AX168" s="75">
        <f t="shared" si="266"/>
        <v>739795</v>
      </c>
      <c r="AY168" s="76">
        <f t="shared" si="266"/>
        <v>59.736100000000008</v>
      </c>
      <c r="AZ168" s="76">
        <f t="shared" si="266"/>
        <v>44.926099999999991</v>
      </c>
      <c r="BA168" s="77">
        <f t="shared" si="266"/>
        <v>14.809999999999999</v>
      </c>
    </row>
    <row r="169" spans="1:53" ht="14.1" customHeight="1" x14ac:dyDescent="0.2">
      <c r="A169" s="67">
        <v>38</v>
      </c>
      <c r="B169" s="64">
        <v>2307</v>
      </c>
      <c r="C169" s="65">
        <v>600079911</v>
      </c>
      <c r="D169" s="64">
        <v>72743212</v>
      </c>
      <c r="E169" s="66" t="s">
        <v>632</v>
      </c>
      <c r="F169" s="67">
        <v>3113</v>
      </c>
      <c r="G169" s="66" t="s">
        <v>310</v>
      </c>
      <c r="H169" s="68" t="s">
        <v>277</v>
      </c>
      <c r="I169" s="462">
        <v>41117284</v>
      </c>
      <c r="J169" s="16">
        <v>29879739</v>
      </c>
      <c r="K169" s="457">
        <v>10099352</v>
      </c>
      <c r="L169" s="457">
        <v>298798</v>
      </c>
      <c r="M169" s="16">
        <v>839395</v>
      </c>
      <c r="N169" s="13">
        <v>49.705500000000001</v>
      </c>
      <c r="O169" s="13">
        <v>40.045499999999997</v>
      </c>
      <c r="P169" s="17">
        <v>9.66</v>
      </c>
      <c r="Q169" s="469">
        <f t="shared" si="224"/>
        <v>-129350</v>
      </c>
      <c r="R169" s="469">
        <v>0</v>
      </c>
      <c r="S169" s="460">
        <v>0</v>
      </c>
      <c r="T169" s="460">
        <v>49520</v>
      </c>
      <c r="U169" s="460">
        <v>0</v>
      </c>
      <c r="V169" s="460">
        <f>SUM(Q169:U169)</f>
        <v>-79830</v>
      </c>
      <c r="W169" s="460">
        <v>129350</v>
      </c>
      <c r="X169" s="460">
        <v>0</v>
      </c>
      <c r="Y169" s="460">
        <v>0</v>
      </c>
      <c r="Z169" s="460">
        <f t="shared" ref="Z169:Z173" si="267">SUM(W169:Y169)</f>
        <v>129350</v>
      </c>
      <c r="AA169" s="460">
        <f t="shared" ref="AA169:AA173" si="268">V169+Z169</f>
        <v>49520</v>
      </c>
      <c r="AB169" s="69">
        <f t="shared" ref="AB169:AB173" si="269">ROUND((V169+W169+X169)*33.8%,0)</f>
        <v>16738</v>
      </c>
      <c r="AC169" s="69">
        <f t="shared" ref="AC169:AC173" si="270">ROUND(V169*1%,0)</f>
        <v>-798</v>
      </c>
      <c r="AD169" s="460">
        <v>0</v>
      </c>
      <c r="AE169" s="460">
        <v>0</v>
      </c>
      <c r="AF169" s="460">
        <f>SUM(AD169:AE169)</f>
        <v>0</v>
      </c>
      <c r="AG169" s="460">
        <f>AA169+AB169+AC169+AF169</f>
        <v>65460</v>
      </c>
      <c r="AH169" s="461">
        <v>-0.06</v>
      </c>
      <c r="AI169" s="461">
        <v>-0.1</v>
      </c>
      <c r="AJ169" s="461">
        <v>0</v>
      </c>
      <c r="AK169" s="461">
        <v>0</v>
      </c>
      <c r="AL169" s="461">
        <v>0</v>
      </c>
      <c r="AM169" s="461">
        <v>0.08</v>
      </c>
      <c r="AN169" s="461">
        <v>0</v>
      </c>
      <c r="AO169" s="461">
        <v>0</v>
      </c>
      <c r="AP169" s="461">
        <f t="shared" si="229"/>
        <v>2.0000000000000004E-2</v>
      </c>
      <c r="AQ169" s="461">
        <f t="shared" si="230"/>
        <v>-0.1</v>
      </c>
      <c r="AR169" s="737">
        <f t="shared" si="231"/>
        <v>-0.08</v>
      </c>
      <c r="AS169" s="470">
        <f t="shared" si="232"/>
        <v>41182744</v>
      </c>
      <c r="AT169" s="460">
        <f t="shared" si="233"/>
        <v>29799909</v>
      </c>
      <c r="AU169" s="460">
        <f t="shared" si="234"/>
        <v>129350</v>
      </c>
      <c r="AV169" s="460">
        <f t="shared" si="235"/>
        <v>10116090</v>
      </c>
      <c r="AW169" s="460">
        <f t="shared" si="236"/>
        <v>298000</v>
      </c>
      <c r="AX169" s="460">
        <f t="shared" si="237"/>
        <v>839395</v>
      </c>
      <c r="AY169" s="461">
        <f t="shared" si="238"/>
        <v>49.625500000000002</v>
      </c>
      <c r="AZ169" s="461">
        <f t="shared" si="239"/>
        <v>40.0655</v>
      </c>
      <c r="BA169" s="463">
        <f t="shared" si="240"/>
        <v>9.56</v>
      </c>
    </row>
    <row r="170" spans="1:53" ht="14.1" customHeight="1" x14ac:dyDescent="0.2">
      <c r="A170" s="67">
        <v>38</v>
      </c>
      <c r="B170" s="64">
        <v>2307</v>
      </c>
      <c r="C170" s="65">
        <v>600079911</v>
      </c>
      <c r="D170" s="64">
        <v>72743212</v>
      </c>
      <c r="E170" s="66" t="s">
        <v>632</v>
      </c>
      <c r="F170" s="67">
        <v>3113</v>
      </c>
      <c r="G170" s="78" t="s">
        <v>308</v>
      </c>
      <c r="H170" s="68" t="s">
        <v>278</v>
      </c>
      <c r="I170" s="462">
        <v>0</v>
      </c>
      <c r="J170" s="457">
        <v>0</v>
      </c>
      <c r="K170" s="457">
        <v>0</v>
      </c>
      <c r="L170" s="457">
        <v>0</v>
      </c>
      <c r="M170" s="457">
        <v>0</v>
      </c>
      <c r="N170" s="458">
        <v>0</v>
      </c>
      <c r="O170" s="459">
        <v>0</v>
      </c>
      <c r="P170" s="646">
        <v>0</v>
      </c>
      <c r="Q170" s="469">
        <f t="shared" si="224"/>
        <v>0</v>
      </c>
      <c r="R170" s="469">
        <v>1616730</v>
      </c>
      <c r="S170" s="460">
        <v>0</v>
      </c>
      <c r="T170" s="460">
        <v>0</v>
      </c>
      <c r="U170" s="460">
        <v>0</v>
      </c>
      <c r="V170" s="460">
        <f>SUM(Q170:U170)</f>
        <v>1616730</v>
      </c>
      <c r="W170" s="460">
        <v>0</v>
      </c>
      <c r="X170" s="460">
        <v>0</v>
      </c>
      <c r="Y170" s="460">
        <v>0</v>
      </c>
      <c r="Z170" s="460">
        <f t="shared" si="267"/>
        <v>0</v>
      </c>
      <c r="AA170" s="460">
        <f t="shared" si="268"/>
        <v>1616730</v>
      </c>
      <c r="AB170" s="69">
        <f t="shared" si="269"/>
        <v>546455</v>
      </c>
      <c r="AC170" s="69">
        <f t="shared" si="270"/>
        <v>16167</v>
      </c>
      <c r="AD170" s="460">
        <v>0</v>
      </c>
      <c r="AE170" s="460">
        <v>0</v>
      </c>
      <c r="AF170" s="460">
        <f>SUM(AD170:AE170)</f>
        <v>0</v>
      </c>
      <c r="AG170" s="460">
        <f>AA170+AB170+AC170+AF170</f>
        <v>2179352</v>
      </c>
      <c r="AH170" s="461">
        <v>0</v>
      </c>
      <c r="AI170" s="461">
        <v>0</v>
      </c>
      <c r="AJ170" s="461">
        <v>5</v>
      </c>
      <c r="AK170" s="461">
        <v>0</v>
      </c>
      <c r="AL170" s="461">
        <v>0</v>
      </c>
      <c r="AM170" s="461">
        <v>0</v>
      </c>
      <c r="AN170" s="461">
        <v>0</v>
      </c>
      <c r="AO170" s="461">
        <v>0</v>
      </c>
      <c r="AP170" s="461">
        <f t="shared" si="229"/>
        <v>5</v>
      </c>
      <c r="AQ170" s="461">
        <f t="shared" si="230"/>
        <v>0</v>
      </c>
      <c r="AR170" s="737">
        <f t="shared" si="231"/>
        <v>5</v>
      </c>
      <c r="AS170" s="470">
        <f t="shared" si="232"/>
        <v>2179352</v>
      </c>
      <c r="AT170" s="460">
        <f t="shared" si="233"/>
        <v>1616730</v>
      </c>
      <c r="AU170" s="460">
        <f t="shared" si="234"/>
        <v>0</v>
      </c>
      <c r="AV170" s="460">
        <f t="shared" si="235"/>
        <v>546455</v>
      </c>
      <c r="AW170" s="460">
        <f t="shared" si="236"/>
        <v>16167</v>
      </c>
      <c r="AX170" s="460">
        <f t="shared" si="237"/>
        <v>0</v>
      </c>
      <c r="AY170" s="461">
        <f t="shared" si="238"/>
        <v>5</v>
      </c>
      <c r="AZ170" s="461">
        <f t="shared" si="239"/>
        <v>5</v>
      </c>
      <c r="BA170" s="463">
        <f t="shared" si="240"/>
        <v>0</v>
      </c>
    </row>
    <row r="171" spans="1:53" ht="14.1" customHeight="1" x14ac:dyDescent="0.2">
      <c r="A171" s="67">
        <v>38</v>
      </c>
      <c r="B171" s="64">
        <v>2307</v>
      </c>
      <c r="C171" s="65">
        <v>600079911</v>
      </c>
      <c r="D171" s="64">
        <v>72743212</v>
      </c>
      <c r="E171" s="66" t="s">
        <v>632</v>
      </c>
      <c r="F171" s="67">
        <v>3143</v>
      </c>
      <c r="G171" s="78" t="s">
        <v>616</v>
      </c>
      <c r="H171" s="68" t="s">
        <v>277</v>
      </c>
      <c r="I171" s="462">
        <v>3669307</v>
      </c>
      <c r="J171" s="16">
        <v>2722038</v>
      </c>
      <c r="K171" s="457">
        <v>920049</v>
      </c>
      <c r="L171" s="457">
        <v>27220</v>
      </c>
      <c r="M171" s="16">
        <v>0</v>
      </c>
      <c r="N171" s="458">
        <v>5.4107000000000003</v>
      </c>
      <c r="O171" s="13">
        <v>5.4107000000000003</v>
      </c>
      <c r="P171" s="17">
        <v>0</v>
      </c>
      <c r="Q171" s="469">
        <f t="shared" si="224"/>
        <v>0</v>
      </c>
      <c r="R171" s="469">
        <v>0</v>
      </c>
      <c r="S171" s="460">
        <v>0</v>
      </c>
      <c r="T171" s="460">
        <v>0</v>
      </c>
      <c r="U171" s="460">
        <v>0</v>
      </c>
      <c r="V171" s="460">
        <f>SUM(Q171:U171)</f>
        <v>0</v>
      </c>
      <c r="W171" s="460">
        <v>0</v>
      </c>
      <c r="X171" s="460">
        <v>0</v>
      </c>
      <c r="Y171" s="460">
        <v>0</v>
      </c>
      <c r="Z171" s="460">
        <f t="shared" si="267"/>
        <v>0</v>
      </c>
      <c r="AA171" s="460">
        <f t="shared" si="268"/>
        <v>0</v>
      </c>
      <c r="AB171" s="69">
        <f t="shared" si="269"/>
        <v>0</v>
      </c>
      <c r="AC171" s="69">
        <f t="shared" si="270"/>
        <v>0</v>
      </c>
      <c r="AD171" s="460">
        <v>0</v>
      </c>
      <c r="AE171" s="460">
        <v>0</v>
      </c>
      <c r="AF171" s="460">
        <f>SUM(AD171:AE171)</f>
        <v>0</v>
      </c>
      <c r="AG171" s="460">
        <f>AA171+AB171+AC171+AF171</f>
        <v>0</v>
      </c>
      <c r="AH171" s="461">
        <v>0</v>
      </c>
      <c r="AI171" s="461">
        <v>0</v>
      </c>
      <c r="AJ171" s="461">
        <v>0</v>
      </c>
      <c r="AK171" s="461">
        <v>0</v>
      </c>
      <c r="AL171" s="461">
        <v>0</v>
      </c>
      <c r="AM171" s="461">
        <v>0</v>
      </c>
      <c r="AN171" s="461">
        <v>0</v>
      </c>
      <c r="AO171" s="461">
        <v>0</v>
      </c>
      <c r="AP171" s="461">
        <f t="shared" si="229"/>
        <v>0</v>
      </c>
      <c r="AQ171" s="461">
        <f t="shared" si="230"/>
        <v>0</v>
      </c>
      <c r="AR171" s="737">
        <f t="shared" si="231"/>
        <v>0</v>
      </c>
      <c r="AS171" s="470">
        <f t="shared" si="232"/>
        <v>3669307</v>
      </c>
      <c r="AT171" s="460">
        <f t="shared" si="233"/>
        <v>2722038</v>
      </c>
      <c r="AU171" s="460">
        <f t="shared" si="234"/>
        <v>0</v>
      </c>
      <c r="AV171" s="460">
        <f t="shared" si="235"/>
        <v>920049</v>
      </c>
      <c r="AW171" s="460">
        <f t="shared" si="236"/>
        <v>27220</v>
      </c>
      <c r="AX171" s="460">
        <f t="shared" si="237"/>
        <v>0</v>
      </c>
      <c r="AY171" s="461">
        <f t="shared" si="238"/>
        <v>5.4107000000000003</v>
      </c>
      <c r="AZ171" s="461">
        <f t="shared" si="239"/>
        <v>5.4107000000000003</v>
      </c>
      <c r="BA171" s="463">
        <f t="shared" si="240"/>
        <v>0</v>
      </c>
    </row>
    <row r="172" spans="1:53" ht="14.1" customHeight="1" x14ac:dyDescent="0.2">
      <c r="A172" s="67">
        <v>38</v>
      </c>
      <c r="B172" s="64">
        <v>2307</v>
      </c>
      <c r="C172" s="65">
        <v>600079911</v>
      </c>
      <c r="D172" s="64">
        <v>72743212</v>
      </c>
      <c r="E172" s="66" t="s">
        <v>632</v>
      </c>
      <c r="F172" s="67">
        <v>3143</v>
      </c>
      <c r="G172" s="78" t="s">
        <v>617</v>
      </c>
      <c r="H172" s="68" t="s">
        <v>278</v>
      </c>
      <c r="I172" s="462">
        <v>131206</v>
      </c>
      <c r="J172" s="673">
        <v>93749</v>
      </c>
      <c r="K172" s="457">
        <v>31687</v>
      </c>
      <c r="L172" s="457">
        <v>937</v>
      </c>
      <c r="M172" s="673">
        <v>4833</v>
      </c>
      <c r="N172" s="458">
        <v>0.37</v>
      </c>
      <c r="O172" s="459">
        <v>0</v>
      </c>
      <c r="P172" s="717">
        <v>0.37</v>
      </c>
      <c r="Q172" s="469">
        <f t="shared" si="224"/>
        <v>0</v>
      </c>
      <c r="R172" s="469">
        <v>0</v>
      </c>
      <c r="S172" s="460">
        <v>0</v>
      </c>
      <c r="T172" s="460">
        <v>0</v>
      </c>
      <c r="U172" s="460">
        <v>0</v>
      </c>
      <c r="V172" s="460">
        <f>SUM(Q172:U172)</f>
        <v>0</v>
      </c>
      <c r="W172" s="460">
        <v>0</v>
      </c>
      <c r="X172" s="460">
        <v>0</v>
      </c>
      <c r="Y172" s="460">
        <v>0</v>
      </c>
      <c r="Z172" s="460">
        <f t="shared" si="267"/>
        <v>0</v>
      </c>
      <c r="AA172" s="460">
        <f t="shared" si="268"/>
        <v>0</v>
      </c>
      <c r="AB172" s="69">
        <f t="shared" si="269"/>
        <v>0</v>
      </c>
      <c r="AC172" s="69">
        <f t="shared" si="270"/>
        <v>0</v>
      </c>
      <c r="AD172" s="460">
        <v>0</v>
      </c>
      <c r="AE172" s="460">
        <v>0</v>
      </c>
      <c r="AF172" s="460">
        <f>SUM(AD172:AE172)</f>
        <v>0</v>
      </c>
      <c r="AG172" s="460">
        <f>AA172+AB172+AC172+AF172</f>
        <v>0</v>
      </c>
      <c r="AH172" s="461">
        <v>0</v>
      </c>
      <c r="AI172" s="461">
        <v>0</v>
      </c>
      <c r="AJ172" s="461">
        <v>0</v>
      </c>
      <c r="AK172" s="461">
        <v>0</v>
      </c>
      <c r="AL172" s="461">
        <v>0</v>
      </c>
      <c r="AM172" s="461">
        <v>0</v>
      </c>
      <c r="AN172" s="461">
        <v>0</v>
      </c>
      <c r="AO172" s="461">
        <v>0</v>
      </c>
      <c r="AP172" s="461">
        <f t="shared" si="229"/>
        <v>0</v>
      </c>
      <c r="AQ172" s="461">
        <f t="shared" si="230"/>
        <v>0</v>
      </c>
      <c r="AR172" s="737">
        <f t="shared" si="231"/>
        <v>0</v>
      </c>
      <c r="AS172" s="470">
        <f t="shared" si="232"/>
        <v>131206</v>
      </c>
      <c r="AT172" s="460">
        <f t="shared" si="233"/>
        <v>93749</v>
      </c>
      <c r="AU172" s="460">
        <f t="shared" si="234"/>
        <v>0</v>
      </c>
      <c r="AV172" s="460">
        <f t="shared" si="235"/>
        <v>31687</v>
      </c>
      <c r="AW172" s="460">
        <f t="shared" si="236"/>
        <v>937</v>
      </c>
      <c r="AX172" s="460">
        <f t="shared" si="237"/>
        <v>4833</v>
      </c>
      <c r="AY172" s="461">
        <f t="shared" si="238"/>
        <v>0.37</v>
      </c>
      <c r="AZ172" s="461">
        <f t="shared" si="239"/>
        <v>0</v>
      </c>
      <c r="BA172" s="463">
        <f t="shared" si="240"/>
        <v>0.37</v>
      </c>
    </row>
    <row r="173" spans="1:53" ht="14.1" customHeight="1" x14ac:dyDescent="0.2">
      <c r="A173" s="67">
        <v>38</v>
      </c>
      <c r="B173" s="64">
        <v>2307</v>
      </c>
      <c r="C173" s="65">
        <v>600079911</v>
      </c>
      <c r="D173" s="64">
        <v>72743212</v>
      </c>
      <c r="E173" s="66" t="s">
        <v>632</v>
      </c>
      <c r="F173" s="67">
        <v>3143</v>
      </c>
      <c r="G173" s="78" t="s">
        <v>313</v>
      </c>
      <c r="H173" s="68" t="s">
        <v>278</v>
      </c>
      <c r="I173" s="462">
        <v>400093</v>
      </c>
      <c r="J173" s="457">
        <v>296364</v>
      </c>
      <c r="K173" s="457">
        <v>100171</v>
      </c>
      <c r="L173" s="457">
        <v>2964</v>
      </c>
      <c r="M173" s="457">
        <v>594</v>
      </c>
      <c r="N173" s="458">
        <v>0.64999999999999991</v>
      </c>
      <c r="O173" s="458">
        <v>0.57999999999999996</v>
      </c>
      <c r="P173" s="646">
        <v>7.0000000000000007E-2</v>
      </c>
      <c r="Q173" s="469">
        <f t="shared" si="224"/>
        <v>0</v>
      </c>
      <c r="R173" s="469">
        <v>0</v>
      </c>
      <c r="S173" s="460">
        <v>0</v>
      </c>
      <c r="T173" s="460">
        <v>0</v>
      </c>
      <c r="U173" s="460">
        <v>0</v>
      </c>
      <c r="V173" s="460">
        <f>SUM(Q173:U173)</f>
        <v>0</v>
      </c>
      <c r="W173" s="460">
        <v>0</v>
      </c>
      <c r="X173" s="460">
        <v>0</v>
      </c>
      <c r="Y173" s="460">
        <v>0</v>
      </c>
      <c r="Z173" s="460">
        <f t="shared" si="267"/>
        <v>0</v>
      </c>
      <c r="AA173" s="460">
        <f t="shared" si="268"/>
        <v>0</v>
      </c>
      <c r="AB173" s="69">
        <f t="shared" si="269"/>
        <v>0</v>
      </c>
      <c r="AC173" s="69">
        <f t="shared" si="270"/>
        <v>0</v>
      </c>
      <c r="AD173" s="460">
        <v>0</v>
      </c>
      <c r="AE173" s="460">
        <v>0</v>
      </c>
      <c r="AF173" s="460">
        <f>SUM(AD173:AE173)</f>
        <v>0</v>
      </c>
      <c r="AG173" s="460">
        <f>AA173+AB173+AC173+AF173</f>
        <v>0</v>
      </c>
      <c r="AH173" s="461">
        <v>0</v>
      </c>
      <c r="AI173" s="461">
        <v>0</v>
      </c>
      <c r="AJ173" s="461">
        <v>0</v>
      </c>
      <c r="AK173" s="461">
        <v>0</v>
      </c>
      <c r="AL173" s="461">
        <v>0</v>
      </c>
      <c r="AM173" s="461">
        <v>0</v>
      </c>
      <c r="AN173" s="461">
        <v>0</v>
      </c>
      <c r="AO173" s="461">
        <v>0</v>
      </c>
      <c r="AP173" s="461">
        <f t="shared" si="229"/>
        <v>0</v>
      </c>
      <c r="AQ173" s="461">
        <f t="shared" si="230"/>
        <v>0</v>
      </c>
      <c r="AR173" s="737">
        <f t="shared" si="231"/>
        <v>0</v>
      </c>
      <c r="AS173" s="470">
        <f t="shared" si="232"/>
        <v>400093</v>
      </c>
      <c r="AT173" s="460">
        <f t="shared" si="233"/>
        <v>296364</v>
      </c>
      <c r="AU173" s="460">
        <f t="shared" si="234"/>
        <v>0</v>
      </c>
      <c r="AV173" s="460">
        <f t="shared" si="235"/>
        <v>100171</v>
      </c>
      <c r="AW173" s="460">
        <f t="shared" si="236"/>
        <v>2964</v>
      </c>
      <c r="AX173" s="460">
        <f t="shared" si="237"/>
        <v>594</v>
      </c>
      <c r="AY173" s="461">
        <f t="shared" si="238"/>
        <v>0.64999999999999991</v>
      </c>
      <c r="AZ173" s="461">
        <f t="shared" si="239"/>
        <v>0.57999999999999996</v>
      </c>
      <c r="BA173" s="463">
        <f t="shared" si="240"/>
        <v>7.0000000000000007E-2</v>
      </c>
    </row>
    <row r="174" spans="1:53" ht="14.1" customHeight="1" x14ac:dyDescent="0.2">
      <c r="A174" s="73">
        <v>38</v>
      </c>
      <c r="B174" s="70">
        <v>2307</v>
      </c>
      <c r="C174" s="71">
        <v>600079911</v>
      </c>
      <c r="D174" s="70">
        <v>72743212</v>
      </c>
      <c r="E174" s="72" t="s">
        <v>633</v>
      </c>
      <c r="F174" s="73"/>
      <c r="G174" s="72"/>
      <c r="H174" s="74"/>
      <c r="I174" s="701">
        <f t="shared" ref="I174:P174" si="271">SUM(I169:I173)</f>
        <v>45317890</v>
      </c>
      <c r="J174" s="75">
        <f t="shared" si="271"/>
        <v>32991890</v>
      </c>
      <c r="K174" s="75">
        <f t="shared" si="271"/>
        <v>11151259</v>
      </c>
      <c r="L174" s="75">
        <f t="shared" si="271"/>
        <v>329919</v>
      </c>
      <c r="M174" s="75">
        <f t="shared" si="271"/>
        <v>844822</v>
      </c>
      <c r="N174" s="76">
        <f t="shared" si="271"/>
        <v>56.136199999999995</v>
      </c>
      <c r="O174" s="76">
        <f t="shared" si="271"/>
        <v>46.036199999999994</v>
      </c>
      <c r="P174" s="77">
        <f t="shared" si="271"/>
        <v>10.1</v>
      </c>
      <c r="Q174" s="724">
        <f t="shared" ref="Q174:BA174" si="272">SUM(Q169:Q173)</f>
        <v>-129350</v>
      </c>
      <c r="R174" s="724">
        <f t="shared" si="272"/>
        <v>1616730</v>
      </c>
      <c r="S174" s="75">
        <f t="shared" si="272"/>
        <v>0</v>
      </c>
      <c r="T174" s="75">
        <f t="shared" si="272"/>
        <v>49520</v>
      </c>
      <c r="U174" s="75">
        <f t="shared" si="272"/>
        <v>0</v>
      </c>
      <c r="V174" s="75">
        <f t="shared" si="272"/>
        <v>1536900</v>
      </c>
      <c r="W174" s="75">
        <f t="shared" si="272"/>
        <v>129350</v>
      </c>
      <c r="X174" s="75">
        <f t="shared" si="272"/>
        <v>0</v>
      </c>
      <c r="Y174" s="75">
        <f t="shared" si="272"/>
        <v>0</v>
      </c>
      <c r="Z174" s="75">
        <f t="shared" si="272"/>
        <v>129350</v>
      </c>
      <c r="AA174" s="75">
        <f t="shared" si="272"/>
        <v>1666250</v>
      </c>
      <c r="AB174" s="75">
        <f t="shared" si="272"/>
        <v>563193</v>
      </c>
      <c r="AC174" s="75">
        <f t="shared" si="272"/>
        <v>15369</v>
      </c>
      <c r="AD174" s="75">
        <f t="shared" si="272"/>
        <v>0</v>
      </c>
      <c r="AE174" s="75">
        <f t="shared" si="272"/>
        <v>0</v>
      </c>
      <c r="AF174" s="75">
        <f t="shared" si="272"/>
        <v>0</v>
      </c>
      <c r="AG174" s="75">
        <f t="shared" si="272"/>
        <v>2244812</v>
      </c>
      <c r="AH174" s="76">
        <f t="shared" si="272"/>
        <v>-0.06</v>
      </c>
      <c r="AI174" s="76">
        <f t="shared" si="272"/>
        <v>-0.1</v>
      </c>
      <c r="AJ174" s="76">
        <f t="shared" si="272"/>
        <v>5</v>
      </c>
      <c r="AK174" s="76">
        <f t="shared" si="272"/>
        <v>0</v>
      </c>
      <c r="AL174" s="76">
        <f t="shared" si="272"/>
        <v>0</v>
      </c>
      <c r="AM174" s="76">
        <f t="shared" si="272"/>
        <v>0.08</v>
      </c>
      <c r="AN174" s="76">
        <f t="shared" si="272"/>
        <v>0</v>
      </c>
      <c r="AO174" s="76">
        <f t="shared" si="272"/>
        <v>0</v>
      </c>
      <c r="AP174" s="76">
        <f t="shared" si="272"/>
        <v>5.0199999999999996</v>
      </c>
      <c r="AQ174" s="76">
        <f t="shared" si="272"/>
        <v>-0.1</v>
      </c>
      <c r="AR174" s="720">
        <f t="shared" si="272"/>
        <v>4.92</v>
      </c>
      <c r="AS174" s="701">
        <f t="shared" si="272"/>
        <v>47562702</v>
      </c>
      <c r="AT174" s="75">
        <f t="shared" si="272"/>
        <v>34528790</v>
      </c>
      <c r="AU174" s="75">
        <f t="shared" si="272"/>
        <v>129350</v>
      </c>
      <c r="AV174" s="75">
        <f t="shared" si="272"/>
        <v>11714452</v>
      </c>
      <c r="AW174" s="75">
        <f t="shared" si="272"/>
        <v>345288</v>
      </c>
      <c r="AX174" s="75">
        <f t="shared" si="272"/>
        <v>844822</v>
      </c>
      <c r="AY174" s="76">
        <f t="shared" si="272"/>
        <v>61.056199999999997</v>
      </c>
      <c r="AZ174" s="76">
        <f t="shared" si="272"/>
        <v>51.056199999999997</v>
      </c>
      <c r="BA174" s="77">
        <f t="shared" si="272"/>
        <v>10</v>
      </c>
    </row>
    <row r="175" spans="1:53" ht="14.1" customHeight="1" x14ac:dyDescent="0.2">
      <c r="A175" s="67">
        <v>39</v>
      </c>
      <c r="B175" s="64">
        <v>2478</v>
      </c>
      <c r="C175" s="65">
        <v>600079929</v>
      </c>
      <c r="D175" s="64">
        <v>72743379</v>
      </c>
      <c r="E175" s="66" t="s">
        <v>634</v>
      </c>
      <c r="F175" s="67">
        <v>3113</v>
      </c>
      <c r="G175" s="66" t="s">
        <v>310</v>
      </c>
      <c r="H175" s="68" t="s">
        <v>277</v>
      </c>
      <c r="I175" s="462">
        <v>37468406</v>
      </c>
      <c r="J175" s="16">
        <v>27285420</v>
      </c>
      <c r="K175" s="457">
        <v>9222472</v>
      </c>
      <c r="L175" s="457">
        <v>272854</v>
      </c>
      <c r="M175" s="16">
        <v>687660</v>
      </c>
      <c r="N175" s="13">
        <v>46.350899999999996</v>
      </c>
      <c r="O175" s="13">
        <v>38.090899999999998</v>
      </c>
      <c r="P175" s="17">
        <v>8.26</v>
      </c>
      <c r="Q175" s="469">
        <f t="shared" si="224"/>
        <v>-25813</v>
      </c>
      <c r="R175" s="469">
        <v>0</v>
      </c>
      <c r="S175" s="460">
        <v>0</v>
      </c>
      <c r="T175" s="460">
        <v>56948</v>
      </c>
      <c r="U175" s="460">
        <v>0</v>
      </c>
      <c r="V175" s="460">
        <f>SUM(Q175:U175)</f>
        <v>31135</v>
      </c>
      <c r="W175" s="460">
        <v>25813</v>
      </c>
      <c r="X175" s="460">
        <v>148560</v>
      </c>
      <c r="Y175" s="460">
        <v>0</v>
      </c>
      <c r="Z175" s="460">
        <f t="shared" ref="Z175:Z179" si="273">SUM(W175:Y175)</f>
        <v>174373</v>
      </c>
      <c r="AA175" s="460">
        <f t="shared" ref="AA175:AA179" si="274">V175+Z175</f>
        <v>205508</v>
      </c>
      <c r="AB175" s="69">
        <f t="shared" ref="AB175:AB179" si="275">ROUND((V175+W175+X175)*33.8%,0)</f>
        <v>69462</v>
      </c>
      <c r="AC175" s="69">
        <f t="shared" ref="AC175:AC179" si="276">ROUND(V175*1%,0)</f>
        <v>311</v>
      </c>
      <c r="AD175" s="460">
        <v>0</v>
      </c>
      <c r="AE175" s="460">
        <v>0</v>
      </c>
      <c r="AF175" s="460">
        <f>SUM(AD175:AE175)</f>
        <v>0</v>
      </c>
      <c r="AG175" s="460">
        <f>AA175+AB175+AC175+AF175</f>
        <v>275281</v>
      </c>
      <c r="AH175" s="461">
        <v>0</v>
      </c>
      <c r="AI175" s="461">
        <v>0</v>
      </c>
      <c r="AJ175" s="461">
        <v>0</v>
      </c>
      <c r="AK175" s="461">
        <v>0</v>
      </c>
      <c r="AL175" s="461">
        <v>0</v>
      </c>
      <c r="AM175" s="461">
        <v>0.09</v>
      </c>
      <c r="AN175" s="461">
        <v>0</v>
      </c>
      <c r="AO175" s="461">
        <v>0</v>
      </c>
      <c r="AP175" s="461">
        <f t="shared" si="229"/>
        <v>0.09</v>
      </c>
      <c r="AQ175" s="461">
        <f t="shared" si="230"/>
        <v>0</v>
      </c>
      <c r="AR175" s="737">
        <f t="shared" si="231"/>
        <v>0.09</v>
      </c>
      <c r="AS175" s="470">
        <f t="shared" si="232"/>
        <v>37743687</v>
      </c>
      <c r="AT175" s="460">
        <f t="shared" si="233"/>
        <v>27316555</v>
      </c>
      <c r="AU175" s="460">
        <f t="shared" si="234"/>
        <v>174373</v>
      </c>
      <c r="AV175" s="460">
        <f t="shared" si="235"/>
        <v>9291934</v>
      </c>
      <c r="AW175" s="460">
        <f t="shared" si="236"/>
        <v>273165</v>
      </c>
      <c r="AX175" s="460">
        <f t="shared" si="237"/>
        <v>687660</v>
      </c>
      <c r="AY175" s="461">
        <f t="shared" si="238"/>
        <v>46.440899999999999</v>
      </c>
      <c r="AZ175" s="461">
        <f t="shared" si="239"/>
        <v>38.180900000000001</v>
      </c>
      <c r="BA175" s="463">
        <f t="shared" si="240"/>
        <v>8.26</v>
      </c>
    </row>
    <row r="176" spans="1:53" ht="14.1" customHeight="1" x14ac:dyDescent="0.2">
      <c r="A176" s="67">
        <v>39</v>
      </c>
      <c r="B176" s="64">
        <v>2478</v>
      </c>
      <c r="C176" s="65">
        <v>600079929</v>
      </c>
      <c r="D176" s="64">
        <v>72743379</v>
      </c>
      <c r="E176" s="66" t="s">
        <v>634</v>
      </c>
      <c r="F176" s="67">
        <v>3113</v>
      </c>
      <c r="G176" s="78" t="s">
        <v>308</v>
      </c>
      <c r="H176" s="68" t="s">
        <v>278</v>
      </c>
      <c r="I176" s="462">
        <v>0</v>
      </c>
      <c r="J176" s="457">
        <v>0</v>
      </c>
      <c r="K176" s="457">
        <v>0</v>
      </c>
      <c r="L176" s="457">
        <v>0</v>
      </c>
      <c r="M176" s="457">
        <v>0</v>
      </c>
      <c r="N176" s="458">
        <v>0</v>
      </c>
      <c r="O176" s="459">
        <v>0</v>
      </c>
      <c r="P176" s="646">
        <v>0</v>
      </c>
      <c r="Q176" s="469">
        <f t="shared" si="224"/>
        <v>0</v>
      </c>
      <c r="R176" s="469">
        <v>4162949</v>
      </c>
      <c r="S176" s="460">
        <v>0</v>
      </c>
      <c r="T176" s="460">
        <v>0</v>
      </c>
      <c r="U176" s="460">
        <v>0</v>
      </c>
      <c r="V176" s="460">
        <f>SUM(Q176:U176)</f>
        <v>4162949</v>
      </c>
      <c r="W176" s="460">
        <v>0</v>
      </c>
      <c r="X176" s="460">
        <v>0</v>
      </c>
      <c r="Y176" s="460">
        <v>0</v>
      </c>
      <c r="Z176" s="460">
        <f t="shared" si="273"/>
        <v>0</v>
      </c>
      <c r="AA176" s="460">
        <f t="shared" si="274"/>
        <v>4162949</v>
      </c>
      <c r="AB176" s="69">
        <f t="shared" si="275"/>
        <v>1407077</v>
      </c>
      <c r="AC176" s="69">
        <f t="shared" si="276"/>
        <v>41629</v>
      </c>
      <c r="AD176" s="460">
        <v>0</v>
      </c>
      <c r="AE176" s="460">
        <v>0</v>
      </c>
      <c r="AF176" s="460">
        <f>SUM(AD176:AE176)</f>
        <v>0</v>
      </c>
      <c r="AG176" s="460">
        <f>AA176+AB176+AC176+AF176</f>
        <v>5611655</v>
      </c>
      <c r="AH176" s="461">
        <v>0</v>
      </c>
      <c r="AI176" s="461">
        <v>0</v>
      </c>
      <c r="AJ176" s="461">
        <v>11.91</v>
      </c>
      <c r="AK176" s="461">
        <v>0</v>
      </c>
      <c r="AL176" s="461">
        <v>0</v>
      </c>
      <c r="AM176" s="461">
        <v>0</v>
      </c>
      <c r="AN176" s="461">
        <v>0</v>
      </c>
      <c r="AO176" s="461">
        <v>0</v>
      </c>
      <c r="AP176" s="461">
        <f t="shared" si="229"/>
        <v>11.91</v>
      </c>
      <c r="AQ176" s="461">
        <f t="shared" si="230"/>
        <v>0</v>
      </c>
      <c r="AR176" s="737">
        <f t="shared" si="231"/>
        <v>11.91</v>
      </c>
      <c r="AS176" s="470">
        <f t="shared" si="232"/>
        <v>5611655</v>
      </c>
      <c r="AT176" s="460">
        <f t="shared" si="233"/>
        <v>4162949</v>
      </c>
      <c r="AU176" s="460">
        <f t="shared" si="234"/>
        <v>0</v>
      </c>
      <c r="AV176" s="460">
        <f t="shared" si="235"/>
        <v>1407077</v>
      </c>
      <c r="AW176" s="460">
        <f t="shared" si="236"/>
        <v>41629</v>
      </c>
      <c r="AX176" s="460">
        <f t="shared" si="237"/>
        <v>0</v>
      </c>
      <c r="AY176" s="461">
        <f t="shared" si="238"/>
        <v>11.91</v>
      </c>
      <c r="AZ176" s="461">
        <f t="shared" si="239"/>
        <v>11.91</v>
      </c>
      <c r="BA176" s="463">
        <f t="shared" si="240"/>
        <v>0</v>
      </c>
    </row>
    <row r="177" spans="1:53" ht="14.1" customHeight="1" x14ac:dyDescent="0.2">
      <c r="A177" s="67">
        <v>39</v>
      </c>
      <c r="B177" s="64">
        <v>2478</v>
      </c>
      <c r="C177" s="65">
        <v>600079929</v>
      </c>
      <c r="D177" s="64">
        <v>72743379</v>
      </c>
      <c r="E177" s="66" t="s">
        <v>634</v>
      </c>
      <c r="F177" s="67">
        <v>3141</v>
      </c>
      <c r="G177" s="66" t="s">
        <v>311</v>
      </c>
      <c r="H177" s="68" t="s">
        <v>278</v>
      </c>
      <c r="I177" s="462">
        <v>3282994</v>
      </c>
      <c r="J177" s="735">
        <v>2411381</v>
      </c>
      <c r="K177" s="457">
        <v>815047</v>
      </c>
      <c r="L177" s="457">
        <v>24114</v>
      </c>
      <c r="M177" s="735">
        <v>32452</v>
      </c>
      <c r="N177" s="458">
        <v>7.75</v>
      </c>
      <c r="O177" s="459">
        <v>0</v>
      </c>
      <c r="P177" s="646">
        <v>7.75</v>
      </c>
      <c r="Q177" s="469">
        <f t="shared" si="224"/>
        <v>-3250</v>
      </c>
      <c r="R177" s="469">
        <v>0</v>
      </c>
      <c r="S177" s="460">
        <v>0</v>
      </c>
      <c r="T177" s="460">
        <v>0</v>
      </c>
      <c r="U177" s="460">
        <v>0</v>
      </c>
      <c r="V177" s="460">
        <f>SUM(Q177:U177)</f>
        <v>-3250</v>
      </c>
      <c r="W177" s="460">
        <v>3250</v>
      </c>
      <c r="X177" s="460">
        <v>0</v>
      </c>
      <c r="Y177" s="460">
        <v>0</v>
      </c>
      <c r="Z177" s="460">
        <f t="shared" si="273"/>
        <v>3250</v>
      </c>
      <c r="AA177" s="460">
        <f t="shared" si="274"/>
        <v>0</v>
      </c>
      <c r="AB177" s="69">
        <f t="shared" si="275"/>
        <v>0</v>
      </c>
      <c r="AC177" s="69">
        <f t="shared" si="276"/>
        <v>-33</v>
      </c>
      <c r="AD177" s="460">
        <v>0</v>
      </c>
      <c r="AE177" s="460">
        <v>0</v>
      </c>
      <c r="AF177" s="460">
        <f>SUM(AD177:AE177)</f>
        <v>0</v>
      </c>
      <c r="AG177" s="460">
        <f>AA177+AB177+AC177+AF177</f>
        <v>-33</v>
      </c>
      <c r="AH177" s="461">
        <v>0</v>
      </c>
      <c r="AI177" s="461">
        <v>0</v>
      </c>
      <c r="AJ177" s="461">
        <v>0</v>
      </c>
      <c r="AK177" s="461">
        <v>0</v>
      </c>
      <c r="AL177" s="461">
        <v>0</v>
      </c>
      <c r="AM177" s="461">
        <v>0</v>
      </c>
      <c r="AN177" s="461">
        <v>0</v>
      </c>
      <c r="AO177" s="461">
        <v>0</v>
      </c>
      <c r="AP177" s="461">
        <f t="shared" si="229"/>
        <v>0</v>
      </c>
      <c r="AQ177" s="461">
        <f t="shared" si="230"/>
        <v>0</v>
      </c>
      <c r="AR177" s="737">
        <f t="shared" si="231"/>
        <v>0</v>
      </c>
      <c r="AS177" s="470">
        <f t="shared" si="232"/>
        <v>3282961</v>
      </c>
      <c r="AT177" s="460">
        <f t="shared" si="233"/>
        <v>2408131</v>
      </c>
      <c r="AU177" s="460">
        <f t="shared" si="234"/>
        <v>3250</v>
      </c>
      <c r="AV177" s="460">
        <f t="shared" si="235"/>
        <v>815047</v>
      </c>
      <c r="AW177" s="460">
        <f t="shared" si="236"/>
        <v>24081</v>
      </c>
      <c r="AX177" s="460">
        <f t="shared" si="237"/>
        <v>32452</v>
      </c>
      <c r="AY177" s="461">
        <f t="shared" si="238"/>
        <v>7.75</v>
      </c>
      <c r="AZ177" s="461">
        <f t="shared" si="239"/>
        <v>0</v>
      </c>
      <c r="BA177" s="463">
        <f t="shared" si="240"/>
        <v>7.75</v>
      </c>
    </row>
    <row r="178" spans="1:53" ht="14.1" customHeight="1" x14ac:dyDescent="0.2">
      <c r="A178" s="67">
        <v>39</v>
      </c>
      <c r="B178" s="64">
        <v>2478</v>
      </c>
      <c r="C178" s="65">
        <v>600079929</v>
      </c>
      <c r="D178" s="64">
        <v>72743379</v>
      </c>
      <c r="E178" s="66" t="s">
        <v>634</v>
      </c>
      <c r="F178" s="67">
        <v>3143</v>
      </c>
      <c r="G178" s="78" t="s">
        <v>616</v>
      </c>
      <c r="H178" s="68" t="s">
        <v>277</v>
      </c>
      <c r="I178" s="462">
        <v>3430119</v>
      </c>
      <c r="J178" s="16">
        <v>2544599</v>
      </c>
      <c r="K178" s="457">
        <v>860074</v>
      </c>
      <c r="L178" s="457">
        <v>25446</v>
      </c>
      <c r="M178" s="16">
        <v>0</v>
      </c>
      <c r="N178" s="458">
        <v>5.5715000000000003</v>
      </c>
      <c r="O178" s="13">
        <v>5.5715000000000003</v>
      </c>
      <c r="P178" s="17">
        <v>0</v>
      </c>
      <c r="Q178" s="469">
        <f t="shared" si="224"/>
        <v>-3250</v>
      </c>
      <c r="R178" s="469">
        <v>0</v>
      </c>
      <c r="S178" s="460">
        <v>0</v>
      </c>
      <c r="T178" s="460">
        <v>0</v>
      </c>
      <c r="U178" s="460">
        <v>0</v>
      </c>
      <c r="V178" s="460">
        <f>SUM(Q178:U178)</f>
        <v>-3250</v>
      </c>
      <c r="W178" s="460">
        <v>3250</v>
      </c>
      <c r="X178" s="460">
        <v>0</v>
      </c>
      <c r="Y178" s="460">
        <v>0</v>
      </c>
      <c r="Z178" s="460">
        <f t="shared" si="273"/>
        <v>3250</v>
      </c>
      <c r="AA178" s="460">
        <f t="shared" si="274"/>
        <v>0</v>
      </c>
      <c r="AB178" s="69">
        <f t="shared" si="275"/>
        <v>0</v>
      </c>
      <c r="AC178" s="69">
        <f t="shared" si="276"/>
        <v>-33</v>
      </c>
      <c r="AD178" s="460">
        <v>0</v>
      </c>
      <c r="AE178" s="460">
        <v>0</v>
      </c>
      <c r="AF178" s="460">
        <f>SUM(AD178:AE178)</f>
        <v>0</v>
      </c>
      <c r="AG178" s="460">
        <f>AA178+AB178+AC178+AF178</f>
        <v>-33</v>
      </c>
      <c r="AH178" s="461">
        <v>0</v>
      </c>
      <c r="AI178" s="461">
        <v>0</v>
      </c>
      <c r="AJ178" s="461">
        <v>0</v>
      </c>
      <c r="AK178" s="461">
        <v>0</v>
      </c>
      <c r="AL178" s="461">
        <v>0</v>
      </c>
      <c r="AM178" s="461">
        <v>0</v>
      </c>
      <c r="AN178" s="461">
        <v>0</v>
      </c>
      <c r="AO178" s="461">
        <v>0</v>
      </c>
      <c r="AP178" s="461">
        <f t="shared" si="229"/>
        <v>0</v>
      </c>
      <c r="AQ178" s="461">
        <f t="shared" si="230"/>
        <v>0</v>
      </c>
      <c r="AR178" s="737">
        <f t="shared" si="231"/>
        <v>0</v>
      </c>
      <c r="AS178" s="470">
        <f t="shared" si="232"/>
        <v>3430086</v>
      </c>
      <c r="AT178" s="460">
        <f t="shared" si="233"/>
        <v>2541349</v>
      </c>
      <c r="AU178" s="460">
        <f t="shared" si="234"/>
        <v>3250</v>
      </c>
      <c r="AV178" s="460">
        <f t="shared" si="235"/>
        <v>860074</v>
      </c>
      <c r="AW178" s="460">
        <f t="shared" si="236"/>
        <v>25413</v>
      </c>
      <c r="AX178" s="460">
        <f t="shared" si="237"/>
        <v>0</v>
      </c>
      <c r="AY178" s="461">
        <f t="shared" si="238"/>
        <v>5.5715000000000003</v>
      </c>
      <c r="AZ178" s="461">
        <f t="shared" si="239"/>
        <v>5.5715000000000003</v>
      </c>
      <c r="BA178" s="463">
        <f t="shared" si="240"/>
        <v>0</v>
      </c>
    </row>
    <row r="179" spans="1:53" ht="14.1" customHeight="1" x14ac:dyDescent="0.2">
      <c r="A179" s="67">
        <v>39</v>
      </c>
      <c r="B179" s="64">
        <v>2478</v>
      </c>
      <c r="C179" s="65">
        <v>600079929</v>
      </c>
      <c r="D179" s="64">
        <v>72743379</v>
      </c>
      <c r="E179" s="66" t="s">
        <v>634</v>
      </c>
      <c r="F179" s="67">
        <v>3143</v>
      </c>
      <c r="G179" s="78" t="s">
        <v>617</v>
      </c>
      <c r="H179" s="68" t="s">
        <v>278</v>
      </c>
      <c r="I179" s="462">
        <v>104818</v>
      </c>
      <c r="J179" s="673">
        <v>74894</v>
      </c>
      <c r="K179" s="457">
        <v>25314</v>
      </c>
      <c r="L179" s="457">
        <v>749</v>
      </c>
      <c r="M179" s="673">
        <v>3861</v>
      </c>
      <c r="N179" s="458">
        <v>0.3</v>
      </c>
      <c r="O179" s="459">
        <v>0</v>
      </c>
      <c r="P179" s="717">
        <v>0.3</v>
      </c>
      <c r="Q179" s="469">
        <f t="shared" si="224"/>
        <v>0</v>
      </c>
      <c r="R179" s="469">
        <v>0</v>
      </c>
      <c r="S179" s="460">
        <v>0</v>
      </c>
      <c r="T179" s="460">
        <v>0</v>
      </c>
      <c r="U179" s="460">
        <v>0</v>
      </c>
      <c r="V179" s="460">
        <f>SUM(Q179:U179)</f>
        <v>0</v>
      </c>
      <c r="W179" s="460">
        <v>0</v>
      </c>
      <c r="X179" s="460">
        <v>0</v>
      </c>
      <c r="Y179" s="460">
        <v>0</v>
      </c>
      <c r="Z179" s="460">
        <f t="shared" si="273"/>
        <v>0</v>
      </c>
      <c r="AA179" s="460">
        <f t="shared" si="274"/>
        <v>0</v>
      </c>
      <c r="AB179" s="69">
        <f t="shared" si="275"/>
        <v>0</v>
      </c>
      <c r="AC179" s="69">
        <f t="shared" si="276"/>
        <v>0</v>
      </c>
      <c r="AD179" s="460">
        <v>0</v>
      </c>
      <c r="AE179" s="460">
        <v>0</v>
      </c>
      <c r="AF179" s="460">
        <f>SUM(AD179:AE179)</f>
        <v>0</v>
      </c>
      <c r="AG179" s="460">
        <f>AA179+AB179+AC179+AF179</f>
        <v>0</v>
      </c>
      <c r="AH179" s="461">
        <v>0</v>
      </c>
      <c r="AI179" s="461">
        <v>0</v>
      </c>
      <c r="AJ179" s="461">
        <v>0</v>
      </c>
      <c r="AK179" s="461">
        <v>0</v>
      </c>
      <c r="AL179" s="461">
        <v>0</v>
      </c>
      <c r="AM179" s="461">
        <v>0</v>
      </c>
      <c r="AN179" s="461">
        <v>0</v>
      </c>
      <c r="AO179" s="461">
        <v>0</v>
      </c>
      <c r="AP179" s="461">
        <f t="shared" si="229"/>
        <v>0</v>
      </c>
      <c r="AQ179" s="461">
        <f t="shared" si="230"/>
        <v>0</v>
      </c>
      <c r="AR179" s="737">
        <f t="shared" si="231"/>
        <v>0</v>
      </c>
      <c r="AS179" s="470">
        <f t="shared" si="232"/>
        <v>104818</v>
      </c>
      <c r="AT179" s="460">
        <f t="shared" si="233"/>
        <v>74894</v>
      </c>
      <c r="AU179" s="460">
        <f t="shared" si="234"/>
        <v>0</v>
      </c>
      <c r="AV179" s="460">
        <f t="shared" si="235"/>
        <v>25314</v>
      </c>
      <c r="AW179" s="460">
        <f t="shared" si="236"/>
        <v>749</v>
      </c>
      <c r="AX179" s="460">
        <f t="shared" si="237"/>
        <v>3861</v>
      </c>
      <c r="AY179" s="461">
        <f t="shared" si="238"/>
        <v>0.3</v>
      </c>
      <c r="AZ179" s="461">
        <f t="shared" si="239"/>
        <v>0</v>
      </c>
      <c r="BA179" s="463">
        <f t="shared" si="240"/>
        <v>0.3</v>
      </c>
    </row>
    <row r="180" spans="1:53" ht="14.1" customHeight="1" x14ac:dyDescent="0.2">
      <c r="A180" s="73">
        <v>39</v>
      </c>
      <c r="B180" s="70">
        <v>2478</v>
      </c>
      <c r="C180" s="71">
        <v>600079929</v>
      </c>
      <c r="D180" s="70">
        <v>72743379</v>
      </c>
      <c r="E180" s="72" t="s">
        <v>635</v>
      </c>
      <c r="F180" s="73"/>
      <c r="G180" s="72"/>
      <c r="H180" s="74"/>
      <c r="I180" s="701">
        <f t="shared" ref="I180:P180" si="277">SUM(I175:I179)</f>
        <v>44286337</v>
      </c>
      <c r="J180" s="75">
        <f t="shared" si="277"/>
        <v>32316294</v>
      </c>
      <c r="K180" s="75">
        <f t="shared" si="277"/>
        <v>10922907</v>
      </c>
      <c r="L180" s="75">
        <f t="shared" si="277"/>
        <v>323163</v>
      </c>
      <c r="M180" s="75">
        <f t="shared" si="277"/>
        <v>723973</v>
      </c>
      <c r="N180" s="76">
        <f t="shared" si="277"/>
        <v>59.972399999999993</v>
      </c>
      <c r="O180" s="76">
        <f t="shared" si="277"/>
        <v>43.662399999999998</v>
      </c>
      <c r="P180" s="77">
        <f t="shared" si="277"/>
        <v>16.309999999999999</v>
      </c>
      <c r="Q180" s="724">
        <f t="shared" ref="Q180:BA180" si="278">SUM(Q175:Q179)</f>
        <v>-32313</v>
      </c>
      <c r="R180" s="724">
        <f t="shared" si="278"/>
        <v>4162949</v>
      </c>
      <c r="S180" s="75">
        <f t="shared" si="278"/>
        <v>0</v>
      </c>
      <c r="T180" s="75">
        <f t="shared" si="278"/>
        <v>56948</v>
      </c>
      <c r="U180" s="75">
        <f t="shared" si="278"/>
        <v>0</v>
      </c>
      <c r="V180" s="75">
        <f t="shared" si="278"/>
        <v>4187584</v>
      </c>
      <c r="W180" s="75">
        <f t="shared" si="278"/>
        <v>32313</v>
      </c>
      <c r="X180" s="75">
        <f t="shared" si="278"/>
        <v>148560</v>
      </c>
      <c r="Y180" s="75">
        <f t="shared" si="278"/>
        <v>0</v>
      </c>
      <c r="Z180" s="75">
        <f t="shared" si="278"/>
        <v>180873</v>
      </c>
      <c r="AA180" s="75">
        <f t="shared" si="278"/>
        <v>4368457</v>
      </c>
      <c r="AB180" s="75">
        <f t="shared" si="278"/>
        <v>1476539</v>
      </c>
      <c r="AC180" s="75">
        <f t="shared" si="278"/>
        <v>41874</v>
      </c>
      <c r="AD180" s="75">
        <f t="shared" si="278"/>
        <v>0</v>
      </c>
      <c r="AE180" s="75">
        <f t="shared" si="278"/>
        <v>0</v>
      </c>
      <c r="AF180" s="75">
        <f t="shared" si="278"/>
        <v>0</v>
      </c>
      <c r="AG180" s="75">
        <f t="shared" si="278"/>
        <v>5886870</v>
      </c>
      <c r="AH180" s="76">
        <f t="shared" si="278"/>
        <v>0</v>
      </c>
      <c r="AI180" s="76">
        <f t="shared" si="278"/>
        <v>0</v>
      </c>
      <c r="AJ180" s="76">
        <f t="shared" si="278"/>
        <v>11.91</v>
      </c>
      <c r="AK180" s="76">
        <f t="shared" si="278"/>
        <v>0</v>
      </c>
      <c r="AL180" s="76">
        <f t="shared" si="278"/>
        <v>0</v>
      </c>
      <c r="AM180" s="76">
        <f t="shared" si="278"/>
        <v>0.09</v>
      </c>
      <c r="AN180" s="76">
        <f t="shared" si="278"/>
        <v>0</v>
      </c>
      <c r="AO180" s="76">
        <f t="shared" si="278"/>
        <v>0</v>
      </c>
      <c r="AP180" s="76">
        <f t="shared" si="278"/>
        <v>12</v>
      </c>
      <c r="AQ180" s="76">
        <f t="shared" si="278"/>
        <v>0</v>
      </c>
      <c r="AR180" s="720">
        <f t="shared" si="278"/>
        <v>12</v>
      </c>
      <c r="AS180" s="701">
        <f t="shared" si="278"/>
        <v>50173207</v>
      </c>
      <c r="AT180" s="75">
        <f t="shared" si="278"/>
        <v>36503878</v>
      </c>
      <c r="AU180" s="75">
        <f t="shared" si="278"/>
        <v>180873</v>
      </c>
      <c r="AV180" s="75">
        <f t="shared" si="278"/>
        <v>12399446</v>
      </c>
      <c r="AW180" s="75">
        <f t="shared" si="278"/>
        <v>365037</v>
      </c>
      <c r="AX180" s="75">
        <f t="shared" si="278"/>
        <v>723973</v>
      </c>
      <c r="AY180" s="76">
        <f t="shared" si="278"/>
        <v>71.972399999999993</v>
      </c>
      <c r="AZ180" s="76">
        <f t="shared" si="278"/>
        <v>55.662400000000005</v>
      </c>
      <c r="BA180" s="77">
        <f t="shared" si="278"/>
        <v>16.309999999999999</v>
      </c>
    </row>
    <row r="181" spans="1:53" ht="14.1" customHeight="1" x14ac:dyDescent="0.2">
      <c r="A181" s="67">
        <v>40</v>
      </c>
      <c r="B181" s="64">
        <v>2465</v>
      </c>
      <c r="C181" s="65">
        <v>650018273</v>
      </c>
      <c r="D181" s="64">
        <v>72741791</v>
      </c>
      <c r="E181" s="66" t="s">
        <v>636</v>
      </c>
      <c r="F181" s="67">
        <v>3111</v>
      </c>
      <c r="G181" s="66" t="s">
        <v>307</v>
      </c>
      <c r="H181" s="68" t="s">
        <v>277</v>
      </c>
      <c r="I181" s="462">
        <v>6291014</v>
      </c>
      <c r="J181" s="16">
        <v>4639624</v>
      </c>
      <c r="K181" s="457">
        <v>1568193</v>
      </c>
      <c r="L181" s="457">
        <v>46397</v>
      </c>
      <c r="M181" s="16">
        <v>36800</v>
      </c>
      <c r="N181" s="13">
        <v>9.5355000000000008</v>
      </c>
      <c r="O181" s="13">
        <v>7.9355000000000002</v>
      </c>
      <c r="P181" s="17">
        <v>1.6</v>
      </c>
      <c r="Q181" s="469">
        <f t="shared" si="224"/>
        <v>-32500</v>
      </c>
      <c r="R181" s="469">
        <v>0</v>
      </c>
      <c r="S181" s="460">
        <v>0</v>
      </c>
      <c r="T181" s="460">
        <v>0</v>
      </c>
      <c r="U181" s="460">
        <v>0</v>
      </c>
      <c r="V181" s="460">
        <f t="shared" ref="V181:V186" si="279">SUM(Q181:U181)</f>
        <v>-32500</v>
      </c>
      <c r="W181" s="460">
        <v>32500</v>
      </c>
      <c r="X181" s="460">
        <v>0</v>
      </c>
      <c r="Y181" s="460">
        <v>0</v>
      </c>
      <c r="Z181" s="460">
        <f t="shared" ref="Z181:Z186" si="280">SUM(W181:Y181)</f>
        <v>32500</v>
      </c>
      <c r="AA181" s="460">
        <f t="shared" ref="AA181:AA186" si="281">V181+Z181</f>
        <v>0</v>
      </c>
      <c r="AB181" s="69">
        <f t="shared" ref="AB181:AB186" si="282">ROUND((V181+W181+X181)*33.8%,0)</f>
        <v>0</v>
      </c>
      <c r="AC181" s="69">
        <f t="shared" ref="AC181:AC186" si="283">ROUND(V181*1%,0)</f>
        <v>-325</v>
      </c>
      <c r="AD181" s="460">
        <v>0</v>
      </c>
      <c r="AE181" s="460">
        <v>0</v>
      </c>
      <c r="AF181" s="460">
        <f t="shared" ref="AF181:AF186" si="284">SUM(AD181:AE181)</f>
        <v>0</v>
      </c>
      <c r="AG181" s="460">
        <f t="shared" ref="AG181:AG186" si="285">AA181+AB181+AC181+AF181</f>
        <v>-325</v>
      </c>
      <c r="AH181" s="461">
        <v>0</v>
      </c>
      <c r="AI181" s="461">
        <v>0</v>
      </c>
      <c r="AJ181" s="461">
        <v>0</v>
      </c>
      <c r="AK181" s="461">
        <v>0</v>
      </c>
      <c r="AL181" s="461">
        <v>0</v>
      </c>
      <c r="AM181" s="461">
        <v>0</v>
      </c>
      <c r="AN181" s="461">
        <v>0</v>
      </c>
      <c r="AO181" s="461">
        <v>0</v>
      </c>
      <c r="AP181" s="461">
        <f t="shared" si="229"/>
        <v>0</v>
      </c>
      <c r="AQ181" s="461">
        <f t="shared" si="230"/>
        <v>0</v>
      </c>
      <c r="AR181" s="737">
        <f t="shared" si="231"/>
        <v>0</v>
      </c>
      <c r="AS181" s="470">
        <f t="shared" si="232"/>
        <v>6290689</v>
      </c>
      <c r="AT181" s="460">
        <f t="shared" si="233"/>
        <v>4607124</v>
      </c>
      <c r="AU181" s="460">
        <f t="shared" si="234"/>
        <v>32500</v>
      </c>
      <c r="AV181" s="460">
        <f t="shared" si="235"/>
        <v>1568193</v>
      </c>
      <c r="AW181" s="460">
        <f t="shared" si="236"/>
        <v>46072</v>
      </c>
      <c r="AX181" s="460">
        <f t="shared" si="237"/>
        <v>36800</v>
      </c>
      <c r="AY181" s="461">
        <f t="shared" si="238"/>
        <v>9.5355000000000008</v>
      </c>
      <c r="AZ181" s="461">
        <f t="shared" si="239"/>
        <v>7.9355000000000002</v>
      </c>
      <c r="BA181" s="463">
        <f t="shared" si="240"/>
        <v>1.6</v>
      </c>
    </row>
    <row r="182" spans="1:53" ht="14.1" customHeight="1" x14ac:dyDescent="0.2">
      <c r="A182" s="67">
        <v>40</v>
      </c>
      <c r="B182" s="64">
        <v>2465</v>
      </c>
      <c r="C182" s="65">
        <v>650018273</v>
      </c>
      <c r="D182" s="64">
        <v>72741791</v>
      </c>
      <c r="E182" s="66" t="s">
        <v>636</v>
      </c>
      <c r="F182" s="67">
        <v>3113</v>
      </c>
      <c r="G182" s="66" t="s">
        <v>310</v>
      </c>
      <c r="H182" s="68" t="s">
        <v>277</v>
      </c>
      <c r="I182" s="462">
        <v>20048260</v>
      </c>
      <c r="J182" s="16">
        <v>14610115</v>
      </c>
      <c r="K182" s="457">
        <v>4938219</v>
      </c>
      <c r="L182" s="457">
        <v>146101</v>
      </c>
      <c r="M182" s="16">
        <v>353825</v>
      </c>
      <c r="N182" s="13">
        <v>26.396000000000001</v>
      </c>
      <c r="O182" s="13">
        <v>20.036000000000001</v>
      </c>
      <c r="P182" s="17">
        <v>6.36</v>
      </c>
      <c r="Q182" s="469">
        <f t="shared" si="224"/>
        <v>-65000</v>
      </c>
      <c r="R182" s="469">
        <v>0</v>
      </c>
      <c r="S182" s="460">
        <v>0</v>
      </c>
      <c r="T182" s="460">
        <v>0</v>
      </c>
      <c r="U182" s="460">
        <v>0</v>
      </c>
      <c r="V182" s="460">
        <f t="shared" si="279"/>
        <v>-65000</v>
      </c>
      <c r="W182" s="460">
        <v>65000</v>
      </c>
      <c r="X182" s="460">
        <v>0</v>
      </c>
      <c r="Y182" s="460">
        <v>0</v>
      </c>
      <c r="Z182" s="460">
        <f t="shared" si="280"/>
        <v>65000</v>
      </c>
      <c r="AA182" s="460">
        <f t="shared" si="281"/>
        <v>0</v>
      </c>
      <c r="AB182" s="69">
        <f t="shared" si="282"/>
        <v>0</v>
      </c>
      <c r="AC182" s="69">
        <f t="shared" si="283"/>
        <v>-650</v>
      </c>
      <c r="AD182" s="460">
        <v>0</v>
      </c>
      <c r="AE182" s="460">
        <v>0</v>
      </c>
      <c r="AF182" s="460">
        <f t="shared" si="284"/>
        <v>0</v>
      </c>
      <c r="AG182" s="460">
        <f t="shared" si="285"/>
        <v>-650</v>
      </c>
      <c r="AH182" s="461">
        <v>0</v>
      </c>
      <c r="AI182" s="461">
        <v>0</v>
      </c>
      <c r="AJ182" s="461">
        <v>0</v>
      </c>
      <c r="AK182" s="461">
        <v>0</v>
      </c>
      <c r="AL182" s="461">
        <v>0</v>
      </c>
      <c r="AM182" s="461">
        <v>0</v>
      </c>
      <c r="AN182" s="461">
        <v>0</v>
      </c>
      <c r="AO182" s="461">
        <v>0</v>
      </c>
      <c r="AP182" s="461">
        <f t="shared" si="229"/>
        <v>0</v>
      </c>
      <c r="AQ182" s="461">
        <f t="shared" si="230"/>
        <v>0</v>
      </c>
      <c r="AR182" s="737">
        <f t="shared" si="231"/>
        <v>0</v>
      </c>
      <c r="AS182" s="470">
        <f t="shared" si="232"/>
        <v>20047610</v>
      </c>
      <c r="AT182" s="460">
        <f t="shared" si="233"/>
        <v>14545115</v>
      </c>
      <c r="AU182" s="460">
        <f t="shared" si="234"/>
        <v>65000</v>
      </c>
      <c r="AV182" s="460">
        <f t="shared" si="235"/>
        <v>4938219</v>
      </c>
      <c r="AW182" s="460">
        <f t="shared" si="236"/>
        <v>145451</v>
      </c>
      <c r="AX182" s="460">
        <f t="shared" si="237"/>
        <v>353825</v>
      </c>
      <c r="AY182" s="461">
        <f t="shared" si="238"/>
        <v>26.396000000000001</v>
      </c>
      <c r="AZ182" s="461">
        <f t="shared" si="239"/>
        <v>20.036000000000001</v>
      </c>
      <c r="BA182" s="463">
        <f t="shared" si="240"/>
        <v>6.36</v>
      </c>
    </row>
    <row r="183" spans="1:53" ht="14.1" customHeight="1" x14ac:dyDescent="0.2">
      <c r="A183" s="67">
        <v>40</v>
      </c>
      <c r="B183" s="64">
        <v>2465</v>
      </c>
      <c r="C183" s="65">
        <v>650018273</v>
      </c>
      <c r="D183" s="64">
        <v>72741791</v>
      </c>
      <c r="E183" s="66" t="s">
        <v>636</v>
      </c>
      <c r="F183" s="67">
        <v>3113</v>
      </c>
      <c r="G183" s="78" t="s">
        <v>308</v>
      </c>
      <c r="H183" s="68" t="s">
        <v>278</v>
      </c>
      <c r="I183" s="462">
        <v>0</v>
      </c>
      <c r="J183" s="457">
        <v>0</v>
      </c>
      <c r="K183" s="457">
        <v>0</v>
      </c>
      <c r="L183" s="457">
        <v>0</v>
      </c>
      <c r="M183" s="457">
        <v>0</v>
      </c>
      <c r="N183" s="458">
        <v>0</v>
      </c>
      <c r="O183" s="459">
        <v>0</v>
      </c>
      <c r="P183" s="646">
        <v>0</v>
      </c>
      <c r="Q183" s="469">
        <f t="shared" si="224"/>
        <v>0</v>
      </c>
      <c r="R183" s="469">
        <v>3070213</v>
      </c>
      <c r="S183" s="460">
        <v>0</v>
      </c>
      <c r="T183" s="460">
        <v>0</v>
      </c>
      <c r="U183" s="460">
        <v>0</v>
      </c>
      <c r="V183" s="460">
        <f t="shared" si="279"/>
        <v>3070213</v>
      </c>
      <c r="W183" s="460">
        <v>0</v>
      </c>
      <c r="X183" s="460">
        <v>0</v>
      </c>
      <c r="Y183" s="460">
        <v>0</v>
      </c>
      <c r="Z183" s="460">
        <f t="shared" si="280"/>
        <v>0</v>
      </c>
      <c r="AA183" s="460">
        <f t="shared" si="281"/>
        <v>3070213</v>
      </c>
      <c r="AB183" s="69">
        <f t="shared" si="282"/>
        <v>1037732</v>
      </c>
      <c r="AC183" s="69">
        <f t="shared" si="283"/>
        <v>30702</v>
      </c>
      <c r="AD183" s="460">
        <v>0</v>
      </c>
      <c r="AE183" s="460">
        <v>0</v>
      </c>
      <c r="AF183" s="460">
        <f t="shared" si="284"/>
        <v>0</v>
      </c>
      <c r="AG183" s="460">
        <f t="shared" si="285"/>
        <v>4138647</v>
      </c>
      <c r="AH183" s="461">
        <v>0</v>
      </c>
      <c r="AI183" s="461">
        <v>0</v>
      </c>
      <c r="AJ183" s="461">
        <v>8.93</v>
      </c>
      <c r="AK183" s="461">
        <v>0</v>
      </c>
      <c r="AL183" s="461">
        <v>0</v>
      </c>
      <c r="AM183" s="461">
        <v>0</v>
      </c>
      <c r="AN183" s="461">
        <v>0</v>
      </c>
      <c r="AO183" s="461">
        <v>0</v>
      </c>
      <c r="AP183" s="461">
        <f t="shared" si="229"/>
        <v>8.93</v>
      </c>
      <c r="AQ183" s="461">
        <f t="shared" si="230"/>
        <v>0</v>
      </c>
      <c r="AR183" s="737">
        <f t="shared" si="231"/>
        <v>8.93</v>
      </c>
      <c r="AS183" s="470">
        <f t="shared" si="232"/>
        <v>4138647</v>
      </c>
      <c r="AT183" s="460">
        <f t="shared" si="233"/>
        <v>3070213</v>
      </c>
      <c r="AU183" s="460">
        <f t="shared" si="234"/>
        <v>0</v>
      </c>
      <c r="AV183" s="460">
        <f t="shared" si="235"/>
        <v>1037732</v>
      </c>
      <c r="AW183" s="460">
        <f t="shared" si="236"/>
        <v>30702</v>
      </c>
      <c r="AX183" s="460">
        <f t="shared" si="237"/>
        <v>0</v>
      </c>
      <c r="AY183" s="461">
        <f t="shared" si="238"/>
        <v>8.93</v>
      </c>
      <c r="AZ183" s="461">
        <f t="shared" si="239"/>
        <v>8.93</v>
      </c>
      <c r="BA183" s="463">
        <f t="shared" si="240"/>
        <v>0</v>
      </c>
    </row>
    <row r="184" spans="1:53" ht="14.1" customHeight="1" x14ac:dyDescent="0.2">
      <c r="A184" s="67">
        <v>40</v>
      </c>
      <c r="B184" s="64">
        <v>2465</v>
      </c>
      <c r="C184" s="65">
        <v>650018273</v>
      </c>
      <c r="D184" s="64">
        <v>72741791</v>
      </c>
      <c r="E184" s="66" t="s">
        <v>636</v>
      </c>
      <c r="F184" s="67">
        <v>3141</v>
      </c>
      <c r="G184" s="66" t="s">
        <v>311</v>
      </c>
      <c r="H184" s="68" t="s">
        <v>278</v>
      </c>
      <c r="I184" s="462">
        <v>1730552</v>
      </c>
      <c r="J184" s="735">
        <v>1274128</v>
      </c>
      <c r="K184" s="457">
        <v>430655</v>
      </c>
      <c r="L184" s="457">
        <v>12741</v>
      </c>
      <c r="M184" s="735">
        <v>13028</v>
      </c>
      <c r="N184" s="458">
        <v>4.0999999999999996</v>
      </c>
      <c r="O184" s="459">
        <v>0</v>
      </c>
      <c r="P184" s="646">
        <v>4.0999999999999996</v>
      </c>
      <c r="Q184" s="469">
        <f t="shared" si="224"/>
        <v>-19500</v>
      </c>
      <c r="R184" s="469">
        <v>0</v>
      </c>
      <c r="S184" s="460">
        <v>0</v>
      </c>
      <c r="T184" s="460">
        <v>0</v>
      </c>
      <c r="U184" s="460">
        <v>0</v>
      </c>
      <c r="V184" s="460">
        <f t="shared" si="279"/>
        <v>-19500</v>
      </c>
      <c r="W184" s="460">
        <v>19500</v>
      </c>
      <c r="X184" s="460">
        <v>0</v>
      </c>
      <c r="Y184" s="460">
        <v>0</v>
      </c>
      <c r="Z184" s="460">
        <f t="shared" si="280"/>
        <v>19500</v>
      </c>
      <c r="AA184" s="460">
        <f t="shared" si="281"/>
        <v>0</v>
      </c>
      <c r="AB184" s="69">
        <f t="shared" si="282"/>
        <v>0</v>
      </c>
      <c r="AC184" s="69">
        <f t="shared" si="283"/>
        <v>-195</v>
      </c>
      <c r="AD184" s="460">
        <v>0</v>
      </c>
      <c r="AE184" s="460">
        <v>0</v>
      </c>
      <c r="AF184" s="460">
        <f t="shared" si="284"/>
        <v>0</v>
      </c>
      <c r="AG184" s="460">
        <f t="shared" si="285"/>
        <v>-195</v>
      </c>
      <c r="AH184" s="461">
        <v>0</v>
      </c>
      <c r="AI184" s="461">
        <v>0</v>
      </c>
      <c r="AJ184" s="461">
        <v>0</v>
      </c>
      <c r="AK184" s="461">
        <v>0</v>
      </c>
      <c r="AL184" s="461">
        <v>0</v>
      </c>
      <c r="AM184" s="461">
        <v>0</v>
      </c>
      <c r="AN184" s="461">
        <v>0</v>
      </c>
      <c r="AO184" s="461">
        <v>0</v>
      </c>
      <c r="AP184" s="461">
        <f t="shared" si="229"/>
        <v>0</v>
      </c>
      <c r="AQ184" s="461">
        <f t="shared" si="230"/>
        <v>0</v>
      </c>
      <c r="AR184" s="737">
        <f t="shared" si="231"/>
        <v>0</v>
      </c>
      <c r="AS184" s="470">
        <f t="shared" si="232"/>
        <v>1730357</v>
      </c>
      <c r="AT184" s="460">
        <f t="shared" si="233"/>
        <v>1254628</v>
      </c>
      <c r="AU184" s="460">
        <f t="shared" si="234"/>
        <v>19500</v>
      </c>
      <c r="AV184" s="460">
        <f t="shared" si="235"/>
        <v>430655</v>
      </c>
      <c r="AW184" s="460">
        <f t="shared" si="236"/>
        <v>12546</v>
      </c>
      <c r="AX184" s="460">
        <f t="shared" si="237"/>
        <v>13028</v>
      </c>
      <c r="AY184" s="461">
        <f t="shared" si="238"/>
        <v>4.0999999999999996</v>
      </c>
      <c r="AZ184" s="461">
        <f t="shared" si="239"/>
        <v>0</v>
      </c>
      <c r="BA184" s="463">
        <f t="shared" si="240"/>
        <v>4.0999999999999996</v>
      </c>
    </row>
    <row r="185" spans="1:53" ht="14.1" customHeight="1" x14ac:dyDescent="0.2">
      <c r="A185" s="67">
        <v>40</v>
      </c>
      <c r="B185" s="64">
        <v>2465</v>
      </c>
      <c r="C185" s="65">
        <v>650018273</v>
      </c>
      <c r="D185" s="64">
        <v>72741791</v>
      </c>
      <c r="E185" s="66" t="s">
        <v>636</v>
      </c>
      <c r="F185" s="67">
        <v>3143</v>
      </c>
      <c r="G185" s="78" t="s">
        <v>616</v>
      </c>
      <c r="H185" s="68" t="s">
        <v>277</v>
      </c>
      <c r="I185" s="462">
        <v>1813921</v>
      </c>
      <c r="J185" s="16">
        <v>1345639</v>
      </c>
      <c r="K185" s="457">
        <v>454826</v>
      </c>
      <c r="L185" s="457">
        <v>13456</v>
      </c>
      <c r="M185" s="16">
        <v>0</v>
      </c>
      <c r="N185" s="458">
        <v>3.1122000000000001</v>
      </c>
      <c r="O185" s="13">
        <v>3.1122000000000001</v>
      </c>
      <c r="P185" s="17">
        <v>0</v>
      </c>
      <c r="Q185" s="469">
        <f t="shared" si="224"/>
        <v>-13000</v>
      </c>
      <c r="R185" s="469">
        <v>0</v>
      </c>
      <c r="S185" s="460">
        <v>0</v>
      </c>
      <c r="T185" s="460">
        <v>0</v>
      </c>
      <c r="U185" s="460">
        <v>0</v>
      </c>
      <c r="V185" s="460">
        <f t="shared" si="279"/>
        <v>-13000</v>
      </c>
      <c r="W185" s="460">
        <v>13000</v>
      </c>
      <c r="X185" s="460">
        <v>0</v>
      </c>
      <c r="Y185" s="460">
        <v>0</v>
      </c>
      <c r="Z185" s="460">
        <f t="shared" si="280"/>
        <v>13000</v>
      </c>
      <c r="AA185" s="460">
        <f t="shared" si="281"/>
        <v>0</v>
      </c>
      <c r="AB185" s="69">
        <f t="shared" si="282"/>
        <v>0</v>
      </c>
      <c r="AC185" s="69">
        <f t="shared" si="283"/>
        <v>-130</v>
      </c>
      <c r="AD185" s="460">
        <v>0</v>
      </c>
      <c r="AE185" s="460">
        <v>0</v>
      </c>
      <c r="AF185" s="460">
        <f t="shared" si="284"/>
        <v>0</v>
      </c>
      <c r="AG185" s="460">
        <f t="shared" si="285"/>
        <v>-130</v>
      </c>
      <c r="AH185" s="461">
        <v>0</v>
      </c>
      <c r="AI185" s="461">
        <v>0</v>
      </c>
      <c r="AJ185" s="461">
        <v>0</v>
      </c>
      <c r="AK185" s="461">
        <v>0</v>
      </c>
      <c r="AL185" s="461">
        <v>0</v>
      </c>
      <c r="AM185" s="461">
        <v>0</v>
      </c>
      <c r="AN185" s="461">
        <v>0</v>
      </c>
      <c r="AO185" s="461">
        <v>0</v>
      </c>
      <c r="AP185" s="461">
        <f t="shared" si="229"/>
        <v>0</v>
      </c>
      <c r="AQ185" s="461">
        <f t="shared" si="230"/>
        <v>0</v>
      </c>
      <c r="AR185" s="737">
        <f t="shared" si="231"/>
        <v>0</v>
      </c>
      <c r="AS185" s="470">
        <f t="shared" si="232"/>
        <v>1813791</v>
      </c>
      <c r="AT185" s="460">
        <f t="shared" si="233"/>
        <v>1332639</v>
      </c>
      <c r="AU185" s="460">
        <f t="shared" si="234"/>
        <v>13000</v>
      </c>
      <c r="AV185" s="460">
        <f t="shared" si="235"/>
        <v>454826</v>
      </c>
      <c r="AW185" s="460">
        <f t="shared" si="236"/>
        <v>13326</v>
      </c>
      <c r="AX185" s="460">
        <f t="shared" si="237"/>
        <v>0</v>
      </c>
      <c r="AY185" s="461">
        <f t="shared" si="238"/>
        <v>3.1122000000000001</v>
      </c>
      <c r="AZ185" s="461">
        <f t="shared" si="239"/>
        <v>3.1122000000000001</v>
      </c>
      <c r="BA185" s="463">
        <f t="shared" si="240"/>
        <v>0</v>
      </c>
    </row>
    <row r="186" spans="1:53" ht="14.1" customHeight="1" x14ac:dyDescent="0.2">
      <c r="A186" s="67">
        <v>40</v>
      </c>
      <c r="B186" s="64">
        <v>2465</v>
      </c>
      <c r="C186" s="65">
        <v>650018273</v>
      </c>
      <c r="D186" s="64">
        <v>72741791</v>
      </c>
      <c r="E186" s="66" t="s">
        <v>636</v>
      </c>
      <c r="F186" s="67">
        <v>3143</v>
      </c>
      <c r="G186" s="78" t="s">
        <v>617</v>
      </c>
      <c r="H186" s="68" t="s">
        <v>278</v>
      </c>
      <c r="I186" s="462">
        <v>65969</v>
      </c>
      <c r="J186" s="673">
        <v>47136</v>
      </c>
      <c r="K186" s="457">
        <v>15932</v>
      </c>
      <c r="L186" s="457">
        <v>471</v>
      </c>
      <c r="M186" s="673">
        <v>2430</v>
      </c>
      <c r="N186" s="458">
        <v>0.19</v>
      </c>
      <c r="O186" s="459">
        <v>0</v>
      </c>
      <c r="P186" s="646">
        <v>0.19</v>
      </c>
      <c r="Q186" s="469">
        <f t="shared" si="224"/>
        <v>0</v>
      </c>
      <c r="R186" s="469">
        <v>0</v>
      </c>
      <c r="S186" s="460">
        <v>0</v>
      </c>
      <c r="T186" s="460">
        <v>0</v>
      </c>
      <c r="U186" s="460">
        <v>0</v>
      </c>
      <c r="V186" s="460">
        <f t="shared" si="279"/>
        <v>0</v>
      </c>
      <c r="W186" s="460">
        <v>0</v>
      </c>
      <c r="X186" s="460">
        <v>0</v>
      </c>
      <c r="Y186" s="460">
        <v>0</v>
      </c>
      <c r="Z186" s="460">
        <f t="shared" si="280"/>
        <v>0</v>
      </c>
      <c r="AA186" s="460">
        <f t="shared" si="281"/>
        <v>0</v>
      </c>
      <c r="AB186" s="69">
        <f t="shared" si="282"/>
        <v>0</v>
      </c>
      <c r="AC186" s="69">
        <f t="shared" si="283"/>
        <v>0</v>
      </c>
      <c r="AD186" s="460">
        <v>0</v>
      </c>
      <c r="AE186" s="460">
        <v>0</v>
      </c>
      <c r="AF186" s="460">
        <f t="shared" si="284"/>
        <v>0</v>
      </c>
      <c r="AG186" s="460">
        <f t="shared" si="285"/>
        <v>0</v>
      </c>
      <c r="AH186" s="461">
        <v>0</v>
      </c>
      <c r="AI186" s="461">
        <v>0</v>
      </c>
      <c r="AJ186" s="461">
        <v>0</v>
      </c>
      <c r="AK186" s="461">
        <v>0</v>
      </c>
      <c r="AL186" s="461">
        <v>0</v>
      </c>
      <c r="AM186" s="461">
        <v>0</v>
      </c>
      <c r="AN186" s="461">
        <v>0</v>
      </c>
      <c r="AO186" s="461">
        <v>0</v>
      </c>
      <c r="AP186" s="461">
        <f t="shared" si="229"/>
        <v>0</v>
      </c>
      <c r="AQ186" s="461">
        <f t="shared" si="230"/>
        <v>0</v>
      </c>
      <c r="AR186" s="737">
        <f t="shared" si="231"/>
        <v>0</v>
      </c>
      <c r="AS186" s="470">
        <f t="shared" si="232"/>
        <v>65969</v>
      </c>
      <c r="AT186" s="460">
        <f t="shared" si="233"/>
        <v>47136</v>
      </c>
      <c r="AU186" s="460">
        <f t="shared" si="234"/>
        <v>0</v>
      </c>
      <c r="AV186" s="460">
        <f t="shared" si="235"/>
        <v>15932</v>
      </c>
      <c r="AW186" s="460">
        <f t="shared" si="236"/>
        <v>471</v>
      </c>
      <c r="AX186" s="460">
        <f t="shared" si="237"/>
        <v>2430</v>
      </c>
      <c r="AY186" s="461">
        <f t="shared" si="238"/>
        <v>0.19</v>
      </c>
      <c r="AZ186" s="461">
        <f t="shared" si="239"/>
        <v>0</v>
      </c>
      <c r="BA186" s="463">
        <f t="shared" si="240"/>
        <v>0.19</v>
      </c>
    </row>
    <row r="187" spans="1:53" ht="14.1" customHeight="1" x14ac:dyDescent="0.2">
      <c r="A187" s="73">
        <v>40</v>
      </c>
      <c r="B187" s="70">
        <v>2465</v>
      </c>
      <c r="C187" s="71">
        <v>650018273</v>
      </c>
      <c r="D187" s="70">
        <v>72741791</v>
      </c>
      <c r="E187" s="72" t="s">
        <v>637</v>
      </c>
      <c r="F187" s="73"/>
      <c r="G187" s="72"/>
      <c r="H187" s="74"/>
      <c r="I187" s="701">
        <f t="shared" ref="I187:P187" si="286">SUM(I181:I186)</f>
        <v>29949716</v>
      </c>
      <c r="J187" s="75">
        <f t="shared" si="286"/>
        <v>21916642</v>
      </c>
      <c r="K187" s="75">
        <f t="shared" si="286"/>
        <v>7407825</v>
      </c>
      <c r="L187" s="75">
        <f t="shared" si="286"/>
        <v>219166</v>
      </c>
      <c r="M187" s="75">
        <f t="shared" si="286"/>
        <v>406083</v>
      </c>
      <c r="N187" s="76">
        <f t="shared" si="286"/>
        <v>43.3337</v>
      </c>
      <c r="O187" s="76">
        <f t="shared" si="286"/>
        <v>31.083700000000004</v>
      </c>
      <c r="P187" s="77">
        <f t="shared" si="286"/>
        <v>12.25</v>
      </c>
      <c r="Q187" s="724">
        <f t="shared" ref="Q187:BA187" si="287">SUM(Q181:Q186)</f>
        <v>-130000</v>
      </c>
      <c r="R187" s="724">
        <f t="shared" si="287"/>
        <v>3070213</v>
      </c>
      <c r="S187" s="75">
        <f t="shared" si="287"/>
        <v>0</v>
      </c>
      <c r="T187" s="75">
        <f t="shared" si="287"/>
        <v>0</v>
      </c>
      <c r="U187" s="75">
        <f t="shared" si="287"/>
        <v>0</v>
      </c>
      <c r="V187" s="75">
        <f t="shared" si="287"/>
        <v>2940213</v>
      </c>
      <c r="W187" s="75">
        <f t="shared" si="287"/>
        <v>130000</v>
      </c>
      <c r="X187" s="75">
        <f t="shared" si="287"/>
        <v>0</v>
      </c>
      <c r="Y187" s="75">
        <f t="shared" si="287"/>
        <v>0</v>
      </c>
      <c r="Z187" s="75">
        <f t="shared" si="287"/>
        <v>130000</v>
      </c>
      <c r="AA187" s="75">
        <f t="shared" si="287"/>
        <v>3070213</v>
      </c>
      <c r="AB187" s="75">
        <f t="shared" si="287"/>
        <v>1037732</v>
      </c>
      <c r="AC187" s="75">
        <f t="shared" si="287"/>
        <v>29402</v>
      </c>
      <c r="AD187" s="75">
        <f t="shared" si="287"/>
        <v>0</v>
      </c>
      <c r="AE187" s="75">
        <f t="shared" si="287"/>
        <v>0</v>
      </c>
      <c r="AF187" s="75">
        <f t="shared" si="287"/>
        <v>0</v>
      </c>
      <c r="AG187" s="75">
        <f t="shared" si="287"/>
        <v>4137347</v>
      </c>
      <c r="AH187" s="76">
        <f t="shared" si="287"/>
        <v>0</v>
      </c>
      <c r="AI187" s="76">
        <f t="shared" si="287"/>
        <v>0</v>
      </c>
      <c r="AJ187" s="76">
        <f t="shared" si="287"/>
        <v>8.93</v>
      </c>
      <c r="AK187" s="76">
        <f t="shared" si="287"/>
        <v>0</v>
      </c>
      <c r="AL187" s="76">
        <f t="shared" si="287"/>
        <v>0</v>
      </c>
      <c r="AM187" s="76">
        <f t="shared" si="287"/>
        <v>0</v>
      </c>
      <c r="AN187" s="76">
        <f t="shared" si="287"/>
        <v>0</v>
      </c>
      <c r="AO187" s="76">
        <f t="shared" si="287"/>
        <v>0</v>
      </c>
      <c r="AP187" s="76">
        <f t="shared" si="287"/>
        <v>8.93</v>
      </c>
      <c r="AQ187" s="76">
        <f t="shared" si="287"/>
        <v>0</v>
      </c>
      <c r="AR187" s="720">
        <f t="shared" si="287"/>
        <v>8.93</v>
      </c>
      <c r="AS187" s="701">
        <f t="shared" si="287"/>
        <v>34087063</v>
      </c>
      <c r="AT187" s="75">
        <f t="shared" si="287"/>
        <v>24856855</v>
      </c>
      <c r="AU187" s="75">
        <f t="shared" si="287"/>
        <v>130000</v>
      </c>
      <c r="AV187" s="75">
        <f t="shared" si="287"/>
        <v>8445557</v>
      </c>
      <c r="AW187" s="75">
        <f t="shared" si="287"/>
        <v>248568</v>
      </c>
      <c r="AX187" s="75">
        <f t="shared" si="287"/>
        <v>406083</v>
      </c>
      <c r="AY187" s="76">
        <f t="shared" si="287"/>
        <v>52.2637</v>
      </c>
      <c r="AZ187" s="76">
        <f t="shared" si="287"/>
        <v>40.0137</v>
      </c>
      <c r="BA187" s="77">
        <f t="shared" si="287"/>
        <v>12.25</v>
      </c>
    </row>
    <row r="188" spans="1:53" ht="14.1" customHeight="1" x14ac:dyDescent="0.2">
      <c r="A188" s="67">
        <v>41</v>
      </c>
      <c r="B188" s="64">
        <v>2480</v>
      </c>
      <c r="C188" s="65">
        <v>600080293</v>
      </c>
      <c r="D188" s="64">
        <v>46744924</v>
      </c>
      <c r="E188" s="66" t="s">
        <v>638</v>
      </c>
      <c r="F188" s="67">
        <v>3113</v>
      </c>
      <c r="G188" s="66" t="s">
        <v>310</v>
      </c>
      <c r="H188" s="68" t="s">
        <v>277</v>
      </c>
      <c r="I188" s="462">
        <v>34842795</v>
      </c>
      <c r="J188" s="16">
        <v>25372500</v>
      </c>
      <c r="K188" s="457">
        <v>8575905</v>
      </c>
      <c r="L188" s="457">
        <v>253725</v>
      </c>
      <c r="M188" s="16">
        <v>640665</v>
      </c>
      <c r="N188" s="13">
        <v>40.2136</v>
      </c>
      <c r="O188" s="13">
        <v>32.863599999999998</v>
      </c>
      <c r="P188" s="17">
        <v>7.35</v>
      </c>
      <c r="Q188" s="469">
        <f t="shared" si="224"/>
        <v>-13000</v>
      </c>
      <c r="R188" s="469">
        <v>0</v>
      </c>
      <c r="S188" s="460">
        <v>0</v>
      </c>
      <c r="T188" s="460">
        <v>0</v>
      </c>
      <c r="U188" s="460">
        <v>0</v>
      </c>
      <c r="V188" s="460">
        <f t="shared" ref="V188:V193" si="288">SUM(Q188:U188)</f>
        <v>-13000</v>
      </c>
      <c r="W188" s="460">
        <v>13000</v>
      </c>
      <c r="X188" s="460">
        <v>0</v>
      </c>
      <c r="Y188" s="460">
        <v>0</v>
      </c>
      <c r="Z188" s="460">
        <f t="shared" ref="Z188:Z193" si="289">SUM(W188:Y188)</f>
        <v>13000</v>
      </c>
      <c r="AA188" s="460">
        <f t="shared" ref="AA188:AA193" si="290">V188+Z188</f>
        <v>0</v>
      </c>
      <c r="AB188" s="69">
        <f t="shared" ref="AB188:AB193" si="291">ROUND((V188+W188+X188)*33.8%,0)</f>
        <v>0</v>
      </c>
      <c r="AC188" s="69">
        <f t="shared" ref="AC188:AC193" si="292">ROUND(V188*1%,0)</f>
        <v>-130</v>
      </c>
      <c r="AD188" s="460">
        <v>0</v>
      </c>
      <c r="AE188" s="460">
        <v>0</v>
      </c>
      <c r="AF188" s="460">
        <f t="shared" ref="AF188:AF193" si="293">SUM(AD188:AE188)</f>
        <v>0</v>
      </c>
      <c r="AG188" s="460">
        <f t="shared" ref="AG188:AG193" si="294">AA188+AB188+AC188+AF188</f>
        <v>-130</v>
      </c>
      <c r="AH188" s="461">
        <v>0</v>
      </c>
      <c r="AI188" s="461">
        <v>-0.01</v>
      </c>
      <c r="AJ188" s="461">
        <v>0</v>
      </c>
      <c r="AK188" s="461">
        <v>0</v>
      </c>
      <c r="AL188" s="461">
        <v>0</v>
      </c>
      <c r="AM188" s="461">
        <v>0</v>
      </c>
      <c r="AN188" s="461">
        <v>0</v>
      </c>
      <c r="AO188" s="461">
        <v>0</v>
      </c>
      <c r="AP188" s="461">
        <f t="shared" si="229"/>
        <v>0</v>
      </c>
      <c r="AQ188" s="461">
        <f t="shared" si="230"/>
        <v>-0.01</v>
      </c>
      <c r="AR188" s="737">
        <f t="shared" si="231"/>
        <v>-0.01</v>
      </c>
      <c r="AS188" s="470">
        <f t="shared" si="232"/>
        <v>34842665</v>
      </c>
      <c r="AT188" s="460">
        <f t="shared" si="233"/>
        <v>25359500</v>
      </c>
      <c r="AU188" s="460">
        <f t="shared" si="234"/>
        <v>13000</v>
      </c>
      <c r="AV188" s="460">
        <f t="shared" si="235"/>
        <v>8575905</v>
      </c>
      <c r="AW188" s="460">
        <f t="shared" si="236"/>
        <v>253595</v>
      </c>
      <c r="AX188" s="460">
        <f t="shared" si="237"/>
        <v>640665</v>
      </c>
      <c r="AY188" s="461">
        <f t="shared" si="238"/>
        <v>40.203600000000002</v>
      </c>
      <c r="AZ188" s="461">
        <f t="shared" si="239"/>
        <v>32.863599999999998</v>
      </c>
      <c r="BA188" s="463">
        <f t="shared" si="240"/>
        <v>7.34</v>
      </c>
    </row>
    <row r="189" spans="1:53" ht="14.1" customHeight="1" x14ac:dyDescent="0.2">
      <c r="A189" s="67">
        <v>41</v>
      </c>
      <c r="B189" s="64">
        <v>2480</v>
      </c>
      <c r="C189" s="65">
        <v>600080293</v>
      </c>
      <c r="D189" s="64">
        <v>46744924</v>
      </c>
      <c r="E189" s="66" t="s">
        <v>638</v>
      </c>
      <c r="F189" s="67">
        <v>3113</v>
      </c>
      <c r="G189" s="78" t="s">
        <v>308</v>
      </c>
      <c r="H189" s="68" t="s">
        <v>278</v>
      </c>
      <c r="I189" s="462">
        <v>0</v>
      </c>
      <c r="J189" s="457">
        <v>0</v>
      </c>
      <c r="K189" s="457">
        <v>0</v>
      </c>
      <c r="L189" s="457">
        <v>0</v>
      </c>
      <c r="M189" s="457">
        <v>0</v>
      </c>
      <c r="N189" s="458">
        <v>0</v>
      </c>
      <c r="O189" s="459">
        <v>0</v>
      </c>
      <c r="P189" s="646">
        <v>0</v>
      </c>
      <c r="Q189" s="469">
        <f t="shared" si="224"/>
        <v>0</v>
      </c>
      <c r="R189" s="469">
        <v>1720242</v>
      </c>
      <c r="S189" s="460">
        <v>0</v>
      </c>
      <c r="T189" s="460">
        <v>0</v>
      </c>
      <c r="U189" s="460">
        <v>0</v>
      </c>
      <c r="V189" s="460">
        <f t="shared" si="288"/>
        <v>1720242</v>
      </c>
      <c r="W189" s="460">
        <v>0</v>
      </c>
      <c r="X189" s="460">
        <v>0</v>
      </c>
      <c r="Y189" s="460">
        <v>0</v>
      </c>
      <c r="Z189" s="460">
        <f t="shared" si="289"/>
        <v>0</v>
      </c>
      <c r="AA189" s="460">
        <f t="shared" si="290"/>
        <v>1720242</v>
      </c>
      <c r="AB189" s="69">
        <f t="shared" si="291"/>
        <v>581442</v>
      </c>
      <c r="AC189" s="69">
        <f t="shared" si="292"/>
        <v>17202</v>
      </c>
      <c r="AD189" s="460">
        <v>0</v>
      </c>
      <c r="AE189" s="460">
        <v>0</v>
      </c>
      <c r="AF189" s="460">
        <f t="shared" si="293"/>
        <v>0</v>
      </c>
      <c r="AG189" s="460">
        <f t="shared" si="294"/>
        <v>2318886</v>
      </c>
      <c r="AH189" s="461">
        <v>0</v>
      </c>
      <c r="AI189" s="461">
        <v>0</v>
      </c>
      <c r="AJ189" s="461">
        <v>4.75</v>
      </c>
      <c r="AK189" s="461">
        <v>0</v>
      </c>
      <c r="AL189" s="461">
        <v>0</v>
      </c>
      <c r="AM189" s="461">
        <v>0</v>
      </c>
      <c r="AN189" s="461">
        <v>0</v>
      </c>
      <c r="AO189" s="461">
        <v>0</v>
      </c>
      <c r="AP189" s="461">
        <f t="shared" si="229"/>
        <v>4.75</v>
      </c>
      <c r="AQ189" s="461">
        <f t="shared" si="230"/>
        <v>0</v>
      </c>
      <c r="AR189" s="737">
        <f t="shared" si="231"/>
        <v>4.75</v>
      </c>
      <c r="AS189" s="470">
        <f t="shared" si="232"/>
        <v>2318886</v>
      </c>
      <c r="AT189" s="460">
        <f t="shared" si="233"/>
        <v>1720242</v>
      </c>
      <c r="AU189" s="460">
        <f t="shared" si="234"/>
        <v>0</v>
      </c>
      <c r="AV189" s="460">
        <f t="shared" si="235"/>
        <v>581442</v>
      </c>
      <c r="AW189" s="460">
        <f t="shared" si="236"/>
        <v>17202</v>
      </c>
      <c r="AX189" s="460">
        <f t="shared" si="237"/>
        <v>0</v>
      </c>
      <c r="AY189" s="461">
        <f t="shared" si="238"/>
        <v>4.75</v>
      </c>
      <c r="AZ189" s="461">
        <f t="shared" si="239"/>
        <v>4.75</v>
      </c>
      <c r="BA189" s="463">
        <f t="shared" si="240"/>
        <v>0</v>
      </c>
    </row>
    <row r="190" spans="1:53" ht="13.5" customHeight="1" x14ac:dyDescent="0.2">
      <c r="A190" s="67">
        <v>41</v>
      </c>
      <c r="B190" s="64">
        <v>2480</v>
      </c>
      <c r="C190" s="65">
        <v>600080293</v>
      </c>
      <c r="D190" s="64">
        <v>46744924</v>
      </c>
      <c r="E190" s="66" t="s">
        <v>638</v>
      </c>
      <c r="F190" s="67">
        <v>3141</v>
      </c>
      <c r="G190" s="66" t="s">
        <v>311</v>
      </c>
      <c r="H190" s="68" t="s">
        <v>278</v>
      </c>
      <c r="I190" s="462">
        <v>2958938</v>
      </c>
      <c r="J190" s="728">
        <v>2175886</v>
      </c>
      <c r="K190" s="457">
        <v>735449</v>
      </c>
      <c r="L190" s="457">
        <v>21759</v>
      </c>
      <c r="M190" s="728">
        <v>25844</v>
      </c>
      <c r="N190" s="458">
        <v>6.99</v>
      </c>
      <c r="O190" s="459">
        <v>0</v>
      </c>
      <c r="P190" s="646">
        <v>6.99</v>
      </c>
      <c r="Q190" s="469">
        <f t="shared" si="224"/>
        <v>0</v>
      </c>
      <c r="R190" s="469">
        <v>0</v>
      </c>
      <c r="S190" s="460">
        <v>0</v>
      </c>
      <c r="T190" s="460">
        <v>0</v>
      </c>
      <c r="U190" s="460">
        <v>0</v>
      </c>
      <c r="V190" s="460">
        <f t="shared" si="288"/>
        <v>0</v>
      </c>
      <c r="W190" s="460">
        <v>0</v>
      </c>
      <c r="X190" s="460">
        <v>0</v>
      </c>
      <c r="Y190" s="460">
        <v>0</v>
      </c>
      <c r="Z190" s="460">
        <f t="shared" si="289"/>
        <v>0</v>
      </c>
      <c r="AA190" s="460">
        <f t="shared" si="290"/>
        <v>0</v>
      </c>
      <c r="AB190" s="69">
        <f t="shared" si="291"/>
        <v>0</v>
      </c>
      <c r="AC190" s="69">
        <f t="shared" si="292"/>
        <v>0</v>
      </c>
      <c r="AD190" s="460">
        <v>0</v>
      </c>
      <c r="AE190" s="460">
        <v>0</v>
      </c>
      <c r="AF190" s="460">
        <f t="shared" si="293"/>
        <v>0</v>
      </c>
      <c r="AG190" s="460">
        <f t="shared" si="294"/>
        <v>0</v>
      </c>
      <c r="AH190" s="461">
        <v>0</v>
      </c>
      <c r="AI190" s="461">
        <v>0</v>
      </c>
      <c r="AJ190" s="461">
        <v>0</v>
      </c>
      <c r="AK190" s="461">
        <v>0</v>
      </c>
      <c r="AL190" s="461">
        <v>0</v>
      </c>
      <c r="AM190" s="461">
        <v>0</v>
      </c>
      <c r="AN190" s="461">
        <v>0</v>
      </c>
      <c r="AO190" s="461">
        <v>0</v>
      </c>
      <c r="AP190" s="461">
        <f t="shared" si="229"/>
        <v>0</v>
      </c>
      <c r="AQ190" s="461">
        <f t="shared" si="230"/>
        <v>0</v>
      </c>
      <c r="AR190" s="737">
        <f t="shared" si="231"/>
        <v>0</v>
      </c>
      <c r="AS190" s="470">
        <f t="shared" si="232"/>
        <v>2958938</v>
      </c>
      <c r="AT190" s="460">
        <f t="shared" si="233"/>
        <v>2175886</v>
      </c>
      <c r="AU190" s="460">
        <f t="shared" si="234"/>
        <v>0</v>
      </c>
      <c r="AV190" s="460">
        <f t="shared" si="235"/>
        <v>735449</v>
      </c>
      <c r="AW190" s="460">
        <f t="shared" si="236"/>
        <v>21759</v>
      </c>
      <c r="AX190" s="460">
        <f t="shared" si="237"/>
        <v>25844</v>
      </c>
      <c r="AY190" s="461">
        <f t="shared" si="238"/>
        <v>6.99</v>
      </c>
      <c r="AZ190" s="461">
        <f t="shared" si="239"/>
        <v>0</v>
      </c>
      <c r="BA190" s="463">
        <f t="shared" si="240"/>
        <v>6.99</v>
      </c>
    </row>
    <row r="191" spans="1:53" ht="14.1" customHeight="1" x14ac:dyDescent="0.2">
      <c r="A191" s="67">
        <v>41</v>
      </c>
      <c r="B191" s="64">
        <v>2480</v>
      </c>
      <c r="C191" s="65">
        <v>600080293</v>
      </c>
      <c r="D191" s="64">
        <v>46744924</v>
      </c>
      <c r="E191" s="66" t="s">
        <v>638</v>
      </c>
      <c r="F191" s="67">
        <v>3143</v>
      </c>
      <c r="G191" s="78" t="s">
        <v>616</v>
      </c>
      <c r="H191" s="68" t="s">
        <v>277</v>
      </c>
      <c r="I191" s="462">
        <v>3310182</v>
      </c>
      <c r="J191" s="16">
        <v>2455625</v>
      </c>
      <c r="K191" s="457">
        <v>830001</v>
      </c>
      <c r="L191" s="457">
        <v>24556</v>
      </c>
      <c r="M191" s="16">
        <v>0</v>
      </c>
      <c r="N191" s="458">
        <v>5.1100000000000003</v>
      </c>
      <c r="O191" s="13">
        <v>5.1100000000000003</v>
      </c>
      <c r="P191" s="17">
        <v>0</v>
      </c>
      <c r="Q191" s="469">
        <f t="shared" si="224"/>
        <v>0</v>
      </c>
      <c r="R191" s="469">
        <v>0</v>
      </c>
      <c r="S191" s="460">
        <v>0</v>
      </c>
      <c r="T191" s="460">
        <v>0</v>
      </c>
      <c r="U191" s="460">
        <v>0</v>
      </c>
      <c r="V191" s="460">
        <f t="shared" si="288"/>
        <v>0</v>
      </c>
      <c r="W191" s="460">
        <v>0</v>
      </c>
      <c r="X191" s="460">
        <v>0</v>
      </c>
      <c r="Y191" s="460">
        <v>0</v>
      </c>
      <c r="Z191" s="460">
        <f t="shared" si="289"/>
        <v>0</v>
      </c>
      <c r="AA191" s="460">
        <f t="shared" si="290"/>
        <v>0</v>
      </c>
      <c r="AB191" s="69">
        <f t="shared" si="291"/>
        <v>0</v>
      </c>
      <c r="AC191" s="69">
        <f t="shared" si="292"/>
        <v>0</v>
      </c>
      <c r="AD191" s="460">
        <v>0</v>
      </c>
      <c r="AE191" s="460">
        <v>0</v>
      </c>
      <c r="AF191" s="460">
        <f t="shared" si="293"/>
        <v>0</v>
      </c>
      <c r="AG191" s="460">
        <f t="shared" si="294"/>
        <v>0</v>
      </c>
      <c r="AH191" s="461">
        <v>0</v>
      </c>
      <c r="AI191" s="461">
        <v>0</v>
      </c>
      <c r="AJ191" s="461">
        <v>0</v>
      </c>
      <c r="AK191" s="461">
        <v>0</v>
      </c>
      <c r="AL191" s="461">
        <v>0</v>
      </c>
      <c r="AM191" s="461">
        <v>0</v>
      </c>
      <c r="AN191" s="461">
        <v>0</v>
      </c>
      <c r="AO191" s="461">
        <v>0</v>
      </c>
      <c r="AP191" s="461">
        <f t="shared" si="229"/>
        <v>0</v>
      </c>
      <c r="AQ191" s="461">
        <f t="shared" si="230"/>
        <v>0</v>
      </c>
      <c r="AR191" s="737">
        <f t="shared" si="231"/>
        <v>0</v>
      </c>
      <c r="AS191" s="470">
        <f t="shared" si="232"/>
        <v>3310182</v>
      </c>
      <c r="AT191" s="460">
        <f t="shared" si="233"/>
        <v>2455625</v>
      </c>
      <c r="AU191" s="460">
        <f t="shared" si="234"/>
        <v>0</v>
      </c>
      <c r="AV191" s="460">
        <f t="shared" si="235"/>
        <v>830001</v>
      </c>
      <c r="AW191" s="460">
        <f t="shared" si="236"/>
        <v>24556</v>
      </c>
      <c r="AX191" s="460">
        <f t="shared" si="237"/>
        <v>0</v>
      </c>
      <c r="AY191" s="461">
        <f t="shared" si="238"/>
        <v>5.1100000000000003</v>
      </c>
      <c r="AZ191" s="461">
        <f t="shared" si="239"/>
        <v>5.1100000000000003</v>
      </c>
      <c r="BA191" s="463">
        <f t="shared" si="240"/>
        <v>0</v>
      </c>
    </row>
    <row r="192" spans="1:53" ht="14.1" customHeight="1" x14ac:dyDescent="0.2">
      <c r="A192" s="67">
        <v>41</v>
      </c>
      <c r="B192" s="64">
        <v>2480</v>
      </c>
      <c r="C192" s="65">
        <v>600080293</v>
      </c>
      <c r="D192" s="64">
        <v>46744924</v>
      </c>
      <c r="E192" s="66" t="s">
        <v>638</v>
      </c>
      <c r="F192" s="67">
        <v>3143</v>
      </c>
      <c r="G192" s="78" t="s">
        <v>617</v>
      </c>
      <c r="H192" s="68" t="s">
        <v>278</v>
      </c>
      <c r="I192" s="462">
        <v>118746</v>
      </c>
      <c r="J192" s="673">
        <v>84846</v>
      </c>
      <c r="K192" s="457">
        <v>28678</v>
      </c>
      <c r="L192" s="457">
        <v>848</v>
      </c>
      <c r="M192" s="673">
        <v>4374</v>
      </c>
      <c r="N192" s="458">
        <v>0.34</v>
      </c>
      <c r="O192" s="459">
        <v>0</v>
      </c>
      <c r="P192" s="717">
        <v>0.34</v>
      </c>
      <c r="Q192" s="469">
        <f t="shared" si="224"/>
        <v>0</v>
      </c>
      <c r="R192" s="469">
        <v>0</v>
      </c>
      <c r="S192" s="460">
        <v>0</v>
      </c>
      <c r="T192" s="460">
        <v>0</v>
      </c>
      <c r="U192" s="460">
        <v>0</v>
      </c>
      <c r="V192" s="460">
        <f t="shared" si="288"/>
        <v>0</v>
      </c>
      <c r="W192" s="460">
        <v>0</v>
      </c>
      <c r="X192" s="460">
        <v>0</v>
      </c>
      <c r="Y192" s="460">
        <v>0</v>
      </c>
      <c r="Z192" s="460">
        <f t="shared" si="289"/>
        <v>0</v>
      </c>
      <c r="AA192" s="460">
        <f t="shared" si="290"/>
        <v>0</v>
      </c>
      <c r="AB192" s="69">
        <f t="shared" si="291"/>
        <v>0</v>
      </c>
      <c r="AC192" s="69">
        <f t="shared" si="292"/>
        <v>0</v>
      </c>
      <c r="AD192" s="460">
        <v>0</v>
      </c>
      <c r="AE192" s="460">
        <v>0</v>
      </c>
      <c r="AF192" s="460">
        <f t="shared" si="293"/>
        <v>0</v>
      </c>
      <c r="AG192" s="460">
        <f t="shared" si="294"/>
        <v>0</v>
      </c>
      <c r="AH192" s="461">
        <v>0</v>
      </c>
      <c r="AI192" s="461">
        <v>0</v>
      </c>
      <c r="AJ192" s="461">
        <v>0</v>
      </c>
      <c r="AK192" s="461">
        <v>0</v>
      </c>
      <c r="AL192" s="461">
        <v>0</v>
      </c>
      <c r="AM192" s="461">
        <v>0</v>
      </c>
      <c r="AN192" s="461">
        <v>0</v>
      </c>
      <c r="AO192" s="461">
        <v>0</v>
      </c>
      <c r="AP192" s="461">
        <f t="shared" si="229"/>
        <v>0</v>
      </c>
      <c r="AQ192" s="461">
        <f t="shared" si="230"/>
        <v>0</v>
      </c>
      <c r="AR192" s="737">
        <f t="shared" si="231"/>
        <v>0</v>
      </c>
      <c r="AS192" s="470">
        <f t="shared" si="232"/>
        <v>118746</v>
      </c>
      <c r="AT192" s="460">
        <f t="shared" si="233"/>
        <v>84846</v>
      </c>
      <c r="AU192" s="460">
        <f t="shared" si="234"/>
        <v>0</v>
      </c>
      <c r="AV192" s="460">
        <f t="shared" si="235"/>
        <v>28678</v>
      </c>
      <c r="AW192" s="460">
        <f t="shared" si="236"/>
        <v>848</v>
      </c>
      <c r="AX192" s="460">
        <f t="shared" si="237"/>
        <v>4374</v>
      </c>
      <c r="AY192" s="461">
        <f t="shared" si="238"/>
        <v>0.34</v>
      </c>
      <c r="AZ192" s="461">
        <f t="shared" si="239"/>
        <v>0</v>
      </c>
      <c r="BA192" s="463">
        <f t="shared" si="240"/>
        <v>0.34</v>
      </c>
    </row>
    <row r="193" spans="1:53" ht="14.1" customHeight="1" x14ac:dyDescent="0.2">
      <c r="A193" s="67">
        <v>41</v>
      </c>
      <c r="B193" s="64">
        <v>2480</v>
      </c>
      <c r="C193" s="65">
        <v>600080293</v>
      </c>
      <c r="D193" s="64">
        <v>46744924</v>
      </c>
      <c r="E193" s="66" t="s">
        <v>638</v>
      </c>
      <c r="F193" s="67">
        <v>3143</v>
      </c>
      <c r="G193" s="78" t="s">
        <v>313</v>
      </c>
      <c r="H193" s="68" t="s">
        <v>278</v>
      </c>
      <c r="I193" s="462">
        <v>991366</v>
      </c>
      <c r="J193" s="457">
        <v>731482</v>
      </c>
      <c r="K193" s="457">
        <v>247241</v>
      </c>
      <c r="L193" s="457">
        <v>7315</v>
      </c>
      <c r="M193" s="457">
        <v>5328</v>
      </c>
      <c r="N193" s="458">
        <v>1.8199999999999998</v>
      </c>
      <c r="O193" s="458">
        <v>1.2</v>
      </c>
      <c r="P193" s="646">
        <v>0.62</v>
      </c>
      <c r="Q193" s="469">
        <f t="shared" si="224"/>
        <v>0</v>
      </c>
      <c r="R193" s="469">
        <v>0</v>
      </c>
      <c r="S193" s="460">
        <v>0</v>
      </c>
      <c r="T193" s="460">
        <v>0</v>
      </c>
      <c r="U193" s="460">
        <v>0</v>
      </c>
      <c r="V193" s="460">
        <f t="shared" si="288"/>
        <v>0</v>
      </c>
      <c r="W193" s="460">
        <v>0</v>
      </c>
      <c r="X193" s="460">
        <v>0</v>
      </c>
      <c r="Y193" s="460">
        <v>0</v>
      </c>
      <c r="Z193" s="460">
        <f t="shared" si="289"/>
        <v>0</v>
      </c>
      <c r="AA193" s="460">
        <f t="shared" si="290"/>
        <v>0</v>
      </c>
      <c r="AB193" s="69">
        <f t="shared" si="291"/>
        <v>0</v>
      </c>
      <c r="AC193" s="69">
        <f t="shared" si="292"/>
        <v>0</v>
      </c>
      <c r="AD193" s="460">
        <v>0</v>
      </c>
      <c r="AE193" s="460">
        <v>0</v>
      </c>
      <c r="AF193" s="460">
        <f t="shared" si="293"/>
        <v>0</v>
      </c>
      <c r="AG193" s="460">
        <f t="shared" si="294"/>
        <v>0</v>
      </c>
      <c r="AH193" s="461">
        <v>0</v>
      </c>
      <c r="AI193" s="461">
        <v>0</v>
      </c>
      <c r="AJ193" s="461">
        <v>0</v>
      </c>
      <c r="AK193" s="461">
        <v>0</v>
      </c>
      <c r="AL193" s="461">
        <v>0</v>
      </c>
      <c r="AM193" s="461">
        <v>0</v>
      </c>
      <c r="AN193" s="461">
        <v>0</v>
      </c>
      <c r="AO193" s="461">
        <v>0</v>
      </c>
      <c r="AP193" s="461">
        <f t="shared" si="229"/>
        <v>0</v>
      </c>
      <c r="AQ193" s="461">
        <f t="shared" si="230"/>
        <v>0</v>
      </c>
      <c r="AR193" s="737">
        <f t="shared" si="231"/>
        <v>0</v>
      </c>
      <c r="AS193" s="470">
        <f t="shared" si="232"/>
        <v>991366</v>
      </c>
      <c r="AT193" s="460">
        <f t="shared" si="233"/>
        <v>731482</v>
      </c>
      <c r="AU193" s="460">
        <f t="shared" si="234"/>
        <v>0</v>
      </c>
      <c r="AV193" s="460">
        <f t="shared" si="235"/>
        <v>247241</v>
      </c>
      <c r="AW193" s="460">
        <f t="shared" si="236"/>
        <v>7315</v>
      </c>
      <c r="AX193" s="460">
        <f t="shared" si="237"/>
        <v>5328</v>
      </c>
      <c r="AY193" s="461">
        <f t="shared" si="238"/>
        <v>1.8199999999999998</v>
      </c>
      <c r="AZ193" s="461">
        <f t="shared" si="239"/>
        <v>1.2</v>
      </c>
      <c r="BA193" s="463">
        <f t="shared" si="240"/>
        <v>0.62</v>
      </c>
    </row>
    <row r="194" spans="1:53" ht="14.1" customHeight="1" x14ac:dyDescent="0.2">
      <c r="A194" s="73">
        <v>41</v>
      </c>
      <c r="B194" s="70">
        <v>2480</v>
      </c>
      <c r="C194" s="71">
        <v>600080293</v>
      </c>
      <c r="D194" s="70">
        <v>46744924</v>
      </c>
      <c r="E194" s="72" t="s">
        <v>639</v>
      </c>
      <c r="F194" s="73"/>
      <c r="G194" s="72"/>
      <c r="H194" s="74"/>
      <c r="I194" s="701">
        <f t="shared" ref="I194:P194" si="295">SUM(I188:I193)</f>
        <v>42222027</v>
      </c>
      <c r="J194" s="75">
        <f t="shared" si="295"/>
        <v>30820339</v>
      </c>
      <c r="K194" s="75">
        <f t="shared" si="295"/>
        <v>10417274</v>
      </c>
      <c r="L194" s="75">
        <f t="shared" si="295"/>
        <v>308203</v>
      </c>
      <c r="M194" s="75">
        <f t="shared" si="295"/>
        <v>676211</v>
      </c>
      <c r="N194" s="76">
        <f t="shared" si="295"/>
        <v>54.473600000000005</v>
      </c>
      <c r="O194" s="76">
        <f t="shared" si="295"/>
        <v>39.1736</v>
      </c>
      <c r="P194" s="77">
        <f t="shared" si="295"/>
        <v>15.299999999999999</v>
      </c>
      <c r="Q194" s="724">
        <f t="shared" ref="Q194:BA194" si="296">SUM(Q188:Q193)</f>
        <v>-13000</v>
      </c>
      <c r="R194" s="724">
        <f t="shared" si="296"/>
        <v>1720242</v>
      </c>
      <c r="S194" s="75">
        <f t="shared" si="296"/>
        <v>0</v>
      </c>
      <c r="T194" s="75">
        <f t="shared" si="296"/>
        <v>0</v>
      </c>
      <c r="U194" s="75">
        <f t="shared" si="296"/>
        <v>0</v>
      </c>
      <c r="V194" s="75">
        <f t="shared" si="296"/>
        <v>1707242</v>
      </c>
      <c r="W194" s="75">
        <f t="shared" si="296"/>
        <v>13000</v>
      </c>
      <c r="X194" s="75">
        <f t="shared" si="296"/>
        <v>0</v>
      </c>
      <c r="Y194" s="75">
        <f t="shared" si="296"/>
        <v>0</v>
      </c>
      <c r="Z194" s="75">
        <f t="shared" si="296"/>
        <v>13000</v>
      </c>
      <c r="AA194" s="75">
        <f t="shared" si="296"/>
        <v>1720242</v>
      </c>
      <c r="AB194" s="75">
        <f t="shared" si="296"/>
        <v>581442</v>
      </c>
      <c r="AC194" s="75">
        <f t="shared" si="296"/>
        <v>17072</v>
      </c>
      <c r="AD194" s="75">
        <f t="shared" si="296"/>
        <v>0</v>
      </c>
      <c r="AE194" s="75">
        <f t="shared" si="296"/>
        <v>0</v>
      </c>
      <c r="AF194" s="75">
        <f t="shared" si="296"/>
        <v>0</v>
      </c>
      <c r="AG194" s="75">
        <f t="shared" si="296"/>
        <v>2318756</v>
      </c>
      <c r="AH194" s="76">
        <f t="shared" si="296"/>
        <v>0</v>
      </c>
      <c r="AI194" s="76">
        <f t="shared" si="296"/>
        <v>-0.01</v>
      </c>
      <c r="AJ194" s="76">
        <f t="shared" si="296"/>
        <v>4.75</v>
      </c>
      <c r="AK194" s="76">
        <f t="shared" si="296"/>
        <v>0</v>
      </c>
      <c r="AL194" s="76">
        <f t="shared" si="296"/>
        <v>0</v>
      </c>
      <c r="AM194" s="76">
        <f t="shared" si="296"/>
        <v>0</v>
      </c>
      <c r="AN194" s="76">
        <f t="shared" si="296"/>
        <v>0</v>
      </c>
      <c r="AO194" s="76">
        <f t="shared" si="296"/>
        <v>0</v>
      </c>
      <c r="AP194" s="76">
        <f t="shared" si="296"/>
        <v>4.75</v>
      </c>
      <c r="AQ194" s="76">
        <f t="shared" si="296"/>
        <v>-0.01</v>
      </c>
      <c r="AR194" s="720">
        <f t="shared" si="296"/>
        <v>4.74</v>
      </c>
      <c r="AS194" s="701">
        <f t="shared" si="296"/>
        <v>44540783</v>
      </c>
      <c r="AT194" s="75">
        <f t="shared" si="296"/>
        <v>32527581</v>
      </c>
      <c r="AU194" s="75">
        <f t="shared" si="296"/>
        <v>13000</v>
      </c>
      <c r="AV194" s="75">
        <f t="shared" si="296"/>
        <v>10998716</v>
      </c>
      <c r="AW194" s="75">
        <f t="shared" si="296"/>
        <v>325275</v>
      </c>
      <c r="AX194" s="75">
        <f t="shared" si="296"/>
        <v>676211</v>
      </c>
      <c r="AY194" s="76">
        <f t="shared" si="296"/>
        <v>59.213600000000007</v>
      </c>
      <c r="AZ194" s="76">
        <f t="shared" si="296"/>
        <v>43.9236</v>
      </c>
      <c r="BA194" s="77">
        <f t="shared" si="296"/>
        <v>15.29</v>
      </c>
    </row>
    <row r="195" spans="1:53" ht="14.1" customHeight="1" x14ac:dyDescent="0.2">
      <c r="A195" s="67">
        <v>42</v>
      </c>
      <c r="B195" s="64">
        <v>2482</v>
      </c>
      <c r="C195" s="65">
        <v>600079945</v>
      </c>
      <c r="D195" s="64">
        <v>72741716</v>
      </c>
      <c r="E195" s="66" t="s">
        <v>640</v>
      </c>
      <c r="F195" s="67">
        <v>3113</v>
      </c>
      <c r="G195" s="66" t="s">
        <v>310</v>
      </c>
      <c r="H195" s="68" t="s">
        <v>277</v>
      </c>
      <c r="I195" s="462">
        <v>16339268</v>
      </c>
      <c r="J195" s="16">
        <v>11909528</v>
      </c>
      <c r="K195" s="457">
        <v>4025420</v>
      </c>
      <c r="L195" s="457">
        <v>119095</v>
      </c>
      <c r="M195" s="16">
        <v>285225</v>
      </c>
      <c r="N195" s="13">
        <v>19.615299999999998</v>
      </c>
      <c r="O195" s="13">
        <v>15.545299999999999</v>
      </c>
      <c r="P195" s="17">
        <v>4.07</v>
      </c>
      <c r="Q195" s="469">
        <f t="shared" si="224"/>
        <v>-26000</v>
      </c>
      <c r="R195" s="469">
        <v>0</v>
      </c>
      <c r="S195" s="460">
        <v>0</v>
      </c>
      <c r="T195" s="460">
        <v>0</v>
      </c>
      <c r="U195" s="460">
        <v>0</v>
      </c>
      <c r="V195" s="460">
        <f>SUM(Q195:U195)</f>
        <v>-26000</v>
      </c>
      <c r="W195" s="460">
        <v>26000</v>
      </c>
      <c r="X195" s="460">
        <v>0</v>
      </c>
      <c r="Y195" s="460">
        <v>0</v>
      </c>
      <c r="Z195" s="460">
        <f t="shared" ref="Z195:Z199" si="297">SUM(W195:Y195)</f>
        <v>26000</v>
      </c>
      <c r="AA195" s="460">
        <f t="shared" ref="AA195:AA199" si="298">V195+Z195</f>
        <v>0</v>
      </c>
      <c r="AB195" s="69">
        <f t="shared" ref="AB195:AB199" si="299">ROUND((V195+W195+X195)*33.8%,0)</f>
        <v>0</v>
      </c>
      <c r="AC195" s="69">
        <f t="shared" ref="AC195:AC199" si="300">ROUND(V195*1%,0)</f>
        <v>-260</v>
      </c>
      <c r="AD195" s="460">
        <v>0</v>
      </c>
      <c r="AE195" s="460">
        <v>0</v>
      </c>
      <c r="AF195" s="460">
        <f>SUM(AD195:AE195)</f>
        <v>0</v>
      </c>
      <c r="AG195" s="460">
        <f>AA195+AB195+AC195+AF195</f>
        <v>-260</v>
      </c>
      <c r="AH195" s="461">
        <v>0</v>
      </c>
      <c r="AI195" s="461">
        <v>-0.05</v>
      </c>
      <c r="AJ195" s="461">
        <v>0</v>
      </c>
      <c r="AK195" s="461">
        <v>0</v>
      </c>
      <c r="AL195" s="461">
        <v>0</v>
      </c>
      <c r="AM195" s="461">
        <v>0</v>
      </c>
      <c r="AN195" s="461">
        <v>0</v>
      </c>
      <c r="AO195" s="461">
        <v>0</v>
      </c>
      <c r="AP195" s="461">
        <f t="shared" si="229"/>
        <v>0</v>
      </c>
      <c r="AQ195" s="461">
        <f t="shared" si="230"/>
        <v>-0.05</v>
      </c>
      <c r="AR195" s="737">
        <f t="shared" si="231"/>
        <v>-0.05</v>
      </c>
      <c r="AS195" s="470">
        <f t="shared" si="232"/>
        <v>16339008</v>
      </c>
      <c r="AT195" s="460">
        <f t="shared" si="233"/>
        <v>11883528</v>
      </c>
      <c r="AU195" s="460">
        <f t="shared" si="234"/>
        <v>26000</v>
      </c>
      <c r="AV195" s="460">
        <f t="shared" si="235"/>
        <v>4025420</v>
      </c>
      <c r="AW195" s="460">
        <f t="shared" si="236"/>
        <v>118835</v>
      </c>
      <c r="AX195" s="460">
        <f t="shared" si="237"/>
        <v>285225</v>
      </c>
      <c r="AY195" s="461">
        <f t="shared" si="238"/>
        <v>19.565299999999997</v>
      </c>
      <c r="AZ195" s="461">
        <f t="shared" si="239"/>
        <v>15.545299999999999</v>
      </c>
      <c r="BA195" s="463">
        <f t="shared" si="240"/>
        <v>4.0200000000000005</v>
      </c>
    </row>
    <row r="196" spans="1:53" ht="14.1" customHeight="1" x14ac:dyDescent="0.2">
      <c r="A196" s="67">
        <v>42</v>
      </c>
      <c r="B196" s="64">
        <v>2482</v>
      </c>
      <c r="C196" s="65">
        <v>600079945</v>
      </c>
      <c r="D196" s="64">
        <v>72741716</v>
      </c>
      <c r="E196" s="66" t="s">
        <v>640</v>
      </c>
      <c r="F196" s="67">
        <v>3113</v>
      </c>
      <c r="G196" s="78" t="s">
        <v>308</v>
      </c>
      <c r="H196" s="68" t="s">
        <v>278</v>
      </c>
      <c r="I196" s="462">
        <v>0</v>
      </c>
      <c r="J196" s="457">
        <v>0</v>
      </c>
      <c r="K196" s="457">
        <v>0</v>
      </c>
      <c r="L196" s="457">
        <v>0</v>
      </c>
      <c r="M196" s="457">
        <v>0</v>
      </c>
      <c r="N196" s="458">
        <v>0</v>
      </c>
      <c r="O196" s="459">
        <v>0</v>
      </c>
      <c r="P196" s="646">
        <v>0</v>
      </c>
      <c r="Q196" s="469">
        <f t="shared" si="224"/>
        <v>0</v>
      </c>
      <c r="R196" s="469">
        <v>1784648</v>
      </c>
      <c r="S196" s="460">
        <v>0</v>
      </c>
      <c r="T196" s="460">
        <v>0</v>
      </c>
      <c r="U196" s="460">
        <v>0</v>
      </c>
      <c r="V196" s="460">
        <f>SUM(Q196:U196)</f>
        <v>1784648</v>
      </c>
      <c r="W196" s="460">
        <v>0</v>
      </c>
      <c r="X196" s="460">
        <v>0</v>
      </c>
      <c r="Y196" s="460">
        <v>0</v>
      </c>
      <c r="Z196" s="460">
        <f t="shared" si="297"/>
        <v>0</v>
      </c>
      <c r="AA196" s="460">
        <f t="shared" si="298"/>
        <v>1784648</v>
      </c>
      <c r="AB196" s="69">
        <f t="shared" si="299"/>
        <v>603211</v>
      </c>
      <c r="AC196" s="69">
        <f t="shared" si="300"/>
        <v>17846</v>
      </c>
      <c r="AD196" s="460">
        <v>1500</v>
      </c>
      <c r="AE196" s="460">
        <v>0</v>
      </c>
      <c r="AF196" s="460">
        <f>SUM(AD196:AE196)</f>
        <v>1500</v>
      </c>
      <c r="AG196" s="460">
        <f>AA196+AB196+AC196+AF196</f>
        <v>2407205</v>
      </c>
      <c r="AH196" s="461">
        <v>0</v>
      </c>
      <c r="AI196" s="461">
        <v>0</v>
      </c>
      <c r="AJ196" s="461">
        <v>4.97</v>
      </c>
      <c r="AK196" s="461">
        <v>0</v>
      </c>
      <c r="AL196" s="461">
        <v>0</v>
      </c>
      <c r="AM196" s="461">
        <v>0</v>
      </c>
      <c r="AN196" s="461">
        <v>0</v>
      </c>
      <c r="AO196" s="461">
        <v>0</v>
      </c>
      <c r="AP196" s="461">
        <f t="shared" si="229"/>
        <v>4.97</v>
      </c>
      <c r="AQ196" s="461">
        <f t="shared" si="230"/>
        <v>0</v>
      </c>
      <c r="AR196" s="737">
        <f t="shared" si="231"/>
        <v>4.97</v>
      </c>
      <c r="AS196" s="470">
        <f t="shared" si="232"/>
        <v>2407205</v>
      </c>
      <c r="AT196" s="460">
        <f t="shared" si="233"/>
        <v>1784648</v>
      </c>
      <c r="AU196" s="460">
        <f t="shared" si="234"/>
        <v>0</v>
      </c>
      <c r="AV196" s="460">
        <f t="shared" si="235"/>
        <v>603211</v>
      </c>
      <c r="AW196" s="460">
        <f t="shared" si="236"/>
        <v>17846</v>
      </c>
      <c r="AX196" s="460">
        <f t="shared" si="237"/>
        <v>1500</v>
      </c>
      <c r="AY196" s="461">
        <f t="shared" si="238"/>
        <v>4.97</v>
      </c>
      <c r="AZ196" s="461">
        <f t="shared" si="239"/>
        <v>4.97</v>
      </c>
      <c r="BA196" s="463">
        <f t="shared" si="240"/>
        <v>0</v>
      </c>
    </row>
    <row r="197" spans="1:53" ht="13.5" customHeight="1" x14ac:dyDescent="0.2">
      <c r="A197" s="67">
        <v>42</v>
      </c>
      <c r="B197" s="64">
        <v>2482</v>
      </c>
      <c r="C197" s="65">
        <v>600079945</v>
      </c>
      <c r="D197" s="64">
        <v>72741716</v>
      </c>
      <c r="E197" s="66" t="s">
        <v>640</v>
      </c>
      <c r="F197" s="67">
        <v>3141</v>
      </c>
      <c r="G197" s="66" t="s">
        <v>311</v>
      </c>
      <c r="H197" s="68" t="s">
        <v>278</v>
      </c>
      <c r="I197" s="462">
        <v>1469495</v>
      </c>
      <c r="J197" s="728">
        <v>1082145</v>
      </c>
      <c r="K197" s="457">
        <v>365765</v>
      </c>
      <c r="L197" s="457">
        <v>10821</v>
      </c>
      <c r="M197" s="728">
        <v>10764</v>
      </c>
      <c r="N197" s="458">
        <v>3.48</v>
      </c>
      <c r="O197" s="459">
        <v>0</v>
      </c>
      <c r="P197" s="646">
        <v>3.48</v>
      </c>
      <c r="Q197" s="469">
        <f t="shared" si="224"/>
        <v>-6500</v>
      </c>
      <c r="R197" s="469">
        <v>0</v>
      </c>
      <c r="S197" s="460">
        <v>0</v>
      </c>
      <c r="T197" s="460">
        <v>0</v>
      </c>
      <c r="U197" s="460">
        <v>0</v>
      </c>
      <c r="V197" s="460">
        <f>SUM(Q197:U197)</f>
        <v>-6500</v>
      </c>
      <c r="W197" s="460">
        <v>6500</v>
      </c>
      <c r="X197" s="460">
        <v>0</v>
      </c>
      <c r="Y197" s="460">
        <v>0</v>
      </c>
      <c r="Z197" s="460">
        <f t="shared" si="297"/>
        <v>6500</v>
      </c>
      <c r="AA197" s="460">
        <f t="shared" si="298"/>
        <v>0</v>
      </c>
      <c r="AB197" s="69">
        <f t="shared" si="299"/>
        <v>0</v>
      </c>
      <c r="AC197" s="69">
        <f t="shared" si="300"/>
        <v>-65</v>
      </c>
      <c r="AD197" s="460">
        <v>0</v>
      </c>
      <c r="AE197" s="460">
        <v>0</v>
      </c>
      <c r="AF197" s="460">
        <f>SUM(AD197:AE197)</f>
        <v>0</v>
      </c>
      <c r="AG197" s="460">
        <f>AA197+AB197+AC197+AF197</f>
        <v>-65</v>
      </c>
      <c r="AH197" s="461">
        <v>0</v>
      </c>
      <c r="AI197" s="461">
        <v>0</v>
      </c>
      <c r="AJ197" s="461">
        <v>0</v>
      </c>
      <c r="AK197" s="461">
        <v>0</v>
      </c>
      <c r="AL197" s="461">
        <v>0</v>
      </c>
      <c r="AM197" s="461">
        <v>0</v>
      </c>
      <c r="AN197" s="461">
        <v>0</v>
      </c>
      <c r="AO197" s="461">
        <v>0</v>
      </c>
      <c r="AP197" s="461">
        <f t="shared" si="229"/>
        <v>0</v>
      </c>
      <c r="AQ197" s="461">
        <f t="shared" si="230"/>
        <v>0</v>
      </c>
      <c r="AR197" s="737">
        <f t="shared" si="231"/>
        <v>0</v>
      </c>
      <c r="AS197" s="470">
        <f t="shared" si="232"/>
        <v>1469430</v>
      </c>
      <c r="AT197" s="460">
        <f t="shared" si="233"/>
        <v>1075645</v>
      </c>
      <c r="AU197" s="460">
        <f t="shared" si="234"/>
        <v>6500</v>
      </c>
      <c r="AV197" s="460">
        <f t="shared" si="235"/>
        <v>365765</v>
      </c>
      <c r="AW197" s="460">
        <f t="shared" si="236"/>
        <v>10756</v>
      </c>
      <c r="AX197" s="460">
        <f t="shared" si="237"/>
        <v>10764</v>
      </c>
      <c r="AY197" s="461">
        <f t="shared" si="238"/>
        <v>3.48</v>
      </c>
      <c r="AZ197" s="461">
        <f t="shared" si="239"/>
        <v>0</v>
      </c>
      <c r="BA197" s="463">
        <f t="shared" si="240"/>
        <v>3.48</v>
      </c>
    </row>
    <row r="198" spans="1:53" ht="14.1" customHeight="1" x14ac:dyDescent="0.2">
      <c r="A198" s="67">
        <v>42</v>
      </c>
      <c r="B198" s="64">
        <v>2482</v>
      </c>
      <c r="C198" s="65">
        <v>600079945</v>
      </c>
      <c r="D198" s="64">
        <v>72741716</v>
      </c>
      <c r="E198" s="66" t="s">
        <v>640</v>
      </c>
      <c r="F198" s="67">
        <v>3143</v>
      </c>
      <c r="G198" s="78" t="s">
        <v>616</v>
      </c>
      <c r="H198" s="68" t="s">
        <v>277</v>
      </c>
      <c r="I198" s="462">
        <v>1575098</v>
      </c>
      <c r="J198" s="16">
        <v>1168470</v>
      </c>
      <c r="K198" s="457">
        <v>394943</v>
      </c>
      <c r="L198" s="457">
        <v>11685</v>
      </c>
      <c r="M198" s="16">
        <v>0</v>
      </c>
      <c r="N198" s="458">
        <v>2.5356999999999998</v>
      </c>
      <c r="O198" s="13">
        <v>2.5356999999999998</v>
      </c>
      <c r="P198" s="17">
        <v>0</v>
      </c>
      <c r="Q198" s="469">
        <f t="shared" si="224"/>
        <v>0</v>
      </c>
      <c r="R198" s="469">
        <v>0</v>
      </c>
      <c r="S198" s="460">
        <v>0</v>
      </c>
      <c r="T198" s="460">
        <v>0</v>
      </c>
      <c r="U198" s="460">
        <v>0</v>
      </c>
      <c r="V198" s="460">
        <f>SUM(Q198:U198)</f>
        <v>0</v>
      </c>
      <c r="W198" s="460">
        <v>0</v>
      </c>
      <c r="X198" s="460">
        <v>0</v>
      </c>
      <c r="Y198" s="460">
        <v>0</v>
      </c>
      <c r="Z198" s="460">
        <f t="shared" si="297"/>
        <v>0</v>
      </c>
      <c r="AA198" s="460">
        <f t="shared" si="298"/>
        <v>0</v>
      </c>
      <c r="AB198" s="69">
        <f t="shared" si="299"/>
        <v>0</v>
      </c>
      <c r="AC198" s="69">
        <f t="shared" si="300"/>
        <v>0</v>
      </c>
      <c r="AD198" s="460">
        <v>0</v>
      </c>
      <c r="AE198" s="460">
        <v>0</v>
      </c>
      <c r="AF198" s="460">
        <f>SUM(AD198:AE198)</f>
        <v>0</v>
      </c>
      <c r="AG198" s="460">
        <f>AA198+AB198+AC198+AF198</f>
        <v>0</v>
      </c>
      <c r="AH198" s="461">
        <v>0</v>
      </c>
      <c r="AI198" s="461">
        <v>0</v>
      </c>
      <c r="AJ198" s="461">
        <v>0</v>
      </c>
      <c r="AK198" s="461">
        <v>0</v>
      </c>
      <c r="AL198" s="461">
        <v>0</v>
      </c>
      <c r="AM198" s="461">
        <v>0</v>
      </c>
      <c r="AN198" s="461">
        <v>0</v>
      </c>
      <c r="AO198" s="461">
        <v>0</v>
      </c>
      <c r="AP198" s="461">
        <f t="shared" si="229"/>
        <v>0</v>
      </c>
      <c r="AQ198" s="461">
        <f t="shared" si="230"/>
        <v>0</v>
      </c>
      <c r="AR198" s="737">
        <f t="shared" si="231"/>
        <v>0</v>
      </c>
      <c r="AS198" s="470">
        <f t="shared" si="232"/>
        <v>1575098</v>
      </c>
      <c r="AT198" s="460">
        <f t="shared" si="233"/>
        <v>1168470</v>
      </c>
      <c r="AU198" s="460">
        <f t="shared" si="234"/>
        <v>0</v>
      </c>
      <c r="AV198" s="460">
        <f t="shared" si="235"/>
        <v>394943</v>
      </c>
      <c r="AW198" s="460">
        <f t="shared" si="236"/>
        <v>11685</v>
      </c>
      <c r="AX198" s="460">
        <f t="shared" si="237"/>
        <v>0</v>
      </c>
      <c r="AY198" s="461">
        <f t="shared" si="238"/>
        <v>2.5356999999999998</v>
      </c>
      <c r="AZ198" s="461">
        <f t="shared" si="239"/>
        <v>2.5356999999999998</v>
      </c>
      <c r="BA198" s="463">
        <f t="shared" si="240"/>
        <v>0</v>
      </c>
    </row>
    <row r="199" spans="1:53" ht="14.1" customHeight="1" x14ac:dyDescent="0.2">
      <c r="A199" s="67">
        <v>42</v>
      </c>
      <c r="B199" s="64">
        <v>2482</v>
      </c>
      <c r="C199" s="65">
        <v>600079945</v>
      </c>
      <c r="D199" s="64">
        <v>72741716</v>
      </c>
      <c r="E199" s="66" t="s">
        <v>640</v>
      </c>
      <c r="F199" s="67">
        <v>3143</v>
      </c>
      <c r="G199" s="78" t="s">
        <v>617</v>
      </c>
      <c r="H199" s="68" t="s">
        <v>278</v>
      </c>
      <c r="I199" s="462">
        <v>43979</v>
      </c>
      <c r="J199" s="673">
        <v>31424</v>
      </c>
      <c r="K199" s="457">
        <v>10621</v>
      </c>
      <c r="L199" s="457">
        <v>314</v>
      </c>
      <c r="M199" s="673">
        <v>1620</v>
      </c>
      <c r="N199" s="458">
        <v>0.13</v>
      </c>
      <c r="O199" s="459">
        <v>0</v>
      </c>
      <c r="P199" s="717">
        <v>0.13</v>
      </c>
      <c r="Q199" s="469">
        <f t="shared" si="224"/>
        <v>0</v>
      </c>
      <c r="R199" s="469">
        <v>0</v>
      </c>
      <c r="S199" s="460">
        <v>0</v>
      </c>
      <c r="T199" s="460">
        <v>0</v>
      </c>
      <c r="U199" s="460">
        <v>0</v>
      </c>
      <c r="V199" s="460">
        <f>SUM(Q199:U199)</f>
        <v>0</v>
      </c>
      <c r="W199" s="460">
        <v>0</v>
      </c>
      <c r="X199" s="460">
        <v>0</v>
      </c>
      <c r="Y199" s="460">
        <v>0</v>
      </c>
      <c r="Z199" s="460">
        <f t="shared" si="297"/>
        <v>0</v>
      </c>
      <c r="AA199" s="460">
        <f t="shared" si="298"/>
        <v>0</v>
      </c>
      <c r="AB199" s="69">
        <f t="shared" si="299"/>
        <v>0</v>
      </c>
      <c r="AC199" s="69">
        <f t="shared" si="300"/>
        <v>0</v>
      </c>
      <c r="AD199" s="460">
        <v>0</v>
      </c>
      <c r="AE199" s="460">
        <v>0</v>
      </c>
      <c r="AF199" s="460">
        <f>SUM(AD199:AE199)</f>
        <v>0</v>
      </c>
      <c r="AG199" s="460">
        <f>AA199+AB199+AC199+AF199</f>
        <v>0</v>
      </c>
      <c r="AH199" s="461">
        <v>0</v>
      </c>
      <c r="AI199" s="461">
        <v>0</v>
      </c>
      <c r="AJ199" s="461">
        <v>0</v>
      </c>
      <c r="AK199" s="461">
        <v>0</v>
      </c>
      <c r="AL199" s="461">
        <v>0</v>
      </c>
      <c r="AM199" s="461">
        <v>0</v>
      </c>
      <c r="AN199" s="461">
        <v>0</v>
      </c>
      <c r="AO199" s="461">
        <v>0</v>
      </c>
      <c r="AP199" s="461">
        <f t="shared" si="229"/>
        <v>0</v>
      </c>
      <c r="AQ199" s="461">
        <f t="shared" si="230"/>
        <v>0</v>
      </c>
      <c r="AR199" s="737">
        <f t="shared" si="231"/>
        <v>0</v>
      </c>
      <c r="AS199" s="470">
        <f t="shared" si="232"/>
        <v>43979</v>
      </c>
      <c r="AT199" s="460">
        <f t="shared" si="233"/>
        <v>31424</v>
      </c>
      <c r="AU199" s="460">
        <f t="shared" si="234"/>
        <v>0</v>
      </c>
      <c r="AV199" s="460">
        <f t="shared" si="235"/>
        <v>10621</v>
      </c>
      <c r="AW199" s="460">
        <f t="shared" si="236"/>
        <v>314</v>
      </c>
      <c r="AX199" s="460">
        <f t="shared" si="237"/>
        <v>1620</v>
      </c>
      <c r="AY199" s="461">
        <f t="shared" si="238"/>
        <v>0.13</v>
      </c>
      <c r="AZ199" s="461">
        <f t="shared" si="239"/>
        <v>0</v>
      </c>
      <c r="BA199" s="463">
        <f t="shared" si="240"/>
        <v>0.13</v>
      </c>
    </row>
    <row r="200" spans="1:53" ht="14.1" customHeight="1" x14ac:dyDescent="0.2">
      <c r="A200" s="73">
        <v>42</v>
      </c>
      <c r="B200" s="70">
        <v>2482</v>
      </c>
      <c r="C200" s="71">
        <v>600079945</v>
      </c>
      <c r="D200" s="70">
        <v>72741716</v>
      </c>
      <c r="E200" s="72" t="s">
        <v>641</v>
      </c>
      <c r="F200" s="73"/>
      <c r="G200" s="72"/>
      <c r="H200" s="74"/>
      <c r="I200" s="701">
        <f t="shared" ref="I200:P200" si="301">SUM(I195:I199)</f>
        <v>19427840</v>
      </c>
      <c r="J200" s="75">
        <f t="shared" si="301"/>
        <v>14191567</v>
      </c>
      <c r="K200" s="75">
        <f t="shared" si="301"/>
        <v>4796749</v>
      </c>
      <c r="L200" s="75">
        <f t="shared" si="301"/>
        <v>141915</v>
      </c>
      <c r="M200" s="75">
        <f t="shared" si="301"/>
        <v>297609</v>
      </c>
      <c r="N200" s="76">
        <f t="shared" si="301"/>
        <v>25.760999999999996</v>
      </c>
      <c r="O200" s="76">
        <f t="shared" si="301"/>
        <v>18.081</v>
      </c>
      <c r="P200" s="77">
        <f t="shared" si="301"/>
        <v>7.6800000000000006</v>
      </c>
      <c r="Q200" s="724">
        <f t="shared" ref="Q200:BA200" si="302">SUM(Q195:Q199)</f>
        <v>-32500</v>
      </c>
      <c r="R200" s="724">
        <f t="shared" si="302"/>
        <v>1784648</v>
      </c>
      <c r="S200" s="75">
        <f t="shared" si="302"/>
        <v>0</v>
      </c>
      <c r="T200" s="75">
        <f t="shared" si="302"/>
        <v>0</v>
      </c>
      <c r="U200" s="75">
        <f t="shared" si="302"/>
        <v>0</v>
      </c>
      <c r="V200" s="75">
        <f t="shared" si="302"/>
        <v>1752148</v>
      </c>
      <c r="W200" s="75">
        <f t="shared" si="302"/>
        <v>32500</v>
      </c>
      <c r="X200" s="75">
        <f t="shared" si="302"/>
        <v>0</v>
      </c>
      <c r="Y200" s="75">
        <f t="shared" si="302"/>
        <v>0</v>
      </c>
      <c r="Z200" s="75">
        <f t="shared" si="302"/>
        <v>32500</v>
      </c>
      <c r="AA200" s="75">
        <f t="shared" si="302"/>
        <v>1784648</v>
      </c>
      <c r="AB200" s="75">
        <f t="shared" si="302"/>
        <v>603211</v>
      </c>
      <c r="AC200" s="75">
        <f t="shared" si="302"/>
        <v>17521</v>
      </c>
      <c r="AD200" s="75">
        <f t="shared" si="302"/>
        <v>1500</v>
      </c>
      <c r="AE200" s="75">
        <f t="shared" si="302"/>
        <v>0</v>
      </c>
      <c r="AF200" s="75">
        <f t="shared" si="302"/>
        <v>1500</v>
      </c>
      <c r="AG200" s="75">
        <f t="shared" si="302"/>
        <v>2406880</v>
      </c>
      <c r="AH200" s="76">
        <f t="shared" si="302"/>
        <v>0</v>
      </c>
      <c r="AI200" s="76">
        <f t="shared" si="302"/>
        <v>-0.05</v>
      </c>
      <c r="AJ200" s="76">
        <f t="shared" si="302"/>
        <v>4.97</v>
      </c>
      <c r="AK200" s="76">
        <f t="shared" si="302"/>
        <v>0</v>
      </c>
      <c r="AL200" s="76">
        <f t="shared" si="302"/>
        <v>0</v>
      </c>
      <c r="AM200" s="76">
        <f t="shared" si="302"/>
        <v>0</v>
      </c>
      <c r="AN200" s="76">
        <f t="shared" si="302"/>
        <v>0</v>
      </c>
      <c r="AO200" s="76">
        <f t="shared" si="302"/>
        <v>0</v>
      </c>
      <c r="AP200" s="76">
        <f t="shared" si="302"/>
        <v>4.97</v>
      </c>
      <c r="AQ200" s="76">
        <f t="shared" si="302"/>
        <v>-0.05</v>
      </c>
      <c r="AR200" s="720">
        <f t="shared" si="302"/>
        <v>4.92</v>
      </c>
      <c r="AS200" s="701">
        <f t="shared" si="302"/>
        <v>21834720</v>
      </c>
      <c r="AT200" s="75">
        <f t="shared" si="302"/>
        <v>15943715</v>
      </c>
      <c r="AU200" s="75">
        <f t="shared" si="302"/>
        <v>32500</v>
      </c>
      <c r="AV200" s="75">
        <f t="shared" si="302"/>
        <v>5399960</v>
      </c>
      <c r="AW200" s="75">
        <f t="shared" si="302"/>
        <v>159436</v>
      </c>
      <c r="AX200" s="75">
        <f t="shared" si="302"/>
        <v>299109</v>
      </c>
      <c r="AY200" s="76">
        <f t="shared" si="302"/>
        <v>30.680999999999994</v>
      </c>
      <c r="AZ200" s="76">
        <f t="shared" si="302"/>
        <v>23.050999999999998</v>
      </c>
      <c r="BA200" s="77">
        <f t="shared" si="302"/>
        <v>7.63</v>
      </c>
    </row>
    <row r="201" spans="1:53" ht="14.1" customHeight="1" x14ac:dyDescent="0.2">
      <c r="A201" s="67">
        <v>43</v>
      </c>
      <c r="B201" s="64">
        <v>2328</v>
      </c>
      <c r="C201" s="65">
        <v>691006041</v>
      </c>
      <c r="D201" s="64">
        <v>71294988</v>
      </c>
      <c r="E201" s="66" t="s">
        <v>642</v>
      </c>
      <c r="F201" s="67">
        <v>3113</v>
      </c>
      <c r="G201" s="66" t="s">
        <v>310</v>
      </c>
      <c r="H201" s="68" t="s">
        <v>277</v>
      </c>
      <c r="I201" s="462">
        <v>28837116</v>
      </c>
      <c r="J201" s="16">
        <v>20968084</v>
      </c>
      <c r="K201" s="457">
        <v>7087212</v>
      </c>
      <c r="L201" s="457">
        <v>209680</v>
      </c>
      <c r="M201" s="16">
        <v>572140</v>
      </c>
      <c r="N201" s="13">
        <v>34.636299999999999</v>
      </c>
      <c r="O201" s="13">
        <v>27.586300000000001</v>
      </c>
      <c r="P201" s="17">
        <v>7.05</v>
      </c>
      <c r="Q201" s="469">
        <f t="shared" si="224"/>
        <v>-124800</v>
      </c>
      <c r="R201" s="469">
        <v>0</v>
      </c>
      <c r="S201" s="460">
        <v>0</v>
      </c>
      <c r="T201" s="460">
        <v>0</v>
      </c>
      <c r="U201" s="460">
        <v>0</v>
      </c>
      <c r="V201" s="460">
        <f>SUM(Q201:U201)</f>
        <v>-124800</v>
      </c>
      <c r="W201" s="460">
        <v>124800</v>
      </c>
      <c r="X201" s="460">
        <v>0</v>
      </c>
      <c r="Y201" s="460">
        <v>0</v>
      </c>
      <c r="Z201" s="460">
        <f t="shared" ref="Z201:Z205" si="303">SUM(W201:Y201)</f>
        <v>124800</v>
      </c>
      <c r="AA201" s="460">
        <f t="shared" ref="AA201:AA205" si="304">V201+Z201</f>
        <v>0</v>
      </c>
      <c r="AB201" s="69">
        <f t="shared" ref="AB201:AB205" si="305">ROUND((V201+W201+X201)*33.8%,0)</f>
        <v>0</v>
      </c>
      <c r="AC201" s="69">
        <f t="shared" ref="AC201:AC205" si="306">ROUND(V201*1%,0)</f>
        <v>-1248</v>
      </c>
      <c r="AD201" s="460">
        <v>0</v>
      </c>
      <c r="AE201" s="460">
        <v>0</v>
      </c>
      <c r="AF201" s="460">
        <f>SUM(AD201:AE201)</f>
        <v>0</v>
      </c>
      <c r="AG201" s="460">
        <f>AA201+AB201+AC201+AF201</f>
        <v>-1248</v>
      </c>
      <c r="AH201" s="461">
        <v>-0.02</v>
      </c>
      <c r="AI201" s="461">
        <v>-0.34</v>
      </c>
      <c r="AJ201" s="461">
        <v>0</v>
      </c>
      <c r="AK201" s="461">
        <v>0</v>
      </c>
      <c r="AL201" s="461">
        <v>0</v>
      </c>
      <c r="AM201" s="461">
        <v>0</v>
      </c>
      <c r="AN201" s="461">
        <v>0</v>
      </c>
      <c r="AO201" s="461">
        <v>0</v>
      </c>
      <c r="AP201" s="461">
        <f t="shared" si="229"/>
        <v>-0.02</v>
      </c>
      <c r="AQ201" s="461">
        <f t="shared" si="230"/>
        <v>-0.34</v>
      </c>
      <c r="AR201" s="737">
        <f t="shared" si="231"/>
        <v>-0.36000000000000004</v>
      </c>
      <c r="AS201" s="470">
        <f t="shared" si="232"/>
        <v>28835868</v>
      </c>
      <c r="AT201" s="460">
        <f t="shared" si="233"/>
        <v>20843284</v>
      </c>
      <c r="AU201" s="460">
        <f t="shared" si="234"/>
        <v>124800</v>
      </c>
      <c r="AV201" s="460">
        <f t="shared" si="235"/>
        <v>7087212</v>
      </c>
      <c r="AW201" s="460">
        <f t="shared" si="236"/>
        <v>208432</v>
      </c>
      <c r="AX201" s="460">
        <f t="shared" si="237"/>
        <v>572140</v>
      </c>
      <c r="AY201" s="461">
        <f t="shared" si="238"/>
        <v>34.276299999999999</v>
      </c>
      <c r="AZ201" s="461">
        <f t="shared" si="239"/>
        <v>27.566300000000002</v>
      </c>
      <c r="BA201" s="463">
        <f t="shared" si="240"/>
        <v>6.71</v>
      </c>
    </row>
    <row r="202" spans="1:53" ht="14.1" customHeight="1" x14ac:dyDescent="0.2">
      <c r="A202" s="67">
        <v>43</v>
      </c>
      <c r="B202" s="64">
        <v>2328</v>
      </c>
      <c r="C202" s="65">
        <v>691006041</v>
      </c>
      <c r="D202" s="64">
        <v>71294988</v>
      </c>
      <c r="E202" s="66" t="s">
        <v>642</v>
      </c>
      <c r="F202" s="67">
        <v>3113</v>
      </c>
      <c r="G202" s="78" t="s">
        <v>308</v>
      </c>
      <c r="H202" s="68" t="s">
        <v>278</v>
      </c>
      <c r="I202" s="462">
        <v>0</v>
      </c>
      <c r="J202" s="457">
        <v>0</v>
      </c>
      <c r="K202" s="457">
        <v>0</v>
      </c>
      <c r="L202" s="457">
        <v>0</v>
      </c>
      <c r="M202" s="457">
        <v>0</v>
      </c>
      <c r="N202" s="458">
        <v>0</v>
      </c>
      <c r="O202" s="459">
        <v>0</v>
      </c>
      <c r="P202" s="646">
        <v>0</v>
      </c>
      <c r="Q202" s="469">
        <f t="shared" si="224"/>
        <v>0</v>
      </c>
      <c r="R202" s="469">
        <v>1972477</v>
      </c>
      <c r="S202" s="460">
        <v>0</v>
      </c>
      <c r="T202" s="460">
        <v>0</v>
      </c>
      <c r="U202" s="460">
        <v>0</v>
      </c>
      <c r="V202" s="460">
        <f>SUM(Q202:U202)</f>
        <v>1972477</v>
      </c>
      <c r="W202" s="460">
        <v>0</v>
      </c>
      <c r="X202" s="460">
        <v>0</v>
      </c>
      <c r="Y202" s="460">
        <v>0</v>
      </c>
      <c r="Z202" s="460">
        <f t="shared" si="303"/>
        <v>0</v>
      </c>
      <c r="AA202" s="460">
        <f t="shared" si="304"/>
        <v>1972477</v>
      </c>
      <c r="AB202" s="69">
        <f t="shared" si="305"/>
        <v>666697</v>
      </c>
      <c r="AC202" s="69">
        <f t="shared" si="306"/>
        <v>19725</v>
      </c>
      <c r="AD202" s="460">
        <v>6000</v>
      </c>
      <c r="AE202" s="460">
        <v>0</v>
      </c>
      <c r="AF202" s="460">
        <f>SUM(AD202:AE202)</f>
        <v>6000</v>
      </c>
      <c r="AG202" s="460">
        <f>AA202+AB202+AC202+AF202</f>
        <v>2664899</v>
      </c>
      <c r="AH202" s="461">
        <v>0</v>
      </c>
      <c r="AI202" s="461">
        <v>0</v>
      </c>
      <c r="AJ202" s="461">
        <v>6.0299999999999994</v>
      </c>
      <c r="AK202" s="461">
        <v>0</v>
      </c>
      <c r="AL202" s="461">
        <v>0</v>
      </c>
      <c r="AM202" s="461">
        <v>0</v>
      </c>
      <c r="AN202" s="461">
        <v>0</v>
      </c>
      <c r="AO202" s="461">
        <v>0</v>
      </c>
      <c r="AP202" s="461">
        <f t="shared" si="229"/>
        <v>6.0299999999999994</v>
      </c>
      <c r="AQ202" s="461">
        <f t="shared" si="230"/>
        <v>0</v>
      </c>
      <c r="AR202" s="737">
        <f t="shared" si="231"/>
        <v>6.0299999999999994</v>
      </c>
      <c r="AS202" s="470">
        <f t="shared" si="232"/>
        <v>2664899</v>
      </c>
      <c r="AT202" s="460">
        <f t="shared" si="233"/>
        <v>1972477</v>
      </c>
      <c r="AU202" s="460">
        <f t="shared" si="234"/>
        <v>0</v>
      </c>
      <c r="AV202" s="460">
        <f t="shared" si="235"/>
        <v>666697</v>
      </c>
      <c r="AW202" s="460">
        <f t="shared" si="236"/>
        <v>19725</v>
      </c>
      <c r="AX202" s="460">
        <f t="shared" si="237"/>
        <v>6000</v>
      </c>
      <c r="AY202" s="461">
        <f t="shared" si="238"/>
        <v>6.0299999999999994</v>
      </c>
      <c r="AZ202" s="461">
        <f t="shared" si="239"/>
        <v>6.0299999999999994</v>
      </c>
      <c r="BA202" s="463">
        <f t="shared" si="240"/>
        <v>0</v>
      </c>
    </row>
    <row r="203" spans="1:53" ht="13.5" customHeight="1" x14ac:dyDescent="0.2">
      <c r="A203" s="67">
        <v>43</v>
      </c>
      <c r="B203" s="64">
        <v>2328</v>
      </c>
      <c r="C203" s="65">
        <v>691006041</v>
      </c>
      <c r="D203" s="64">
        <v>71294988</v>
      </c>
      <c r="E203" s="66" t="s">
        <v>642</v>
      </c>
      <c r="F203" s="67">
        <v>3141</v>
      </c>
      <c r="G203" s="66" t="s">
        <v>311</v>
      </c>
      <c r="H203" s="68" t="s">
        <v>278</v>
      </c>
      <c r="I203" s="462">
        <v>2515195</v>
      </c>
      <c r="J203" s="728">
        <v>1850210</v>
      </c>
      <c r="K203" s="457">
        <v>625371</v>
      </c>
      <c r="L203" s="457">
        <v>18502</v>
      </c>
      <c r="M203" s="728">
        <v>21112</v>
      </c>
      <c r="N203" s="458">
        <v>5.95</v>
      </c>
      <c r="O203" s="459">
        <v>0</v>
      </c>
      <c r="P203" s="646">
        <v>5.95</v>
      </c>
      <c r="Q203" s="469">
        <f t="shared" si="224"/>
        <v>0</v>
      </c>
      <c r="R203" s="469">
        <v>0</v>
      </c>
      <c r="S203" s="460">
        <v>0</v>
      </c>
      <c r="T203" s="460">
        <v>0</v>
      </c>
      <c r="U203" s="460">
        <v>0</v>
      </c>
      <c r="V203" s="460">
        <f>SUM(Q203:U203)</f>
        <v>0</v>
      </c>
      <c r="W203" s="460">
        <v>0</v>
      </c>
      <c r="X203" s="460">
        <v>0</v>
      </c>
      <c r="Y203" s="460">
        <v>0</v>
      </c>
      <c r="Z203" s="460">
        <f t="shared" si="303"/>
        <v>0</v>
      </c>
      <c r="AA203" s="460">
        <f t="shared" si="304"/>
        <v>0</v>
      </c>
      <c r="AB203" s="69">
        <f t="shared" si="305"/>
        <v>0</v>
      </c>
      <c r="AC203" s="69">
        <f t="shared" si="306"/>
        <v>0</v>
      </c>
      <c r="AD203" s="460">
        <v>0</v>
      </c>
      <c r="AE203" s="460">
        <v>0</v>
      </c>
      <c r="AF203" s="460">
        <f>SUM(AD203:AE203)</f>
        <v>0</v>
      </c>
      <c r="AG203" s="460">
        <f>AA203+AB203+AC203+AF203</f>
        <v>0</v>
      </c>
      <c r="AH203" s="461">
        <v>0</v>
      </c>
      <c r="AI203" s="461">
        <v>0</v>
      </c>
      <c r="AJ203" s="461">
        <v>0</v>
      </c>
      <c r="AK203" s="461">
        <v>0</v>
      </c>
      <c r="AL203" s="461">
        <v>0</v>
      </c>
      <c r="AM203" s="461">
        <v>0</v>
      </c>
      <c r="AN203" s="461">
        <v>0</v>
      </c>
      <c r="AO203" s="461">
        <v>0</v>
      </c>
      <c r="AP203" s="461">
        <f t="shared" si="229"/>
        <v>0</v>
      </c>
      <c r="AQ203" s="461">
        <f t="shared" si="230"/>
        <v>0</v>
      </c>
      <c r="AR203" s="737">
        <f t="shared" si="231"/>
        <v>0</v>
      </c>
      <c r="AS203" s="470">
        <f t="shared" si="232"/>
        <v>2515195</v>
      </c>
      <c r="AT203" s="460">
        <f t="shared" si="233"/>
        <v>1850210</v>
      </c>
      <c r="AU203" s="460">
        <f t="shared" si="234"/>
        <v>0</v>
      </c>
      <c r="AV203" s="460">
        <f t="shared" si="235"/>
        <v>625371</v>
      </c>
      <c r="AW203" s="460">
        <f t="shared" si="236"/>
        <v>18502</v>
      </c>
      <c r="AX203" s="460">
        <f t="shared" si="237"/>
        <v>21112</v>
      </c>
      <c r="AY203" s="461">
        <f t="shared" si="238"/>
        <v>5.95</v>
      </c>
      <c r="AZ203" s="461">
        <f t="shared" si="239"/>
        <v>0</v>
      </c>
      <c r="BA203" s="463">
        <f t="shared" si="240"/>
        <v>5.95</v>
      </c>
    </row>
    <row r="204" spans="1:53" ht="14.1" customHeight="1" x14ac:dyDescent="0.2">
      <c r="A204" s="67">
        <v>43</v>
      </c>
      <c r="B204" s="64">
        <v>2328</v>
      </c>
      <c r="C204" s="65">
        <v>691006041</v>
      </c>
      <c r="D204" s="64">
        <v>71294988</v>
      </c>
      <c r="E204" s="66" t="s">
        <v>642</v>
      </c>
      <c r="F204" s="67">
        <v>3143</v>
      </c>
      <c r="G204" s="78" t="s">
        <v>616</v>
      </c>
      <c r="H204" s="68" t="s">
        <v>277</v>
      </c>
      <c r="I204" s="462">
        <v>3027005</v>
      </c>
      <c r="J204" s="16">
        <v>2245552</v>
      </c>
      <c r="K204" s="457">
        <v>758997</v>
      </c>
      <c r="L204" s="457">
        <v>22456</v>
      </c>
      <c r="M204" s="16">
        <v>0</v>
      </c>
      <c r="N204" s="458">
        <v>4.7786999999999997</v>
      </c>
      <c r="O204" s="13">
        <v>4.7786999999999997</v>
      </c>
      <c r="P204" s="17">
        <v>0</v>
      </c>
      <c r="Q204" s="469">
        <f t="shared" ref="Q204:Q267" si="307">W204*-1</f>
        <v>0</v>
      </c>
      <c r="R204" s="469">
        <v>0</v>
      </c>
      <c r="S204" s="460">
        <v>0</v>
      </c>
      <c r="T204" s="460">
        <v>0</v>
      </c>
      <c r="U204" s="460">
        <v>0</v>
      </c>
      <c r="V204" s="460">
        <f>SUM(Q204:U204)</f>
        <v>0</v>
      </c>
      <c r="W204" s="460">
        <v>0</v>
      </c>
      <c r="X204" s="460">
        <v>0</v>
      </c>
      <c r="Y204" s="460">
        <v>0</v>
      </c>
      <c r="Z204" s="460">
        <f t="shared" si="303"/>
        <v>0</v>
      </c>
      <c r="AA204" s="460">
        <f t="shared" si="304"/>
        <v>0</v>
      </c>
      <c r="AB204" s="69">
        <f t="shared" si="305"/>
        <v>0</v>
      </c>
      <c r="AC204" s="69">
        <f t="shared" si="306"/>
        <v>0</v>
      </c>
      <c r="AD204" s="460">
        <v>0</v>
      </c>
      <c r="AE204" s="460">
        <v>0</v>
      </c>
      <c r="AF204" s="460">
        <f>SUM(AD204:AE204)</f>
        <v>0</v>
      </c>
      <c r="AG204" s="460">
        <f>AA204+AB204+AC204+AF204</f>
        <v>0</v>
      </c>
      <c r="AH204" s="461">
        <v>0</v>
      </c>
      <c r="AI204" s="461">
        <v>0</v>
      </c>
      <c r="AJ204" s="461">
        <v>0</v>
      </c>
      <c r="AK204" s="461">
        <v>0</v>
      </c>
      <c r="AL204" s="461">
        <v>0</v>
      </c>
      <c r="AM204" s="461">
        <v>0</v>
      </c>
      <c r="AN204" s="461">
        <v>0</v>
      </c>
      <c r="AO204" s="461">
        <v>0</v>
      </c>
      <c r="AP204" s="461">
        <f t="shared" si="229"/>
        <v>0</v>
      </c>
      <c r="AQ204" s="461">
        <f t="shared" si="230"/>
        <v>0</v>
      </c>
      <c r="AR204" s="737">
        <f t="shared" si="231"/>
        <v>0</v>
      </c>
      <c r="AS204" s="470">
        <f t="shared" si="232"/>
        <v>3027005</v>
      </c>
      <c r="AT204" s="460">
        <f t="shared" si="233"/>
        <v>2245552</v>
      </c>
      <c r="AU204" s="460">
        <f t="shared" si="234"/>
        <v>0</v>
      </c>
      <c r="AV204" s="460">
        <f t="shared" si="235"/>
        <v>758997</v>
      </c>
      <c r="AW204" s="460">
        <f t="shared" si="236"/>
        <v>22456</v>
      </c>
      <c r="AX204" s="460">
        <f t="shared" si="237"/>
        <v>0</v>
      </c>
      <c r="AY204" s="461">
        <f t="shared" si="238"/>
        <v>4.7786999999999997</v>
      </c>
      <c r="AZ204" s="461">
        <f t="shared" si="239"/>
        <v>4.7786999999999997</v>
      </c>
      <c r="BA204" s="463">
        <f t="shared" si="240"/>
        <v>0</v>
      </c>
    </row>
    <row r="205" spans="1:53" ht="14.1" customHeight="1" x14ac:dyDescent="0.2">
      <c r="A205" s="67">
        <v>43</v>
      </c>
      <c r="B205" s="64">
        <v>2328</v>
      </c>
      <c r="C205" s="65">
        <v>691006041</v>
      </c>
      <c r="D205" s="64">
        <v>71294988</v>
      </c>
      <c r="E205" s="66" t="s">
        <v>642</v>
      </c>
      <c r="F205" s="67">
        <v>3143</v>
      </c>
      <c r="G205" s="78" t="s">
        <v>617</v>
      </c>
      <c r="H205" s="68" t="s">
        <v>278</v>
      </c>
      <c r="I205" s="462">
        <v>98955</v>
      </c>
      <c r="J205" s="673">
        <v>70705</v>
      </c>
      <c r="K205" s="457">
        <v>23898</v>
      </c>
      <c r="L205" s="457">
        <v>707</v>
      </c>
      <c r="M205" s="673">
        <v>3645</v>
      </c>
      <c r="N205" s="458">
        <v>0.28000000000000003</v>
      </c>
      <c r="O205" s="459">
        <v>0</v>
      </c>
      <c r="P205" s="717">
        <v>0.28000000000000003</v>
      </c>
      <c r="Q205" s="469">
        <f t="shared" si="307"/>
        <v>0</v>
      </c>
      <c r="R205" s="469">
        <v>0</v>
      </c>
      <c r="S205" s="460">
        <v>0</v>
      </c>
      <c r="T205" s="460">
        <v>0</v>
      </c>
      <c r="U205" s="460">
        <v>0</v>
      </c>
      <c r="V205" s="460">
        <f>SUM(Q205:U205)</f>
        <v>0</v>
      </c>
      <c r="W205" s="460">
        <v>0</v>
      </c>
      <c r="X205" s="460">
        <v>0</v>
      </c>
      <c r="Y205" s="460">
        <v>0</v>
      </c>
      <c r="Z205" s="460">
        <f t="shared" si="303"/>
        <v>0</v>
      </c>
      <c r="AA205" s="460">
        <f t="shared" si="304"/>
        <v>0</v>
      </c>
      <c r="AB205" s="69">
        <f t="shared" si="305"/>
        <v>0</v>
      </c>
      <c r="AC205" s="69">
        <f t="shared" si="306"/>
        <v>0</v>
      </c>
      <c r="AD205" s="460">
        <v>0</v>
      </c>
      <c r="AE205" s="460">
        <v>0</v>
      </c>
      <c r="AF205" s="460">
        <f>SUM(AD205:AE205)</f>
        <v>0</v>
      </c>
      <c r="AG205" s="460">
        <f>AA205+AB205+AC205+AF205</f>
        <v>0</v>
      </c>
      <c r="AH205" s="461">
        <v>0</v>
      </c>
      <c r="AI205" s="461">
        <v>0</v>
      </c>
      <c r="AJ205" s="461">
        <v>0</v>
      </c>
      <c r="AK205" s="461">
        <v>0</v>
      </c>
      <c r="AL205" s="461">
        <v>0</v>
      </c>
      <c r="AM205" s="461">
        <v>0</v>
      </c>
      <c r="AN205" s="461">
        <v>0</v>
      </c>
      <c r="AO205" s="461">
        <v>0</v>
      </c>
      <c r="AP205" s="461">
        <f t="shared" ref="AP205:AP268" si="308">AH205+AJ205+AK205+AM205+AN205</f>
        <v>0</v>
      </c>
      <c r="AQ205" s="461">
        <f t="shared" ref="AQ205:AQ268" si="309">AI205+AL205+AO205</f>
        <v>0</v>
      </c>
      <c r="AR205" s="737">
        <f t="shared" ref="AR205:AR268" si="310">SUM(AP205:AQ205)</f>
        <v>0</v>
      </c>
      <c r="AS205" s="470">
        <f t="shared" ref="AS205:AS268" si="311">I205+AG205</f>
        <v>98955</v>
      </c>
      <c r="AT205" s="460">
        <f t="shared" ref="AT205:AT268" si="312">J205+V205</f>
        <v>70705</v>
      </c>
      <c r="AU205" s="460">
        <f t="shared" ref="AU205:AU268" si="313">Z205</f>
        <v>0</v>
      </c>
      <c r="AV205" s="460">
        <f t="shared" ref="AV205:AV268" si="314">K205+AB205</f>
        <v>23898</v>
      </c>
      <c r="AW205" s="460">
        <f t="shared" ref="AW205:AW268" si="315">L205+AC205</f>
        <v>707</v>
      </c>
      <c r="AX205" s="460">
        <f t="shared" ref="AX205:AX268" si="316">M205+AF205</f>
        <v>3645</v>
      </c>
      <c r="AY205" s="461">
        <f t="shared" ref="AY205:AY268" si="317">N205+AR205</f>
        <v>0.28000000000000003</v>
      </c>
      <c r="AZ205" s="461">
        <f t="shared" ref="AZ205:AZ268" si="318">O205+AP205</f>
        <v>0</v>
      </c>
      <c r="BA205" s="463">
        <f t="shared" ref="BA205:BA268" si="319">P205+AQ205</f>
        <v>0.28000000000000003</v>
      </c>
    </row>
    <row r="206" spans="1:53" ht="14.1" customHeight="1" x14ac:dyDescent="0.2">
      <c r="A206" s="73">
        <v>43</v>
      </c>
      <c r="B206" s="70">
        <v>2328</v>
      </c>
      <c r="C206" s="71">
        <v>691006041</v>
      </c>
      <c r="D206" s="70">
        <v>71294988</v>
      </c>
      <c r="E206" s="72" t="s">
        <v>643</v>
      </c>
      <c r="F206" s="73"/>
      <c r="G206" s="72"/>
      <c r="H206" s="74"/>
      <c r="I206" s="701">
        <f t="shared" ref="I206:P206" si="320">SUM(I201:I205)</f>
        <v>34478271</v>
      </c>
      <c r="J206" s="75">
        <f t="shared" si="320"/>
        <v>25134551</v>
      </c>
      <c r="K206" s="75">
        <f t="shared" si="320"/>
        <v>8495478</v>
      </c>
      <c r="L206" s="75">
        <f t="shared" si="320"/>
        <v>251345</v>
      </c>
      <c r="M206" s="75">
        <f t="shared" si="320"/>
        <v>596897</v>
      </c>
      <c r="N206" s="76">
        <f t="shared" si="320"/>
        <v>45.645000000000003</v>
      </c>
      <c r="O206" s="76">
        <f t="shared" si="320"/>
        <v>32.365000000000002</v>
      </c>
      <c r="P206" s="77">
        <f t="shared" si="320"/>
        <v>13.28</v>
      </c>
      <c r="Q206" s="724">
        <f t="shared" ref="Q206:BA206" si="321">SUM(Q201:Q205)</f>
        <v>-124800</v>
      </c>
      <c r="R206" s="724">
        <f t="shared" si="321"/>
        <v>1972477</v>
      </c>
      <c r="S206" s="75">
        <f t="shared" si="321"/>
        <v>0</v>
      </c>
      <c r="T206" s="75">
        <f t="shared" si="321"/>
        <v>0</v>
      </c>
      <c r="U206" s="75">
        <f t="shared" si="321"/>
        <v>0</v>
      </c>
      <c r="V206" s="75">
        <f t="shared" si="321"/>
        <v>1847677</v>
      </c>
      <c r="W206" s="75">
        <f t="shared" si="321"/>
        <v>124800</v>
      </c>
      <c r="X206" s="75">
        <f t="shared" si="321"/>
        <v>0</v>
      </c>
      <c r="Y206" s="75">
        <f t="shared" si="321"/>
        <v>0</v>
      </c>
      <c r="Z206" s="75">
        <f t="shared" si="321"/>
        <v>124800</v>
      </c>
      <c r="AA206" s="75">
        <f t="shared" si="321"/>
        <v>1972477</v>
      </c>
      <c r="AB206" s="75">
        <f t="shared" si="321"/>
        <v>666697</v>
      </c>
      <c r="AC206" s="75">
        <f t="shared" si="321"/>
        <v>18477</v>
      </c>
      <c r="AD206" s="75">
        <f t="shared" si="321"/>
        <v>6000</v>
      </c>
      <c r="AE206" s="75">
        <f t="shared" si="321"/>
        <v>0</v>
      </c>
      <c r="AF206" s="75">
        <f t="shared" si="321"/>
        <v>6000</v>
      </c>
      <c r="AG206" s="75">
        <f t="shared" si="321"/>
        <v>2663651</v>
      </c>
      <c r="AH206" s="76">
        <f t="shared" si="321"/>
        <v>-0.02</v>
      </c>
      <c r="AI206" s="76">
        <f t="shared" si="321"/>
        <v>-0.34</v>
      </c>
      <c r="AJ206" s="76">
        <f t="shared" si="321"/>
        <v>6.0299999999999994</v>
      </c>
      <c r="AK206" s="76">
        <f t="shared" si="321"/>
        <v>0</v>
      </c>
      <c r="AL206" s="76">
        <f t="shared" si="321"/>
        <v>0</v>
      </c>
      <c r="AM206" s="76">
        <f t="shared" si="321"/>
        <v>0</v>
      </c>
      <c r="AN206" s="76">
        <f t="shared" si="321"/>
        <v>0</v>
      </c>
      <c r="AO206" s="76">
        <f t="shared" si="321"/>
        <v>0</v>
      </c>
      <c r="AP206" s="76">
        <f t="shared" si="321"/>
        <v>6.01</v>
      </c>
      <c r="AQ206" s="76">
        <f t="shared" si="321"/>
        <v>-0.34</v>
      </c>
      <c r="AR206" s="720">
        <f t="shared" si="321"/>
        <v>5.669999999999999</v>
      </c>
      <c r="AS206" s="701">
        <f t="shared" si="321"/>
        <v>37141922</v>
      </c>
      <c r="AT206" s="75">
        <f t="shared" si="321"/>
        <v>26982228</v>
      </c>
      <c r="AU206" s="75">
        <f t="shared" si="321"/>
        <v>124800</v>
      </c>
      <c r="AV206" s="75">
        <f t="shared" si="321"/>
        <v>9162175</v>
      </c>
      <c r="AW206" s="75">
        <f t="shared" si="321"/>
        <v>269822</v>
      </c>
      <c r="AX206" s="75">
        <f t="shared" si="321"/>
        <v>602897</v>
      </c>
      <c r="AY206" s="76">
        <f t="shared" si="321"/>
        <v>51.315000000000005</v>
      </c>
      <c r="AZ206" s="76">
        <f t="shared" si="321"/>
        <v>38.375</v>
      </c>
      <c r="BA206" s="77">
        <f t="shared" si="321"/>
        <v>12.94</v>
      </c>
    </row>
    <row r="207" spans="1:53" ht="14.1" customHeight="1" x14ac:dyDescent="0.2">
      <c r="A207" s="67">
        <v>44</v>
      </c>
      <c r="B207" s="64">
        <v>2486</v>
      </c>
      <c r="C207" s="65">
        <v>600079970</v>
      </c>
      <c r="D207" s="64">
        <v>46744908</v>
      </c>
      <c r="E207" s="66" t="s">
        <v>644</v>
      </c>
      <c r="F207" s="67">
        <v>3113</v>
      </c>
      <c r="G207" s="66" t="s">
        <v>310</v>
      </c>
      <c r="H207" s="68" t="s">
        <v>277</v>
      </c>
      <c r="I207" s="462">
        <v>20592260</v>
      </c>
      <c r="J207" s="16">
        <v>15003724</v>
      </c>
      <c r="K207" s="457">
        <v>5071259</v>
      </c>
      <c r="L207" s="457">
        <v>150037</v>
      </c>
      <c r="M207" s="16">
        <v>367240</v>
      </c>
      <c r="N207" s="13">
        <v>24.913</v>
      </c>
      <c r="O207" s="13">
        <v>19.773</v>
      </c>
      <c r="P207" s="17">
        <v>5.1400000000000006</v>
      </c>
      <c r="Q207" s="469">
        <f t="shared" si="307"/>
        <v>-97500</v>
      </c>
      <c r="R207" s="469">
        <v>0</v>
      </c>
      <c r="S207" s="460">
        <v>0</v>
      </c>
      <c r="T207" s="460">
        <v>0</v>
      </c>
      <c r="U207" s="460">
        <v>0</v>
      </c>
      <c r="V207" s="460">
        <f t="shared" ref="V207:V212" si="322">SUM(Q207:U207)</f>
        <v>-97500</v>
      </c>
      <c r="W207" s="460">
        <v>97500</v>
      </c>
      <c r="X207" s="460">
        <v>0</v>
      </c>
      <c r="Y207" s="460">
        <v>0</v>
      </c>
      <c r="Z207" s="460">
        <f t="shared" ref="Z207:Z212" si="323">SUM(W207:Y207)</f>
        <v>97500</v>
      </c>
      <c r="AA207" s="460">
        <f t="shared" ref="AA207:AA212" si="324">V207+Z207</f>
        <v>0</v>
      </c>
      <c r="AB207" s="69">
        <f t="shared" ref="AB207:AB212" si="325">ROUND((V207+W207+X207)*33.8%,0)</f>
        <v>0</v>
      </c>
      <c r="AC207" s="69">
        <f t="shared" ref="AC207:AC212" si="326">ROUND(V207*1%,0)</f>
        <v>-975</v>
      </c>
      <c r="AD207" s="460">
        <v>0</v>
      </c>
      <c r="AE207" s="460">
        <v>0</v>
      </c>
      <c r="AF207" s="460">
        <f t="shared" ref="AF207:AF212" si="327">SUM(AD207:AE207)</f>
        <v>0</v>
      </c>
      <c r="AG207" s="460">
        <f t="shared" ref="AG207:AG212" si="328">AA207+AB207+AC207+AF207</f>
        <v>-975</v>
      </c>
      <c r="AH207" s="461">
        <v>-0.1</v>
      </c>
      <c r="AI207" s="461">
        <v>-0.01</v>
      </c>
      <c r="AJ207" s="461">
        <v>0</v>
      </c>
      <c r="AK207" s="461">
        <v>0</v>
      </c>
      <c r="AL207" s="461">
        <v>0</v>
      </c>
      <c r="AM207" s="461">
        <v>0</v>
      </c>
      <c r="AN207" s="461">
        <v>0</v>
      </c>
      <c r="AO207" s="461">
        <v>0</v>
      </c>
      <c r="AP207" s="461">
        <f t="shared" si="308"/>
        <v>-0.1</v>
      </c>
      <c r="AQ207" s="461">
        <f t="shared" si="309"/>
        <v>-0.01</v>
      </c>
      <c r="AR207" s="737">
        <f t="shared" si="310"/>
        <v>-0.11</v>
      </c>
      <c r="AS207" s="470">
        <f t="shared" si="311"/>
        <v>20591285</v>
      </c>
      <c r="AT207" s="460">
        <f t="shared" si="312"/>
        <v>14906224</v>
      </c>
      <c r="AU207" s="460">
        <f t="shared" si="313"/>
        <v>97500</v>
      </c>
      <c r="AV207" s="460">
        <f t="shared" si="314"/>
        <v>5071259</v>
      </c>
      <c r="AW207" s="460">
        <f t="shared" si="315"/>
        <v>149062</v>
      </c>
      <c r="AX207" s="460">
        <f t="shared" si="316"/>
        <v>367240</v>
      </c>
      <c r="AY207" s="461">
        <f t="shared" si="317"/>
        <v>24.803000000000001</v>
      </c>
      <c r="AZ207" s="461">
        <f t="shared" si="318"/>
        <v>19.672999999999998</v>
      </c>
      <c r="BA207" s="463">
        <f t="shared" si="319"/>
        <v>5.1300000000000008</v>
      </c>
    </row>
    <row r="208" spans="1:53" ht="14.1" customHeight="1" x14ac:dyDescent="0.2">
      <c r="A208" s="67">
        <v>44</v>
      </c>
      <c r="B208" s="64">
        <v>2486</v>
      </c>
      <c r="C208" s="65">
        <v>600079970</v>
      </c>
      <c r="D208" s="64">
        <v>46744908</v>
      </c>
      <c r="E208" s="66" t="s">
        <v>644</v>
      </c>
      <c r="F208" s="67">
        <v>3113</v>
      </c>
      <c r="G208" s="78" t="s">
        <v>308</v>
      </c>
      <c r="H208" s="68" t="s">
        <v>278</v>
      </c>
      <c r="I208" s="462">
        <v>0</v>
      </c>
      <c r="J208" s="457">
        <v>0</v>
      </c>
      <c r="K208" s="457">
        <v>0</v>
      </c>
      <c r="L208" s="457">
        <v>0</v>
      </c>
      <c r="M208" s="457">
        <v>0</v>
      </c>
      <c r="N208" s="458">
        <v>0</v>
      </c>
      <c r="O208" s="459">
        <v>0</v>
      </c>
      <c r="P208" s="646">
        <v>0</v>
      </c>
      <c r="Q208" s="469">
        <f t="shared" si="307"/>
        <v>0</v>
      </c>
      <c r="R208" s="469">
        <v>1346012</v>
      </c>
      <c r="S208" s="460">
        <v>0</v>
      </c>
      <c r="T208" s="460">
        <v>0</v>
      </c>
      <c r="U208" s="460">
        <v>0</v>
      </c>
      <c r="V208" s="460">
        <f t="shared" si="322"/>
        <v>1346012</v>
      </c>
      <c r="W208" s="460">
        <v>0</v>
      </c>
      <c r="X208" s="460">
        <v>0</v>
      </c>
      <c r="Y208" s="460">
        <v>0</v>
      </c>
      <c r="Z208" s="460">
        <f t="shared" si="323"/>
        <v>0</v>
      </c>
      <c r="AA208" s="460">
        <f t="shared" si="324"/>
        <v>1346012</v>
      </c>
      <c r="AB208" s="69">
        <f t="shared" si="325"/>
        <v>454952</v>
      </c>
      <c r="AC208" s="69">
        <f t="shared" si="326"/>
        <v>13460</v>
      </c>
      <c r="AD208" s="460">
        <v>0</v>
      </c>
      <c r="AE208" s="460">
        <v>0</v>
      </c>
      <c r="AF208" s="460">
        <f t="shared" si="327"/>
        <v>0</v>
      </c>
      <c r="AG208" s="460">
        <f t="shared" si="328"/>
        <v>1814424</v>
      </c>
      <c r="AH208" s="461">
        <v>0</v>
      </c>
      <c r="AI208" s="461">
        <v>0</v>
      </c>
      <c r="AJ208" s="461">
        <v>4.0599999999999996</v>
      </c>
      <c r="AK208" s="461">
        <v>0</v>
      </c>
      <c r="AL208" s="461">
        <v>0</v>
      </c>
      <c r="AM208" s="461">
        <v>0</v>
      </c>
      <c r="AN208" s="461">
        <v>0</v>
      </c>
      <c r="AO208" s="461">
        <v>0</v>
      </c>
      <c r="AP208" s="461">
        <f t="shared" si="308"/>
        <v>4.0599999999999996</v>
      </c>
      <c r="AQ208" s="461">
        <f t="shared" si="309"/>
        <v>0</v>
      </c>
      <c r="AR208" s="737">
        <f t="shared" si="310"/>
        <v>4.0599999999999996</v>
      </c>
      <c r="AS208" s="470">
        <f t="shared" si="311"/>
        <v>1814424</v>
      </c>
      <c r="AT208" s="460">
        <f t="shared" si="312"/>
        <v>1346012</v>
      </c>
      <c r="AU208" s="460">
        <f t="shared" si="313"/>
        <v>0</v>
      </c>
      <c r="AV208" s="460">
        <f t="shared" si="314"/>
        <v>454952</v>
      </c>
      <c r="AW208" s="460">
        <f t="shared" si="315"/>
        <v>13460</v>
      </c>
      <c r="AX208" s="460">
        <f t="shared" si="316"/>
        <v>0</v>
      </c>
      <c r="AY208" s="461">
        <f t="shared" si="317"/>
        <v>4.0599999999999996</v>
      </c>
      <c r="AZ208" s="461">
        <f t="shared" si="318"/>
        <v>4.0599999999999996</v>
      </c>
      <c r="BA208" s="463">
        <f t="shared" si="319"/>
        <v>0</v>
      </c>
    </row>
    <row r="209" spans="1:53" ht="14.1" customHeight="1" x14ac:dyDescent="0.2">
      <c r="A209" s="67">
        <v>44</v>
      </c>
      <c r="B209" s="64">
        <v>2486</v>
      </c>
      <c r="C209" s="65">
        <v>600079970</v>
      </c>
      <c r="D209" s="64">
        <v>46744908</v>
      </c>
      <c r="E209" s="66" t="s">
        <v>644</v>
      </c>
      <c r="F209" s="67">
        <v>3141</v>
      </c>
      <c r="G209" s="66" t="s">
        <v>311</v>
      </c>
      <c r="H209" s="68" t="s">
        <v>278</v>
      </c>
      <c r="I209" s="462">
        <v>774405</v>
      </c>
      <c r="J209" s="728">
        <v>567145</v>
      </c>
      <c r="K209" s="457">
        <v>191695</v>
      </c>
      <c r="L209" s="457">
        <v>5671</v>
      </c>
      <c r="M209" s="728">
        <v>9894</v>
      </c>
      <c r="N209" s="458">
        <v>1.82</v>
      </c>
      <c r="O209" s="459">
        <v>0</v>
      </c>
      <c r="P209" s="646">
        <v>1.82</v>
      </c>
      <c r="Q209" s="469">
        <f t="shared" si="307"/>
        <v>-13000</v>
      </c>
      <c r="R209" s="469">
        <v>0</v>
      </c>
      <c r="S209" s="460">
        <v>0</v>
      </c>
      <c r="T209" s="460">
        <v>0</v>
      </c>
      <c r="U209" s="460">
        <v>0</v>
      </c>
      <c r="V209" s="460">
        <f t="shared" si="322"/>
        <v>-13000</v>
      </c>
      <c r="W209" s="460">
        <v>13000</v>
      </c>
      <c r="X209" s="460">
        <v>0</v>
      </c>
      <c r="Y209" s="460">
        <v>0</v>
      </c>
      <c r="Z209" s="460">
        <f t="shared" si="323"/>
        <v>13000</v>
      </c>
      <c r="AA209" s="460">
        <f t="shared" si="324"/>
        <v>0</v>
      </c>
      <c r="AB209" s="69">
        <f t="shared" si="325"/>
        <v>0</v>
      </c>
      <c r="AC209" s="69">
        <f t="shared" si="326"/>
        <v>-130</v>
      </c>
      <c r="AD209" s="460">
        <v>0</v>
      </c>
      <c r="AE209" s="460">
        <v>0</v>
      </c>
      <c r="AF209" s="460">
        <f t="shared" si="327"/>
        <v>0</v>
      </c>
      <c r="AG209" s="460">
        <f t="shared" si="328"/>
        <v>-130</v>
      </c>
      <c r="AH209" s="461">
        <v>0</v>
      </c>
      <c r="AI209" s="461">
        <v>0</v>
      </c>
      <c r="AJ209" s="461">
        <v>0</v>
      </c>
      <c r="AK209" s="461">
        <v>0</v>
      </c>
      <c r="AL209" s="461">
        <v>0</v>
      </c>
      <c r="AM209" s="461">
        <v>0</v>
      </c>
      <c r="AN209" s="461">
        <v>0</v>
      </c>
      <c r="AO209" s="461">
        <v>0</v>
      </c>
      <c r="AP209" s="461">
        <f t="shared" si="308"/>
        <v>0</v>
      </c>
      <c r="AQ209" s="461">
        <f t="shared" si="309"/>
        <v>0</v>
      </c>
      <c r="AR209" s="737">
        <f t="shared" si="310"/>
        <v>0</v>
      </c>
      <c r="AS209" s="470">
        <f t="shared" si="311"/>
        <v>774275</v>
      </c>
      <c r="AT209" s="460">
        <f t="shared" si="312"/>
        <v>554145</v>
      </c>
      <c r="AU209" s="460">
        <f t="shared" si="313"/>
        <v>13000</v>
      </c>
      <c r="AV209" s="460">
        <f t="shared" si="314"/>
        <v>191695</v>
      </c>
      <c r="AW209" s="460">
        <f t="shared" si="315"/>
        <v>5541</v>
      </c>
      <c r="AX209" s="460">
        <f t="shared" si="316"/>
        <v>9894</v>
      </c>
      <c r="AY209" s="461">
        <f t="shared" si="317"/>
        <v>1.82</v>
      </c>
      <c r="AZ209" s="461">
        <f t="shared" si="318"/>
        <v>0</v>
      </c>
      <c r="BA209" s="463">
        <f t="shared" si="319"/>
        <v>1.82</v>
      </c>
    </row>
    <row r="210" spans="1:53" ht="14.1" customHeight="1" x14ac:dyDescent="0.2">
      <c r="A210" s="67">
        <v>44</v>
      </c>
      <c r="B210" s="64">
        <v>2486</v>
      </c>
      <c r="C210" s="65">
        <v>600079970</v>
      </c>
      <c r="D210" s="64">
        <v>46744908</v>
      </c>
      <c r="E210" s="66" t="s">
        <v>644</v>
      </c>
      <c r="F210" s="67">
        <v>3143</v>
      </c>
      <c r="G210" s="78" t="s">
        <v>616</v>
      </c>
      <c r="H210" s="68" t="s">
        <v>277</v>
      </c>
      <c r="I210" s="462">
        <v>1705862</v>
      </c>
      <c r="J210" s="16">
        <v>1265476</v>
      </c>
      <c r="K210" s="457">
        <v>427731</v>
      </c>
      <c r="L210" s="457">
        <v>12655</v>
      </c>
      <c r="M210" s="16">
        <v>0</v>
      </c>
      <c r="N210" s="458">
        <v>2.5</v>
      </c>
      <c r="O210" s="13">
        <v>2.5</v>
      </c>
      <c r="P210" s="17">
        <v>0</v>
      </c>
      <c r="Q210" s="469">
        <f t="shared" si="307"/>
        <v>-13000</v>
      </c>
      <c r="R210" s="469">
        <v>0</v>
      </c>
      <c r="S210" s="460">
        <v>0</v>
      </c>
      <c r="T210" s="460">
        <v>0</v>
      </c>
      <c r="U210" s="460">
        <v>0</v>
      </c>
      <c r="V210" s="460">
        <f t="shared" si="322"/>
        <v>-13000</v>
      </c>
      <c r="W210" s="460">
        <v>13000</v>
      </c>
      <c r="X210" s="460">
        <v>0</v>
      </c>
      <c r="Y210" s="460">
        <v>0</v>
      </c>
      <c r="Z210" s="460">
        <f t="shared" si="323"/>
        <v>13000</v>
      </c>
      <c r="AA210" s="460">
        <f t="shared" si="324"/>
        <v>0</v>
      </c>
      <c r="AB210" s="69">
        <f t="shared" si="325"/>
        <v>0</v>
      </c>
      <c r="AC210" s="69">
        <f t="shared" si="326"/>
        <v>-130</v>
      </c>
      <c r="AD210" s="460">
        <v>0</v>
      </c>
      <c r="AE210" s="460">
        <v>0</v>
      </c>
      <c r="AF210" s="460">
        <f t="shared" si="327"/>
        <v>0</v>
      </c>
      <c r="AG210" s="460">
        <f t="shared" si="328"/>
        <v>-130</v>
      </c>
      <c r="AH210" s="461">
        <v>0</v>
      </c>
      <c r="AI210" s="461">
        <v>0</v>
      </c>
      <c r="AJ210" s="461">
        <v>0</v>
      </c>
      <c r="AK210" s="461">
        <v>0</v>
      </c>
      <c r="AL210" s="461">
        <v>0</v>
      </c>
      <c r="AM210" s="461">
        <v>0</v>
      </c>
      <c r="AN210" s="461">
        <v>0</v>
      </c>
      <c r="AO210" s="461">
        <v>0</v>
      </c>
      <c r="AP210" s="461">
        <f t="shared" si="308"/>
        <v>0</v>
      </c>
      <c r="AQ210" s="461">
        <f t="shared" si="309"/>
        <v>0</v>
      </c>
      <c r="AR210" s="737">
        <f t="shared" si="310"/>
        <v>0</v>
      </c>
      <c r="AS210" s="470">
        <f t="shared" si="311"/>
        <v>1705732</v>
      </c>
      <c r="AT210" s="460">
        <f t="shared" si="312"/>
        <v>1252476</v>
      </c>
      <c r="AU210" s="460">
        <f t="shared" si="313"/>
        <v>13000</v>
      </c>
      <c r="AV210" s="460">
        <f t="shared" si="314"/>
        <v>427731</v>
      </c>
      <c r="AW210" s="460">
        <f t="shared" si="315"/>
        <v>12525</v>
      </c>
      <c r="AX210" s="460">
        <f t="shared" si="316"/>
        <v>0</v>
      </c>
      <c r="AY210" s="461">
        <f t="shared" si="317"/>
        <v>2.5</v>
      </c>
      <c r="AZ210" s="461">
        <f t="shared" si="318"/>
        <v>2.5</v>
      </c>
      <c r="BA210" s="463">
        <f t="shared" si="319"/>
        <v>0</v>
      </c>
    </row>
    <row r="211" spans="1:53" ht="14.1" customHeight="1" x14ac:dyDescent="0.2">
      <c r="A211" s="67">
        <v>44</v>
      </c>
      <c r="B211" s="64">
        <v>2486</v>
      </c>
      <c r="C211" s="65">
        <v>600079970</v>
      </c>
      <c r="D211" s="64">
        <v>46744908</v>
      </c>
      <c r="E211" s="66" t="s">
        <v>644</v>
      </c>
      <c r="F211" s="67">
        <v>3143</v>
      </c>
      <c r="G211" s="78" t="s">
        <v>617</v>
      </c>
      <c r="H211" s="68" t="s">
        <v>278</v>
      </c>
      <c r="I211" s="462">
        <v>52776</v>
      </c>
      <c r="J211" s="673">
        <v>37709</v>
      </c>
      <c r="K211" s="457">
        <v>12746</v>
      </c>
      <c r="L211" s="457">
        <v>377</v>
      </c>
      <c r="M211" s="673">
        <v>1944</v>
      </c>
      <c r="N211" s="458">
        <v>0.15</v>
      </c>
      <c r="O211" s="459">
        <v>0</v>
      </c>
      <c r="P211" s="717">
        <v>0.15</v>
      </c>
      <c r="Q211" s="469">
        <f t="shared" si="307"/>
        <v>0</v>
      </c>
      <c r="R211" s="469">
        <v>0</v>
      </c>
      <c r="S211" s="460">
        <v>0</v>
      </c>
      <c r="T211" s="460">
        <v>0</v>
      </c>
      <c r="U211" s="460">
        <v>0</v>
      </c>
      <c r="V211" s="460">
        <f t="shared" si="322"/>
        <v>0</v>
      </c>
      <c r="W211" s="460">
        <v>0</v>
      </c>
      <c r="X211" s="460">
        <v>0</v>
      </c>
      <c r="Y211" s="460">
        <v>0</v>
      </c>
      <c r="Z211" s="460">
        <f t="shared" si="323"/>
        <v>0</v>
      </c>
      <c r="AA211" s="460">
        <f t="shared" si="324"/>
        <v>0</v>
      </c>
      <c r="AB211" s="69">
        <f t="shared" si="325"/>
        <v>0</v>
      </c>
      <c r="AC211" s="69">
        <f t="shared" si="326"/>
        <v>0</v>
      </c>
      <c r="AD211" s="460">
        <v>0</v>
      </c>
      <c r="AE211" s="460">
        <v>0</v>
      </c>
      <c r="AF211" s="460">
        <f t="shared" si="327"/>
        <v>0</v>
      </c>
      <c r="AG211" s="460">
        <f t="shared" si="328"/>
        <v>0</v>
      </c>
      <c r="AH211" s="461">
        <v>0</v>
      </c>
      <c r="AI211" s="461">
        <v>0</v>
      </c>
      <c r="AJ211" s="461">
        <v>0</v>
      </c>
      <c r="AK211" s="461">
        <v>0</v>
      </c>
      <c r="AL211" s="461">
        <v>0</v>
      </c>
      <c r="AM211" s="461">
        <v>0</v>
      </c>
      <c r="AN211" s="461">
        <v>0</v>
      </c>
      <c r="AO211" s="461">
        <v>0</v>
      </c>
      <c r="AP211" s="461">
        <f t="shared" si="308"/>
        <v>0</v>
      </c>
      <c r="AQ211" s="461">
        <f t="shared" si="309"/>
        <v>0</v>
      </c>
      <c r="AR211" s="737">
        <f t="shared" si="310"/>
        <v>0</v>
      </c>
      <c r="AS211" s="470">
        <f t="shared" si="311"/>
        <v>52776</v>
      </c>
      <c r="AT211" s="460">
        <f t="shared" si="312"/>
        <v>37709</v>
      </c>
      <c r="AU211" s="460">
        <f t="shared" si="313"/>
        <v>0</v>
      </c>
      <c r="AV211" s="460">
        <f t="shared" si="314"/>
        <v>12746</v>
      </c>
      <c r="AW211" s="460">
        <f t="shared" si="315"/>
        <v>377</v>
      </c>
      <c r="AX211" s="460">
        <f t="shared" si="316"/>
        <v>1944</v>
      </c>
      <c r="AY211" s="461">
        <f t="shared" si="317"/>
        <v>0.15</v>
      </c>
      <c r="AZ211" s="461">
        <f t="shared" si="318"/>
        <v>0</v>
      </c>
      <c r="BA211" s="463">
        <f t="shared" si="319"/>
        <v>0.15</v>
      </c>
    </row>
    <row r="212" spans="1:53" ht="14.1" customHeight="1" x14ac:dyDescent="0.2">
      <c r="A212" s="67">
        <v>44</v>
      </c>
      <c r="B212" s="64">
        <v>2486</v>
      </c>
      <c r="C212" s="65">
        <v>600079970</v>
      </c>
      <c r="D212" s="64">
        <v>46744908</v>
      </c>
      <c r="E212" s="66" t="s">
        <v>644</v>
      </c>
      <c r="F212" s="67">
        <v>3233</v>
      </c>
      <c r="G212" s="66" t="s">
        <v>314</v>
      </c>
      <c r="H212" s="68" t="s">
        <v>278</v>
      </c>
      <c r="I212" s="462">
        <v>1788960</v>
      </c>
      <c r="J212" s="457">
        <v>1326083</v>
      </c>
      <c r="K212" s="457">
        <v>448216</v>
      </c>
      <c r="L212" s="457">
        <v>13261</v>
      </c>
      <c r="M212" s="457">
        <v>1400</v>
      </c>
      <c r="N212" s="458">
        <v>2.88</v>
      </c>
      <c r="O212" s="459">
        <v>2.06</v>
      </c>
      <c r="P212" s="646">
        <v>0.82</v>
      </c>
      <c r="Q212" s="469">
        <f t="shared" si="307"/>
        <v>-65000</v>
      </c>
      <c r="R212" s="469">
        <v>0</v>
      </c>
      <c r="S212" s="460">
        <v>0</v>
      </c>
      <c r="T212" s="460">
        <v>0</v>
      </c>
      <c r="U212" s="460">
        <v>0</v>
      </c>
      <c r="V212" s="460">
        <f t="shared" si="322"/>
        <v>-65000</v>
      </c>
      <c r="W212" s="460">
        <v>65000</v>
      </c>
      <c r="X212" s="460">
        <v>0</v>
      </c>
      <c r="Y212" s="460">
        <v>0</v>
      </c>
      <c r="Z212" s="460">
        <f t="shared" si="323"/>
        <v>65000</v>
      </c>
      <c r="AA212" s="460">
        <f t="shared" si="324"/>
        <v>0</v>
      </c>
      <c r="AB212" s="69">
        <f t="shared" si="325"/>
        <v>0</v>
      </c>
      <c r="AC212" s="69">
        <f t="shared" si="326"/>
        <v>-650</v>
      </c>
      <c r="AD212" s="460">
        <v>0</v>
      </c>
      <c r="AE212" s="460">
        <v>0</v>
      </c>
      <c r="AF212" s="460">
        <f t="shared" si="327"/>
        <v>0</v>
      </c>
      <c r="AG212" s="460">
        <f t="shared" si="328"/>
        <v>-650</v>
      </c>
      <c r="AH212" s="461">
        <v>-0.12</v>
      </c>
      <c r="AI212" s="461">
        <v>0</v>
      </c>
      <c r="AJ212" s="461">
        <v>0</v>
      </c>
      <c r="AK212" s="461">
        <v>0</v>
      </c>
      <c r="AL212" s="461">
        <v>0</v>
      </c>
      <c r="AM212" s="461">
        <v>0</v>
      </c>
      <c r="AN212" s="461">
        <v>0</v>
      </c>
      <c r="AO212" s="461">
        <v>0</v>
      </c>
      <c r="AP212" s="461">
        <f t="shared" si="308"/>
        <v>-0.12</v>
      </c>
      <c r="AQ212" s="461">
        <f t="shared" si="309"/>
        <v>0</v>
      </c>
      <c r="AR212" s="737">
        <f t="shared" si="310"/>
        <v>-0.12</v>
      </c>
      <c r="AS212" s="470">
        <f t="shared" si="311"/>
        <v>1788310</v>
      </c>
      <c r="AT212" s="460">
        <f t="shared" si="312"/>
        <v>1261083</v>
      </c>
      <c r="AU212" s="460">
        <f t="shared" si="313"/>
        <v>65000</v>
      </c>
      <c r="AV212" s="460">
        <f t="shared" si="314"/>
        <v>448216</v>
      </c>
      <c r="AW212" s="460">
        <f t="shared" si="315"/>
        <v>12611</v>
      </c>
      <c r="AX212" s="460">
        <f t="shared" si="316"/>
        <v>1400</v>
      </c>
      <c r="AY212" s="461">
        <f t="shared" si="317"/>
        <v>2.76</v>
      </c>
      <c r="AZ212" s="461">
        <f t="shared" si="318"/>
        <v>1.94</v>
      </c>
      <c r="BA212" s="463">
        <f t="shared" si="319"/>
        <v>0.82</v>
      </c>
    </row>
    <row r="213" spans="1:53" ht="14.1" customHeight="1" x14ac:dyDescent="0.2">
      <c r="A213" s="73">
        <v>44</v>
      </c>
      <c r="B213" s="70">
        <v>2486</v>
      </c>
      <c r="C213" s="71">
        <v>600079970</v>
      </c>
      <c r="D213" s="70">
        <v>46744908</v>
      </c>
      <c r="E213" s="72" t="s">
        <v>645</v>
      </c>
      <c r="F213" s="73"/>
      <c r="G213" s="72"/>
      <c r="H213" s="74"/>
      <c r="I213" s="701">
        <f t="shared" ref="I213:P213" si="329">SUM(I207:I212)</f>
        <v>24914263</v>
      </c>
      <c r="J213" s="75">
        <f t="shared" si="329"/>
        <v>18200137</v>
      </c>
      <c r="K213" s="75">
        <f t="shared" si="329"/>
        <v>6151647</v>
      </c>
      <c r="L213" s="75">
        <f t="shared" si="329"/>
        <v>182001</v>
      </c>
      <c r="M213" s="75">
        <f t="shared" si="329"/>
        <v>380478</v>
      </c>
      <c r="N213" s="76">
        <f t="shared" si="329"/>
        <v>32.262999999999998</v>
      </c>
      <c r="O213" s="76">
        <f t="shared" si="329"/>
        <v>24.332999999999998</v>
      </c>
      <c r="P213" s="77">
        <f t="shared" si="329"/>
        <v>7.9300000000000015</v>
      </c>
      <c r="Q213" s="724">
        <f t="shared" ref="Q213:BA213" si="330">SUM(Q207:Q212)</f>
        <v>-188500</v>
      </c>
      <c r="R213" s="724">
        <f t="shared" si="330"/>
        <v>1346012</v>
      </c>
      <c r="S213" s="75">
        <f t="shared" si="330"/>
        <v>0</v>
      </c>
      <c r="T213" s="75">
        <f t="shared" si="330"/>
        <v>0</v>
      </c>
      <c r="U213" s="75">
        <f t="shared" si="330"/>
        <v>0</v>
      </c>
      <c r="V213" s="75">
        <f t="shared" si="330"/>
        <v>1157512</v>
      </c>
      <c r="W213" s="75">
        <f t="shared" si="330"/>
        <v>188500</v>
      </c>
      <c r="X213" s="75">
        <f t="shared" si="330"/>
        <v>0</v>
      </c>
      <c r="Y213" s="75">
        <f t="shared" si="330"/>
        <v>0</v>
      </c>
      <c r="Z213" s="75">
        <f t="shared" si="330"/>
        <v>188500</v>
      </c>
      <c r="AA213" s="75">
        <f t="shared" si="330"/>
        <v>1346012</v>
      </c>
      <c r="AB213" s="75">
        <f t="shared" si="330"/>
        <v>454952</v>
      </c>
      <c r="AC213" s="75">
        <f t="shared" si="330"/>
        <v>11575</v>
      </c>
      <c r="AD213" s="75">
        <f t="shared" si="330"/>
        <v>0</v>
      </c>
      <c r="AE213" s="75">
        <f t="shared" si="330"/>
        <v>0</v>
      </c>
      <c r="AF213" s="75">
        <f t="shared" si="330"/>
        <v>0</v>
      </c>
      <c r="AG213" s="75">
        <f t="shared" si="330"/>
        <v>1812539</v>
      </c>
      <c r="AH213" s="76">
        <f t="shared" si="330"/>
        <v>-0.22</v>
      </c>
      <c r="AI213" s="76">
        <f t="shared" si="330"/>
        <v>-0.01</v>
      </c>
      <c r="AJ213" s="76">
        <f t="shared" si="330"/>
        <v>4.0599999999999996</v>
      </c>
      <c r="AK213" s="76">
        <f t="shared" si="330"/>
        <v>0</v>
      </c>
      <c r="AL213" s="76">
        <f t="shared" si="330"/>
        <v>0</v>
      </c>
      <c r="AM213" s="76">
        <f t="shared" si="330"/>
        <v>0</v>
      </c>
      <c r="AN213" s="76">
        <f t="shared" si="330"/>
        <v>0</v>
      </c>
      <c r="AO213" s="76">
        <f t="shared" si="330"/>
        <v>0</v>
      </c>
      <c r="AP213" s="76">
        <f t="shared" si="330"/>
        <v>3.8399999999999994</v>
      </c>
      <c r="AQ213" s="76">
        <f t="shared" si="330"/>
        <v>-0.01</v>
      </c>
      <c r="AR213" s="720">
        <f t="shared" si="330"/>
        <v>3.8299999999999996</v>
      </c>
      <c r="AS213" s="701">
        <f t="shared" si="330"/>
        <v>26726802</v>
      </c>
      <c r="AT213" s="75">
        <f t="shared" si="330"/>
        <v>19357649</v>
      </c>
      <c r="AU213" s="75">
        <f t="shared" si="330"/>
        <v>188500</v>
      </c>
      <c r="AV213" s="75">
        <f t="shared" si="330"/>
        <v>6606599</v>
      </c>
      <c r="AW213" s="75">
        <f t="shared" si="330"/>
        <v>193576</v>
      </c>
      <c r="AX213" s="75">
        <f t="shared" si="330"/>
        <v>380478</v>
      </c>
      <c r="AY213" s="76">
        <f t="shared" si="330"/>
        <v>36.092999999999996</v>
      </c>
      <c r="AZ213" s="76">
        <f t="shared" si="330"/>
        <v>28.172999999999998</v>
      </c>
      <c r="BA213" s="77">
        <f t="shared" si="330"/>
        <v>7.9200000000000017</v>
      </c>
    </row>
    <row r="214" spans="1:53" ht="14.1" customHeight="1" x14ac:dyDescent="0.2">
      <c r="A214" s="67">
        <v>45</v>
      </c>
      <c r="B214" s="64">
        <v>2487</v>
      </c>
      <c r="C214" s="65">
        <v>600079996</v>
      </c>
      <c r="D214" s="64">
        <v>68974639</v>
      </c>
      <c r="E214" s="66" t="s">
        <v>646</v>
      </c>
      <c r="F214" s="67">
        <v>3113</v>
      </c>
      <c r="G214" s="66" t="s">
        <v>310</v>
      </c>
      <c r="H214" s="68" t="s">
        <v>277</v>
      </c>
      <c r="I214" s="462">
        <v>27105195</v>
      </c>
      <c r="J214" s="16">
        <v>19722259</v>
      </c>
      <c r="K214" s="457">
        <v>6666124</v>
      </c>
      <c r="L214" s="457">
        <v>197222</v>
      </c>
      <c r="M214" s="16">
        <v>519590</v>
      </c>
      <c r="N214" s="13">
        <v>33.329900000000002</v>
      </c>
      <c r="O214" s="13">
        <v>26.9999</v>
      </c>
      <c r="P214" s="17">
        <v>6.33</v>
      </c>
      <c r="Q214" s="469">
        <f t="shared" si="307"/>
        <v>-52000</v>
      </c>
      <c r="R214" s="469">
        <v>0</v>
      </c>
      <c r="S214" s="460">
        <v>0</v>
      </c>
      <c r="T214" s="460">
        <v>0</v>
      </c>
      <c r="U214" s="460">
        <v>0</v>
      </c>
      <c r="V214" s="460">
        <f>SUM(Q214:U214)</f>
        <v>-52000</v>
      </c>
      <c r="W214" s="460">
        <v>52000</v>
      </c>
      <c r="X214" s="460">
        <v>0</v>
      </c>
      <c r="Y214" s="460">
        <v>0</v>
      </c>
      <c r="Z214" s="460">
        <f t="shared" ref="Z214:Z218" si="331">SUM(W214:Y214)</f>
        <v>52000</v>
      </c>
      <c r="AA214" s="460">
        <f t="shared" ref="AA214:AA218" si="332">V214+Z214</f>
        <v>0</v>
      </c>
      <c r="AB214" s="69">
        <f t="shared" ref="AB214:AB218" si="333">ROUND((V214+W214+X214)*33.8%,0)</f>
        <v>0</v>
      </c>
      <c r="AC214" s="69">
        <f t="shared" ref="AC214:AC218" si="334">ROUND(V214*1%,0)</f>
        <v>-520</v>
      </c>
      <c r="AD214" s="460">
        <v>0</v>
      </c>
      <c r="AE214" s="460">
        <v>0</v>
      </c>
      <c r="AF214" s="460">
        <f>SUM(AD214:AE214)</f>
        <v>0</v>
      </c>
      <c r="AG214" s="460">
        <f>AA214+AB214+AC214+AF214</f>
        <v>-520</v>
      </c>
      <c r="AH214" s="461">
        <v>-0.03</v>
      </c>
      <c r="AI214" s="461">
        <v>-0.04</v>
      </c>
      <c r="AJ214" s="461">
        <v>0</v>
      </c>
      <c r="AK214" s="461">
        <v>0</v>
      </c>
      <c r="AL214" s="461">
        <v>0</v>
      </c>
      <c r="AM214" s="461">
        <v>0</v>
      </c>
      <c r="AN214" s="461">
        <v>0</v>
      </c>
      <c r="AO214" s="461">
        <v>0</v>
      </c>
      <c r="AP214" s="461">
        <f t="shared" si="308"/>
        <v>-0.03</v>
      </c>
      <c r="AQ214" s="461">
        <f t="shared" si="309"/>
        <v>-0.04</v>
      </c>
      <c r="AR214" s="737">
        <f t="shared" si="310"/>
        <v>-7.0000000000000007E-2</v>
      </c>
      <c r="AS214" s="470">
        <f t="shared" si="311"/>
        <v>27104675</v>
      </c>
      <c r="AT214" s="460">
        <f t="shared" si="312"/>
        <v>19670259</v>
      </c>
      <c r="AU214" s="460">
        <f t="shared" si="313"/>
        <v>52000</v>
      </c>
      <c r="AV214" s="460">
        <f t="shared" si="314"/>
        <v>6666124</v>
      </c>
      <c r="AW214" s="460">
        <f t="shared" si="315"/>
        <v>196702</v>
      </c>
      <c r="AX214" s="460">
        <f t="shared" si="316"/>
        <v>519590</v>
      </c>
      <c r="AY214" s="461">
        <f t="shared" si="317"/>
        <v>33.259900000000002</v>
      </c>
      <c r="AZ214" s="461">
        <f t="shared" si="318"/>
        <v>26.969899999999999</v>
      </c>
      <c r="BA214" s="463">
        <f t="shared" si="319"/>
        <v>6.29</v>
      </c>
    </row>
    <row r="215" spans="1:53" ht="14.1" customHeight="1" x14ac:dyDescent="0.2">
      <c r="A215" s="67">
        <v>45</v>
      </c>
      <c r="B215" s="64">
        <v>2487</v>
      </c>
      <c r="C215" s="65">
        <v>600079996</v>
      </c>
      <c r="D215" s="64">
        <v>68974639</v>
      </c>
      <c r="E215" s="66" t="s">
        <v>646</v>
      </c>
      <c r="F215" s="67">
        <v>3113</v>
      </c>
      <c r="G215" s="78" t="s">
        <v>308</v>
      </c>
      <c r="H215" s="68" t="s">
        <v>278</v>
      </c>
      <c r="I215" s="462">
        <v>0</v>
      </c>
      <c r="J215" s="457">
        <v>0</v>
      </c>
      <c r="K215" s="457">
        <v>0</v>
      </c>
      <c r="L215" s="457">
        <v>0</v>
      </c>
      <c r="M215" s="457">
        <v>0</v>
      </c>
      <c r="N215" s="458">
        <v>0</v>
      </c>
      <c r="O215" s="459">
        <v>0</v>
      </c>
      <c r="P215" s="646">
        <v>0</v>
      </c>
      <c r="Q215" s="469">
        <f t="shared" si="307"/>
        <v>0</v>
      </c>
      <c r="R215" s="469">
        <v>1355077</v>
      </c>
      <c r="S215" s="460">
        <v>0</v>
      </c>
      <c r="T215" s="460">
        <v>0</v>
      </c>
      <c r="U215" s="460">
        <v>0</v>
      </c>
      <c r="V215" s="460">
        <f>SUM(Q215:U215)</f>
        <v>1355077</v>
      </c>
      <c r="W215" s="460">
        <v>0</v>
      </c>
      <c r="X215" s="460">
        <v>0</v>
      </c>
      <c r="Y215" s="460">
        <v>0</v>
      </c>
      <c r="Z215" s="460">
        <f t="shared" si="331"/>
        <v>0</v>
      </c>
      <c r="AA215" s="460">
        <f t="shared" si="332"/>
        <v>1355077</v>
      </c>
      <c r="AB215" s="69">
        <f t="shared" si="333"/>
        <v>458016</v>
      </c>
      <c r="AC215" s="69">
        <f t="shared" si="334"/>
        <v>13551</v>
      </c>
      <c r="AD215" s="460">
        <v>0</v>
      </c>
      <c r="AE215" s="460">
        <v>0</v>
      </c>
      <c r="AF215" s="460">
        <f>SUM(AD215:AE215)</f>
        <v>0</v>
      </c>
      <c r="AG215" s="460">
        <f>AA215+AB215+AC215+AF215</f>
        <v>1826644</v>
      </c>
      <c r="AH215" s="461">
        <v>0</v>
      </c>
      <c r="AI215" s="461">
        <v>0</v>
      </c>
      <c r="AJ215" s="461">
        <v>3.88</v>
      </c>
      <c r="AK215" s="461">
        <v>0</v>
      </c>
      <c r="AL215" s="461">
        <v>0</v>
      </c>
      <c r="AM215" s="461">
        <v>0</v>
      </c>
      <c r="AN215" s="461">
        <v>0</v>
      </c>
      <c r="AO215" s="461">
        <v>0</v>
      </c>
      <c r="AP215" s="461">
        <f t="shared" si="308"/>
        <v>3.88</v>
      </c>
      <c r="AQ215" s="461">
        <f t="shared" si="309"/>
        <v>0</v>
      </c>
      <c r="AR215" s="737">
        <f t="shared" si="310"/>
        <v>3.88</v>
      </c>
      <c r="AS215" s="470">
        <f t="shared" si="311"/>
        <v>1826644</v>
      </c>
      <c r="AT215" s="460">
        <f t="shared" si="312"/>
        <v>1355077</v>
      </c>
      <c r="AU215" s="460">
        <f t="shared" si="313"/>
        <v>0</v>
      </c>
      <c r="AV215" s="460">
        <f t="shared" si="314"/>
        <v>458016</v>
      </c>
      <c r="AW215" s="460">
        <f t="shared" si="315"/>
        <v>13551</v>
      </c>
      <c r="AX215" s="460">
        <f t="shared" si="316"/>
        <v>0</v>
      </c>
      <c r="AY215" s="461">
        <f t="shared" si="317"/>
        <v>3.88</v>
      </c>
      <c r="AZ215" s="461">
        <f t="shared" si="318"/>
        <v>3.88</v>
      </c>
      <c r="BA215" s="463">
        <f t="shared" si="319"/>
        <v>0</v>
      </c>
    </row>
    <row r="216" spans="1:53" ht="14.1" customHeight="1" x14ac:dyDescent="0.2">
      <c r="A216" s="67">
        <v>45</v>
      </c>
      <c r="B216" s="64">
        <v>2487</v>
      </c>
      <c r="C216" s="65">
        <v>600079996</v>
      </c>
      <c r="D216" s="64">
        <v>68974639</v>
      </c>
      <c r="E216" s="66" t="s">
        <v>646</v>
      </c>
      <c r="F216" s="67">
        <v>3141</v>
      </c>
      <c r="G216" s="66" t="s">
        <v>311</v>
      </c>
      <c r="H216" s="68" t="s">
        <v>278</v>
      </c>
      <c r="I216" s="462">
        <v>3247570</v>
      </c>
      <c r="J216" s="728">
        <v>2387651</v>
      </c>
      <c r="K216" s="457">
        <v>807026</v>
      </c>
      <c r="L216" s="457">
        <v>23877</v>
      </c>
      <c r="M216" s="728">
        <v>29016</v>
      </c>
      <c r="N216" s="458">
        <v>7.67</v>
      </c>
      <c r="O216" s="459">
        <v>0</v>
      </c>
      <c r="P216" s="646">
        <v>7.67</v>
      </c>
      <c r="Q216" s="469">
        <f t="shared" si="307"/>
        <v>-13000</v>
      </c>
      <c r="R216" s="469">
        <v>0</v>
      </c>
      <c r="S216" s="460">
        <v>0</v>
      </c>
      <c r="T216" s="460">
        <v>0</v>
      </c>
      <c r="U216" s="460">
        <v>0</v>
      </c>
      <c r="V216" s="460">
        <f>SUM(Q216:U216)</f>
        <v>-13000</v>
      </c>
      <c r="W216" s="460">
        <v>13000</v>
      </c>
      <c r="X216" s="460">
        <v>0</v>
      </c>
      <c r="Y216" s="460">
        <v>0</v>
      </c>
      <c r="Z216" s="460">
        <f t="shared" si="331"/>
        <v>13000</v>
      </c>
      <c r="AA216" s="460">
        <f t="shared" si="332"/>
        <v>0</v>
      </c>
      <c r="AB216" s="69">
        <f t="shared" si="333"/>
        <v>0</v>
      </c>
      <c r="AC216" s="69">
        <f t="shared" si="334"/>
        <v>-130</v>
      </c>
      <c r="AD216" s="460">
        <v>0</v>
      </c>
      <c r="AE216" s="460">
        <v>0</v>
      </c>
      <c r="AF216" s="460">
        <f>SUM(AD216:AE216)</f>
        <v>0</v>
      </c>
      <c r="AG216" s="460">
        <f>AA216+AB216+AC216+AF216</f>
        <v>-130</v>
      </c>
      <c r="AH216" s="461">
        <v>0</v>
      </c>
      <c r="AI216" s="461">
        <v>0</v>
      </c>
      <c r="AJ216" s="461">
        <v>0</v>
      </c>
      <c r="AK216" s="461">
        <v>0</v>
      </c>
      <c r="AL216" s="461">
        <v>0</v>
      </c>
      <c r="AM216" s="461">
        <v>0</v>
      </c>
      <c r="AN216" s="461">
        <v>0</v>
      </c>
      <c r="AO216" s="461">
        <v>0</v>
      </c>
      <c r="AP216" s="461">
        <f t="shared" si="308"/>
        <v>0</v>
      </c>
      <c r="AQ216" s="461">
        <f t="shared" si="309"/>
        <v>0</v>
      </c>
      <c r="AR216" s="737">
        <f t="shared" si="310"/>
        <v>0</v>
      </c>
      <c r="AS216" s="470">
        <f t="shared" si="311"/>
        <v>3247440</v>
      </c>
      <c r="AT216" s="460">
        <f t="shared" si="312"/>
        <v>2374651</v>
      </c>
      <c r="AU216" s="460">
        <f t="shared" si="313"/>
        <v>13000</v>
      </c>
      <c r="AV216" s="460">
        <f t="shared" si="314"/>
        <v>807026</v>
      </c>
      <c r="AW216" s="460">
        <f t="shared" si="315"/>
        <v>23747</v>
      </c>
      <c r="AX216" s="460">
        <f t="shared" si="316"/>
        <v>29016</v>
      </c>
      <c r="AY216" s="461">
        <f t="shared" si="317"/>
        <v>7.67</v>
      </c>
      <c r="AZ216" s="461">
        <f t="shared" si="318"/>
        <v>0</v>
      </c>
      <c r="BA216" s="463">
        <f t="shared" si="319"/>
        <v>7.67</v>
      </c>
    </row>
    <row r="217" spans="1:53" ht="14.1" customHeight="1" x14ac:dyDescent="0.2">
      <c r="A217" s="67">
        <v>45</v>
      </c>
      <c r="B217" s="64">
        <v>2487</v>
      </c>
      <c r="C217" s="65">
        <v>600079996</v>
      </c>
      <c r="D217" s="64">
        <v>68974639</v>
      </c>
      <c r="E217" s="66" t="s">
        <v>646</v>
      </c>
      <c r="F217" s="67">
        <v>3143</v>
      </c>
      <c r="G217" s="78" t="s">
        <v>616</v>
      </c>
      <c r="H217" s="68" t="s">
        <v>277</v>
      </c>
      <c r="I217" s="462">
        <v>2252334</v>
      </c>
      <c r="J217" s="16">
        <v>1670871</v>
      </c>
      <c r="K217" s="457">
        <v>564754</v>
      </c>
      <c r="L217" s="457">
        <v>16709</v>
      </c>
      <c r="M217" s="16">
        <v>0</v>
      </c>
      <c r="N217" s="458">
        <v>3.5</v>
      </c>
      <c r="O217" s="13">
        <v>3.5</v>
      </c>
      <c r="P217" s="17">
        <v>0</v>
      </c>
      <c r="Q217" s="469">
        <f t="shared" si="307"/>
        <v>0</v>
      </c>
      <c r="R217" s="469">
        <v>0</v>
      </c>
      <c r="S217" s="460">
        <v>0</v>
      </c>
      <c r="T217" s="460">
        <v>0</v>
      </c>
      <c r="U217" s="460">
        <v>0</v>
      </c>
      <c r="V217" s="460">
        <f>SUM(Q217:U217)</f>
        <v>0</v>
      </c>
      <c r="W217" s="460">
        <v>0</v>
      </c>
      <c r="X217" s="460">
        <v>0</v>
      </c>
      <c r="Y217" s="460">
        <v>0</v>
      </c>
      <c r="Z217" s="460">
        <f t="shared" si="331"/>
        <v>0</v>
      </c>
      <c r="AA217" s="460">
        <f t="shared" si="332"/>
        <v>0</v>
      </c>
      <c r="AB217" s="69">
        <f t="shared" si="333"/>
        <v>0</v>
      </c>
      <c r="AC217" s="69">
        <f t="shared" si="334"/>
        <v>0</v>
      </c>
      <c r="AD217" s="460">
        <v>0</v>
      </c>
      <c r="AE217" s="460">
        <v>0</v>
      </c>
      <c r="AF217" s="460">
        <f>SUM(AD217:AE217)</f>
        <v>0</v>
      </c>
      <c r="AG217" s="460">
        <f>AA217+AB217+AC217+AF217</f>
        <v>0</v>
      </c>
      <c r="AH217" s="461">
        <v>0</v>
      </c>
      <c r="AI217" s="461">
        <v>0</v>
      </c>
      <c r="AJ217" s="461">
        <v>0</v>
      </c>
      <c r="AK217" s="461">
        <v>0</v>
      </c>
      <c r="AL217" s="461">
        <v>0</v>
      </c>
      <c r="AM217" s="461">
        <v>0</v>
      </c>
      <c r="AN217" s="461">
        <v>0</v>
      </c>
      <c r="AO217" s="461">
        <v>0</v>
      </c>
      <c r="AP217" s="461">
        <f t="shared" si="308"/>
        <v>0</v>
      </c>
      <c r="AQ217" s="461">
        <f t="shared" si="309"/>
        <v>0</v>
      </c>
      <c r="AR217" s="737">
        <f t="shared" si="310"/>
        <v>0</v>
      </c>
      <c r="AS217" s="470">
        <f t="shared" si="311"/>
        <v>2252334</v>
      </c>
      <c r="AT217" s="460">
        <f t="shared" si="312"/>
        <v>1670871</v>
      </c>
      <c r="AU217" s="460">
        <f t="shared" si="313"/>
        <v>0</v>
      </c>
      <c r="AV217" s="460">
        <f t="shared" si="314"/>
        <v>564754</v>
      </c>
      <c r="AW217" s="460">
        <f t="shared" si="315"/>
        <v>16709</v>
      </c>
      <c r="AX217" s="460">
        <f t="shared" si="316"/>
        <v>0</v>
      </c>
      <c r="AY217" s="461">
        <f t="shared" si="317"/>
        <v>3.5</v>
      </c>
      <c r="AZ217" s="461">
        <f t="shared" si="318"/>
        <v>3.5</v>
      </c>
      <c r="BA217" s="463">
        <f t="shared" si="319"/>
        <v>0</v>
      </c>
    </row>
    <row r="218" spans="1:53" ht="14.1" customHeight="1" x14ac:dyDescent="0.2">
      <c r="A218" s="67">
        <v>45</v>
      </c>
      <c r="B218" s="64">
        <v>2487</v>
      </c>
      <c r="C218" s="65">
        <v>600079996</v>
      </c>
      <c r="D218" s="64">
        <v>68974639</v>
      </c>
      <c r="E218" s="66" t="s">
        <v>646</v>
      </c>
      <c r="F218" s="67">
        <v>3143</v>
      </c>
      <c r="G218" s="78" t="s">
        <v>617</v>
      </c>
      <c r="H218" s="68" t="s">
        <v>278</v>
      </c>
      <c r="I218" s="462">
        <v>80630</v>
      </c>
      <c r="J218" s="673">
        <v>57611</v>
      </c>
      <c r="K218" s="457">
        <v>19473</v>
      </c>
      <c r="L218" s="457">
        <v>576</v>
      </c>
      <c r="M218" s="673">
        <v>2970</v>
      </c>
      <c r="N218" s="458">
        <v>0.23</v>
      </c>
      <c r="O218" s="459">
        <v>0</v>
      </c>
      <c r="P218" s="717">
        <v>0.23</v>
      </c>
      <c r="Q218" s="469">
        <f t="shared" si="307"/>
        <v>0</v>
      </c>
      <c r="R218" s="469">
        <v>0</v>
      </c>
      <c r="S218" s="460">
        <v>0</v>
      </c>
      <c r="T218" s="460">
        <v>0</v>
      </c>
      <c r="U218" s="460">
        <v>0</v>
      </c>
      <c r="V218" s="460">
        <f>SUM(Q218:U218)</f>
        <v>0</v>
      </c>
      <c r="W218" s="460">
        <v>0</v>
      </c>
      <c r="X218" s="460">
        <v>0</v>
      </c>
      <c r="Y218" s="460">
        <v>0</v>
      </c>
      <c r="Z218" s="460">
        <f t="shared" si="331"/>
        <v>0</v>
      </c>
      <c r="AA218" s="460">
        <f t="shared" si="332"/>
        <v>0</v>
      </c>
      <c r="AB218" s="69">
        <f t="shared" si="333"/>
        <v>0</v>
      </c>
      <c r="AC218" s="69">
        <f t="shared" si="334"/>
        <v>0</v>
      </c>
      <c r="AD218" s="460">
        <v>0</v>
      </c>
      <c r="AE218" s="460">
        <v>0</v>
      </c>
      <c r="AF218" s="460">
        <f>SUM(AD218:AE218)</f>
        <v>0</v>
      </c>
      <c r="AG218" s="460">
        <f>AA218+AB218+AC218+AF218</f>
        <v>0</v>
      </c>
      <c r="AH218" s="461">
        <v>0</v>
      </c>
      <c r="AI218" s="461">
        <v>0</v>
      </c>
      <c r="AJ218" s="461">
        <v>0</v>
      </c>
      <c r="AK218" s="461">
        <v>0</v>
      </c>
      <c r="AL218" s="461">
        <v>0</v>
      </c>
      <c r="AM218" s="461">
        <v>0</v>
      </c>
      <c r="AN218" s="461">
        <v>0</v>
      </c>
      <c r="AO218" s="461">
        <v>0</v>
      </c>
      <c r="AP218" s="461">
        <f t="shared" si="308"/>
        <v>0</v>
      </c>
      <c r="AQ218" s="461">
        <f t="shared" si="309"/>
        <v>0</v>
      </c>
      <c r="AR218" s="737">
        <f t="shared" si="310"/>
        <v>0</v>
      </c>
      <c r="AS218" s="470">
        <f t="shared" si="311"/>
        <v>80630</v>
      </c>
      <c r="AT218" s="460">
        <f t="shared" si="312"/>
        <v>57611</v>
      </c>
      <c r="AU218" s="460">
        <f t="shared" si="313"/>
        <v>0</v>
      </c>
      <c r="AV218" s="460">
        <f t="shared" si="314"/>
        <v>19473</v>
      </c>
      <c r="AW218" s="460">
        <f t="shared" si="315"/>
        <v>576</v>
      </c>
      <c r="AX218" s="460">
        <f t="shared" si="316"/>
        <v>2970</v>
      </c>
      <c r="AY218" s="461">
        <f t="shared" si="317"/>
        <v>0.23</v>
      </c>
      <c r="AZ218" s="461">
        <f t="shared" si="318"/>
        <v>0</v>
      </c>
      <c r="BA218" s="463">
        <f t="shared" si="319"/>
        <v>0.23</v>
      </c>
    </row>
    <row r="219" spans="1:53" ht="14.1" customHeight="1" x14ac:dyDescent="0.2">
      <c r="A219" s="73">
        <v>45</v>
      </c>
      <c r="B219" s="70">
        <v>2487</v>
      </c>
      <c r="C219" s="71">
        <v>600079996</v>
      </c>
      <c r="D219" s="70">
        <v>68974639</v>
      </c>
      <c r="E219" s="72" t="s">
        <v>647</v>
      </c>
      <c r="F219" s="73"/>
      <c r="G219" s="72"/>
      <c r="H219" s="74"/>
      <c r="I219" s="701">
        <f t="shared" ref="I219:P219" si="335">SUM(I214:I218)</f>
        <v>32685729</v>
      </c>
      <c r="J219" s="75">
        <f t="shared" si="335"/>
        <v>23838392</v>
      </c>
      <c r="K219" s="75">
        <f t="shared" si="335"/>
        <v>8057377</v>
      </c>
      <c r="L219" s="75">
        <f t="shared" si="335"/>
        <v>238384</v>
      </c>
      <c r="M219" s="75">
        <f t="shared" si="335"/>
        <v>551576</v>
      </c>
      <c r="N219" s="76">
        <f t="shared" si="335"/>
        <v>44.729900000000001</v>
      </c>
      <c r="O219" s="76">
        <f t="shared" si="335"/>
        <v>30.4999</v>
      </c>
      <c r="P219" s="77">
        <f t="shared" si="335"/>
        <v>14.23</v>
      </c>
      <c r="Q219" s="724">
        <f t="shared" ref="Q219:BA219" si="336">SUM(Q214:Q218)</f>
        <v>-65000</v>
      </c>
      <c r="R219" s="724">
        <f t="shared" si="336"/>
        <v>1355077</v>
      </c>
      <c r="S219" s="75">
        <f t="shared" si="336"/>
        <v>0</v>
      </c>
      <c r="T219" s="75">
        <f t="shared" si="336"/>
        <v>0</v>
      </c>
      <c r="U219" s="75">
        <f t="shared" si="336"/>
        <v>0</v>
      </c>
      <c r="V219" s="75">
        <f t="shared" si="336"/>
        <v>1290077</v>
      </c>
      <c r="W219" s="75">
        <f t="shared" si="336"/>
        <v>65000</v>
      </c>
      <c r="X219" s="75">
        <f t="shared" si="336"/>
        <v>0</v>
      </c>
      <c r="Y219" s="75">
        <f t="shared" si="336"/>
        <v>0</v>
      </c>
      <c r="Z219" s="75">
        <f t="shared" si="336"/>
        <v>65000</v>
      </c>
      <c r="AA219" s="75">
        <f t="shared" si="336"/>
        <v>1355077</v>
      </c>
      <c r="AB219" s="75">
        <f t="shared" si="336"/>
        <v>458016</v>
      </c>
      <c r="AC219" s="75">
        <f t="shared" si="336"/>
        <v>12901</v>
      </c>
      <c r="AD219" s="75">
        <f t="shared" si="336"/>
        <v>0</v>
      </c>
      <c r="AE219" s="75">
        <f t="shared" si="336"/>
        <v>0</v>
      </c>
      <c r="AF219" s="75">
        <f t="shared" si="336"/>
        <v>0</v>
      </c>
      <c r="AG219" s="75">
        <f t="shared" si="336"/>
        <v>1825994</v>
      </c>
      <c r="AH219" s="76">
        <f t="shared" si="336"/>
        <v>-0.03</v>
      </c>
      <c r="AI219" s="76">
        <f t="shared" si="336"/>
        <v>-0.04</v>
      </c>
      <c r="AJ219" s="76">
        <f t="shared" si="336"/>
        <v>3.88</v>
      </c>
      <c r="AK219" s="76">
        <f t="shared" si="336"/>
        <v>0</v>
      </c>
      <c r="AL219" s="76">
        <f t="shared" si="336"/>
        <v>0</v>
      </c>
      <c r="AM219" s="76">
        <f t="shared" si="336"/>
        <v>0</v>
      </c>
      <c r="AN219" s="76">
        <f t="shared" si="336"/>
        <v>0</v>
      </c>
      <c r="AO219" s="76">
        <f t="shared" si="336"/>
        <v>0</v>
      </c>
      <c r="AP219" s="76">
        <f t="shared" si="336"/>
        <v>3.85</v>
      </c>
      <c r="AQ219" s="76">
        <f t="shared" si="336"/>
        <v>-0.04</v>
      </c>
      <c r="AR219" s="720">
        <f t="shared" si="336"/>
        <v>3.81</v>
      </c>
      <c r="AS219" s="701">
        <f t="shared" si="336"/>
        <v>34511723</v>
      </c>
      <c r="AT219" s="75">
        <f t="shared" si="336"/>
        <v>25128469</v>
      </c>
      <c r="AU219" s="75">
        <f t="shared" si="336"/>
        <v>65000</v>
      </c>
      <c r="AV219" s="75">
        <f t="shared" si="336"/>
        <v>8515393</v>
      </c>
      <c r="AW219" s="75">
        <f t="shared" si="336"/>
        <v>251285</v>
      </c>
      <c r="AX219" s="75">
        <f t="shared" si="336"/>
        <v>551576</v>
      </c>
      <c r="AY219" s="76">
        <f t="shared" si="336"/>
        <v>48.539900000000003</v>
      </c>
      <c r="AZ219" s="76">
        <f t="shared" si="336"/>
        <v>34.349899999999998</v>
      </c>
      <c r="BA219" s="77">
        <f t="shared" si="336"/>
        <v>14.190000000000001</v>
      </c>
    </row>
    <row r="220" spans="1:53" ht="14.1" customHeight="1" x14ac:dyDescent="0.2">
      <c r="A220" s="67">
        <v>46</v>
      </c>
      <c r="B220" s="64">
        <v>2488</v>
      </c>
      <c r="C220" s="65">
        <v>600079902</v>
      </c>
      <c r="D220" s="64">
        <v>70884978</v>
      </c>
      <c r="E220" s="66" t="s">
        <v>648</v>
      </c>
      <c r="F220" s="67">
        <v>3113</v>
      </c>
      <c r="G220" s="66" t="s">
        <v>310</v>
      </c>
      <c r="H220" s="68" t="s">
        <v>277</v>
      </c>
      <c r="I220" s="462">
        <v>23540072</v>
      </c>
      <c r="J220" s="16">
        <v>17153265</v>
      </c>
      <c r="K220" s="457">
        <v>5797804</v>
      </c>
      <c r="L220" s="457">
        <v>171533</v>
      </c>
      <c r="M220" s="16">
        <v>417470</v>
      </c>
      <c r="N220" s="13">
        <v>28.622</v>
      </c>
      <c r="O220" s="13">
        <v>22.821999999999999</v>
      </c>
      <c r="P220" s="17">
        <v>5.8</v>
      </c>
      <c r="Q220" s="469">
        <f t="shared" si="307"/>
        <v>-35750</v>
      </c>
      <c r="R220" s="469">
        <v>0</v>
      </c>
      <c r="S220" s="460">
        <v>0</v>
      </c>
      <c r="T220" s="460">
        <v>55710</v>
      </c>
      <c r="U220" s="460">
        <v>0</v>
      </c>
      <c r="V220" s="460">
        <f>SUM(Q220:U220)</f>
        <v>19960</v>
      </c>
      <c r="W220" s="460">
        <v>35750</v>
      </c>
      <c r="X220" s="460">
        <v>0</v>
      </c>
      <c r="Y220" s="460">
        <v>0</v>
      </c>
      <c r="Z220" s="460">
        <f t="shared" ref="Z220:Z224" si="337">SUM(W220:Y220)</f>
        <v>35750</v>
      </c>
      <c r="AA220" s="460">
        <f t="shared" ref="AA220:AA224" si="338">V220+Z220</f>
        <v>55710</v>
      </c>
      <c r="AB220" s="69">
        <f t="shared" ref="AB220:AB224" si="339">ROUND((V220+W220+X220)*33.8%,0)</f>
        <v>18830</v>
      </c>
      <c r="AC220" s="69">
        <f t="shared" ref="AC220:AC224" si="340">ROUND(V220*1%,0)</f>
        <v>200</v>
      </c>
      <c r="AD220" s="460">
        <v>0</v>
      </c>
      <c r="AE220" s="460">
        <v>0</v>
      </c>
      <c r="AF220" s="460">
        <f>SUM(AD220:AE220)</f>
        <v>0</v>
      </c>
      <c r="AG220" s="460">
        <f>AA220+AB220+AC220+AF220</f>
        <v>74740</v>
      </c>
      <c r="AH220" s="461">
        <v>-0.04</v>
      </c>
      <c r="AI220" s="461">
        <v>-0.02</v>
      </c>
      <c r="AJ220" s="461">
        <v>0</v>
      </c>
      <c r="AK220" s="461">
        <v>0</v>
      </c>
      <c r="AL220" s="461">
        <v>0</v>
      </c>
      <c r="AM220" s="461">
        <v>0.09</v>
      </c>
      <c r="AN220" s="461">
        <v>0</v>
      </c>
      <c r="AO220" s="461">
        <v>0</v>
      </c>
      <c r="AP220" s="461">
        <f t="shared" si="308"/>
        <v>4.9999999999999996E-2</v>
      </c>
      <c r="AQ220" s="461">
        <f t="shared" si="309"/>
        <v>-0.02</v>
      </c>
      <c r="AR220" s="737">
        <f t="shared" si="310"/>
        <v>2.9999999999999995E-2</v>
      </c>
      <c r="AS220" s="470">
        <f t="shared" si="311"/>
        <v>23614812</v>
      </c>
      <c r="AT220" s="460">
        <f t="shared" si="312"/>
        <v>17173225</v>
      </c>
      <c r="AU220" s="460">
        <f t="shared" si="313"/>
        <v>35750</v>
      </c>
      <c r="AV220" s="460">
        <f t="shared" si="314"/>
        <v>5816634</v>
      </c>
      <c r="AW220" s="460">
        <f t="shared" si="315"/>
        <v>171733</v>
      </c>
      <c r="AX220" s="460">
        <f t="shared" si="316"/>
        <v>417470</v>
      </c>
      <c r="AY220" s="461">
        <f t="shared" si="317"/>
        <v>28.652000000000001</v>
      </c>
      <c r="AZ220" s="461">
        <f t="shared" si="318"/>
        <v>22.872</v>
      </c>
      <c r="BA220" s="463">
        <f t="shared" si="319"/>
        <v>5.78</v>
      </c>
    </row>
    <row r="221" spans="1:53" ht="14.1" customHeight="1" x14ac:dyDescent="0.2">
      <c r="A221" s="67">
        <v>46</v>
      </c>
      <c r="B221" s="64">
        <v>2488</v>
      </c>
      <c r="C221" s="65">
        <v>600079902</v>
      </c>
      <c r="D221" s="64">
        <v>70884978</v>
      </c>
      <c r="E221" s="66" t="s">
        <v>648</v>
      </c>
      <c r="F221" s="67">
        <v>3113</v>
      </c>
      <c r="G221" s="78" t="s">
        <v>308</v>
      </c>
      <c r="H221" s="68" t="s">
        <v>278</v>
      </c>
      <c r="I221" s="462">
        <v>0</v>
      </c>
      <c r="J221" s="457">
        <v>0</v>
      </c>
      <c r="K221" s="457">
        <v>0</v>
      </c>
      <c r="L221" s="457">
        <v>0</v>
      </c>
      <c r="M221" s="457">
        <v>0</v>
      </c>
      <c r="N221" s="458">
        <v>0</v>
      </c>
      <c r="O221" s="459">
        <v>0</v>
      </c>
      <c r="P221" s="646">
        <v>0</v>
      </c>
      <c r="Q221" s="469">
        <f t="shared" si="307"/>
        <v>0</v>
      </c>
      <c r="R221" s="469">
        <v>3387486</v>
      </c>
      <c r="S221" s="460">
        <v>0</v>
      </c>
      <c r="T221" s="460">
        <v>0</v>
      </c>
      <c r="U221" s="460">
        <v>0</v>
      </c>
      <c r="V221" s="460">
        <f>SUM(Q221:U221)</f>
        <v>3387486</v>
      </c>
      <c r="W221" s="460">
        <v>0</v>
      </c>
      <c r="X221" s="460">
        <v>0</v>
      </c>
      <c r="Y221" s="460">
        <v>0</v>
      </c>
      <c r="Z221" s="460">
        <f t="shared" si="337"/>
        <v>0</v>
      </c>
      <c r="AA221" s="460">
        <f t="shared" si="338"/>
        <v>3387486</v>
      </c>
      <c r="AB221" s="69">
        <f t="shared" si="339"/>
        <v>1144970</v>
      </c>
      <c r="AC221" s="69">
        <f t="shared" si="340"/>
        <v>33875</v>
      </c>
      <c r="AD221" s="460">
        <v>500</v>
      </c>
      <c r="AE221" s="460">
        <v>0</v>
      </c>
      <c r="AF221" s="460">
        <f>SUM(AD221:AE221)</f>
        <v>500</v>
      </c>
      <c r="AG221" s="460">
        <f>AA221+AB221+AC221+AF221</f>
        <v>4566831</v>
      </c>
      <c r="AH221" s="461">
        <v>0</v>
      </c>
      <c r="AI221" s="461">
        <v>0</v>
      </c>
      <c r="AJ221" s="461">
        <v>9.7799999999999994</v>
      </c>
      <c r="AK221" s="461">
        <v>0</v>
      </c>
      <c r="AL221" s="461">
        <v>0</v>
      </c>
      <c r="AM221" s="461">
        <v>0</v>
      </c>
      <c r="AN221" s="461">
        <v>0</v>
      </c>
      <c r="AO221" s="461">
        <v>0</v>
      </c>
      <c r="AP221" s="461">
        <f t="shared" si="308"/>
        <v>9.7799999999999994</v>
      </c>
      <c r="AQ221" s="461">
        <f t="shared" si="309"/>
        <v>0</v>
      </c>
      <c r="AR221" s="737">
        <f t="shared" si="310"/>
        <v>9.7799999999999994</v>
      </c>
      <c r="AS221" s="470">
        <f t="shared" si="311"/>
        <v>4566831</v>
      </c>
      <c r="AT221" s="460">
        <f t="shared" si="312"/>
        <v>3387486</v>
      </c>
      <c r="AU221" s="460">
        <f t="shared" si="313"/>
        <v>0</v>
      </c>
      <c r="AV221" s="460">
        <f t="shared" si="314"/>
        <v>1144970</v>
      </c>
      <c r="AW221" s="460">
        <f t="shared" si="315"/>
        <v>33875</v>
      </c>
      <c r="AX221" s="460">
        <f t="shared" si="316"/>
        <v>500</v>
      </c>
      <c r="AY221" s="461">
        <f t="shared" si="317"/>
        <v>9.7799999999999994</v>
      </c>
      <c r="AZ221" s="461">
        <f t="shared" si="318"/>
        <v>9.7799999999999994</v>
      </c>
      <c r="BA221" s="463">
        <f t="shared" si="319"/>
        <v>0</v>
      </c>
    </row>
    <row r="222" spans="1:53" ht="14.1" customHeight="1" x14ac:dyDescent="0.2">
      <c r="A222" s="67">
        <v>46</v>
      </c>
      <c r="B222" s="64">
        <v>2488</v>
      </c>
      <c r="C222" s="65">
        <v>600079902</v>
      </c>
      <c r="D222" s="64">
        <v>70884978</v>
      </c>
      <c r="E222" s="66" t="s">
        <v>648</v>
      </c>
      <c r="F222" s="67">
        <v>3141</v>
      </c>
      <c r="G222" s="66" t="s">
        <v>311</v>
      </c>
      <c r="H222" s="68" t="s">
        <v>278</v>
      </c>
      <c r="I222" s="462">
        <v>1755543</v>
      </c>
      <c r="J222" s="728">
        <v>1292341</v>
      </c>
      <c r="K222" s="457">
        <v>436811</v>
      </c>
      <c r="L222" s="457">
        <v>12923</v>
      </c>
      <c r="M222" s="728">
        <v>13468</v>
      </c>
      <c r="N222" s="458">
        <v>4.1500000000000004</v>
      </c>
      <c r="O222" s="459">
        <v>0</v>
      </c>
      <c r="P222" s="646">
        <v>4.1500000000000004</v>
      </c>
      <c r="Q222" s="469">
        <f t="shared" si="307"/>
        <v>0</v>
      </c>
      <c r="R222" s="469">
        <v>0</v>
      </c>
      <c r="S222" s="460">
        <v>0</v>
      </c>
      <c r="T222" s="460">
        <v>0</v>
      </c>
      <c r="U222" s="460">
        <v>0</v>
      </c>
      <c r="V222" s="460">
        <f>SUM(Q222:U222)</f>
        <v>0</v>
      </c>
      <c r="W222" s="460">
        <v>0</v>
      </c>
      <c r="X222" s="460">
        <v>0</v>
      </c>
      <c r="Y222" s="460">
        <v>0</v>
      </c>
      <c r="Z222" s="460">
        <f t="shared" si="337"/>
        <v>0</v>
      </c>
      <c r="AA222" s="460">
        <f t="shared" si="338"/>
        <v>0</v>
      </c>
      <c r="AB222" s="69">
        <f t="shared" si="339"/>
        <v>0</v>
      </c>
      <c r="AC222" s="69">
        <f t="shared" si="340"/>
        <v>0</v>
      </c>
      <c r="AD222" s="460">
        <v>0</v>
      </c>
      <c r="AE222" s="460">
        <v>0</v>
      </c>
      <c r="AF222" s="460">
        <f>SUM(AD222:AE222)</f>
        <v>0</v>
      </c>
      <c r="AG222" s="460">
        <f>AA222+AB222+AC222+AF222</f>
        <v>0</v>
      </c>
      <c r="AH222" s="461">
        <v>0</v>
      </c>
      <c r="AI222" s="461">
        <v>0</v>
      </c>
      <c r="AJ222" s="461">
        <v>0</v>
      </c>
      <c r="AK222" s="461">
        <v>0</v>
      </c>
      <c r="AL222" s="461">
        <v>0</v>
      </c>
      <c r="AM222" s="461">
        <v>0</v>
      </c>
      <c r="AN222" s="461">
        <v>0</v>
      </c>
      <c r="AO222" s="461">
        <v>0</v>
      </c>
      <c r="AP222" s="461">
        <f t="shared" si="308"/>
        <v>0</v>
      </c>
      <c r="AQ222" s="461">
        <f t="shared" si="309"/>
        <v>0</v>
      </c>
      <c r="AR222" s="737">
        <f t="shared" si="310"/>
        <v>0</v>
      </c>
      <c r="AS222" s="470">
        <f t="shared" si="311"/>
        <v>1755543</v>
      </c>
      <c r="AT222" s="460">
        <f t="shared" si="312"/>
        <v>1292341</v>
      </c>
      <c r="AU222" s="460">
        <f t="shared" si="313"/>
        <v>0</v>
      </c>
      <c r="AV222" s="460">
        <f t="shared" si="314"/>
        <v>436811</v>
      </c>
      <c r="AW222" s="460">
        <f t="shared" si="315"/>
        <v>12923</v>
      </c>
      <c r="AX222" s="460">
        <f t="shared" si="316"/>
        <v>13468</v>
      </c>
      <c r="AY222" s="461">
        <f t="shared" si="317"/>
        <v>4.1500000000000004</v>
      </c>
      <c r="AZ222" s="461">
        <f t="shared" si="318"/>
        <v>0</v>
      </c>
      <c r="BA222" s="463">
        <f t="shared" si="319"/>
        <v>4.1500000000000004</v>
      </c>
    </row>
    <row r="223" spans="1:53" ht="14.1" customHeight="1" x14ac:dyDescent="0.2">
      <c r="A223" s="67">
        <v>46</v>
      </c>
      <c r="B223" s="64">
        <v>2488</v>
      </c>
      <c r="C223" s="65">
        <v>600079902</v>
      </c>
      <c r="D223" s="64">
        <v>70884978</v>
      </c>
      <c r="E223" s="66" t="s">
        <v>648</v>
      </c>
      <c r="F223" s="67">
        <v>3143</v>
      </c>
      <c r="G223" s="78" t="s">
        <v>616</v>
      </c>
      <c r="H223" s="68" t="s">
        <v>277</v>
      </c>
      <c r="I223" s="462">
        <v>2008712</v>
      </c>
      <c r="J223" s="16">
        <v>1490143</v>
      </c>
      <c r="K223" s="457">
        <v>503668</v>
      </c>
      <c r="L223" s="457">
        <v>14901</v>
      </c>
      <c r="M223" s="16">
        <v>0</v>
      </c>
      <c r="N223" s="458">
        <v>3.1964999999999999</v>
      </c>
      <c r="O223" s="13">
        <v>3.1964999999999999</v>
      </c>
      <c r="P223" s="17">
        <v>0</v>
      </c>
      <c r="Q223" s="469">
        <f t="shared" si="307"/>
        <v>0</v>
      </c>
      <c r="R223" s="469">
        <v>0</v>
      </c>
      <c r="S223" s="460">
        <v>0</v>
      </c>
      <c r="T223" s="460">
        <v>0</v>
      </c>
      <c r="U223" s="460">
        <v>0</v>
      </c>
      <c r="V223" s="460">
        <f>SUM(Q223:U223)</f>
        <v>0</v>
      </c>
      <c r="W223" s="460">
        <v>0</v>
      </c>
      <c r="X223" s="460">
        <v>0</v>
      </c>
      <c r="Y223" s="460">
        <v>0</v>
      </c>
      <c r="Z223" s="460">
        <f t="shared" si="337"/>
        <v>0</v>
      </c>
      <c r="AA223" s="460">
        <f t="shared" si="338"/>
        <v>0</v>
      </c>
      <c r="AB223" s="69">
        <f t="shared" si="339"/>
        <v>0</v>
      </c>
      <c r="AC223" s="69">
        <f t="shared" si="340"/>
        <v>0</v>
      </c>
      <c r="AD223" s="460">
        <v>0</v>
      </c>
      <c r="AE223" s="460">
        <v>0</v>
      </c>
      <c r="AF223" s="460">
        <f>SUM(AD223:AE223)</f>
        <v>0</v>
      </c>
      <c r="AG223" s="460">
        <f>AA223+AB223+AC223+AF223</f>
        <v>0</v>
      </c>
      <c r="AH223" s="461">
        <v>0</v>
      </c>
      <c r="AI223" s="461">
        <v>0</v>
      </c>
      <c r="AJ223" s="461">
        <v>0</v>
      </c>
      <c r="AK223" s="461">
        <v>0</v>
      </c>
      <c r="AL223" s="461">
        <v>0</v>
      </c>
      <c r="AM223" s="461">
        <v>0</v>
      </c>
      <c r="AN223" s="461">
        <v>0</v>
      </c>
      <c r="AO223" s="461">
        <v>0</v>
      </c>
      <c r="AP223" s="461">
        <f t="shared" si="308"/>
        <v>0</v>
      </c>
      <c r="AQ223" s="461">
        <f t="shared" si="309"/>
        <v>0</v>
      </c>
      <c r="AR223" s="737">
        <f t="shared" si="310"/>
        <v>0</v>
      </c>
      <c r="AS223" s="470">
        <f t="shared" si="311"/>
        <v>2008712</v>
      </c>
      <c r="AT223" s="460">
        <f t="shared" si="312"/>
        <v>1490143</v>
      </c>
      <c r="AU223" s="460">
        <f t="shared" si="313"/>
        <v>0</v>
      </c>
      <c r="AV223" s="460">
        <f t="shared" si="314"/>
        <v>503668</v>
      </c>
      <c r="AW223" s="460">
        <f t="shared" si="315"/>
        <v>14901</v>
      </c>
      <c r="AX223" s="460">
        <f t="shared" si="316"/>
        <v>0</v>
      </c>
      <c r="AY223" s="461">
        <f t="shared" si="317"/>
        <v>3.1964999999999999</v>
      </c>
      <c r="AZ223" s="461">
        <f t="shared" si="318"/>
        <v>3.1964999999999999</v>
      </c>
      <c r="BA223" s="463">
        <f t="shared" si="319"/>
        <v>0</v>
      </c>
    </row>
    <row r="224" spans="1:53" ht="14.1" customHeight="1" x14ac:dyDescent="0.2">
      <c r="A224" s="67">
        <v>46</v>
      </c>
      <c r="B224" s="64">
        <v>2488</v>
      </c>
      <c r="C224" s="65">
        <v>600079902</v>
      </c>
      <c r="D224" s="64">
        <v>70884978</v>
      </c>
      <c r="E224" s="66" t="s">
        <v>648</v>
      </c>
      <c r="F224" s="67">
        <v>3143</v>
      </c>
      <c r="G224" s="78" t="s">
        <v>617</v>
      </c>
      <c r="H224" s="68" t="s">
        <v>278</v>
      </c>
      <c r="I224" s="462">
        <v>63038</v>
      </c>
      <c r="J224" s="673">
        <v>45042</v>
      </c>
      <c r="K224" s="457">
        <v>15224</v>
      </c>
      <c r="L224" s="457">
        <v>450</v>
      </c>
      <c r="M224" s="673">
        <v>2322</v>
      </c>
      <c r="N224" s="458">
        <v>0.18</v>
      </c>
      <c r="O224" s="459">
        <v>0</v>
      </c>
      <c r="P224" s="717">
        <v>0.18</v>
      </c>
      <c r="Q224" s="469">
        <f t="shared" si="307"/>
        <v>0</v>
      </c>
      <c r="R224" s="469">
        <v>0</v>
      </c>
      <c r="S224" s="460">
        <v>0</v>
      </c>
      <c r="T224" s="460">
        <v>0</v>
      </c>
      <c r="U224" s="460">
        <v>0</v>
      </c>
      <c r="V224" s="460">
        <f>SUM(Q224:U224)</f>
        <v>0</v>
      </c>
      <c r="W224" s="460">
        <v>0</v>
      </c>
      <c r="X224" s="460">
        <v>0</v>
      </c>
      <c r="Y224" s="460">
        <v>0</v>
      </c>
      <c r="Z224" s="460">
        <f t="shared" si="337"/>
        <v>0</v>
      </c>
      <c r="AA224" s="460">
        <f t="shared" si="338"/>
        <v>0</v>
      </c>
      <c r="AB224" s="69">
        <f t="shared" si="339"/>
        <v>0</v>
      </c>
      <c r="AC224" s="69">
        <f t="shared" si="340"/>
        <v>0</v>
      </c>
      <c r="AD224" s="460">
        <v>0</v>
      </c>
      <c r="AE224" s="460">
        <v>0</v>
      </c>
      <c r="AF224" s="460">
        <f>SUM(AD224:AE224)</f>
        <v>0</v>
      </c>
      <c r="AG224" s="460">
        <f>AA224+AB224+AC224+AF224</f>
        <v>0</v>
      </c>
      <c r="AH224" s="461">
        <v>0</v>
      </c>
      <c r="AI224" s="461">
        <v>0</v>
      </c>
      <c r="AJ224" s="461">
        <v>0</v>
      </c>
      <c r="AK224" s="461">
        <v>0</v>
      </c>
      <c r="AL224" s="461">
        <v>0</v>
      </c>
      <c r="AM224" s="461">
        <v>0</v>
      </c>
      <c r="AN224" s="461">
        <v>0</v>
      </c>
      <c r="AO224" s="461">
        <v>0</v>
      </c>
      <c r="AP224" s="461">
        <f t="shared" si="308"/>
        <v>0</v>
      </c>
      <c r="AQ224" s="461">
        <f t="shared" si="309"/>
        <v>0</v>
      </c>
      <c r="AR224" s="737">
        <f t="shared" si="310"/>
        <v>0</v>
      </c>
      <c r="AS224" s="470">
        <f t="shared" si="311"/>
        <v>63038</v>
      </c>
      <c r="AT224" s="460">
        <f t="shared" si="312"/>
        <v>45042</v>
      </c>
      <c r="AU224" s="460">
        <f t="shared" si="313"/>
        <v>0</v>
      </c>
      <c r="AV224" s="460">
        <f t="shared" si="314"/>
        <v>15224</v>
      </c>
      <c r="AW224" s="460">
        <f t="shared" si="315"/>
        <v>450</v>
      </c>
      <c r="AX224" s="460">
        <f t="shared" si="316"/>
        <v>2322</v>
      </c>
      <c r="AY224" s="461">
        <f t="shared" si="317"/>
        <v>0.18</v>
      </c>
      <c r="AZ224" s="461">
        <f t="shared" si="318"/>
        <v>0</v>
      </c>
      <c r="BA224" s="463">
        <f t="shared" si="319"/>
        <v>0.18</v>
      </c>
    </row>
    <row r="225" spans="1:53" ht="14.1" customHeight="1" x14ac:dyDescent="0.2">
      <c r="A225" s="73">
        <v>46</v>
      </c>
      <c r="B225" s="70">
        <v>2488</v>
      </c>
      <c r="C225" s="71">
        <v>600079902</v>
      </c>
      <c r="D225" s="70">
        <v>70884978</v>
      </c>
      <c r="E225" s="72" t="s">
        <v>649</v>
      </c>
      <c r="F225" s="73"/>
      <c r="G225" s="72"/>
      <c r="H225" s="74"/>
      <c r="I225" s="701">
        <f t="shared" ref="I225:P225" si="341">SUM(I220:I224)</f>
        <v>27367365</v>
      </c>
      <c r="J225" s="75">
        <f t="shared" si="341"/>
        <v>19980791</v>
      </c>
      <c r="K225" s="75">
        <f t="shared" si="341"/>
        <v>6753507</v>
      </c>
      <c r="L225" s="75">
        <f t="shared" si="341"/>
        <v>199807</v>
      </c>
      <c r="M225" s="75">
        <f t="shared" si="341"/>
        <v>433260</v>
      </c>
      <c r="N225" s="76">
        <f t="shared" si="341"/>
        <v>36.148499999999999</v>
      </c>
      <c r="O225" s="76">
        <f t="shared" si="341"/>
        <v>26.0185</v>
      </c>
      <c r="P225" s="77">
        <f t="shared" si="341"/>
        <v>10.129999999999999</v>
      </c>
      <c r="Q225" s="724">
        <f t="shared" ref="Q225:BA225" si="342">SUM(Q220:Q224)</f>
        <v>-35750</v>
      </c>
      <c r="R225" s="724">
        <f t="shared" si="342"/>
        <v>3387486</v>
      </c>
      <c r="S225" s="75">
        <f t="shared" si="342"/>
        <v>0</v>
      </c>
      <c r="T225" s="75">
        <f t="shared" si="342"/>
        <v>55710</v>
      </c>
      <c r="U225" s="75">
        <f t="shared" si="342"/>
        <v>0</v>
      </c>
      <c r="V225" s="75">
        <f t="shared" si="342"/>
        <v>3407446</v>
      </c>
      <c r="W225" s="75">
        <f t="shared" si="342"/>
        <v>35750</v>
      </c>
      <c r="X225" s="75">
        <f t="shared" si="342"/>
        <v>0</v>
      </c>
      <c r="Y225" s="75">
        <f t="shared" si="342"/>
        <v>0</v>
      </c>
      <c r="Z225" s="75">
        <f t="shared" si="342"/>
        <v>35750</v>
      </c>
      <c r="AA225" s="75">
        <f t="shared" si="342"/>
        <v>3443196</v>
      </c>
      <c r="AB225" s="75">
        <f t="shared" si="342"/>
        <v>1163800</v>
      </c>
      <c r="AC225" s="75">
        <f t="shared" si="342"/>
        <v>34075</v>
      </c>
      <c r="AD225" s="75">
        <f t="shared" si="342"/>
        <v>500</v>
      </c>
      <c r="AE225" s="75">
        <f t="shared" si="342"/>
        <v>0</v>
      </c>
      <c r="AF225" s="75">
        <f t="shared" si="342"/>
        <v>500</v>
      </c>
      <c r="AG225" s="75">
        <f t="shared" si="342"/>
        <v>4641571</v>
      </c>
      <c r="AH225" s="76">
        <f t="shared" si="342"/>
        <v>-0.04</v>
      </c>
      <c r="AI225" s="76">
        <f t="shared" si="342"/>
        <v>-0.02</v>
      </c>
      <c r="AJ225" s="76">
        <f t="shared" si="342"/>
        <v>9.7799999999999994</v>
      </c>
      <c r="AK225" s="76">
        <f t="shared" si="342"/>
        <v>0</v>
      </c>
      <c r="AL225" s="76">
        <f t="shared" si="342"/>
        <v>0</v>
      </c>
      <c r="AM225" s="76">
        <f t="shared" si="342"/>
        <v>0.09</v>
      </c>
      <c r="AN225" s="76">
        <f t="shared" si="342"/>
        <v>0</v>
      </c>
      <c r="AO225" s="76">
        <f t="shared" si="342"/>
        <v>0</v>
      </c>
      <c r="AP225" s="76">
        <f t="shared" si="342"/>
        <v>9.83</v>
      </c>
      <c r="AQ225" s="76">
        <f t="shared" si="342"/>
        <v>-0.02</v>
      </c>
      <c r="AR225" s="720">
        <f t="shared" si="342"/>
        <v>9.8099999999999987</v>
      </c>
      <c r="AS225" s="701">
        <f t="shared" si="342"/>
        <v>32008936</v>
      </c>
      <c r="AT225" s="75">
        <f t="shared" si="342"/>
        <v>23388237</v>
      </c>
      <c r="AU225" s="75">
        <f t="shared" si="342"/>
        <v>35750</v>
      </c>
      <c r="AV225" s="75">
        <f t="shared" si="342"/>
        <v>7917307</v>
      </c>
      <c r="AW225" s="75">
        <f t="shared" si="342"/>
        <v>233882</v>
      </c>
      <c r="AX225" s="75">
        <f t="shared" si="342"/>
        <v>433760</v>
      </c>
      <c r="AY225" s="76">
        <f t="shared" si="342"/>
        <v>45.958500000000001</v>
      </c>
      <c r="AZ225" s="76">
        <f t="shared" si="342"/>
        <v>35.848500000000001</v>
      </c>
      <c r="BA225" s="77">
        <f t="shared" si="342"/>
        <v>10.11</v>
      </c>
    </row>
    <row r="226" spans="1:53" ht="14.1" customHeight="1" x14ac:dyDescent="0.2">
      <c r="A226" s="67">
        <v>47</v>
      </c>
      <c r="B226" s="64">
        <v>2472</v>
      </c>
      <c r="C226" s="65">
        <v>600080277</v>
      </c>
      <c r="D226" s="64">
        <v>72743131</v>
      </c>
      <c r="E226" s="66" t="s">
        <v>650</v>
      </c>
      <c r="F226" s="67">
        <v>3113</v>
      </c>
      <c r="G226" s="66" t="s">
        <v>310</v>
      </c>
      <c r="H226" s="68" t="s">
        <v>277</v>
      </c>
      <c r="I226" s="462">
        <v>29335316</v>
      </c>
      <c r="J226" s="16">
        <v>21426684</v>
      </c>
      <c r="K226" s="457">
        <v>7242220</v>
      </c>
      <c r="L226" s="457">
        <v>214267</v>
      </c>
      <c r="M226" s="16">
        <v>452145</v>
      </c>
      <c r="N226" s="13">
        <v>36.39</v>
      </c>
      <c r="O226" s="13">
        <v>29</v>
      </c>
      <c r="P226" s="17">
        <v>7.39</v>
      </c>
      <c r="Q226" s="469">
        <f t="shared" si="307"/>
        <v>-48750</v>
      </c>
      <c r="R226" s="469">
        <v>0</v>
      </c>
      <c r="S226" s="460">
        <v>0</v>
      </c>
      <c r="T226" s="460">
        <v>0</v>
      </c>
      <c r="U226" s="460">
        <v>0</v>
      </c>
      <c r="V226" s="460">
        <f>SUM(Q226:U226)</f>
        <v>-48750</v>
      </c>
      <c r="W226" s="460">
        <v>48750</v>
      </c>
      <c r="X226" s="460">
        <v>0</v>
      </c>
      <c r="Y226" s="460">
        <v>0</v>
      </c>
      <c r="Z226" s="460">
        <f t="shared" ref="Z226:Z230" si="343">SUM(W226:Y226)</f>
        <v>48750</v>
      </c>
      <c r="AA226" s="460">
        <f t="shared" ref="AA226:AA230" si="344">V226+Z226</f>
        <v>0</v>
      </c>
      <c r="AB226" s="69">
        <f t="shared" ref="AB226:AB230" si="345">ROUND((V226+W226+X226)*33.8%,0)</f>
        <v>0</v>
      </c>
      <c r="AC226" s="69">
        <f t="shared" ref="AC226:AC230" si="346">ROUND(V226*1%,0)</f>
        <v>-488</v>
      </c>
      <c r="AD226" s="460">
        <v>0</v>
      </c>
      <c r="AE226" s="460">
        <v>0</v>
      </c>
      <c r="AF226" s="460">
        <f>SUM(AD226:AE226)</f>
        <v>0</v>
      </c>
      <c r="AG226" s="460">
        <f>AA226+AB226+AC226+AF226</f>
        <v>-488</v>
      </c>
      <c r="AH226" s="461">
        <v>-0.02</v>
      </c>
      <c r="AI226" s="461">
        <v>-0.02</v>
      </c>
      <c r="AJ226" s="461">
        <v>0</v>
      </c>
      <c r="AK226" s="461">
        <v>0</v>
      </c>
      <c r="AL226" s="461">
        <v>0</v>
      </c>
      <c r="AM226" s="461">
        <v>0</v>
      </c>
      <c r="AN226" s="461">
        <v>0</v>
      </c>
      <c r="AO226" s="461">
        <v>0</v>
      </c>
      <c r="AP226" s="461">
        <f t="shared" si="308"/>
        <v>-0.02</v>
      </c>
      <c r="AQ226" s="461">
        <f t="shared" si="309"/>
        <v>-0.02</v>
      </c>
      <c r="AR226" s="737">
        <f t="shared" si="310"/>
        <v>-0.04</v>
      </c>
      <c r="AS226" s="470">
        <f t="shared" si="311"/>
        <v>29334828</v>
      </c>
      <c r="AT226" s="460">
        <f t="shared" si="312"/>
        <v>21377934</v>
      </c>
      <c r="AU226" s="460">
        <f t="shared" si="313"/>
        <v>48750</v>
      </c>
      <c r="AV226" s="460">
        <f t="shared" si="314"/>
        <v>7242220</v>
      </c>
      <c r="AW226" s="460">
        <f t="shared" si="315"/>
        <v>213779</v>
      </c>
      <c r="AX226" s="460">
        <f t="shared" si="316"/>
        <v>452145</v>
      </c>
      <c r="AY226" s="461">
        <f t="shared" si="317"/>
        <v>36.35</v>
      </c>
      <c r="AZ226" s="461">
        <f t="shared" si="318"/>
        <v>28.98</v>
      </c>
      <c r="BA226" s="463">
        <f t="shared" si="319"/>
        <v>7.37</v>
      </c>
    </row>
    <row r="227" spans="1:53" ht="14.1" customHeight="1" x14ac:dyDescent="0.2">
      <c r="A227" s="67">
        <v>47</v>
      </c>
      <c r="B227" s="64">
        <v>2472</v>
      </c>
      <c r="C227" s="65">
        <v>600080277</v>
      </c>
      <c r="D227" s="64">
        <v>72743131</v>
      </c>
      <c r="E227" s="66" t="s">
        <v>650</v>
      </c>
      <c r="F227" s="67">
        <v>3113</v>
      </c>
      <c r="G227" s="78" t="s">
        <v>308</v>
      </c>
      <c r="H227" s="68" t="s">
        <v>278</v>
      </c>
      <c r="I227" s="462">
        <v>0</v>
      </c>
      <c r="J227" s="457">
        <v>0</v>
      </c>
      <c r="K227" s="457">
        <v>0</v>
      </c>
      <c r="L227" s="457">
        <v>0</v>
      </c>
      <c r="M227" s="457">
        <v>0</v>
      </c>
      <c r="N227" s="458">
        <v>0</v>
      </c>
      <c r="O227" s="459">
        <v>0</v>
      </c>
      <c r="P227" s="646">
        <v>0</v>
      </c>
      <c r="Q227" s="469">
        <f t="shared" si="307"/>
        <v>0</v>
      </c>
      <c r="R227" s="469">
        <v>3044006</v>
      </c>
      <c r="S227" s="460">
        <v>0</v>
      </c>
      <c r="T227" s="460">
        <v>0</v>
      </c>
      <c r="U227" s="460">
        <v>0</v>
      </c>
      <c r="V227" s="460">
        <f>SUM(Q227:U227)</f>
        <v>3044006</v>
      </c>
      <c r="W227" s="460">
        <v>0</v>
      </c>
      <c r="X227" s="460">
        <v>0</v>
      </c>
      <c r="Y227" s="460">
        <v>0</v>
      </c>
      <c r="Z227" s="460">
        <f t="shared" si="343"/>
        <v>0</v>
      </c>
      <c r="AA227" s="460">
        <f t="shared" si="344"/>
        <v>3044006</v>
      </c>
      <c r="AB227" s="69">
        <f t="shared" si="345"/>
        <v>1028874</v>
      </c>
      <c r="AC227" s="69">
        <f t="shared" si="346"/>
        <v>30440</v>
      </c>
      <c r="AD227" s="460">
        <v>0</v>
      </c>
      <c r="AE227" s="460">
        <v>0</v>
      </c>
      <c r="AF227" s="460">
        <f>SUM(AD227:AE227)</f>
        <v>0</v>
      </c>
      <c r="AG227" s="460">
        <f>AA227+AB227+AC227+AF227</f>
        <v>4103320</v>
      </c>
      <c r="AH227" s="461">
        <v>0</v>
      </c>
      <c r="AI227" s="461">
        <v>0</v>
      </c>
      <c r="AJ227" s="461">
        <v>8.3800000000000008</v>
      </c>
      <c r="AK227" s="461">
        <v>0</v>
      </c>
      <c r="AL227" s="461">
        <v>0</v>
      </c>
      <c r="AM227" s="461">
        <v>0</v>
      </c>
      <c r="AN227" s="461">
        <v>0</v>
      </c>
      <c r="AO227" s="461">
        <v>0</v>
      </c>
      <c r="AP227" s="461">
        <f t="shared" si="308"/>
        <v>8.3800000000000008</v>
      </c>
      <c r="AQ227" s="461">
        <f t="shared" si="309"/>
        <v>0</v>
      </c>
      <c r="AR227" s="737">
        <f t="shared" si="310"/>
        <v>8.3800000000000008</v>
      </c>
      <c r="AS227" s="470">
        <f t="shared" si="311"/>
        <v>4103320</v>
      </c>
      <c r="AT227" s="460">
        <f t="shared" si="312"/>
        <v>3044006</v>
      </c>
      <c r="AU227" s="460">
        <f t="shared" si="313"/>
        <v>0</v>
      </c>
      <c r="AV227" s="460">
        <f t="shared" si="314"/>
        <v>1028874</v>
      </c>
      <c r="AW227" s="460">
        <f t="shared" si="315"/>
        <v>30440</v>
      </c>
      <c r="AX227" s="460">
        <f t="shared" si="316"/>
        <v>0</v>
      </c>
      <c r="AY227" s="461">
        <f t="shared" si="317"/>
        <v>8.3800000000000008</v>
      </c>
      <c r="AZ227" s="461">
        <f t="shared" si="318"/>
        <v>8.3800000000000008</v>
      </c>
      <c r="BA227" s="463">
        <f t="shared" si="319"/>
        <v>0</v>
      </c>
    </row>
    <row r="228" spans="1:53" ht="14.1" customHeight="1" x14ac:dyDescent="0.2">
      <c r="A228" s="67">
        <v>47</v>
      </c>
      <c r="B228" s="64">
        <v>2472</v>
      </c>
      <c r="C228" s="65">
        <v>600080277</v>
      </c>
      <c r="D228" s="64">
        <v>72743131</v>
      </c>
      <c r="E228" s="66" t="s">
        <v>650</v>
      </c>
      <c r="F228" s="67">
        <v>3141</v>
      </c>
      <c r="G228" s="66" t="s">
        <v>311</v>
      </c>
      <c r="H228" s="68" t="s">
        <v>278</v>
      </c>
      <c r="I228" s="462">
        <v>1931694</v>
      </c>
      <c r="J228" s="728">
        <v>1421744</v>
      </c>
      <c r="K228" s="457">
        <v>480549</v>
      </c>
      <c r="L228" s="457">
        <v>14217</v>
      </c>
      <c r="M228" s="728">
        <v>15184</v>
      </c>
      <c r="N228" s="458">
        <v>4.57</v>
      </c>
      <c r="O228" s="459">
        <v>0</v>
      </c>
      <c r="P228" s="646">
        <v>4.57</v>
      </c>
      <c r="Q228" s="469">
        <f t="shared" si="307"/>
        <v>-6500</v>
      </c>
      <c r="R228" s="469">
        <v>0</v>
      </c>
      <c r="S228" s="460">
        <v>0</v>
      </c>
      <c r="T228" s="460">
        <v>0</v>
      </c>
      <c r="U228" s="460">
        <v>0</v>
      </c>
      <c r="V228" s="460">
        <f>SUM(Q228:U228)</f>
        <v>-6500</v>
      </c>
      <c r="W228" s="460">
        <v>6500</v>
      </c>
      <c r="X228" s="460">
        <v>0</v>
      </c>
      <c r="Y228" s="460">
        <v>0</v>
      </c>
      <c r="Z228" s="460">
        <f t="shared" si="343"/>
        <v>6500</v>
      </c>
      <c r="AA228" s="460">
        <f t="shared" si="344"/>
        <v>0</v>
      </c>
      <c r="AB228" s="69">
        <f t="shared" si="345"/>
        <v>0</v>
      </c>
      <c r="AC228" s="69">
        <f t="shared" si="346"/>
        <v>-65</v>
      </c>
      <c r="AD228" s="460">
        <v>0</v>
      </c>
      <c r="AE228" s="460">
        <v>0</v>
      </c>
      <c r="AF228" s="460">
        <f>SUM(AD228:AE228)</f>
        <v>0</v>
      </c>
      <c r="AG228" s="460">
        <f>AA228+AB228+AC228+AF228</f>
        <v>-65</v>
      </c>
      <c r="AH228" s="461">
        <v>0</v>
      </c>
      <c r="AI228" s="461">
        <v>0</v>
      </c>
      <c r="AJ228" s="461">
        <v>0</v>
      </c>
      <c r="AK228" s="461">
        <v>0</v>
      </c>
      <c r="AL228" s="461">
        <v>0</v>
      </c>
      <c r="AM228" s="461">
        <v>0</v>
      </c>
      <c r="AN228" s="461">
        <v>0</v>
      </c>
      <c r="AO228" s="461">
        <v>0</v>
      </c>
      <c r="AP228" s="461">
        <f t="shared" si="308"/>
        <v>0</v>
      </c>
      <c r="AQ228" s="461">
        <f t="shared" si="309"/>
        <v>0</v>
      </c>
      <c r="AR228" s="737">
        <f t="shared" si="310"/>
        <v>0</v>
      </c>
      <c r="AS228" s="470">
        <f t="shared" si="311"/>
        <v>1931629</v>
      </c>
      <c r="AT228" s="460">
        <f t="shared" si="312"/>
        <v>1415244</v>
      </c>
      <c r="AU228" s="460">
        <f t="shared" si="313"/>
        <v>6500</v>
      </c>
      <c r="AV228" s="460">
        <f t="shared" si="314"/>
        <v>480549</v>
      </c>
      <c r="AW228" s="460">
        <f t="shared" si="315"/>
        <v>14152</v>
      </c>
      <c r="AX228" s="460">
        <f t="shared" si="316"/>
        <v>15184</v>
      </c>
      <c r="AY228" s="461">
        <f t="shared" si="317"/>
        <v>4.57</v>
      </c>
      <c r="AZ228" s="461">
        <f t="shared" si="318"/>
        <v>0</v>
      </c>
      <c r="BA228" s="463">
        <f t="shared" si="319"/>
        <v>4.57</v>
      </c>
    </row>
    <row r="229" spans="1:53" ht="14.1" customHeight="1" x14ac:dyDescent="0.2">
      <c r="A229" s="67">
        <v>47</v>
      </c>
      <c r="B229" s="64">
        <v>2472</v>
      </c>
      <c r="C229" s="65">
        <v>600080277</v>
      </c>
      <c r="D229" s="64">
        <v>72743131</v>
      </c>
      <c r="E229" s="66" t="s">
        <v>650</v>
      </c>
      <c r="F229" s="67">
        <v>3143</v>
      </c>
      <c r="G229" s="78" t="s">
        <v>616</v>
      </c>
      <c r="H229" s="68" t="s">
        <v>277</v>
      </c>
      <c r="I229" s="462">
        <v>3014353</v>
      </c>
      <c r="J229" s="16">
        <v>2236167</v>
      </c>
      <c r="K229" s="457">
        <v>755824</v>
      </c>
      <c r="L229" s="457">
        <v>22362</v>
      </c>
      <c r="M229" s="16">
        <v>0</v>
      </c>
      <c r="N229" s="458">
        <v>4.5357000000000003</v>
      </c>
      <c r="O229" s="13">
        <v>4.5357000000000003</v>
      </c>
      <c r="P229" s="17">
        <v>0</v>
      </c>
      <c r="Q229" s="469">
        <f t="shared" si="307"/>
        <v>-3250</v>
      </c>
      <c r="R229" s="469">
        <v>0</v>
      </c>
      <c r="S229" s="460">
        <v>0</v>
      </c>
      <c r="T229" s="460">
        <v>0</v>
      </c>
      <c r="U229" s="460">
        <v>0</v>
      </c>
      <c r="V229" s="460">
        <f>SUM(Q229:U229)</f>
        <v>-3250</v>
      </c>
      <c r="W229" s="460">
        <v>3250</v>
      </c>
      <c r="X229" s="460">
        <v>0</v>
      </c>
      <c r="Y229" s="460">
        <v>0</v>
      </c>
      <c r="Z229" s="460">
        <f t="shared" si="343"/>
        <v>3250</v>
      </c>
      <c r="AA229" s="460">
        <f t="shared" si="344"/>
        <v>0</v>
      </c>
      <c r="AB229" s="69">
        <f t="shared" si="345"/>
        <v>0</v>
      </c>
      <c r="AC229" s="69">
        <f t="shared" si="346"/>
        <v>-33</v>
      </c>
      <c r="AD229" s="460">
        <v>0</v>
      </c>
      <c r="AE229" s="460">
        <v>0</v>
      </c>
      <c r="AF229" s="460">
        <f>SUM(AD229:AE229)</f>
        <v>0</v>
      </c>
      <c r="AG229" s="460">
        <f>AA229+AB229+AC229+AF229</f>
        <v>-33</v>
      </c>
      <c r="AH229" s="461">
        <v>0</v>
      </c>
      <c r="AI229" s="461">
        <v>0</v>
      </c>
      <c r="AJ229" s="461">
        <v>0</v>
      </c>
      <c r="AK229" s="461">
        <v>0</v>
      </c>
      <c r="AL229" s="461">
        <v>0</v>
      </c>
      <c r="AM229" s="461">
        <v>0</v>
      </c>
      <c r="AN229" s="461">
        <v>0</v>
      </c>
      <c r="AO229" s="461">
        <v>0</v>
      </c>
      <c r="AP229" s="461">
        <f t="shared" si="308"/>
        <v>0</v>
      </c>
      <c r="AQ229" s="461">
        <f t="shared" si="309"/>
        <v>0</v>
      </c>
      <c r="AR229" s="737">
        <f t="shared" si="310"/>
        <v>0</v>
      </c>
      <c r="AS229" s="470">
        <f t="shared" si="311"/>
        <v>3014320</v>
      </c>
      <c r="AT229" s="460">
        <f t="shared" si="312"/>
        <v>2232917</v>
      </c>
      <c r="AU229" s="460">
        <f t="shared" si="313"/>
        <v>3250</v>
      </c>
      <c r="AV229" s="460">
        <f t="shared" si="314"/>
        <v>755824</v>
      </c>
      <c r="AW229" s="460">
        <f t="shared" si="315"/>
        <v>22329</v>
      </c>
      <c r="AX229" s="460">
        <f t="shared" si="316"/>
        <v>0</v>
      </c>
      <c r="AY229" s="461">
        <f t="shared" si="317"/>
        <v>4.5357000000000003</v>
      </c>
      <c r="AZ229" s="461">
        <f t="shared" si="318"/>
        <v>4.5357000000000003</v>
      </c>
      <c r="BA229" s="463">
        <f t="shared" si="319"/>
        <v>0</v>
      </c>
    </row>
    <row r="230" spans="1:53" ht="14.1" customHeight="1" x14ac:dyDescent="0.2">
      <c r="A230" s="67">
        <v>47</v>
      </c>
      <c r="B230" s="64">
        <v>2472</v>
      </c>
      <c r="C230" s="65">
        <v>600080277</v>
      </c>
      <c r="D230" s="64">
        <v>72743131</v>
      </c>
      <c r="E230" s="66" t="s">
        <v>650</v>
      </c>
      <c r="F230" s="67">
        <v>3143</v>
      </c>
      <c r="G230" s="78" t="s">
        <v>617</v>
      </c>
      <c r="H230" s="68" t="s">
        <v>278</v>
      </c>
      <c r="I230" s="462">
        <v>79898</v>
      </c>
      <c r="J230" s="673">
        <v>57088</v>
      </c>
      <c r="K230" s="457">
        <v>19296</v>
      </c>
      <c r="L230" s="457">
        <v>571</v>
      </c>
      <c r="M230" s="673">
        <v>2943</v>
      </c>
      <c r="N230" s="458">
        <v>0.23</v>
      </c>
      <c r="O230" s="459">
        <v>0</v>
      </c>
      <c r="P230" s="646">
        <v>0.23</v>
      </c>
      <c r="Q230" s="469">
        <f t="shared" si="307"/>
        <v>0</v>
      </c>
      <c r="R230" s="469">
        <v>0</v>
      </c>
      <c r="S230" s="460">
        <v>0</v>
      </c>
      <c r="T230" s="460">
        <v>0</v>
      </c>
      <c r="U230" s="460">
        <v>0</v>
      </c>
      <c r="V230" s="460">
        <f>SUM(Q230:U230)</f>
        <v>0</v>
      </c>
      <c r="W230" s="460">
        <v>0</v>
      </c>
      <c r="X230" s="460">
        <v>0</v>
      </c>
      <c r="Y230" s="460">
        <v>0</v>
      </c>
      <c r="Z230" s="460">
        <f t="shared" si="343"/>
        <v>0</v>
      </c>
      <c r="AA230" s="460">
        <f t="shared" si="344"/>
        <v>0</v>
      </c>
      <c r="AB230" s="69">
        <f t="shared" si="345"/>
        <v>0</v>
      </c>
      <c r="AC230" s="69">
        <f t="shared" si="346"/>
        <v>0</v>
      </c>
      <c r="AD230" s="460">
        <v>0</v>
      </c>
      <c r="AE230" s="460">
        <v>0</v>
      </c>
      <c r="AF230" s="460">
        <f>SUM(AD230:AE230)</f>
        <v>0</v>
      </c>
      <c r="AG230" s="460">
        <f>AA230+AB230+AC230+AF230</f>
        <v>0</v>
      </c>
      <c r="AH230" s="461">
        <v>0</v>
      </c>
      <c r="AI230" s="461">
        <v>0</v>
      </c>
      <c r="AJ230" s="461">
        <v>0</v>
      </c>
      <c r="AK230" s="461">
        <v>0</v>
      </c>
      <c r="AL230" s="461">
        <v>0</v>
      </c>
      <c r="AM230" s="461">
        <v>0</v>
      </c>
      <c r="AN230" s="461">
        <v>0</v>
      </c>
      <c r="AO230" s="461">
        <v>0</v>
      </c>
      <c r="AP230" s="461">
        <f t="shared" si="308"/>
        <v>0</v>
      </c>
      <c r="AQ230" s="461">
        <f t="shared" si="309"/>
        <v>0</v>
      </c>
      <c r="AR230" s="737">
        <f t="shared" si="310"/>
        <v>0</v>
      </c>
      <c r="AS230" s="470">
        <f t="shared" si="311"/>
        <v>79898</v>
      </c>
      <c r="AT230" s="460">
        <f t="shared" si="312"/>
        <v>57088</v>
      </c>
      <c r="AU230" s="460">
        <f t="shared" si="313"/>
        <v>0</v>
      </c>
      <c r="AV230" s="460">
        <f t="shared" si="314"/>
        <v>19296</v>
      </c>
      <c r="AW230" s="460">
        <f t="shared" si="315"/>
        <v>571</v>
      </c>
      <c r="AX230" s="460">
        <f t="shared" si="316"/>
        <v>2943</v>
      </c>
      <c r="AY230" s="461">
        <f t="shared" si="317"/>
        <v>0.23</v>
      </c>
      <c r="AZ230" s="461">
        <f t="shared" si="318"/>
        <v>0</v>
      </c>
      <c r="BA230" s="463">
        <f t="shared" si="319"/>
        <v>0.23</v>
      </c>
    </row>
    <row r="231" spans="1:53" ht="14.1" customHeight="1" x14ac:dyDescent="0.2">
      <c r="A231" s="73">
        <v>47</v>
      </c>
      <c r="B231" s="70">
        <v>2472</v>
      </c>
      <c r="C231" s="71">
        <v>600080277</v>
      </c>
      <c r="D231" s="70">
        <v>72743131</v>
      </c>
      <c r="E231" s="72" t="s">
        <v>651</v>
      </c>
      <c r="F231" s="73"/>
      <c r="G231" s="72"/>
      <c r="H231" s="74"/>
      <c r="I231" s="701">
        <f t="shared" ref="I231:P231" si="347">SUM(I226:I230)</f>
        <v>34361261</v>
      </c>
      <c r="J231" s="75">
        <f t="shared" si="347"/>
        <v>25141683</v>
      </c>
      <c r="K231" s="75">
        <f t="shared" si="347"/>
        <v>8497889</v>
      </c>
      <c r="L231" s="75">
        <f t="shared" si="347"/>
        <v>251417</v>
      </c>
      <c r="M231" s="75">
        <f t="shared" si="347"/>
        <v>470272</v>
      </c>
      <c r="N231" s="76">
        <f t="shared" si="347"/>
        <v>45.725699999999996</v>
      </c>
      <c r="O231" s="76">
        <f t="shared" si="347"/>
        <v>33.535699999999999</v>
      </c>
      <c r="P231" s="77">
        <f t="shared" si="347"/>
        <v>12.190000000000001</v>
      </c>
      <c r="Q231" s="724">
        <f t="shared" ref="Q231:BA231" si="348">SUM(Q226:Q230)</f>
        <v>-58500</v>
      </c>
      <c r="R231" s="724">
        <f t="shared" si="348"/>
        <v>3044006</v>
      </c>
      <c r="S231" s="75">
        <f t="shared" si="348"/>
        <v>0</v>
      </c>
      <c r="T231" s="75">
        <f t="shared" si="348"/>
        <v>0</v>
      </c>
      <c r="U231" s="75">
        <f t="shared" si="348"/>
        <v>0</v>
      </c>
      <c r="V231" s="75">
        <f t="shared" si="348"/>
        <v>2985506</v>
      </c>
      <c r="W231" s="75">
        <f t="shared" si="348"/>
        <v>58500</v>
      </c>
      <c r="X231" s="75">
        <f t="shared" si="348"/>
        <v>0</v>
      </c>
      <c r="Y231" s="75">
        <f t="shared" si="348"/>
        <v>0</v>
      </c>
      <c r="Z231" s="75">
        <f t="shared" si="348"/>
        <v>58500</v>
      </c>
      <c r="AA231" s="75">
        <f t="shared" si="348"/>
        <v>3044006</v>
      </c>
      <c r="AB231" s="75">
        <f t="shared" si="348"/>
        <v>1028874</v>
      </c>
      <c r="AC231" s="75">
        <f t="shared" si="348"/>
        <v>29854</v>
      </c>
      <c r="AD231" s="75">
        <f t="shared" si="348"/>
        <v>0</v>
      </c>
      <c r="AE231" s="75">
        <f t="shared" si="348"/>
        <v>0</v>
      </c>
      <c r="AF231" s="75">
        <f t="shared" si="348"/>
        <v>0</v>
      </c>
      <c r="AG231" s="75">
        <f t="shared" si="348"/>
        <v>4102734</v>
      </c>
      <c r="AH231" s="76">
        <f t="shared" si="348"/>
        <v>-0.02</v>
      </c>
      <c r="AI231" s="76">
        <f t="shared" si="348"/>
        <v>-0.02</v>
      </c>
      <c r="AJ231" s="76">
        <f t="shared" si="348"/>
        <v>8.3800000000000008</v>
      </c>
      <c r="AK231" s="76">
        <f t="shared" si="348"/>
        <v>0</v>
      </c>
      <c r="AL231" s="76">
        <f t="shared" si="348"/>
        <v>0</v>
      </c>
      <c r="AM231" s="76">
        <f t="shared" si="348"/>
        <v>0</v>
      </c>
      <c r="AN231" s="76">
        <f t="shared" si="348"/>
        <v>0</v>
      </c>
      <c r="AO231" s="76">
        <f t="shared" si="348"/>
        <v>0</v>
      </c>
      <c r="AP231" s="76">
        <f t="shared" si="348"/>
        <v>8.3600000000000012</v>
      </c>
      <c r="AQ231" s="76">
        <f t="shared" si="348"/>
        <v>-0.02</v>
      </c>
      <c r="AR231" s="720">
        <f t="shared" si="348"/>
        <v>8.3400000000000016</v>
      </c>
      <c r="AS231" s="701">
        <f t="shared" si="348"/>
        <v>38463995</v>
      </c>
      <c r="AT231" s="75">
        <f t="shared" si="348"/>
        <v>28127189</v>
      </c>
      <c r="AU231" s="75">
        <f t="shared" si="348"/>
        <v>58500</v>
      </c>
      <c r="AV231" s="75">
        <f t="shared" si="348"/>
        <v>9526763</v>
      </c>
      <c r="AW231" s="75">
        <f t="shared" si="348"/>
        <v>281271</v>
      </c>
      <c r="AX231" s="75">
        <f t="shared" si="348"/>
        <v>470272</v>
      </c>
      <c r="AY231" s="76">
        <f t="shared" si="348"/>
        <v>54.0657</v>
      </c>
      <c r="AZ231" s="76">
        <f t="shared" si="348"/>
        <v>41.895699999999998</v>
      </c>
      <c r="BA231" s="77">
        <f t="shared" si="348"/>
        <v>12.170000000000002</v>
      </c>
    </row>
    <row r="232" spans="1:53" ht="14.1" customHeight="1" x14ac:dyDescent="0.2">
      <c r="A232" s="67">
        <v>48</v>
      </c>
      <c r="B232" s="64">
        <v>2489</v>
      </c>
      <c r="C232" s="65">
        <v>600080188</v>
      </c>
      <c r="D232" s="64">
        <v>64040402</v>
      </c>
      <c r="E232" s="66" t="s">
        <v>652</v>
      </c>
      <c r="F232" s="67">
        <v>3113</v>
      </c>
      <c r="G232" s="66" t="s">
        <v>310</v>
      </c>
      <c r="H232" s="68" t="s">
        <v>277</v>
      </c>
      <c r="I232" s="462">
        <v>32967728</v>
      </c>
      <c r="J232" s="16">
        <v>23992884</v>
      </c>
      <c r="K232" s="457">
        <v>8109595</v>
      </c>
      <c r="L232" s="457">
        <v>239929</v>
      </c>
      <c r="M232" s="16">
        <v>625320</v>
      </c>
      <c r="N232" s="13">
        <v>39.386700000000005</v>
      </c>
      <c r="O232" s="13">
        <v>31.636700000000001</v>
      </c>
      <c r="P232" s="17">
        <v>7.75</v>
      </c>
      <c r="Q232" s="469">
        <f t="shared" si="307"/>
        <v>-39000</v>
      </c>
      <c r="R232" s="469">
        <v>0</v>
      </c>
      <c r="S232" s="460">
        <v>0</v>
      </c>
      <c r="T232" s="460">
        <v>55091</v>
      </c>
      <c r="U232" s="460">
        <v>0</v>
      </c>
      <c r="V232" s="460">
        <f>SUM(Q232:U232)</f>
        <v>16091</v>
      </c>
      <c r="W232" s="460">
        <v>39000</v>
      </c>
      <c r="X232" s="460">
        <v>0</v>
      </c>
      <c r="Y232" s="460">
        <v>0</v>
      </c>
      <c r="Z232" s="460">
        <f t="shared" ref="Z232:Z236" si="349">SUM(W232:Y232)</f>
        <v>39000</v>
      </c>
      <c r="AA232" s="460">
        <f t="shared" ref="AA232:AA236" si="350">V232+Z232</f>
        <v>55091</v>
      </c>
      <c r="AB232" s="69">
        <f t="shared" ref="AB232:AB236" si="351">ROUND((V232+W232+X232)*33.8%,0)</f>
        <v>18621</v>
      </c>
      <c r="AC232" s="69">
        <f t="shared" ref="AC232:AC236" si="352">ROUND(V232*1%,0)</f>
        <v>161</v>
      </c>
      <c r="AD232" s="460">
        <v>0</v>
      </c>
      <c r="AE232" s="460">
        <v>0</v>
      </c>
      <c r="AF232" s="460">
        <f>SUM(AD232:AE232)</f>
        <v>0</v>
      </c>
      <c r="AG232" s="460">
        <f>AA232+AB232+AC232+AF232</f>
        <v>73873</v>
      </c>
      <c r="AH232" s="461">
        <v>-0.01</v>
      </c>
      <c r="AI232" s="461">
        <v>-0.08</v>
      </c>
      <c r="AJ232" s="461">
        <v>0</v>
      </c>
      <c r="AK232" s="461">
        <v>0</v>
      </c>
      <c r="AL232" s="461">
        <v>0</v>
      </c>
      <c r="AM232" s="461">
        <v>0.09</v>
      </c>
      <c r="AN232" s="461">
        <v>0</v>
      </c>
      <c r="AO232" s="461">
        <v>0</v>
      </c>
      <c r="AP232" s="461">
        <f t="shared" si="308"/>
        <v>0.08</v>
      </c>
      <c r="AQ232" s="461">
        <f t="shared" si="309"/>
        <v>-0.08</v>
      </c>
      <c r="AR232" s="737">
        <f t="shared" si="310"/>
        <v>0</v>
      </c>
      <c r="AS232" s="470">
        <f t="shared" si="311"/>
        <v>33041601</v>
      </c>
      <c r="AT232" s="460">
        <f t="shared" si="312"/>
        <v>24008975</v>
      </c>
      <c r="AU232" s="460">
        <f t="shared" si="313"/>
        <v>39000</v>
      </c>
      <c r="AV232" s="460">
        <f t="shared" si="314"/>
        <v>8128216</v>
      </c>
      <c r="AW232" s="460">
        <f t="shared" si="315"/>
        <v>240090</v>
      </c>
      <c r="AX232" s="460">
        <f t="shared" si="316"/>
        <v>625320</v>
      </c>
      <c r="AY232" s="461">
        <f t="shared" si="317"/>
        <v>39.386700000000005</v>
      </c>
      <c r="AZ232" s="461">
        <f t="shared" si="318"/>
        <v>31.716699999999999</v>
      </c>
      <c r="BA232" s="463">
        <f t="shared" si="319"/>
        <v>7.67</v>
      </c>
    </row>
    <row r="233" spans="1:53" ht="14.1" customHeight="1" x14ac:dyDescent="0.2">
      <c r="A233" s="67">
        <v>48</v>
      </c>
      <c r="B233" s="64">
        <v>2489</v>
      </c>
      <c r="C233" s="65">
        <v>600080188</v>
      </c>
      <c r="D233" s="64">
        <v>64040402</v>
      </c>
      <c r="E233" s="66" t="s">
        <v>652</v>
      </c>
      <c r="F233" s="67">
        <v>3113</v>
      </c>
      <c r="G233" s="78" t="s">
        <v>308</v>
      </c>
      <c r="H233" s="68" t="s">
        <v>278</v>
      </c>
      <c r="I233" s="462">
        <v>0</v>
      </c>
      <c r="J233" s="457">
        <v>0</v>
      </c>
      <c r="K233" s="457">
        <v>0</v>
      </c>
      <c r="L233" s="457">
        <v>0</v>
      </c>
      <c r="M233" s="457">
        <v>0</v>
      </c>
      <c r="N233" s="458">
        <v>0</v>
      </c>
      <c r="O233" s="459">
        <v>0</v>
      </c>
      <c r="P233" s="646">
        <v>0</v>
      </c>
      <c r="Q233" s="469">
        <f t="shared" si="307"/>
        <v>0</v>
      </c>
      <c r="R233" s="469">
        <v>1926953</v>
      </c>
      <c r="S233" s="460">
        <v>0</v>
      </c>
      <c r="T233" s="460">
        <v>0</v>
      </c>
      <c r="U233" s="460">
        <v>0</v>
      </c>
      <c r="V233" s="460">
        <f>SUM(Q233:U233)</f>
        <v>1926953</v>
      </c>
      <c r="W233" s="460">
        <v>0</v>
      </c>
      <c r="X233" s="460">
        <v>0</v>
      </c>
      <c r="Y233" s="460">
        <v>0</v>
      </c>
      <c r="Z233" s="460">
        <f t="shared" si="349"/>
        <v>0</v>
      </c>
      <c r="AA233" s="460">
        <f t="shared" si="350"/>
        <v>1926953</v>
      </c>
      <c r="AB233" s="69">
        <f t="shared" si="351"/>
        <v>651310</v>
      </c>
      <c r="AC233" s="69">
        <f t="shared" si="352"/>
        <v>19270</v>
      </c>
      <c r="AD233" s="460">
        <v>3250</v>
      </c>
      <c r="AE233" s="460">
        <v>0</v>
      </c>
      <c r="AF233" s="460">
        <f>SUM(AD233:AE233)</f>
        <v>3250</v>
      </c>
      <c r="AG233" s="460">
        <f>AA233+AB233+AC233+AF233</f>
        <v>2600783</v>
      </c>
      <c r="AH233" s="461">
        <v>0</v>
      </c>
      <c r="AI233" s="461">
        <v>0</v>
      </c>
      <c r="AJ233" s="461">
        <v>5.43</v>
      </c>
      <c r="AK233" s="461">
        <v>0</v>
      </c>
      <c r="AL233" s="461">
        <v>0</v>
      </c>
      <c r="AM233" s="461">
        <v>0</v>
      </c>
      <c r="AN233" s="461">
        <v>0</v>
      </c>
      <c r="AO233" s="461">
        <v>0</v>
      </c>
      <c r="AP233" s="461">
        <f t="shared" si="308"/>
        <v>5.43</v>
      </c>
      <c r="AQ233" s="461">
        <f t="shared" si="309"/>
        <v>0</v>
      </c>
      <c r="AR233" s="737">
        <f t="shared" si="310"/>
        <v>5.43</v>
      </c>
      <c r="AS233" s="470">
        <f t="shared" si="311"/>
        <v>2600783</v>
      </c>
      <c r="AT233" s="460">
        <f t="shared" si="312"/>
        <v>1926953</v>
      </c>
      <c r="AU233" s="460">
        <f t="shared" si="313"/>
        <v>0</v>
      </c>
      <c r="AV233" s="460">
        <f t="shared" si="314"/>
        <v>651310</v>
      </c>
      <c r="AW233" s="460">
        <f t="shared" si="315"/>
        <v>19270</v>
      </c>
      <c r="AX233" s="460">
        <f t="shared" si="316"/>
        <v>3250</v>
      </c>
      <c r="AY233" s="461">
        <f t="shared" si="317"/>
        <v>5.43</v>
      </c>
      <c r="AZ233" s="461">
        <f t="shared" si="318"/>
        <v>5.43</v>
      </c>
      <c r="BA233" s="463">
        <f t="shared" si="319"/>
        <v>0</v>
      </c>
    </row>
    <row r="234" spans="1:53" ht="14.1" customHeight="1" x14ac:dyDescent="0.2">
      <c r="A234" s="67">
        <v>48</v>
      </c>
      <c r="B234" s="64">
        <v>2489</v>
      </c>
      <c r="C234" s="65">
        <v>600080188</v>
      </c>
      <c r="D234" s="64">
        <v>64040402</v>
      </c>
      <c r="E234" s="66" t="s">
        <v>652</v>
      </c>
      <c r="F234" s="67">
        <v>3141</v>
      </c>
      <c r="G234" s="66" t="s">
        <v>311</v>
      </c>
      <c r="H234" s="68" t="s">
        <v>278</v>
      </c>
      <c r="I234" s="462">
        <v>2722115</v>
      </c>
      <c r="J234" s="728">
        <v>2002091</v>
      </c>
      <c r="K234" s="457">
        <v>676707</v>
      </c>
      <c r="L234" s="457">
        <v>20021</v>
      </c>
      <c r="M234" s="728">
        <v>23296</v>
      </c>
      <c r="N234" s="458">
        <v>6.43</v>
      </c>
      <c r="O234" s="459">
        <v>0</v>
      </c>
      <c r="P234" s="646">
        <v>6.43</v>
      </c>
      <c r="Q234" s="469">
        <f t="shared" si="307"/>
        <v>0</v>
      </c>
      <c r="R234" s="469">
        <v>0</v>
      </c>
      <c r="S234" s="460">
        <v>0</v>
      </c>
      <c r="T234" s="460">
        <v>0</v>
      </c>
      <c r="U234" s="460">
        <v>0</v>
      </c>
      <c r="V234" s="460">
        <f>SUM(Q234:U234)</f>
        <v>0</v>
      </c>
      <c r="W234" s="460">
        <v>0</v>
      </c>
      <c r="X234" s="460">
        <v>0</v>
      </c>
      <c r="Y234" s="460">
        <v>0</v>
      </c>
      <c r="Z234" s="460">
        <f t="shared" si="349"/>
        <v>0</v>
      </c>
      <c r="AA234" s="460">
        <f t="shared" si="350"/>
        <v>0</v>
      </c>
      <c r="AB234" s="69">
        <f t="shared" si="351"/>
        <v>0</v>
      </c>
      <c r="AC234" s="69">
        <f t="shared" si="352"/>
        <v>0</v>
      </c>
      <c r="AD234" s="460">
        <v>0</v>
      </c>
      <c r="AE234" s="460">
        <v>0</v>
      </c>
      <c r="AF234" s="460">
        <f>SUM(AD234:AE234)</f>
        <v>0</v>
      </c>
      <c r="AG234" s="460">
        <f>AA234+AB234+AC234+AF234</f>
        <v>0</v>
      </c>
      <c r="AH234" s="461">
        <v>0</v>
      </c>
      <c r="AI234" s="461">
        <v>0</v>
      </c>
      <c r="AJ234" s="461">
        <v>0</v>
      </c>
      <c r="AK234" s="461">
        <v>0</v>
      </c>
      <c r="AL234" s="461">
        <v>0</v>
      </c>
      <c r="AM234" s="461">
        <v>0</v>
      </c>
      <c r="AN234" s="461">
        <v>0</v>
      </c>
      <c r="AO234" s="461">
        <v>0</v>
      </c>
      <c r="AP234" s="461">
        <f t="shared" si="308"/>
        <v>0</v>
      </c>
      <c r="AQ234" s="461">
        <f t="shared" si="309"/>
        <v>0</v>
      </c>
      <c r="AR234" s="737">
        <f t="shared" si="310"/>
        <v>0</v>
      </c>
      <c r="AS234" s="470">
        <f t="shared" si="311"/>
        <v>2722115</v>
      </c>
      <c r="AT234" s="460">
        <f t="shared" si="312"/>
        <v>2002091</v>
      </c>
      <c r="AU234" s="460">
        <f t="shared" si="313"/>
        <v>0</v>
      </c>
      <c r="AV234" s="460">
        <f t="shared" si="314"/>
        <v>676707</v>
      </c>
      <c r="AW234" s="460">
        <f t="shared" si="315"/>
        <v>20021</v>
      </c>
      <c r="AX234" s="460">
        <f t="shared" si="316"/>
        <v>23296</v>
      </c>
      <c r="AY234" s="461">
        <f t="shared" si="317"/>
        <v>6.43</v>
      </c>
      <c r="AZ234" s="461">
        <f t="shared" si="318"/>
        <v>0</v>
      </c>
      <c r="BA234" s="463">
        <f t="shared" si="319"/>
        <v>6.43</v>
      </c>
    </row>
    <row r="235" spans="1:53" ht="14.1" customHeight="1" x14ac:dyDescent="0.2">
      <c r="A235" s="67">
        <v>48</v>
      </c>
      <c r="B235" s="64">
        <v>2489</v>
      </c>
      <c r="C235" s="65">
        <v>600080188</v>
      </c>
      <c r="D235" s="64">
        <v>64040402</v>
      </c>
      <c r="E235" s="66" t="s">
        <v>652</v>
      </c>
      <c r="F235" s="67">
        <v>3143</v>
      </c>
      <c r="G235" s="78" t="s">
        <v>616</v>
      </c>
      <c r="H235" s="68" t="s">
        <v>277</v>
      </c>
      <c r="I235" s="462">
        <v>2569033</v>
      </c>
      <c r="J235" s="16">
        <v>1905811</v>
      </c>
      <c r="K235" s="457">
        <v>644164</v>
      </c>
      <c r="L235" s="457">
        <v>19058</v>
      </c>
      <c r="M235" s="16">
        <v>0</v>
      </c>
      <c r="N235" s="458">
        <v>3.9666000000000001</v>
      </c>
      <c r="O235" s="13">
        <v>3.9666000000000001</v>
      </c>
      <c r="P235" s="17">
        <v>0</v>
      </c>
      <c r="Q235" s="469">
        <f t="shared" si="307"/>
        <v>-6500</v>
      </c>
      <c r="R235" s="469">
        <v>0</v>
      </c>
      <c r="S235" s="460">
        <v>0</v>
      </c>
      <c r="T235" s="460">
        <v>0</v>
      </c>
      <c r="U235" s="460">
        <v>0</v>
      </c>
      <c r="V235" s="460">
        <f>SUM(Q235:U235)</f>
        <v>-6500</v>
      </c>
      <c r="W235" s="460">
        <v>6500</v>
      </c>
      <c r="X235" s="460">
        <v>0</v>
      </c>
      <c r="Y235" s="460">
        <v>0</v>
      </c>
      <c r="Z235" s="460">
        <f t="shared" si="349"/>
        <v>6500</v>
      </c>
      <c r="AA235" s="460">
        <f t="shared" si="350"/>
        <v>0</v>
      </c>
      <c r="AB235" s="69">
        <f t="shared" si="351"/>
        <v>0</v>
      </c>
      <c r="AC235" s="69">
        <f t="shared" si="352"/>
        <v>-65</v>
      </c>
      <c r="AD235" s="460">
        <v>0</v>
      </c>
      <c r="AE235" s="460">
        <v>0</v>
      </c>
      <c r="AF235" s="460">
        <f>SUM(AD235:AE235)</f>
        <v>0</v>
      </c>
      <c r="AG235" s="460">
        <f>AA235+AB235+AC235+AF235</f>
        <v>-65</v>
      </c>
      <c r="AH235" s="461">
        <v>0</v>
      </c>
      <c r="AI235" s="461">
        <v>0</v>
      </c>
      <c r="AJ235" s="461">
        <v>0</v>
      </c>
      <c r="AK235" s="461">
        <v>0</v>
      </c>
      <c r="AL235" s="461">
        <v>0</v>
      </c>
      <c r="AM235" s="461">
        <v>0</v>
      </c>
      <c r="AN235" s="461">
        <v>0</v>
      </c>
      <c r="AO235" s="461">
        <v>0</v>
      </c>
      <c r="AP235" s="461">
        <f t="shared" si="308"/>
        <v>0</v>
      </c>
      <c r="AQ235" s="461">
        <f t="shared" si="309"/>
        <v>0</v>
      </c>
      <c r="AR235" s="737">
        <f t="shared" si="310"/>
        <v>0</v>
      </c>
      <c r="AS235" s="470">
        <f t="shared" si="311"/>
        <v>2568968</v>
      </c>
      <c r="AT235" s="460">
        <f t="shared" si="312"/>
        <v>1899311</v>
      </c>
      <c r="AU235" s="460">
        <f t="shared" si="313"/>
        <v>6500</v>
      </c>
      <c r="AV235" s="460">
        <f t="shared" si="314"/>
        <v>644164</v>
      </c>
      <c r="AW235" s="460">
        <f t="shared" si="315"/>
        <v>18993</v>
      </c>
      <c r="AX235" s="460">
        <f t="shared" si="316"/>
        <v>0</v>
      </c>
      <c r="AY235" s="461">
        <f t="shared" si="317"/>
        <v>3.9666000000000001</v>
      </c>
      <c r="AZ235" s="461">
        <f t="shared" si="318"/>
        <v>3.9666000000000001</v>
      </c>
      <c r="BA235" s="463">
        <f t="shared" si="319"/>
        <v>0</v>
      </c>
    </row>
    <row r="236" spans="1:53" ht="14.1" customHeight="1" x14ac:dyDescent="0.2">
      <c r="A236" s="67">
        <v>48</v>
      </c>
      <c r="B236" s="64">
        <v>2489</v>
      </c>
      <c r="C236" s="65">
        <v>600080188</v>
      </c>
      <c r="D236" s="64">
        <v>64040402</v>
      </c>
      <c r="E236" s="66" t="s">
        <v>652</v>
      </c>
      <c r="F236" s="67">
        <v>3143</v>
      </c>
      <c r="G236" s="78" t="s">
        <v>617</v>
      </c>
      <c r="H236" s="68" t="s">
        <v>278</v>
      </c>
      <c r="I236" s="462">
        <v>101154</v>
      </c>
      <c r="J236" s="673">
        <v>72276</v>
      </c>
      <c r="K236" s="457">
        <v>24429</v>
      </c>
      <c r="L236" s="457">
        <v>723</v>
      </c>
      <c r="M236" s="673">
        <v>3726</v>
      </c>
      <c r="N236" s="458">
        <v>0.28999999999999998</v>
      </c>
      <c r="O236" s="459">
        <v>0</v>
      </c>
      <c r="P236" s="646">
        <v>0.28999999999999998</v>
      </c>
      <c r="Q236" s="469">
        <f t="shared" si="307"/>
        <v>0</v>
      </c>
      <c r="R236" s="469">
        <v>0</v>
      </c>
      <c r="S236" s="460">
        <v>0</v>
      </c>
      <c r="T236" s="460">
        <v>0</v>
      </c>
      <c r="U236" s="460">
        <v>0</v>
      </c>
      <c r="V236" s="460">
        <f>SUM(Q236:U236)</f>
        <v>0</v>
      </c>
      <c r="W236" s="460">
        <v>0</v>
      </c>
      <c r="X236" s="460">
        <v>0</v>
      </c>
      <c r="Y236" s="460">
        <v>0</v>
      </c>
      <c r="Z236" s="460">
        <f t="shared" si="349"/>
        <v>0</v>
      </c>
      <c r="AA236" s="460">
        <f t="shared" si="350"/>
        <v>0</v>
      </c>
      <c r="AB236" s="69">
        <f t="shared" si="351"/>
        <v>0</v>
      </c>
      <c r="AC236" s="69">
        <f t="shared" si="352"/>
        <v>0</v>
      </c>
      <c r="AD236" s="460">
        <v>0</v>
      </c>
      <c r="AE236" s="460">
        <v>0</v>
      </c>
      <c r="AF236" s="460">
        <f>SUM(AD236:AE236)</f>
        <v>0</v>
      </c>
      <c r="AG236" s="460">
        <f>AA236+AB236+AC236+AF236</f>
        <v>0</v>
      </c>
      <c r="AH236" s="461">
        <v>0</v>
      </c>
      <c r="AI236" s="461">
        <v>0</v>
      </c>
      <c r="AJ236" s="461">
        <v>0</v>
      </c>
      <c r="AK236" s="461">
        <v>0</v>
      </c>
      <c r="AL236" s="461">
        <v>0</v>
      </c>
      <c r="AM236" s="461">
        <v>0</v>
      </c>
      <c r="AN236" s="461">
        <v>0</v>
      </c>
      <c r="AO236" s="461">
        <v>0</v>
      </c>
      <c r="AP236" s="461">
        <f t="shared" si="308"/>
        <v>0</v>
      </c>
      <c r="AQ236" s="461">
        <f t="shared" si="309"/>
        <v>0</v>
      </c>
      <c r="AR236" s="737">
        <f t="shared" si="310"/>
        <v>0</v>
      </c>
      <c r="AS236" s="470">
        <f t="shared" si="311"/>
        <v>101154</v>
      </c>
      <c r="AT236" s="460">
        <f t="shared" si="312"/>
        <v>72276</v>
      </c>
      <c r="AU236" s="460">
        <f t="shared" si="313"/>
        <v>0</v>
      </c>
      <c r="AV236" s="460">
        <f t="shared" si="314"/>
        <v>24429</v>
      </c>
      <c r="AW236" s="460">
        <f t="shared" si="315"/>
        <v>723</v>
      </c>
      <c r="AX236" s="460">
        <f t="shared" si="316"/>
        <v>3726</v>
      </c>
      <c r="AY236" s="461">
        <f t="shared" si="317"/>
        <v>0.28999999999999998</v>
      </c>
      <c r="AZ236" s="461">
        <f t="shared" si="318"/>
        <v>0</v>
      </c>
      <c r="BA236" s="463">
        <f t="shared" si="319"/>
        <v>0.28999999999999998</v>
      </c>
    </row>
    <row r="237" spans="1:53" ht="14.1" customHeight="1" x14ac:dyDescent="0.2">
      <c r="A237" s="73">
        <v>48</v>
      </c>
      <c r="B237" s="70">
        <v>2489</v>
      </c>
      <c r="C237" s="71">
        <v>600080188</v>
      </c>
      <c r="D237" s="70">
        <v>64040402</v>
      </c>
      <c r="E237" s="72" t="s">
        <v>653</v>
      </c>
      <c r="F237" s="73"/>
      <c r="G237" s="72"/>
      <c r="H237" s="74"/>
      <c r="I237" s="701">
        <f t="shared" ref="I237:P237" si="353">SUM(I232:I236)</f>
        <v>38360030</v>
      </c>
      <c r="J237" s="75">
        <f t="shared" si="353"/>
        <v>27973062</v>
      </c>
      <c r="K237" s="75">
        <f t="shared" si="353"/>
        <v>9454895</v>
      </c>
      <c r="L237" s="75">
        <f t="shared" si="353"/>
        <v>279731</v>
      </c>
      <c r="M237" s="75">
        <f t="shared" si="353"/>
        <v>652342</v>
      </c>
      <c r="N237" s="76">
        <f t="shared" si="353"/>
        <v>50.073300000000003</v>
      </c>
      <c r="O237" s="76">
        <f t="shared" si="353"/>
        <v>35.603300000000004</v>
      </c>
      <c r="P237" s="77">
        <f t="shared" si="353"/>
        <v>14.469999999999999</v>
      </c>
      <c r="Q237" s="724">
        <f t="shared" ref="Q237:BA237" si="354">SUM(Q232:Q236)</f>
        <v>-45500</v>
      </c>
      <c r="R237" s="724">
        <f t="shared" si="354"/>
        <v>1926953</v>
      </c>
      <c r="S237" s="75">
        <f t="shared" si="354"/>
        <v>0</v>
      </c>
      <c r="T237" s="75">
        <f t="shared" si="354"/>
        <v>55091</v>
      </c>
      <c r="U237" s="75">
        <f t="shared" si="354"/>
        <v>0</v>
      </c>
      <c r="V237" s="75">
        <f t="shared" si="354"/>
        <v>1936544</v>
      </c>
      <c r="W237" s="75">
        <f t="shared" si="354"/>
        <v>45500</v>
      </c>
      <c r="X237" s="75">
        <f t="shared" si="354"/>
        <v>0</v>
      </c>
      <c r="Y237" s="75">
        <f t="shared" si="354"/>
        <v>0</v>
      </c>
      <c r="Z237" s="75">
        <f t="shared" si="354"/>
        <v>45500</v>
      </c>
      <c r="AA237" s="75">
        <f t="shared" si="354"/>
        <v>1982044</v>
      </c>
      <c r="AB237" s="75">
        <f t="shared" si="354"/>
        <v>669931</v>
      </c>
      <c r="AC237" s="75">
        <f t="shared" si="354"/>
        <v>19366</v>
      </c>
      <c r="AD237" s="75">
        <f t="shared" si="354"/>
        <v>3250</v>
      </c>
      <c r="AE237" s="75">
        <f t="shared" si="354"/>
        <v>0</v>
      </c>
      <c r="AF237" s="75">
        <f t="shared" si="354"/>
        <v>3250</v>
      </c>
      <c r="AG237" s="75">
        <f t="shared" si="354"/>
        <v>2674591</v>
      </c>
      <c r="AH237" s="76">
        <f t="shared" si="354"/>
        <v>-0.01</v>
      </c>
      <c r="AI237" s="76">
        <f t="shared" si="354"/>
        <v>-0.08</v>
      </c>
      <c r="AJ237" s="76">
        <f t="shared" si="354"/>
        <v>5.43</v>
      </c>
      <c r="AK237" s="76">
        <f t="shared" si="354"/>
        <v>0</v>
      </c>
      <c r="AL237" s="76">
        <f t="shared" si="354"/>
        <v>0</v>
      </c>
      <c r="AM237" s="76">
        <f t="shared" si="354"/>
        <v>0.09</v>
      </c>
      <c r="AN237" s="76">
        <f t="shared" si="354"/>
        <v>0</v>
      </c>
      <c r="AO237" s="76">
        <f t="shared" si="354"/>
        <v>0</v>
      </c>
      <c r="AP237" s="76">
        <f t="shared" si="354"/>
        <v>5.51</v>
      </c>
      <c r="AQ237" s="76">
        <f t="shared" si="354"/>
        <v>-0.08</v>
      </c>
      <c r="AR237" s="720">
        <f t="shared" si="354"/>
        <v>5.43</v>
      </c>
      <c r="AS237" s="701">
        <f t="shared" si="354"/>
        <v>41034621</v>
      </c>
      <c r="AT237" s="75">
        <f t="shared" si="354"/>
        <v>29909606</v>
      </c>
      <c r="AU237" s="75">
        <f t="shared" si="354"/>
        <v>45500</v>
      </c>
      <c r="AV237" s="75">
        <f t="shared" si="354"/>
        <v>10124826</v>
      </c>
      <c r="AW237" s="75">
        <f t="shared" si="354"/>
        <v>299097</v>
      </c>
      <c r="AX237" s="75">
        <f t="shared" si="354"/>
        <v>655592</v>
      </c>
      <c r="AY237" s="76">
        <f t="shared" si="354"/>
        <v>55.503300000000003</v>
      </c>
      <c r="AZ237" s="76">
        <f t="shared" si="354"/>
        <v>41.113299999999995</v>
      </c>
      <c r="BA237" s="77">
        <f t="shared" si="354"/>
        <v>14.389999999999999</v>
      </c>
    </row>
    <row r="238" spans="1:53" ht="14.1" customHeight="1" x14ac:dyDescent="0.2">
      <c r="A238" s="67">
        <v>49</v>
      </c>
      <c r="B238" s="64">
        <v>2473</v>
      </c>
      <c r="C238" s="65">
        <v>600080285</v>
      </c>
      <c r="D238" s="64">
        <v>65642376</v>
      </c>
      <c r="E238" s="66" t="s">
        <v>654</v>
      </c>
      <c r="F238" s="67">
        <v>3113</v>
      </c>
      <c r="G238" s="66" t="s">
        <v>310</v>
      </c>
      <c r="H238" s="68" t="s">
        <v>277</v>
      </c>
      <c r="I238" s="462">
        <v>43118828</v>
      </c>
      <c r="J238" s="16">
        <v>31392142</v>
      </c>
      <c r="K238" s="457">
        <v>10610544</v>
      </c>
      <c r="L238" s="457">
        <v>313922</v>
      </c>
      <c r="M238" s="16">
        <v>802220</v>
      </c>
      <c r="N238" s="13">
        <v>52.616600000000005</v>
      </c>
      <c r="O238" s="13">
        <v>43.636600000000001</v>
      </c>
      <c r="P238" s="17">
        <v>8.98</v>
      </c>
      <c r="Q238" s="469">
        <f t="shared" si="307"/>
        <v>-93600</v>
      </c>
      <c r="R238" s="469">
        <v>0</v>
      </c>
      <c r="S238" s="460">
        <v>0</v>
      </c>
      <c r="T238" s="460">
        <v>142370</v>
      </c>
      <c r="U238" s="460">
        <v>0</v>
      </c>
      <c r="V238" s="460">
        <f>SUM(Q238:U238)</f>
        <v>48770</v>
      </c>
      <c r="W238" s="460">
        <v>93600</v>
      </c>
      <c r="X238" s="460">
        <v>0</v>
      </c>
      <c r="Y238" s="460">
        <v>0</v>
      </c>
      <c r="Z238" s="460">
        <f t="shared" ref="Z238:Z242" si="355">SUM(W238:Y238)</f>
        <v>93600</v>
      </c>
      <c r="AA238" s="460">
        <f t="shared" ref="AA238:AA242" si="356">V238+Z238</f>
        <v>142370</v>
      </c>
      <c r="AB238" s="69">
        <f t="shared" ref="AB238:AB242" si="357">ROUND((V238+W238+X238)*33.8%,0)</f>
        <v>48121</v>
      </c>
      <c r="AC238" s="69">
        <f t="shared" ref="AC238:AC242" si="358">ROUND(V238*1%,0)</f>
        <v>488</v>
      </c>
      <c r="AD238" s="460">
        <v>0</v>
      </c>
      <c r="AE238" s="460">
        <v>0</v>
      </c>
      <c r="AF238" s="460">
        <f>SUM(AD238:AE238)</f>
        <v>0</v>
      </c>
      <c r="AG238" s="460">
        <f>AA238+AB238+AC238+AF238</f>
        <v>190979</v>
      </c>
      <c r="AH238" s="461">
        <v>-0.11</v>
      </c>
      <c r="AI238" s="461">
        <v>-7.0000000000000007E-2</v>
      </c>
      <c r="AJ238" s="461">
        <v>0</v>
      </c>
      <c r="AK238" s="461">
        <v>0</v>
      </c>
      <c r="AL238" s="461">
        <v>0</v>
      </c>
      <c r="AM238" s="461">
        <v>0.22</v>
      </c>
      <c r="AN238" s="461">
        <v>0</v>
      </c>
      <c r="AO238" s="461">
        <v>0</v>
      </c>
      <c r="AP238" s="461">
        <f t="shared" si="308"/>
        <v>0.11</v>
      </c>
      <c r="AQ238" s="461">
        <f t="shared" si="309"/>
        <v>-7.0000000000000007E-2</v>
      </c>
      <c r="AR238" s="737">
        <f t="shared" si="310"/>
        <v>3.9999999999999994E-2</v>
      </c>
      <c r="AS238" s="470">
        <f t="shared" si="311"/>
        <v>43309807</v>
      </c>
      <c r="AT238" s="460">
        <f t="shared" si="312"/>
        <v>31440912</v>
      </c>
      <c r="AU238" s="460">
        <f t="shared" si="313"/>
        <v>93600</v>
      </c>
      <c r="AV238" s="460">
        <f t="shared" si="314"/>
        <v>10658665</v>
      </c>
      <c r="AW238" s="460">
        <f t="shared" si="315"/>
        <v>314410</v>
      </c>
      <c r="AX238" s="460">
        <f t="shared" si="316"/>
        <v>802220</v>
      </c>
      <c r="AY238" s="461">
        <f t="shared" si="317"/>
        <v>52.656600000000005</v>
      </c>
      <c r="AZ238" s="461">
        <f t="shared" si="318"/>
        <v>43.746600000000001</v>
      </c>
      <c r="BA238" s="463">
        <f t="shared" si="319"/>
        <v>8.91</v>
      </c>
    </row>
    <row r="239" spans="1:53" ht="14.1" customHeight="1" x14ac:dyDescent="0.2">
      <c r="A239" s="67">
        <v>49</v>
      </c>
      <c r="B239" s="64">
        <v>2473</v>
      </c>
      <c r="C239" s="65">
        <v>600080285</v>
      </c>
      <c r="D239" s="64">
        <v>65642376</v>
      </c>
      <c r="E239" s="66" t="s">
        <v>654</v>
      </c>
      <c r="F239" s="67">
        <v>3113</v>
      </c>
      <c r="G239" s="78" t="s">
        <v>308</v>
      </c>
      <c r="H239" s="68" t="s">
        <v>278</v>
      </c>
      <c r="I239" s="462">
        <v>0</v>
      </c>
      <c r="J239" s="457">
        <v>0</v>
      </c>
      <c r="K239" s="457">
        <v>0</v>
      </c>
      <c r="L239" s="457">
        <v>0</v>
      </c>
      <c r="M239" s="457">
        <v>0</v>
      </c>
      <c r="N239" s="458">
        <v>0</v>
      </c>
      <c r="O239" s="459">
        <v>0</v>
      </c>
      <c r="P239" s="646">
        <v>0</v>
      </c>
      <c r="Q239" s="469">
        <f t="shared" si="307"/>
        <v>0</v>
      </c>
      <c r="R239" s="469">
        <v>6139804</v>
      </c>
      <c r="S239" s="460">
        <v>0</v>
      </c>
      <c r="T239" s="460">
        <v>0</v>
      </c>
      <c r="U239" s="460">
        <v>0</v>
      </c>
      <c r="V239" s="460">
        <f>SUM(Q239:U239)</f>
        <v>6139804</v>
      </c>
      <c r="W239" s="460">
        <v>0</v>
      </c>
      <c r="X239" s="460">
        <v>0</v>
      </c>
      <c r="Y239" s="460">
        <v>0</v>
      </c>
      <c r="Z239" s="460">
        <f t="shared" si="355"/>
        <v>0</v>
      </c>
      <c r="AA239" s="460">
        <f t="shared" si="356"/>
        <v>6139804</v>
      </c>
      <c r="AB239" s="69">
        <f t="shared" si="357"/>
        <v>2075254</v>
      </c>
      <c r="AC239" s="69">
        <f t="shared" si="358"/>
        <v>61398</v>
      </c>
      <c r="AD239" s="460">
        <v>30000</v>
      </c>
      <c r="AE239" s="460">
        <v>0</v>
      </c>
      <c r="AF239" s="460">
        <f>SUM(AD239:AE239)</f>
        <v>30000</v>
      </c>
      <c r="AG239" s="460">
        <f>AA239+AB239+AC239+AF239</f>
        <v>8306456</v>
      </c>
      <c r="AH239" s="461">
        <v>0</v>
      </c>
      <c r="AI239" s="461">
        <v>0</v>
      </c>
      <c r="AJ239" s="461">
        <v>17.059999999999999</v>
      </c>
      <c r="AK239" s="461">
        <v>0</v>
      </c>
      <c r="AL239" s="461">
        <v>0</v>
      </c>
      <c r="AM239" s="461">
        <v>0</v>
      </c>
      <c r="AN239" s="461">
        <v>0</v>
      </c>
      <c r="AO239" s="461">
        <v>0</v>
      </c>
      <c r="AP239" s="461">
        <f t="shared" si="308"/>
        <v>17.059999999999999</v>
      </c>
      <c r="AQ239" s="461">
        <f t="shared" si="309"/>
        <v>0</v>
      </c>
      <c r="AR239" s="737">
        <f t="shared" si="310"/>
        <v>17.059999999999999</v>
      </c>
      <c r="AS239" s="470">
        <f t="shared" si="311"/>
        <v>8306456</v>
      </c>
      <c r="AT239" s="460">
        <f t="shared" si="312"/>
        <v>6139804</v>
      </c>
      <c r="AU239" s="460">
        <f t="shared" si="313"/>
        <v>0</v>
      </c>
      <c r="AV239" s="460">
        <f t="shared" si="314"/>
        <v>2075254</v>
      </c>
      <c r="AW239" s="460">
        <f t="shared" si="315"/>
        <v>61398</v>
      </c>
      <c r="AX239" s="460">
        <f t="shared" si="316"/>
        <v>30000</v>
      </c>
      <c r="AY239" s="461">
        <f t="shared" si="317"/>
        <v>17.059999999999999</v>
      </c>
      <c r="AZ239" s="461">
        <f t="shared" si="318"/>
        <v>17.059999999999999</v>
      </c>
      <c r="BA239" s="463">
        <f t="shared" si="319"/>
        <v>0</v>
      </c>
    </row>
    <row r="240" spans="1:53" ht="14.1" customHeight="1" x14ac:dyDescent="0.2">
      <c r="A240" s="67">
        <v>49</v>
      </c>
      <c r="B240" s="64">
        <v>2473</v>
      </c>
      <c r="C240" s="65">
        <v>600080285</v>
      </c>
      <c r="D240" s="64">
        <v>65642376</v>
      </c>
      <c r="E240" s="66" t="s">
        <v>654</v>
      </c>
      <c r="F240" s="67">
        <v>3141</v>
      </c>
      <c r="G240" s="66" t="s">
        <v>311</v>
      </c>
      <c r="H240" s="68" t="s">
        <v>278</v>
      </c>
      <c r="I240" s="462">
        <v>1211296</v>
      </c>
      <c r="J240" s="728">
        <v>885774</v>
      </c>
      <c r="K240" s="457">
        <v>299392</v>
      </c>
      <c r="L240" s="457">
        <v>8858</v>
      </c>
      <c r="M240" s="728">
        <v>17272</v>
      </c>
      <c r="N240" s="458">
        <v>2.85</v>
      </c>
      <c r="O240" s="459">
        <v>0</v>
      </c>
      <c r="P240" s="646">
        <v>2.85</v>
      </c>
      <c r="Q240" s="469">
        <f t="shared" si="307"/>
        <v>0</v>
      </c>
      <c r="R240" s="469">
        <v>0</v>
      </c>
      <c r="S240" s="460">
        <v>0</v>
      </c>
      <c r="T240" s="460">
        <v>0</v>
      </c>
      <c r="U240" s="460">
        <v>0</v>
      </c>
      <c r="V240" s="460">
        <f>SUM(Q240:U240)</f>
        <v>0</v>
      </c>
      <c r="W240" s="460">
        <v>0</v>
      </c>
      <c r="X240" s="460">
        <v>0</v>
      </c>
      <c r="Y240" s="460">
        <v>0</v>
      </c>
      <c r="Z240" s="460">
        <f t="shared" si="355"/>
        <v>0</v>
      </c>
      <c r="AA240" s="460">
        <f t="shared" si="356"/>
        <v>0</v>
      </c>
      <c r="AB240" s="69">
        <f t="shared" si="357"/>
        <v>0</v>
      </c>
      <c r="AC240" s="69">
        <f t="shared" si="358"/>
        <v>0</v>
      </c>
      <c r="AD240" s="460">
        <v>0</v>
      </c>
      <c r="AE240" s="460">
        <v>0</v>
      </c>
      <c r="AF240" s="460">
        <f>SUM(AD240:AE240)</f>
        <v>0</v>
      </c>
      <c r="AG240" s="460">
        <f>AA240+AB240+AC240+AF240</f>
        <v>0</v>
      </c>
      <c r="AH240" s="461">
        <v>0</v>
      </c>
      <c r="AI240" s="461">
        <v>0</v>
      </c>
      <c r="AJ240" s="461">
        <v>0</v>
      </c>
      <c r="AK240" s="461">
        <v>0</v>
      </c>
      <c r="AL240" s="461">
        <v>0</v>
      </c>
      <c r="AM240" s="461">
        <v>0</v>
      </c>
      <c r="AN240" s="461">
        <v>0</v>
      </c>
      <c r="AO240" s="461">
        <v>0</v>
      </c>
      <c r="AP240" s="461">
        <f t="shared" si="308"/>
        <v>0</v>
      </c>
      <c r="AQ240" s="461">
        <f t="shared" si="309"/>
        <v>0</v>
      </c>
      <c r="AR240" s="737">
        <f t="shared" si="310"/>
        <v>0</v>
      </c>
      <c r="AS240" s="470">
        <f t="shared" si="311"/>
        <v>1211296</v>
      </c>
      <c r="AT240" s="460">
        <f t="shared" si="312"/>
        <v>885774</v>
      </c>
      <c r="AU240" s="460">
        <f t="shared" si="313"/>
        <v>0</v>
      </c>
      <c r="AV240" s="460">
        <f t="shared" si="314"/>
        <v>299392</v>
      </c>
      <c r="AW240" s="460">
        <f t="shared" si="315"/>
        <v>8858</v>
      </c>
      <c r="AX240" s="460">
        <f t="shared" si="316"/>
        <v>17272</v>
      </c>
      <c r="AY240" s="461">
        <f t="shared" si="317"/>
        <v>2.85</v>
      </c>
      <c r="AZ240" s="461">
        <f t="shared" si="318"/>
        <v>0</v>
      </c>
      <c r="BA240" s="463">
        <f t="shared" si="319"/>
        <v>2.85</v>
      </c>
    </row>
    <row r="241" spans="1:53" ht="14.1" customHeight="1" x14ac:dyDescent="0.2">
      <c r="A241" s="67">
        <v>49</v>
      </c>
      <c r="B241" s="64">
        <v>2473</v>
      </c>
      <c r="C241" s="65">
        <v>600080285</v>
      </c>
      <c r="D241" s="64">
        <v>65642376</v>
      </c>
      <c r="E241" s="66" t="s">
        <v>654</v>
      </c>
      <c r="F241" s="67">
        <v>3143</v>
      </c>
      <c r="G241" s="78" t="s">
        <v>616</v>
      </c>
      <c r="H241" s="68" t="s">
        <v>277</v>
      </c>
      <c r="I241" s="462">
        <v>4613841</v>
      </c>
      <c r="J241" s="16">
        <v>3422731</v>
      </c>
      <c r="K241" s="457">
        <v>1156883</v>
      </c>
      <c r="L241" s="457">
        <v>34227</v>
      </c>
      <c r="M241" s="16">
        <v>0</v>
      </c>
      <c r="N241" s="458">
        <v>7.383</v>
      </c>
      <c r="O241" s="13">
        <v>7.383</v>
      </c>
      <c r="P241" s="17">
        <v>0</v>
      </c>
      <c r="Q241" s="469">
        <f t="shared" si="307"/>
        <v>0</v>
      </c>
      <c r="R241" s="469">
        <v>0</v>
      </c>
      <c r="S241" s="460">
        <v>0</v>
      </c>
      <c r="T241" s="460">
        <v>0</v>
      </c>
      <c r="U241" s="460">
        <v>0</v>
      </c>
      <c r="V241" s="460">
        <f>SUM(Q241:U241)</f>
        <v>0</v>
      </c>
      <c r="W241" s="460">
        <v>0</v>
      </c>
      <c r="X241" s="460">
        <v>0</v>
      </c>
      <c r="Y241" s="460">
        <v>0</v>
      </c>
      <c r="Z241" s="460">
        <f t="shared" si="355"/>
        <v>0</v>
      </c>
      <c r="AA241" s="460">
        <f t="shared" si="356"/>
        <v>0</v>
      </c>
      <c r="AB241" s="69">
        <f t="shared" si="357"/>
        <v>0</v>
      </c>
      <c r="AC241" s="69">
        <f t="shared" si="358"/>
        <v>0</v>
      </c>
      <c r="AD241" s="460">
        <v>0</v>
      </c>
      <c r="AE241" s="460">
        <v>0</v>
      </c>
      <c r="AF241" s="460">
        <f>SUM(AD241:AE241)</f>
        <v>0</v>
      </c>
      <c r="AG241" s="460">
        <f>AA241+AB241+AC241+AF241</f>
        <v>0</v>
      </c>
      <c r="AH241" s="461">
        <v>0</v>
      </c>
      <c r="AI241" s="461">
        <v>0</v>
      </c>
      <c r="AJ241" s="461">
        <v>0</v>
      </c>
      <c r="AK241" s="461">
        <v>0</v>
      </c>
      <c r="AL241" s="461">
        <v>0</v>
      </c>
      <c r="AM241" s="461">
        <v>0</v>
      </c>
      <c r="AN241" s="461">
        <v>0</v>
      </c>
      <c r="AO241" s="461">
        <v>0</v>
      </c>
      <c r="AP241" s="461">
        <f t="shared" si="308"/>
        <v>0</v>
      </c>
      <c r="AQ241" s="461">
        <f t="shared" si="309"/>
        <v>0</v>
      </c>
      <c r="AR241" s="737">
        <f t="shared" si="310"/>
        <v>0</v>
      </c>
      <c r="AS241" s="470">
        <f t="shared" si="311"/>
        <v>4613841</v>
      </c>
      <c r="AT241" s="460">
        <f t="shared" si="312"/>
        <v>3422731</v>
      </c>
      <c r="AU241" s="460">
        <f t="shared" si="313"/>
        <v>0</v>
      </c>
      <c r="AV241" s="460">
        <f t="shared" si="314"/>
        <v>1156883</v>
      </c>
      <c r="AW241" s="460">
        <f t="shared" si="315"/>
        <v>34227</v>
      </c>
      <c r="AX241" s="460">
        <f t="shared" si="316"/>
        <v>0</v>
      </c>
      <c r="AY241" s="461">
        <f t="shared" si="317"/>
        <v>7.383</v>
      </c>
      <c r="AZ241" s="461">
        <f t="shared" si="318"/>
        <v>7.383</v>
      </c>
      <c r="BA241" s="463">
        <f t="shared" si="319"/>
        <v>0</v>
      </c>
    </row>
    <row r="242" spans="1:53" ht="14.1" customHeight="1" x14ac:dyDescent="0.2">
      <c r="A242" s="67">
        <v>49</v>
      </c>
      <c r="B242" s="64">
        <v>2473</v>
      </c>
      <c r="C242" s="65">
        <v>600080285</v>
      </c>
      <c r="D242" s="64">
        <v>65642376</v>
      </c>
      <c r="E242" s="66" t="s">
        <v>654</v>
      </c>
      <c r="F242" s="67">
        <v>3143</v>
      </c>
      <c r="G242" s="78" t="s">
        <v>617</v>
      </c>
      <c r="H242" s="68" t="s">
        <v>278</v>
      </c>
      <c r="I242" s="462">
        <v>183250</v>
      </c>
      <c r="J242" s="673">
        <v>130935</v>
      </c>
      <c r="K242" s="457">
        <v>44256</v>
      </c>
      <c r="L242" s="457">
        <v>1309</v>
      </c>
      <c r="M242" s="673">
        <v>6750</v>
      </c>
      <c r="N242" s="458">
        <v>0.52</v>
      </c>
      <c r="O242" s="459">
        <v>0</v>
      </c>
      <c r="P242" s="717">
        <v>0.52</v>
      </c>
      <c r="Q242" s="469">
        <f t="shared" si="307"/>
        <v>0</v>
      </c>
      <c r="R242" s="469">
        <v>0</v>
      </c>
      <c r="S242" s="460">
        <v>0</v>
      </c>
      <c r="T242" s="460">
        <v>0</v>
      </c>
      <c r="U242" s="460">
        <v>0</v>
      </c>
      <c r="V242" s="460">
        <f>SUM(Q242:U242)</f>
        <v>0</v>
      </c>
      <c r="W242" s="460">
        <v>0</v>
      </c>
      <c r="X242" s="460">
        <v>0</v>
      </c>
      <c r="Y242" s="460">
        <v>0</v>
      </c>
      <c r="Z242" s="460">
        <f t="shared" si="355"/>
        <v>0</v>
      </c>
      <c r="AA242" s="460">
        <f t="shared" si="356"/>
        <v>0</v>
      </c>
      <c r="AB242" s="69">
        <f t="shared" si="357"/>
        <v>0</v>
      </c>
      <c r="AC242" s="69">
        <f t="shared" si="358"/>
        <v>0</v>
      </c>
      <c r="AD242" s="460">
        <v>0</v>
      </c>
      <c r="AE242" s="460">
        <v>0</v>
      </c>
      <c r="AF242" s="460">
        <f>SUM(AD242:AE242)</f>
        <v>0</v>
      </c>
      <c r="AG242" s="460">
        <f>AA242+AB242+AC242+AF242</f>
        <v>0</v>
      </c>
      <c r="AH242" s="461">
        <v>0</v>
      </c>
      <c r="AI242" s="461">
        <v>0</v>
      </c>
      <c r="AJ242" s="461">
        <v>0</v>
      </c>
      <c r="AK242" s="461">
        <v>0</v>
      </c>
      <c r="AL242" s="461">
        <v>0</v>
      </c>
      <c r="AM242" s="461">
        <v>0</v>
      </c>
      <c r="AN242" s="461">
        <v>0</v>
      </c>
      <c r="AO242" s="461">
        <v>0</v>
      </c>
      <c r="AP242" s="461">
        <f t="shared" si="308"/>
        <v>0</v>
      </c>
      <c r="AQ242" s="461">
        <f t="shared" si="309"/>
        <v>0</v>
      </c>
      <c r="AR242" s="737">
        <f t="shared" si="310"/>
        <v>0</v>
      </c>
      <c r="AS242" s="470">
        <f t="shared" si="311"/>
        <v>183250</v>
      </c>
      <c r="AT242" s="460">
        <f t="shared" si="312"/>
        <v>130935</v>
      </c>
      <c r="AU242" s="460">
        <f t="shared" si="313"/>
        <v>0</v>
      </c>
      <c r="AV242" s="460">
        <f t="shared" si="314"/>
        <v>44256</v>
      </c>
      <c r="AW242" s="460">
        <f t="shared" si="315"/>
        <v>1309</v>
      </c>
      <c r="AX242" s="460">
        <f t="shared" si="316"/>
        <v>6750</v>
      </c>
      <c r="AY242" s="461">
        <f t="shared" si="317"/>
        <v>0.52</v>
      </c>
      <c r="AZ242" s="461">
        <f t="shared" si="318"/>
        <v>0</v>
      </c>
      <c r="BA242" s="463">
        <f t="shared" si="319"/>
        <v>0.52</v>
      </c>
    </row>
    <row r="243" spans="1:53" ht="14.1" customHeight="1" x14ac:dyDescent="0.2">
      <c r="A243" s="73">
        <v>49</v>
      </c>
      <c r="B243" s="70">
        <v>2473</v>
      </c>
      <c r="C243" s="71">
        <v>600080285</v>
      </c>
      <c r="D243" s="70">
        <v>65642376</v>
      </c>
      <c r="E243" s="72" t="s">
        <v>655</v>
      </c>
      <c r="F243" s="73"/>
      <c r="G243" s="72"/>
      <c r="H243" s="74"/>
      <c r="I243" s="701">
        <f t="shared" ref="I243:P243" si="359">SUM(I238:I242)</f>
        <v>49127215</v>
      </c>
      <c r="J243" s="75">
        <f t="shared" si="359"/>
        <v>35831582</v>
      </c>
      <c r="K243" s="75">
        <f t="shared" si="359"/>
        <v>12111075</v>
      </c>
      <c r="L243" s="75">
        <f t="shared" si="359"/>
        <v>358316</v>
      </c>
      <c r="M243" s="75">
        <f t="shared" si="359"/>
        <v>826242</v>
      </c>
      <c r="N243" s="76">
        <f t="shared" si="359"/>
        <v>63.369600000000013</v>
      </c>
      <c r="O243" s="76">
        <f t="shared" si="359"/>
        <v>51.019600000000004</v>
      </c>
      <c r="P243" s="77">
        <f t="shared" si="359"/>
        <v>12.35</v>
      </c>
      <c r="Q243" s="724">
        <f t="shared" ref="Q243:BA243" si="360">SUM(Q238:Q242)</f>
        <v>-93600</v>
      </c>
      <c r="R243" s="724">
        <f t="shared" si="360"/>
        <v>6139804</v>
      </c>
      <c r="S243" s="75">
        <f t="shared" si="360"/>
        <v>0</v>
      </c>
      <c r="T243" s="75">
        <f t="shared" si="360"/>
        <v>142370</v>
      </c>
      <c r="U243" s="75">
        <f t="shared" si="360"/>
        <v>0</v>
      </c>
      <c r="V243" s="75">
        <f t="shared" si="360"/>
        <v>6188574</v>
      </c>
      <c r="W243" s="75">
        <f t="shared" si="360"/>
        <v>93600</v>
      </c>
      <c r="X243" s="75">
        <f t="shared" si="360"/>
        <v>0</v>
      </c>
      <c r="Y243" s="75">
        <f t="shared" si="360"/>
        <v>0</v>
      </c>
      <c r="Z243" s="75">
        <f t="shared" si="360"/>
        <v>93600</v>
      </c>
      <c r="AA243" s="75">
        <f t="shared" si="360"/>
        <v>6282174</v>
      </c>
      <c r="AB243" s="75">
        <f t="shared" si="360"/>
        <v>2123375</v>
      </c>
      <c r="AC243" s="75">
        <f t="shared" si="360"/>
        <v>61886</v>
      </c>
      <c r="AD243" s="75">
        <f t="shared" si="360"/>
        <v>30000</v>
      </c>
      <c r="AE243" s="75">
        <f t="shared" si="360"/>
        <v>0</v>
      </c>
      <c r="AF243" s="75">
        <f t="shared" si="360"/>
        <v>30000</v>
      </c>
      <c r="AG243" s="75">
        <f t="shared" si="360"/>
        <v>8497435</v>
      </c>
      <c r="AH243" s="76">
        <f t="shared" si="360"/>
        <v>-0.11</v>
      </c>
      <c r="AI243" s="76">
        <f t="shared" si="360"/>
        <v>-7.0000000000000007E-2</v>
      </c>
      <c r="AJ243" s="76">
        <f t="shared" si="360"/>
        <v>17.059999999999999</v>
      </c>
      <c r="AK243" s="76">
        <f t="shared" si="360"/>
        <v>0</v>
      </c>
      <c r="AL243" s="76">
        <f t="shared" si="360"/>
        <v>0</v>
      </c>
      <c r="AM243" s="76">
        <f t="shared" si="360"/>
        <v>0.22</v>
      </c>
      <c r="AN243" s="76">
        <f t="shared" si="360"/>
        <v>0</v>
      </c>
      <c r="AO243" s="76">
        <f t="shared" si="360"/>
        <v>0</v>
      </c>
      <c r="AP243" s="76">
        <f t="shared" si="360"/>
        <v>17.169999999999998</v>
      </c>
      <c r="AQ243" s="76">
        <f t="shared" si="360"/>
        <v>-7.0000000000000007E-2</v>
      </c>
      <c r="AR243" s="720">
        <f t="shared" si="360"/>
        <v>17.099999999999998</v>
      </c>
      <c r="AS243" s="701">
        <f t="shared" si="360"/>
        <v>57624650</v>
      </c>
      <c r="AT243" s="75">
        <f t="shared" si="360"/>
        <v>42020156</v>
      </c>
      <c r="AU243" s="75">
        <f t="shared" si="360"/>
        <v>93600</v>
      </c>
      <c r="AV243" s="75">
        <f t="shared" si="360"/>
        <v>14234450</v>
      </c>
      <c r="AW243" s="75">
        <f t="shared" si="360"/>
        <v>420202</v>
      </c>
      <c r="AX243" s="75">
        <f t="shared" si="360"/>
        <v>856242</v>
      </c>
      <c r="AY243" s="76">
        <f t="shared" si="360"/>
        <v>80.469599999999986</v>
      </c>
      <c r="AZ243" s="76">
        <f t="shared" si="360"/>
        <v>68.189599999999999</v>
      </c>
      <c r="BA243" s="77">
        <f t="shared" si="360"/>
        <v>12.28</v>
      </c>
    </row>
    <row r="244" spans="1:53" ht="14.1" customHeight="1" x14ac:dyDescent="0.2">
      <c r="A244" s="67">
        <v>50</v>
      </c>
      <c r="B244" s="64">
        <v>2490</v>
      </c>
      <c r="C244" s="65">
        <v>600080005</v>
      </c>
      <c r="D244" s="64">
        <v>46746757</v>
      </c>
      <c r="E244" s="66" t="s">
        <v>656</v>
      </c>
      <c r="F244" s="67">
        <v>3113</v>
      </c>
      <c r="G244" s="66" t="s">
        <v>310</v>
      </c>
      <c r="H244" s="68" t="s">
        <v>277</v>
      </c>
      <c r="I244" s="462">
        <v>24955186</v>
      </c>
      <c r="J244" s="16">
        <v>18184893</v>
      </c>
      <c r="K244" s="457">
        <v>6146494</v>
      </c>
      <c r="L244" s="457">
        <v>181849</v>
      </c>
      <c r="M244" s="16">
        <v>441950</v>
      </c>
      <c r="N244" s="13">
        <v>30.210900000000002</v>
      </c>
      <c r="O244" s="13">
        <v>24.090900000000001</v>
      </c>
      <c r="P244" s="17">
        <v>6.12</v>
      </c>
      <c r="Q244" s="469">
        <f t="shared" si="307"/>
        <v>-58500</v>
      </c>
      <c r="R244" s="469">
        <v>0</v>
      </c>
      <c r="S244" s="460">
        <v>0</v>
      </c>
      <c r="T244" s="460">
        <v>29712</v>
      </c>
      <c r="U244" s="460">
        <v>0</v>
      </c>
      <c r="V244" s="460">
        <f>SUM(Q244:U244)</f>
        <v>-28788</v>
      </c>
      <c r="W244" s="460">
        <v>58500</v>
      </c>
      <c r="X244" s="460">
        <v>0</v>
      </c>
      <c r="Y244" s="460">
        <v>0</v>
      </c>
      <c r="Z244" s="460">
        <f t="shared" ref="Z244:Z248" si="361">SUM(W244:Y244)</f>
        <v>58500</v>
      </c>
      <c r="AA244" s="460">
        <f t="shared" ref="AA244:AA248" si="362">V244+Z244</f>
        <v>29712</v>
      </c>
      <c r="AB244" s="69">
        <f t="shared" ref="AB244:AB248" si="363">ROUND((V244+W244+X244)*33.8%,0)</f>
        <v>10043</v>
      </c>
      <c r="AC244" s="69">
        <f t="shared" ref="AC244:AC248" si="364">ROUND(V244*1%,0)</f>
        <v>-288</v>
      </c>
      <c r="AD244" s="460">
        <v>0</v>
      </c>
      <c r="AE244" s="460">
        <v>0</v>
      </c>
      <c r="AF244" s="460">
        <f>SUM(AD244:AE244)</f>
        <v>0</v>
      </c>
      <c r="AG244" s="460">
        <f>AA244+AB244+AC244+AF244</f>
        <v>39467</v>
      </c>
      <c r="AH244" s="461">
        <v>-0.02</v>
      </c>
      <c r="AI244" s="461">
        <v>-0.08</v>
      </c>
      <c r="AJ244" s="461">
        <v>0</v>
      </c>
      <c r="AK244" s="461">
        <v>0</v>
      </c>
      <c r="AL244" s="461">
        <v>0</v>
      </c>
      <c r="AM244" s="461">
        <v>0.05</v>
      </c>
      <c r="AN244" s="461">
        <v>0</v>
      </c>
      <c r="AO244" s="461">
        <v>0</v>
      </c>
      <c r="AP244" s="461">
        <f t="shared" si="308"/>
        <v>3.0000000000000002E-2</v>
      </c>
      <c r="AQ244" s="461">
        <f t="shared" si="309"/>
        <v>-0.08</v>
      </c>
      <c r="AR244" s="737">
        <f t="shared" si="310"/>
        <v>-0.05</v>
      </c>
      <c r="AS244" s="470">
        <f t="shared" si="311"/>
        <v>24994653</v>
      </c>
      <c r="AT244" s="460">
        <f t="shared" si="312"/>
        <v>18156105</v>
      </c>
      <c r="AU244" s="460">
        <f t="shared" si="313"/>
        <v>58500</v>
      </c>
      <c r="AV244" s="460">
        <f t="shared" si="314"/>
        <v>6156537</v>
      </c>
      <c r="AW244" s="460">
        <f t="shared" si="315"/>
        <v>181561</v>
      </c>
      <c r="AX244" s="460">
        <f t="shared" si="316"/>
        <v>441950</v>
      </c>
      <c r="AY244" s="461">
        <f t="shared" si="317"/>
        <v>30.160900000000002</v>
      </c>
      <c r="AZ244" s="461">
        <f t="shared" si="318"/>
        <v>24.120900000000002</v>
      </c>
      <c r="BA244" s="463">
        <f t="shared" si="319"/>
        <v>6.04</v>
      </c>
    </row>
    <row r="245" spans="1:53" ht="14.1" customHeight="1" x14ac:dyDescent="0.2">
      <c r="A245" s="67">
        <v>50</v>
      </c>
      <c r="B245" s="64">
        <v>2490</v>
      </c>
      <c r="C245" s="65">
        <v>600080005</v>
      </c>
      <c r="D245" s="64">
        <v>46746757</v>
      </c>
      <c r="E245" s="66" t="s">
        <v>656</v>
      </c>
      <c r="F245" s="67">
        <v>3113</v>
      </c>
      <c r="G245" s="78" t="s">
        <v>308</v>
      </c>
      <c r="H245" s="68" t="s">
        <v>278</v>
      </c>
      <c r="I245" s="462">
        <v>0</v>
      </c>
      <c r="J245" s="457">
        <v>0</v>
      </c>
      <c r="K245" s="457">
        <v>0</v>
      </c>
      <c r="L245" s="457">
        <v>0</v>
      </c>
      <c r="M245" s="457">
        <v>0</v>
      </c>
      <c r="N245" s="458">
        <v>0</v>
      </c>
      <c r="O245" s="459">
        <v>0</v>
      </c>
      <c r="P245" s="646">
        <v>0</v>
      </c>
      <c r="Q245" s="469">
        <f t="shared" si="307"/>
        <v>0</v>
      </c>
      <c r="R245" s="469">
        <v>1422989</v>
      </c>
      <c r="S245" s="460">
        <v>0</v>
      </c>
      <c r="T245" s="460">
        <v>0</v>
      </c>
      <c r="U245" s="460">
        <v>0</v>
      </c>
      <c r="V245" s="460">
        <f>SUM(Q245:U245)</f>
        <v>1422989</v>
      </c>
      <c r="W245" s="460">
        <v>0</v>
      </c>
      <c r="X245" s="460">
        <v>0</v>
      </c>
      <c r="Y245" s="460">
        <v>0</v>
      </c>
      <c r="Z245" s="460">
        <f t="shared" si="361"/>
        <v>0</v>
      </c>
      <c r="AA245" s="460">
        <f t="shared" si="362"/>
        <v>1422989</v>
      </c>
      <c r="AB245" s="69">
        <f t="shared" si="363"/>
        <v>480970</v>
      </c>
      <c r="AC245" s="69">
        <f t="shared" si="364"/>
        <v>14230</v>
      </c>
      <c r="AD245" s="460">
        <v>0</v>
      </c>
      <c r="AE245" s="460">
        <v>0</v>
      </c>
      <c r="AF245" s="460">
        <f>SUM(AD245:AE245)</f>
        <v>0</v>
      </c>
      <c r="AG245" s="460">
        <f>AA245+AB245+AC245+AF245</f>
        <v>1918189</v>
      </c>
      <c r="AH245" s="461">
        <v>0</v>
      </c>
      <c r="AI245" s="461">
        <v>0</v>
      </c>
      <c r="AJ245" s="461">
        <v>4.0599999999999996</v>
      </c>
      <c r="AK245" s="461">
        <v>0</v>
      </c>
      <c r="AL245" s="461">
        <v>0</v>
      </c>
      <c r="AM245" s="461">
        <v>0</v>
      </c>
      <c r="AN245" s="461">
        <v>0</v>
      </c>
      <c r="AO245" s="461">
        <v>0</v>
      </c>
      <c r="AP245" s="461">
        <f t="shared" si="308"/>
        <v>4.0599999999999996</v>
      </c>
      <c r="AQ245" s="461">
        <f t="shared" si="309"/>
        <v>0</v>
      </c>
      <c r="AR245" s="737">
        <f t="shared" si="310"/>
        <v>4.0599999999999996</v>
      </c>
      <c r="AS245" s="470">
        <f t="shared" si="311"/>
        <v>1918189</v>
      </c>
      <c r="AT245" s="460">
        <f t="shared" si="312"/>
        <v>1422989</v>
      </c>
      <c r="AU245" s="460">
        <f t="shared" si="313"/>
        <v>0</v>
      </c>
      <c r="AV245" s="460">
        <f t="shared" si="314"/>
        <v>480970</v>
      </c>
      <c r="AW245" s="460">
        <f t="shared" si="315"/>
        <v>14230</v>
      </c>
      <c r="AX245" s="460">
        <f t="shared" si="316"/>
        <v>0</v>
      </c>
      <c r="AY245" s="461">
        <f t="shared" si="317"/>
        <v>4.0599999999999996</v>
      </c>
      <c r="AZ245" s="461">
        <f t="shared" si="318"/>
        <v>4.0599999999999996</v>
      </c>
      <c r="BA245" s="463">
        <f t="shared" si="319"/>
        <v>0</v>
      </c>
    </row>
    <row r="246" spans="1:53" ht="14.1" customHeight="1" x14ac:dyDescent="0.2">
      <c r="A246" s="67">
        <v>50</v>
      </c>
      <c r="B246" s="64">
        <v>2490</v>
      </c>
      <c r="C246" s="65">
        <v>600080005</v>
      </c>
      <c r="D246" s="64">
        <v>46746757</v>
      </c>
      <c r="E246" s="66" t="s">
        <v>656</v>
      </c>
      <c r="F246" s="67">
        <v>3141</v>
      </c>
      <c r="G246" s="66" t="s">
        <v>311</v>
      </c>
      <c r="H246" s="68" t="s">
        <v>278</v>
      </c>
      <c r="I246" s="462">
        <v>1894641</v>
      </c>
      <c r="J246" s="728">
        <v>1394526</v>
      </c>
      <c r="K246" s="457">
        <v>471350</v>
      </c>
      <c r="L246" s="457">
        <v>13945</v>
      </c>
      <c r="M246" s="728">
        <v>14820</v>
      </c>
      <c r="N246" s="458">
        <v>4.4800000000000004</v>
      </c>
      <c r="O246" s="459">
        <v>0</v>
      </c>
      <c r="P246" s="646">
        <v>4.4800000000000004</v>
      </c>
      <c r="Q246" s="469">
        <f t="shared" si="307"/>
        <v>-6500</v>
      </c>
      <c r="R246" s="469">
        <v>0</v>
      </c>
      <c r="S246" s="460">
        <v>0</v>
      </c>
      <c r="T246" s="460">
        <v>0</v>
      </c>
      <c r="U246" s="460">
        <v>0</v>
      </c>
      <c r="V246" s="460">
        <f>SUM(Q246:U246)</f>
        <v>-6500</v>
      </c>
      <c r="W246" s="460">
        <v>6500</v>
      </c>
      <c r="X246" s="460">
        <v>0</v>
      </c>
      <c r="Y246" s="460">
        <v>0</v>
      </c>
      <c r="Z246" s="460">
        <f t="shared" si="361"/>
        <v>6500</v>
      </c>
      <c r="AA246" s="460">
        <f t="shared" si="362"/>
        <v>0</v>
      </c>
      <c r="AB246" s="69">
        <f t="shared" si="363"/>
        <v>0</v>
      </c>
      <c r="AC246" s="69">
        <f t="shared" si="364"/>
        <v>-65</v>
      </c>
      <c r="AD246" s="460">
        <v>0</v>
      </c>
      <c r="AE246" s="460">
        <v>0</v>
      </c>
      <c r="AF246" s="460">
        <f>SUM(AD246:AE246)</f>
        <v>0</v>
      </c>
      <c r="AG246" s="460">
        <f>AA246+AB246+AC246+AF246</f>
        <v>-65</v>
      </c>
      <c r="AH246" s="461">
        <v>0</v>
      </c>
      <c r="AI246" s="461">
        <v>0</v>
      </c>
      <c r="AJ246" s="461">
        <v>0</v>
      </c>
      <c r="AK246" s="461">
        <v>0</v>
      </c>
      <c r="AL246" s="461">
        <v>0</v>
      </c>
      <c r="AM246" s="461">
        <v>0</v>
      </c>
      <c r="AN246" s="461">
        <v>0</v>
      </c>
      <c r="AO246" s="461">
        <v>0</v>
      </c>
      <c r="AP246" s="461">
        <f t="shared" si="308"/>
        <v>0</v>
      </c>
      <c r="AQ246" s="461">
        <f t="shared" si="309"/>
        <v>0</v>
      </c>
      <c r="AR246" s="737">
        <f t="shared" si="310"/>
        <v>0</v>
      </c>
      <c r="AS246" s="470">
        <f t="shared" si="311"/>
        <v>1894576</v>
      </c>
      <c r="AT246" s="460">
        <f t="shared" si="312"/>
        <v>1388026</v>
      </c>
      <c r="AU246" s="460">
        <f t="shared" si="313"/>
        <v>6500</v>
      </c>
      <c r="AV246" s="460">
        <f t="shared" si="314"/>
        <v>471350</v>
      </c>
      <c r="AW246" s="460">
        <f t="shared" si="315"/>
        <v>13880</v>
      </c>
      <c r="AX246" s="460">
        <f t="shared" si="316"/>
        <v>14820</v>
      </c>
      <c r="AY246" s="461">
        <f t="shared" si="317"/>
        <v>4.4800000000000004</v>
      </c>
      <c r="AZ246" s="461">
        <f t="shared" si="318"/>
        <v>0</v>
      </c>
      <c r="BA246" s="463">
        <f t="shared" si="319"/>
        <v>4.4800000000000004</v>
      </c>
    </row>
    <row r="247" spans="1:53" ht="14.1" customHeight="1" x14ac:dyDescent="0.2">
      <c r="A247" s="67">
        <v>50</v>
      </c>
      <c r="B247" s="64">
        <v>2490</v>
      </c>
      <c r="C247" s="65">
        <v>600080005</v>
      </c>
      <c r="D247" s="64">
        <v>46746757</v>
      </c>
      <c r="E247" s="66" t="s">
        <v>656</v>
      </c>
      <c r="F247" s="67">
        <v>3143</v>
      </c>
      <c r="G247" s="78" t="s">
        <v>616</v>
      </c>
      <c r="H247" s="68" t="s">
        <v>277</v>
      </c>
      <c r="I247" s="462">
        <v>2251663</v>
      </c>
      <c r="J247" s="16">
        <v>1670373</v>
      </c>
      <c r="K247" s="457">
        <v>564586</v>
      </c>
      <c r="L247" s="457">
        <v>16704</v>
      </c>
      <c r="M247" s="16">
        <v>0</v>
      </c>
      <c r="N247" s="458">
        <v>3.65</v>
      </c>
      <c r="O247" s="13">
        <v>3.65</v>
      </c>
      <c r="P247" s="17">
        <v>0</v>
      </c>
      <c r="Q247" s="469">
        <f t="shared" si="307"/>
        <v>0</v>
      </c>
      <c r="R247" s="469">
        <v>0</v>
      </c>
      <c r="S247" s="460">
        <v>0</v>
      </c>
      <c r="T247" s="460">
        <v>0</v>
      </c>
      <c r="U247" s="460">
        <v>0</v>
      </c>
      <c r="V247" s="460">
        <f>SUM(Q247:U247)</f>
        <v>0</v>
      </c>
      <c r="W247" s="460">
        <v>0</v>
      </c>
      <c r="X247" s="460">
        <v>0</v>
      </c>
      <c r="Y247" s="460">
        <v>0</v>
      </c>
      <c r="Z247" s="460">
        <f t="shared" si="361"/>
        <v>0</v>
      </c>
      <c r="AA247" s="460">
        <f t="shared" si="362"/>
        <v>0</v>
      </c>
      <c r="AB247" s="69">
        <f t="shared" si="363"/>
        <v>0</v>
      </c>
      <c r="AC247" s="69">
        <f t="shared" si="364"/>
        <v>0</v>
      </c>
      <c r="AD247" s="460">
        <v>0</v>
      </c>
      <c r="AE247" s="460">
        <v>0</v>
      </c>
      <c r="AF247" s="460">
        <f>SUM(AD247:AE247)</f>
        <v>0</v>
      </c>
      <c r="AG247" s="460">
        <f>AA247+AB247+AC247+AF247</f>
        <v>0</v>
      </c>
      <c r="AH247" s="461">
        <v>0</v>
      </c>
      <c r="AI247" s="461">
        <v>0</v>
      </c>
      <c r="AJ247" s="461">
        <v>0</v>
      </c>
      <c r="AK247" s="461">
        <v>0</v>
      </c>
      <c r="AL247" s="461">
        <v>0</v>
      </c>
      <c r="AM247" s="461">
        <v>0</v>
      </c>
      <c r="AN247" s="461">
        <v>0</v>
      </c>
      <c r="AO247" s="461">
        <v>0</v>
      </c>
      <c r="AP247" s="461">
        <f t="shared" si="308"/>
        <v>0</v>
      </c>
      <c r="AQ247" s="461">
        <f t="shared" si="309"/>
        <v>0</v>
      </c>
      <c r="AR247" s="737">
        <f t="shared" si="310"/>
        <v>0</v>
      </c>
      <c r="AS247" s="470">
        <f t="shared" si="311"/>
        <v>2251663</v>
      </c>
      <c r="AT247" s="460">
        <f t="shared" si="312"/>
        <v>1670373</v>
      </c>
      <c r="AU247" s="460">
        <f t="shared" si="313"/>
        <v>0</v>
      </c>
      <c r="AV247" s="460">
        <f t="shared" si="314"/>
        <v>564586</v>
      </c>
      <c r="AW247" s="460">
        <f t="shared" si="315"/>
        <v>16704</v>
      </c>
      <c r="AX247" s="460">
        <f t="shared" si="316"/>
        <v>0</v>
      </c>
      <c r="AY247" s="461">
        <f t="shared" si="317"/>
        <v>3.65</v>
      </c>
      <c r="AZ247" s="461">
        <f t="shared" si="318"/>
        <v>3.65</v>
      </c>
      <c r="BA247" s="463">
        <f t="shared" si="319"/>
        <v>0</v>
      </c>
    </row>
    <row r="248" spans="1:53" ht="14.1" customHeight="1" x14ac:dyDescent="0.2">
      <c r="A248" s="67">
        <v>50</v>
      </c>
      <c r="B248" s="64">
        <v>2490</v>
      </c>
      <c r="C248" s="65">
        <v>600080005</v>
      </c>
      <c r="D248" s="64">
        <v>46746757</v>
      </c>
      <c r="E248" s="66" t="s">
        <v>656</v>
      </c>
      <c r="F248" s="67">
        <v>3143</v>
      </c>
      <c r="G248" s="78" t="s">
        <v>617</v>
      </c>
      <c r="H248" s="68" t="s">
        <v>278</v>
      </c>
      <c r="I248" s="462">
        <v>69635</v>
      </c>
      <c r="J248" s="673">
        <v>49755</v>
      </c>
      <c r="K248" s="457">
        <v>16817</v>
      </c>
      <c r="L248" s="457">
        <v>498</v>
      </c>
      <c r="M248" s="673">
        <v>2565</v>
      </c>
      <c r="N248" s="458">
        <v>0.2</v>
      </c>
      <c r="O248" s="459">
        <v>0</v>
      </c>
      <c r="P248" s="717">
        <v>0.2</v>
      </c>
      <c r="Q248" s="469">
        <f t="shared" si="307"/>
        <v>0</v>
      </c>
      <c r="R248" s="469">
        <v>0</v>
      </c>
      <c r="S248" s="460">
        <v>0</v>
      </c>
      <c r="T248" s="460">
        <v>0</v>
      </c>
      <c r="U248" s="460">
        <v>0</v>
      </c>
      <c r="V248" s="460">
        <f>SUM(Q248:U248)</f>
        <v>0</v>
      </c>
      <c r="W248" s="460">
        <v>0</v>
      </c>
      <c r="X248" s="460">
        <v>0</v>
      </c>
      <c r="Y248" s="460">
        <v>0</v>
      </c>
      <c r="Z248" s="460">
        <f t="shared" si="361"/>
        <v>0</v>
      </c>
      <c r="AA248" s="460">
        <f t="shared" si="362"/>
        <v>0</v>
      </c>
      <c r="AB248" s="69">
        <f t="shared" si="363"/>
        <v>0</v>
      </c>
      <c r="AC248" s="69">
        <f t="shared" si="364"/>
        <v>0</v>
      </c>
      <c r="AD248" s="460">
        <v>0</v>
      </c>
      <c r="AE248" s="460">
        <v>0</v>
      </c>
      <c r="AF248" s="460">
        <f>SUM(AD248:AE248)</f>
        <v>0</v>
      </c>
      <c r="AG248" s="460">
        <f>AA248+AB248+AC248+AF248</f>
        <v>0</v>
      </c>
      <c r="AH248" s="461">
        <v>0</v>
      </c>
      <c r="AI248" s="461">
        <v>0</v>
      </c>
      <c r="AJ248" s="461">
        <v>0</v>
      </c>
      <c r="AK248" s="461">
        <v>0</v>
      </c>
      <c r="AL248" s="461">
        <v>0</v>
      </c>
      <c r="AM248" s="461">
        <v>0</v>
      </c>
      <c r="AN248" s="461">
        <v>0</v>
      </c>
      <c r="AO248" s="461">
        <v>0</v>
      </c>
      <c r="AP248" s="461">
        <f t="shared" si="308"/>
        <v>0</v>
      </c>
      <c r="AQ248" s="461">
        <f t="shared" si="309"/>
        <v>0</v>
      </c>
      <c r="AR248" s="737">
        <f t="shared" si="310"/>
        <v>0</v>
      </c>
      <c r="AS248" s="470">
        <f t="shared" si="311"/>
        <v>69635</v>
      </c>
      <c r="AT248" s="460">
        <f t="shared" si="312"/>
        <v>49755</v>
      </c>
      <c r="AU248" s="460">
        <f t="shared" si="313"/>
        <v>0</v>
      </c>
      <c r="AV248" s="460">
        <f t="shared" si="314"/>
        <v>16817</v>
      </c>
      <c r="AW248" s="460">
        <f t="shared" si="315"/>
        <v>498</v>
      </c>
      <c r="AX248" s="460">
        <f t="shared" si="316"/>
        <v>2565</v>
      </c>
      <c r="AY248" s="461">
        <f t="shared" si="317"/>
        <v>0.2</v>
      </c>
      <c r="AZ248" s="461">
        <f t="shared" si="318"/>
        <v>0</v>
      </c>
      <c r="BA248" s="463">
        <f t="shared" si="319"/>
        <v>0.2</v>
      </c>
    </row>
    <row r="249" spans="1:53" ht="14.1" customHeight="1" x14ac:dyDescent="0.2">
      <c r="A249" s="73">
        <v>50</v>
      </c>
      <c r="B249" s="70">
        <v>2490</v>
      </c>
      <c r="C249" s="71">
        <v>600080005</v>
      </c>
      <c r="D249" s="70">
        <v>46746757</v>
      </c>
      <c r="E249" s="72" t="s">
        <v>657</v>
      </c>
      <c r="F249" s="73"/>
      <c r="G249" s="72"/>
      <c r="H249" s="74"/>
      <c r="I249" s="701">
        <f t="shared" ref="I249:P249" si="365">SUM(I244:I248)</f>
        <v>29171125</v>
      </c>
      <c r="J249" s="75">
        <f t="shared" si="365"/>
        <v>21299547</v>
      </c>
      <c r="K249" s="75">
        <f t="shared" si="365"/>
        <v>7199247</v>
      </c>
      <c r="L249" s="75">
        <f t="shared" si="365"/>
        <v>212996</v>
      </c>
      <c r="M249" s="75">
        <f t="shared" si="365"/>
        <v>459335</v>
      </c>
      <c r="N249" s="76">
        <f t="shared" si="365"/>
        <v>38.540900000000001</v>
      </c>
      <c r="O249" s="76">
        <f t="shared" si="365"/>
        <v>27.7409</v>
      </c>
      <c r="P249" s="77">
        <f t="shared" si="365"/>
        <v>10.8</v>
      </c>
      <c r="Q249" s="724">
        <f t="shared" ref="Q249:BA249" si="366">SUM(Q244:Q248)</f>
        <v>-65000</v>
      </c>
      <c r="R249" s="724">
        <f t="shared" si="366"/>
        <v>1422989</v>
      </c>
      <c r="S249" s="75">
        <f t="shared" si="366"/>
        <v>0</v>
      </c>
      <c r="T249" s="75">
        <f t="shared" si="366"/>
        <v>29712</v>
      </c>
      <c r="U249" s="75">
        <f t="shared" si="366"/>
        <v>0</v>
      </c>
      <c r="V249" s="75">
        <f t="shared" si="366"/>
        <v>1387701</v>
      </c>
      <c r="W249" s="75">
        <f t="shared" si="366"/>
        <v>65000</v>
      </c>
      <c r="X249" s="75">
        <f t="shared" si="366"/>
        <v>0</v>
      </c>
      <c r="Y249" s="75">
        <f t="shared" si="366"/>
        <v>0</v>
      </c>
      <c r="Z249" s="75">
        <f t="shared" si="366"/>
        <v>65000</v>
      </c>
      <c r="AA249" s="75">
        <f t="shared" si="366"/>
        <v>1452701</v>
      </c>
      <c r="AB249" s="75">
        <f t="shared" si="366"/>
        <v>491013</v>
      </c>
      <c r="AC249" s="75">
        <f t="shared" si="366"/>
        <v>13877</v>
      </c>
      <c r="AD249" s="75">
        <f t="shared" si="366"/>
        <v>0</v>
      </c>
      <c r="AE249" s="75">
        <f t="shared" si="366"/>
        <v>0</v>
      </c>
      <c r="AF249" s="75">
        <f t="shared" si="366"/>
        <v>0</v>
      </c>
      <c r="AG249" s="75">
        <f t="shared" si="366"/>
        <v>1957591</v>
      </c>
      <c r="AH249" s="76">
        <f t="shared" si="366"/>
        <v>-0.02</v>
      </c>
      <c r="AI249" s="76">
        <f t="shared" si="366"/>
        <v>-0.08</v>
      </c>
      <c r="AJ249" s="76">
        <f t="shared" si="366"/>
        <v>4.0599999999999996</v>
      </c>
      <c r="AK249" s="76">
        <f t="shared" si="366"/>
        <v>0</v>
      </c>
      <c r="AL249" s="76">
        <f t="shared" si="366"/>
        <v>0</v>
      </c>
      <c r="AM249" s="76">
        <f t="shared" si="366"/>
        <v>0.05</v>
      </c>
      <c r="AN249" s="76">
        <f t="shared" si="366"/>
        <v>0</v>
      </c>
      <c r="AO249" s="76">
        <f t="shared" si="366"/>
        <v>0</v>
      </c>
      <c r="AP249" s="76">
        <f t="shared" si="366"/>
        <v>4.09</v>
      </c>
      <c r="AQ249" s="76">
        <f t="shared" si="366"/>
        <v>-0.08</v>
      </c>
      <c r="AR249" s="720">
        <f t="shared" si="366"/>
        <v>4.01</v>
      </c>
      <c r="AS249" s="701">
        <f t="shared" si="366"/>
        <v>31128716</v>
      </c>
      <c r="AT249" s="75">
        <f t="shared" si="366"/>
        <v>22687248</v>
      </c>
      <c r="AU249" s="75">
        <f t="shared" si="366"/>
        <v>65000</v>
      </c>
      <c r="AV249" s="75">
        <f t="shared" si="366"/>
        <v>7690260</v>
      </c>
      <c r="AW249" s="75">
        <f t="shared" si="366"/>
        <v>226873</v>
      </c>
      <c r="AX249" s="75">
        <f t="shared" si="366"/>
        <v>459335</v>
      </c>
      <c r="AY249" s="76">
        <f t="shared" si="366"/>
        <v>42.550900000000006</v>
      </c>
      <c r="AZ249" s="76">
        <f t="shared" si="366"/>
        <v>31.8309</v>
      </c>
      <c r="BA249" s="77">
        <f t="shared" si="366"/>
        <v>10.719999999999999</v>
      </c>
    </row>
    <row r="250" spans="1:53" ht="14.1" customHeight="1" x14ac:dyDescent="0.2">
      <c r="A250" s="67">
        <v>51</v>
      </c>
      <c r="B250" s="64">
        <v>2310</v>
      </c>
      <c r="C250" s="65">
        <v>600080412</v>
      </c>
      <c r="D250" s="64">
        <v>72742038</v>
      </c>
      <c r="E250" s="66" t="s">
        <v>658</v>
      </c>
      <c r="F250" s="67">
        <v>3114</v>
      </c>
      <c r="G250" s="168" t="s">
        <v>546</v>
      </c>
      <c r="H250" s="68" t="s">
        <v>277</v>
      </c>
      <c r="I250" s="462">
        <v>27699170</v>
      </c>
      <c r="J250" s="16">
        <v>20344811</v>
      </c>
      <c r="K250" s="457">
        <v>6876546</v>
      </c>
      <c r="L250" s="457">
        <v>203448</v>
      </c>
      <c r="M250" s="16">
        <v>274365</v>
      </c>
      <c r="N250" s="13">
        <v>32.868099999999998</v>
      </c>
      <c r="O250" s="13">
        <v>25.818100000000001</v>
      </c>
      <c r="P250" s="17">
        <v>7.0500000000000007</v>
      </c>
      <c r="Q250" s="469">
        <f t="shared" si="307"/>
        <v>-13000</v>
      </c>
      <c r="R250" s="469">
        <v>0</v>
      </c>
      <c r="S250" s="460">
        <v>0</v>
      </c>
      <c r="T250" s="460">
        <v>0</v>
      </c>
      <c r="U250" s="460">
        <v>0</v>
      </c>
      <c r="V250" s="460">
        <f t="shared" ref="V250:V255" si="367">SUM(Q250:U250)</f>
        <v>-13000</v>
      </c>
      <c r="W250" s="460">
        <v>13000</v>
      </c>
      <c r="X250" s="460">
        <v>0</v>
      </c>
      <c r="Y250" s="460">
        <v>0</v>
      </c>
      <c r="Z250" s="460">
        <f t="shared" ref="Z250:Z255" si="368">SUM(W250:Y250)</f>
        <v>13000</v>
      </c>
      <c r="AA250" s="460">
        <f t="shared" ref="AA250:AA255" si="369">V250+Z250</f>
        <v>0</v>
      </c>
      <c r="AB250" s="69">
        <f t="shared" ref="AB250:AB255" si="370">ROUND((V250+W250+X250)*33.8%,0)</f>
        <v>0</v>
      </c>
      <c r="AC250" s="69">
        <f t="shared" ref="AC250:AC255" si="371">ROUND(V250*1%,0)</f>
        <v>-130</v>
      </c>
      <c r="AD250" s="460">
        <v>0</v>
      </c>
      <c r="AE250" s="460">
        <v>0</v>
      </c>
      <c r="AF250" s="460">
        <f t="shared" ref="AF250:AF255" si="372">SUM(AD250:AE250)</f>
        <v>0</v>
      </c>
      <c r="AG250" s="460">
        <f t="shared" ref="AG250:AG255" si="373">AA250+AB250+AC250+AF250</f>
        <v>-130</v>
      </c>
      <c r="AH250" s="461">
        <v>0</v>
      </c>
      <c r="AI250" s="461">
        <v>-0.04</v>
      </c>
      <c r="AJ250" s="461">
        <v>0</v>
      </c>
      <c r="AK250" s="461">
        <v>0</v>
      </c>
      <c r="AL250" s="461">
        <v>0</v>
      </c>
      <c r="AM250" s="461">
        <v>0</v>
      </c>
      <c r="AN250" s="461">
        <v>0</v>
      </c>
      <c r="AO250" s="461">
        <v>0</v>
      </c>
      <c r="AP250" s="461">
        <f t="shared" si="308"/>
        <v>0</v>
      </c>
      <c r="AQ250" s="461">
        <f t="shared" si="309"/>
        <v>-0.04</v>
      </c>
      <c r="AR250" s="737">
        <f t="shared" si="310"/>
        <v>-0.04</v>
      </c>
      <c r="AS250" s="470">
        <f t="shared" si="311"/>
        <v>27699040</v>
      </c>
      <c r="AT250" s="460">
        <f t="shared" si="312"/>
        <v>20331811</v>
      </c>
      <c r="AU250" s="460">
        <f t="shared" si="313"/>
        <v>13000</v>
      </c>
      <c r="AV250" s="460">
        <f t="shared" si="314"/>
        <v>6876546</v>
      </c>
      <c r="AW250" s="460">
        <f t="shared" si="315"/>
        <v>203318</v>
      </c>
      <c r="AX250" s="460">
        <f t="shared" si="316"/>
        <v>274365</v>
      </c>
      <c r="AY250" s="461">
        <f t="shared" si="317"/>
        <v>32.828099999999999</v>
      </c>
      <c r="AZ250" s="461">
        <f t="shared" si="318"/>
        <v>25.818100000000001</v>
      </c>
      <c r="BA250" s="463">
        <f t="shared" si="319"/>
        <v>7.0100000000000007</v>
      </c>
    </row>
    <row r="251" spans="1:53" ht="14.1" customHeight="1" x14ac:dyDescent="0.2">
      <c r="A251" s="67">
        <v>51</v>
      </c>
      <c r="B251" s="64">
        <v>2310</v>
      </c>
      <c r="C251" s="65">
        <v>600080412</v>
      </c>
      <c r="D251" s="64">
        <v>72742038</v>
      </c>
      <c r="E251" s="66" t="s">
        <v>658</v>
      </c>
      <c r="F251" s="67">
        <v>3114</v>
      </c>
      <c r="G251" s="44" t="s">
        <v>309</v>
      </c>
      <c r="H251" s="68" t="s">
        <v>277</v>
      </c>
      <c r="I251" s="462">
        <v>10771837</v>
      </c>
      <c r="J251" s="16">
        <v>7990977</v>
      </c>
      <c r="K251" s="457">
        <v>2700950</v>
      </c>
      <c r="L251" s="457">
        <v>79910</v>
      </c>
      <c r="M251" s="16">
        <v>0</v>
      </c>
      <c r="N251" s="13">
        <v>21.277899999999999</v>
      </c>
      <c r="O251" s="13">
        <v>21.277899999999999</v>
      </c>
      <c r="P251" s="17">
        <v>0</v>
      </c>
      <c r="Q251" s="469">
        <f t="shared" si="307"/>
        <v>0</v>
      </c>
      <c r="R251" s="469">
        <v>0</v>
      </c>
      <c r="S251" s="460">
        <v>0</v>
      </c>
      <c r="T251" s="460">
        <v>0</v>
      </c>
      <c r="U251" s="460">
        <v>0</v>
      </c>
      <c r="V251" s="460">
        <f t="shared" si="367"/>
        <v>0</v>
      </c>
      <c r="W251" s="460">
        <v>0</v>
      </c>
      <c r="X251" s="460">
        <v>0</v>
      </c>
      <c r="Y251" s="460">
        <v>0</v>
      </c>
      <c r="Z251" s="460">
        <f t="shared" si="368"/>
        <v>0</v>
      </c>
      <c r="AA251" s="460">
        <f t="shared" si="369"/>
        <v>0</v>
      </c>
      <c r="AB251" s="69">
        <f t="shared" si="370"/>
        <v>0</v>
      </c>
      <c r="AC251" s="69">
        <f t="shared" si="371"/>
        <v>0</v>
      </c>
      <c r="AD251" s="460">
        <v>0</v>
      </c>
      <c r="AE251" s="460">
        <v>0</v>
      </c>
      <c r="AF251" s="460">
        <f t="shared" si="372"/>
        <v>0</v>
      </c>
      <c r="AG251" s="460">
        <f t="shared" si="373"/>
        <v>0</v>
      </c>
      <c r="AH251" s="461">
        <v>0</v>
      </c>
      <c r="AI251" s="461">
        <v>0</v>
      </c>
      <c r="AJ251" s="461">
        <v>0</v>
      </c>
      <c r="AK251" s="461">
        <v>0</v>
      </c>
      <c r="AL251" s="461">
        <v>0</v>
      </c>
      <c r="AM251" s="461">
        <v>0</v>
      </c>
      <c r="AN251" s="461">
        <v>0</v>
      </c>
      <c r="AO251" s="461">
        <v>0</v>
      </c>
      <c r="AP251" s="461">
        <f t="shared" si="308"/>
        <v>0</v>
      </c>
      <c r="AQ251" s="461">
        <f t="shared" si="309"/>
        <v>0</v>
      </c>
      <c r="AR251" s="737">
        <f t="shared" si="310"/>
        <v>0</v>
      </c>
      <c r="AS251" s="470">
        <f t="shared" si="311"/>
        <v>10771837</v>
      </c>
      <c r="AT251" s="460">
        <f t="shared" si="312"/>
        <v>7990977</v>
      </c>
      <c r="AU251" s="460">
        <f t="shared" si="313"/>
        <v>0</v>
      </c>
      <c r="AV251" s="460">
        <f t="shared" si="314"/>
        <v>2700950</v>
      </c>
      <c r="AW251" s="460">
        <f t="shared" si="315"/>
        <v>79910</v>
      </c>
      <c r="AX251" s="460">
        <f t="shared" si="316"/>
        <v>0</v>
      </c>
      <c r="AY251" s="461">
        <f t="shared" si="317"/>
        <v>21.277899999999999</v>
      </c>
      <c r="AZ251" s="461">
        <f t="shared" si="318"/>
        <v>21.277899999999999</v>
      </c>
      <c r="BA251" s="463">
        <f t="shared" si="319"/>
        <v>0</v>
      </c>
    </row>
    <row r="252" spans="1:53" ht="14.1" customHeight="1" x14ac:dyDescent="0.2">
      <c r="A252" s="67">
        <v>51</v>
      </c>
      <c r="B252" s="64">
        <v>2310</v>
      </c>
      <c r="C252" s="65">
        <v>600080412</v>
      </c>
      <c r="D252" s="64">
        <v>72742038</v>
      </c>
      <c r="E252" s="66" t="s">
        <v>658</v>
      </c>
      <c r="F252" s="67">
        <v>3114</v>
      </c>
      <c r="G252" s="78" t="s">
        <v>308</v>
      </c>
      <c r="H252" s="68" t="s">
        <v>278</v>
      </c>
      <c r="I252" s="462">
        <v>0</v>
      </c>
      <c r="J252" s="457">
        <v>0</v>
      </c>
      <c r="K252" s="457">
        <v>0</v>
      </c>
      <c r="L252" s="457">
        <v>0</v>
      </c>
      <c r="M252" s="457">
        <v>0</v>
      </c>
      <c r="N252" s="458">
        <v>0</v>
      </c>
      <c r="O252" s="459">
        <v>0</v>
      </c>
      <c r="P252" s="646">
        <v>0</v>
      </c>
      <c r="Q252" s="469">
        <f t="shared" si="307"/>
        <v>0</v>
      </c>
      <c r="R252" s="469">
        <v>0</v>
      </c>
      <c r="S252" s="460">
        <v>0</v>
      </c>
      <c r="T252" s="460">
        <v>0</v>
      </c>
      <c r="U252" s="460">
        <v>0</v>
      </c>
      <c r="V252" s="460">
        <f t="shared" si="367"/>
        <v>0</v>
      </c>
      <c r="W252" s="460">
        <v>0</v>
      </c>
      <c r="X252" s="460">
        <v>0</v>
      </c>
      <c r="Y252" s="460">
        <v>0</v>
      </c>
      <c r="Z252" s="460">
        <f t="shared" si="368"/>
        <v>0</v>
      </c>
      <c r="AA252" s="460">
        <f t="shared" si="369"/>
        <v>0</v>
      </c>
      <c r="AB252" s="69">
        <f t="shared" si="370"/>
        <v>0</v>
      </c>
      <c r="AC252" s="69">
        <f t="shared" si="371"/>
        <v>0</v>
      </c>
      <c r="AD252" s="460">
        <v>0</v>
      </c>
      <c r="AE252" s="460">
        <v>0</v>
      </c>
      <c r="AF252" s="460">
        <f t="shared" si="372"/>
        <v>0</v>
      </c>
      <c r="AG252" s="460">
        <f t="shared" si="373"/>
        <v>0</v>
      </c>
      <c r="AH252" s="461">
        <v>0</v>
      </c>
      <c r="AI252" s="461">
        <v>0</v>
      </c>
      <c r="AJ252" s="461">
        <v>0</v>
      </c>
      <c r="AK252" s="461">
        <v>0</v>
      </c>
      <c r="AL252" s="461">
        <v>0</v>
      </c>
      <c r="AM252" s="461">
        <v>0</v>
      </c>
      <c r="AN252" s="461">
        <v>0</v>
      </c>
      <c r="AO252" s="461">
        <v>0</v>
      </c>
      <c r="AP252" s="461">
        <f t="shared" si="308"/>
        <v>0</v>
      </c>
      <c r="AQ252" s="461">
        <f t="shared" si="309"/>
        <v>0</v>
      </c>
      <c r="AR252" s="737">
        <f t="shared" si="310"/>
        <v>0</v>
      </c>
      <c r="AS252" s="470">
        <f t="shared" si="311"/>
        <v>0</v>
      </c>
      <c r="AT252" s="460">
        <f t="shared" si="312"/>
        <v>0</v>
      </c>
      <c r="AU252" s="460">
        <f t="shared" si="313"/>
        <v>0</v>
      </c>
      <c r="AV252" s="460">
        <f t="shared" si="314"/>
        <v>0</v>
      </c>
      <c r="AW252" s="460">
        <f t="shared" si="315"/>
        <v>0</v>
      </c>
      <c r="AX252" s="460">
        <f t="shared" si="316"/>
        <v>0</v>
      </c>
      <c r="AY252" s="461">
        <f t="shared" si="317"/>
        <v>0</v>
      </c>
      <c r="AZ252" s="461">
        <f t="shared" si="318"/>
        <v>0</v>
      </c>
      <c r="BA252" s="463">
        <f t="shared" si="319"/>
        <v>0</v>
      </c>
    </row>
    <row r="253" spans="1:53" ht="14.1" customHeight="1" x14ac:dyDescent="0.2">
      <c r="A253" s="67">
        <v>51</v>
      </c>
      <c r="B253" s="64">
        <v>2310</v>
      </c>
      <c r="C253" s="65">
        <v>600080412</v>
      </c>
      <c r="D253" s="64">
        <v>72742038</v>
      </c>
      <c r="E253" s="66" t="s">
        <v>658</v>
      </c>
      <c r="F253" s="67">
        <v>3141</v>
      </c>
      <c r="G253" s="66" t="s">
        <v>311</v>
      </c>
      <c r="H253" s="68" t="s">
        <v>278</v>
      </c>
      <c r="I253" s="462">
        <v>384268</v>
      </c>
      <c r="J253" s="457">
        <v>282392</v>
      </c>
      <c r="K253" s="457">
        <v>95448</v>
      </c>
      <c r="L253" s="457">
        <v>2824</v>
      </c>
      <c r="M253" s="457">
        <v>3604</v>
      </c>
      <c r="N253" s="458">
        <v>0.9</v>
      </c>
      <c r="O253" s="459">
        <v>0</v>
      </c>
      <c r="P253" s="646">
        <v>0.9</v>
      </c>
      <c r="Q253" s="469">
        <f t="shared" si="307"/>
        <v>0</v>
      </c>
      <c r="R253" s="469">
        <v>0</v>
      </c>
      <c r="S253" s="460">
        <v>0</v>
      </c>
      <c r="T253" s="460">
        <v>0</v>
      </c>
      <c r="U253" s="460">
        <v>0</v>
      </c>
      <c r="V253" s="460">
        <f t="shared" si="367"/>
        <v>0</v>
      </c>
      <c r="W253" s="460">
        <v>0</v>
      </c>
      <c r="X253" s="460">
        <v>0</v>
      </c>
      <c r="Y253" s="460">
        <v>0</v>
      </c>
      <c r="Z253" s="460">
        <f t="shared" si="368"/>
        <v>0</v>
      </c>
      <c r="AA253" s="460">
        <f t="shared" si="369"/>
        <v>0</v>
      </c>
      <c r="AB253" s="69">
        <f t="shared" si="370"/>
        <v>0</v>
      </c>
      <c r="AC253" s="69">
        <f t="shared" si="371"/>
        <v>0</v>
      </c>
      <c r="AD253" s="460">
        <v>0</v>
      </c>
      <c r="AE253" s="460">
        <v>0</v>
      </c>
      <c r="AF253" s="460">
        <f t="shared" si="372"/>
        <v>0</v>
      </c>
      <c r="AG253" s="460">
        <f t="shared" si="373"/>
        <v>0</v>
      </c>
      <c r="AH253" s="461">
        <v>0</v>
      </c>
      <c r="AI253" s="461">
        <v>0</v>
      </c>
      <c r="AJ253" s="461">
        <v>0</v>
      </c>
      <c r="AK253" s="461">
        <v>0</v>
      </c>
      <c r="AL253" s="461">
        <v>0</v>
      </c>
      <c r="AM253" s="461">
        <v>0</v>
      </c>
      <c r="AN253" s="461">
        <v>0</v>
      </c>
      <c r="AO253" s="461">
        <v>0</v>
      </c>
      <c r="AP253" s="461">
        <f t="shared" si="308"/>
        <v>0</v>
      </c>
      <c r="AQ253" s="461">
        <f t="shared" si="309"/>
        <v>0</v>
      </c>
      <c r="AR253" s="737">
        <f t="shared" si="310"/>
        <v>0</v>
      </c>
      <c r="AS253" s="470">
        <f t="shared" si="311"/>
        <v>384268</v>
      </c>
      <c r="AT253" s="460">
        <f t="shared" si="312"/>
        <v>282392</v>
      </c>
      <c r="AU253" s="460">
        <f t="shared" si="313"/>
        <v>0</v>
      </c>
      <c r="AV253" s="460">
        <f t="shared" si="314"/>
        <v>95448</v>
      </c>
      <c r="AW253" s="460">
        <f t="shared" si="315"/>
        <v>2824</v>
      </c>
      <c r="AX253" s="460">
        <f t="shared" si="316"/>
        <v>3604</v>
      </c>
      <c r="AY253" s="461">
        <f t="shared" si="317"/>
        <v>0.9</v>
      </c>
      <c r="AZ253" s="461">
        <f t="shared" si="318"/>
        <v>0</v>
      </c>
      <c r="BA253" s="463">
        <f t="shared" si="319"/>
        <v>0.9</v>
      </c>
    </row>
    <row r="254" spans="1:53" ht="14.1" customHeight="1" x14ac:dyDescent="0.2">
      <c r="A254" s="67">
        <v>51</v>
      </c>
      <c r="B254" s="64">
        <v>2310</v>
      </c>
      <c r="C254" s="65">
        <v>600080412</v>
      </c>
      <c r="D254" s="64">
        <v>72742038</v>
      </c>
      <c r="E254" s="66" t="s">
        <v>658</v>
      </c>
      <c r="F254" s="67">
        <v>3143</v>
      </c>
      <c r="G254" s="78" t="s">
        <v>616</v>
      </c>
      <c r="H254" s="68" t="s">
        <v>277</v>
      </c>
      <c r="I254" s="462">
        <v>1552532</v>
      </c>
      <c r="J254" s="16">
        <v>1151730</v>
      </c>
      <c r="K254" s="457">
        <v>389285</v>
      </c>
      <c r="L254" s="457">
        <v>11517</v>
      </c>
      <c r="M254" s="16">
        <v>0</v>
      </c>
      <c r="N254" s="458">
        <v>2.5</v>
      </c>
      <c r="O254" s="13">
        <v>2.5</v>
      </c>
      <c r="P254" s="17">
        <v>0</v>
      </c>
      <c r="Q254" s="469">
        <f t="shared" si="307"/>
        <v>0</v>
      </c>
      <c r="R254" s="469">
        <v>0</v>
      </c>
      <c r="S254" s="460">
        <v>0</v>
      </c>
      <c r="T254" s="460">
        <v>0</v>
      </c>
      <c r="U254" s="460">
        <v>0</v>
      </c>
      <c r="V254" s="460">
        <f t="shared" si="367"/>
        <v>0</v>
      </c>
      <c r="W254" s="460">
        <v>0</v>
      </c>
      <c r="X254" s="460">
        <v>0</v>
      </c>
      <c r="Y254" s="460">
        <v>0</v>
      </c>
      <c r="Z254" s="460">
        <f t="shared" si="368"/>
        <v>0</v>
      </c>
      <c r="AA254" s="460">
        <f t="shared" si="369"/>
        <v>0</v>
      </c>
      <c r="AB254" s="69">
        <f t="shared" si="370"/>
        <v>0</v>
      </c>
      <c r="AC254" s="69">
        <f t="shared" si="371"/>
        <v>0</v>
      </c>
      <c r="AD254" s="460">
        <v>0</v>
      </c>
      <c r="AE254" s="460">
        <v>0</v>
      </c>
      <c r="AF254" s="460">
        <f t="shared" si="372"/>
        <v>0</v>
      </c>
      <c r="AG254" s="460">
        <f t="shared" si="373"/>
        <v>0</v>
      </c>
      <c r="AH254" s="461">
        <v>0</v>
      </c>
      <c r="AI254" s="461">
        <v>0</v>
      </c>
      <c r="AJ254" s="461">
        <v>0</v>
      </c>
      <c r="AK254" s="461">
        <v>0</v>
      </c>
      <c r="AL254" s="461">
        <v>0</v>
      </c>
      <c r="AM254" s="461">
        <v>0</v>
      </c>
      <c r="AN254" s="461">
        <v>0</v>
      </c>
      <c r="AO254" s="461">
        <v>0</v>
      </c>
      <c r="AP254" s="461">
        <f t="shared" si="308"/>
        <v>0</v>
      </c>
      <c r="AQ254" s="461">
        <f t="shared" si="309"/>
        <v>0</v>
      </c>
      <c r="AR254" s="737">
        <f t="shared" si="310"/>
        <v>0</v>
      </c>
      <c r="AS254" s="470">
        <f t="shared" si="311"/>
        <v>1552532</v>
      </c>
      <c r="AT254" s="460">
        <f t="shared" si="312"/>
        <v>1151730</v>
      </c>
      <c r="AU254" s="460">
        <f t="shared" si="313"/>
        <v>0</v>
      </c>
      <c r="AV254" s="460">
        <f t="shared" si="314"/>
        <v>389285</v>
      </c>
      <c r="AW254" s="460">
        <f t="shared" si="315"/>
        <v>11517</v>
      </c>
      <c r="AX254" s="460">
        <f t="shared" si="316"/>
        <v>0</v>
      </c>
      <c r="AY254" s="461">
        <f t="shared" si="317"/>
        <v>2.5</v>
      </c>
      <c r="AZ254" s="461">
        <f t="shared" si="318"/>
        <v>2.5</v>
      </c>
      <c r="BA254" s="463">
        <f t="shared" si="319"/>
        <v>0</v>
      </c>
    </row>
    <row r="255" spans="1:53" ht="14.1" customHeight="1" x14ac:dyDescent="0.2">
      <c r="A255" s="67">
        <v>51</v>
      </c>
      <c r="B255" s="64">
        <v>2310</v>
      </c>
      <c r="C255" s="65">
        <v>600080412</v>
      </c>
      <c r="D255" s="64">
        <v>72742038</v>
      </c>
      <c r="E255" s="66" t="s">
        <v>658</v>
      </c>
      <c r="F255" s="67">
        <v>3143</v>
      </c>
      <c r="G255" s="78" t="s">
        <v>617</v>
      </c>
      <c r="H255" s="68" t="s">
        <v>278</v>
      </c>
      <c r="I255" s="462">
        <v>36650</v>
      </c>
      <c r="J255" s="673">
        <v>26187</v>
      </c>
      <c r="K255" s="457">
        <v>8851</v>
      </c>
      <c r="L255" s="457">
        <v>262</v>
      </c>
      <c r="M255" s="673">
        <v>1350</v>
      </c>
      <c r="N255" s="458">
        <v>0.1</v>
      </c>
      <c r="O255" s="459">
        <v>0</v>
      </c>
      <c r="P255" s="717">
        <v>0.1</v>
      </c>
      <c r="Q255" s="469">
        <f t="shared" si="307"/>
        <v>0</v>
      </c>
      <c r="R255" s="469">
        <v>0</v>
      </c>
      <c r="S255" s="460">
        <v>0</v>
      </c>
      <c r="T255" s="460">
        <v>0</v>
      </c>
      <c r="U255" s="460">
        <v>0</v>
      </c>
      <c r="V255" s="460">
        <f t="shared" si="367"/>
        <v>0</v>
      </c>
      <c r="W255" s="460">
        <v>0</v>
      </c>
      <c r="X255" s="460">
        <v>0</v>
      </c>
      <c r="Y255" s="460">
        <v>0</v>
      </c>
      <c r="Z255" s="460">
        <f t="shared" si="368"/>
        <v>0</v>
      </c>
      <c r="AA255" s="460">
        <f t="shared" si="369"/>
        <v>0</v>
      </c>
      <c r="AB255" s="69">
        <f t="shared" si="370"/>
        <v>0</v>
      </c>
      <c r="AC255" s="69">
        <f t="shared" si="371"/>
        <v>0</v>
      </c>
      <c r="AD255" s="460">
        <v>0</v>
      </c>
      <c r="AE255" s="460">
        <v>0</v>
      </c>
      <c r="AF255" s="460">
        <f t="shared" si="372"/>
        <v>0</v>
      </c>
      <c r="AG255" s="460">
        <f t="shared" si="373"/>
        <v>0</v>
      </c>
      <c r="AH255" s="461">
        <v>0</v>
      </c>
      <c r="AI255" s="461">
        <v>0</v>
      </c>
      <c r="AJ255" s="461">
        <v>0</v>
      </c>
      <c r="AK255" s="461">
        <v>0</v>
      </c>
      <c r="AL255" s="461">
        <v>0</v>
      </c>
      <c r="AM255" s="461">
        <v>0</v>
      </c>
      <c r="AN255" s="461">
        <v>0</v>
      </c>
      <c r="AO255" s="461">
        <v>0</v>
      </c>
      <c r="AP255" s="461">
        <f t="shared" si="308"/>
        <v>0</v>
      </c>
      <c r="AQ255" s="461">
        <f t="shared" si="309"/>
        <v>0</v>
      </c>
      <c r="AR255" s="737">
        <f t="shared" si="310"/>
        <v>0</v>
      </c>
      <c r="AS255" s="470">
        <f t="shared" si="311"/>
        <v>36650</v>
      </c>
      <c r="AT255" s="460">
        <f t="shared" si="312"/>
        <v>26187</v>
      </c>
      <c r="AU255" s="460">
        <f t="shared" si="313"/>
        <v>0</v>
      </c>
      <c r="AV255" s="460">
        <f t="shared" si="314"/>
        <v>8851</v>
      </c>
      <c r="AW255" s="460">
        <f t="shared" si="315"/>
        <v>262</v>
      </c>
      <c r="AX255" s="460">
        <f t="shared" si="316"/>
        <v>1350</v>
      </c>
      <c r="AY255" s="461">
        <f t="shared" si="317"/>
        <v>0.1</v>
      </c>
      <c r="AZ255" s="461">
        <f t="shared" si="318"/>
        <v>0</v>
      </c>
      <c r="BA255" s="463">
        <f t="shared" si="319"/>
        <v>0.1</v>
      </c>
    </row>
    <row r="256" spans="1:53" ht="14.1" customHeight="1" x14ac:dyDescent="0.2">
      <c r="A256" s="73">
        <v>51</v>
      </c>
      <c r="B256" s="70">
        <v>2310</v>
      </c>
      <c r="C256" s="71">
        <v>600080412</v>
      </c>
      <c r="D256" s="70">
        <v>72742038</v>
      </c>
      <c r="E256" s="72" t="s">
        <v>659</v>
      </c>
      <c r="F256" s="73"/>
      <c r="G256" s="72"/>
      <c r="H256" s="74"/>
      <c r="I256" s="701">
        <f t="shared" ref="I256:P256" si="374">SUM(I250:I255)</f>
        <v>40444457</v>
      </c>
      <c r="J256" s="75">
        <f t="shared" si="374"/>
        <v>29796097</v>
      </c>
      <c r="K256" s="75">
        <f t="shared" si="374"/>
        <v>10071080</v>
      </c>
      <c r="L256" s="75">
        <f t="shared" si="374"/>
        <v>297961</v>
      </c>
      <c r="M256" s="75">
        <f t="shared" si="374"/>
        <v>279319</v>
      </c>
      <c r="N256" s="76">
        <f t="shared" si="374"/>
        <v>57.646000000000001</v>
      </c>
      <c r="O256" s="76">
        <f t="shared" si="374"/>
        <v>49.596000000000004</v>
      </c>
      <c r="P256" s="77">
        <f t="shared" si="374"/>
        <v>8.0500000000000007</v>
      </c>
      <c r="Q256" s="724">
        <f t="shared" ref="Q256:BA256" si="375">SUM(Q250:Q255)</f>
        <v>-13000</v>
      </c>
      <c r="R256" s="724">
        <f t="shared" si="375"/>
        <v>0</v>
      </c>
      <c r="S256" s="75">
        <f t="shared" si="375"/>
        <v>0</v>
      </c>
      <c r="T256" s="75">
        <f t="shared" si="375"/>
        <v>0</v>
      </c>
      <c r="U256" s="75">
        <f t="shared" si="375"/>
        <v>0</v>
      </c>
      <c r="V256" s="75">
        <f t="shared" si="375"/>
        <v>-13000</v>
      </c>
      <c r="W256" s="75">
        <f t="shared" si="375"/>
        <v>13000</v>
      </c>
      <c r="X256" s="75">
        <f t="shared" si="375"/>
        <v>0</v>
      </c>
      <c r="Y256" s="75">
        <f t="shared" si="375"/>
        <v>0</v>
      </c>
      <c r="Z256" s="75">
        <f t="shared" si="375"/>
        <v>13000</v>
      </c>
      <c r="AA256" s="75">
        <f t="shared" si="375"/>
        <v>0</v>
      </c>
      <c r="AB256" s="75">
        <f t="shared" si="375"/>
        <v>0</v>
      </c>
      <c r="AC256" s="75">
        <f t="shared" si="375"/>
        <v>-130</v>
      </c>
      <c r="AD256" s="75">
        <f t="shared" si="375"/>
        <v>0</v>
      </c>
      <c r="AE256" s="75">
        <f t="shared" si="375"/>
        <v>0</v>
      </c>
      <c r="AF256" s="75">
        <f t="shared" si="375"/>
        <v>0</v>
      </c>
      <c r="AG256" s="75">
        <f t="shared" si="375"/>
        <v>-130</v>
      </c>
      <c r="AH256" s="76">
        <f t="shared" si="375"/>
        <v>0</v>
      </c>
      <c r="AI256" s="76">
        <f t="shared" si="375"/>
        <v>-0.04</v>
      </c>
      <c r="AJ256" s="76">
        <f t="shared" si="375"/>
        <v>0</v>
      </c>
      <c r="AK256" s="76">
        <f t="shared" si="375"/>
        <v>0</v>
      </c>
      <c r="AL256" s="76">
        <f t="shared" si="375"/>
        <v>0</v>
      </c>
      <c r="AM256" s="76">
        <f t="shared" si="375"/>
        <v>0</v>
      </c>
      <c r="AN256" s="76">
        <f t="shared" si="375"/>
        <v>0</v>
      </c>
      <c r="AO256" s="76">
        <f t="shared" si="375"/>
        <v>0</v>
      </c>
      <c r="AP256" s="76">
        <f t="shared" si="375"/>
        <v>0</v>
      </c>
      <c r="AQ256" s="76">
        <f t="shared" si="375"/>
        <v>-0.04</v>
      </c>
      <c r="AR256" s="720">
        <f t="shared" si="375"/>
        <v>-0.04</v>
      </c>
      <c r="AS256" s="701">
        <f t="shared" si="375"/>
        <v>40444327</v>
      </c>
      <c r="AT256" s="75">
        <f t="shared" si="375"/>
        <v>29783097</v>
      </c>
      <c r="AU256" s="75">
        <f t="shared" si="375"/>
        <v>13000</v>
      </c>
      <c r="AV256" s="75">
        <f t="shared" si="375"/>
        <v>10071080</v>
      </c>
      <c r="AW256" s="75">
        <f t="shared" si="375"/>
        <v>297831</v>
      </c>
      <c r="AX256" s="75">
        <f t="shared" si="375"/>
        <v>279319</v>
      </c>
      <c r="AY256" s="76">
        <f t="shared" si="375"/>
        <v>57.605999999999995</v>
      </c>
      <c r="AZ256" s="76">
        <f t="shared" si="375"/>
        <v>49.596000000000004</v>
      </c>
      <c r="BA256" s="77">
        <f t="shared" si="375"/>
        <v>8.0100000000000016</v>
      </c>
    </row>
    <row r="257" spans="1:53" ht="14.1" customHeight="1" x14ac:dyDescent="0.2">
      <c r="A257" s="67">
        <v>52</v>
      </c>
      <c r="B257" s="64">
        <v>2313</v>
      </c>
      <c r="C257" s="65">
        <v>600080323</v>
      </c>
      <c r="D257" s="64">
        <v>64040445</v>
      </c>
      <c r="E257" s="66" t="s">
        <v>660</v>
      </c>
      <c r="F257" s="67">
        <v>3231</v>
      </c>
      <c r="G257" s="66" t="s">
        <v>312</v>
      </c>
      <c r="H257" s="68" t="s">
        <v>277</v>
      </c>
      <c r="I257" s="462">
        <v>54989536</v>
      </c>
      <c r="J257" s="16">
        <v>40715614</v>
      </c>
      <c r="K257" s="457">
        <v>13761878</v>
      </c>
      <c r="L257" s="457">
        <v>407156</v>
      </c>
      <c r="M257" s="16">
        <v>104888</v>
      </c>
      <c r="N257" s="13">
        <v>71.776600000000002</v>
      </c>
      <c r="O257" s="13">
        <v>65.102199999999996</v>
      </c>
      <c r="P257" s="17">
        <v>6.6744000000000003</v>
      </c>
      <c r="Q257" s="469">
        <f t="shared" si="307"/>
        <v>-6500</v>
      </c>
      <c r="R257" s="469">
        <v>0</v>
      </c>
      <c r="S257" s="460">
        <v>0</v>
      </c>
      <c r="T257" s="460">
        <v>0</v>
      </c>
      <c r="U257" s="460">
        <v>0</v>
      </c>
      <c r="V257" s="460">
        <f>SUM(Q257:U257)</f>
        <v>-6500</v>
      </c>
      <c r="W257" s="460">
        <v>6500</v>
      </c>
      <c r="X257" s="460">
        <v>0</v>
      </c>
      <c r="Y257" s="460">
        <v>0</v>
      </c>
      <c r="Z257" s="460">
        <f t="shared" ref="Z257" si="376">SUM(W257:Y257)</f>
        <v>6500</v>
      </c>
      <c r="AA257" s="460">
        <f t="shared" ref="AA257" si="377">V257+Z257</f>
        <v>0</v>
      </c>
      <c r="AB257" s="69">
        <f t="shared" ref="AB257" si="378">ROUND((V257+W257+X257)*33.8%,0)</f>
        <v>0</v>
      </c>
      <c r="AC257" s="69">
        <f>ROUND(V257*1%,0)</f>
        <v>-65</v>
      </c>
      <c r="AD257" s="460">
        <v>0</v>
      </c>
      <c r="AE257" s="460">
        <v>0</v>
      </c>
      <c r="AF257" s="460">
        <f>SUM(AD257:AE257)</f>
        <v>0</v>
      </c>
      <c r="AG257" s="460">
        <f>AA257+AB257+AC257+AF257</f>
        <v>-65</v>
      </c>
      <c r="AH257" s="461">
        <v>0</v>
      </c>
      <c r="AI257" s="461">
        <v>0</v>
      </c>
      <c r="AJ257" s="461">
        <v>0</v>
      </c>
      <c r="AK257" s="461">
        <v>0</v>
      </c>
      <c r="AL257" s="461">
        <v>0</v>
      </c>
      <c r="AM257" s="461">
        <v>0</v>
      </c>
      <c r="AN257" s="461">
        <v>0</v>
      </c>
      <c r="AO257" s="461">
        <v>0</v>
      </c>
      <c r="AP257" s="461">
        <f t="shared" si="308"/>
        <v>0</v>
      </c>
      <c r="AQ257" s="461">
        <f t="shared" si="309"/>
        <v>0</v>
      </c>
      <c r="AR257" s="737">
        <f t="shared" si="310"/>
        <v>0</v>
      </c>
      <c r="AS257" s="470">
        <f t="shared" si="311"/>
        <v>54989471</v>
      </c>
      <c r="AT257" s="460">
        <f t="shared" si="312"/>
        <v>40709114</v>
      </c>
      <c r="AU257" s="460">
        <f t="shared" si="313"/>
        <v>6500</v>
      </c>
      <c r="AV257" s="460">
        <f t="shared" si="314"/>
        <v>13761878</v>
      </c>
      <c r="AW257" s="460">
        <f t="shared" si="315"/>
        <v>407091</v>
      </c>
      <c r="AX257" s="460">
        <f t="shared" si="316"/>
        <v>104888</v>
      </c>
      <c r="AY257" s="461">
        <f t="shared" si="317"/>
        <v>71.776600000000002</v>
      </c>
      <c r="AZ257" s="461">
        <f t="shared" si="318"/>
        <v>65.102199999999996</v>
      </c>
      <c r="BA257" s="463">
        <f t="shared" si="319"/>
        <v>6.6744000000000003</v>
      </c>
    </row>
    <row r="258" spans="1:53" ht="14.1" customHeight="1" x14ac:dyDescent="0.2">
      <c r="A258" s="73">
        <v>52</v>
      </c>
      <c r="B258" s="70">
        <v>2313</v>
      </c>
      <c r="C258" s="71">
        <v>600080323</v>
      </c>
      <c r="D258" s="70">
        <v>64040445</v>
      </c>
      <c r="E258" s="72" t="s">
        <v>661</v>
      </c>
      <c r="F258" s="73"/>
      <c r="G258" s="72"/>
      <c r="H258" s="74"/>
      <c r="I258" s="706">
        <f t="shared" ref="I258:P258" si="379">SUM(I257)</f>
        <v>54989536</v>
      </c>
      <c r="J258" s="79">
        <f t="shared" si="379"/>
        <v>40715614</v>
      </c>
      <c r="K258" s="79">
        <f t="shared" si="379"/>
        <v>13761878</v>
      </c>
      <c r="L258" s="79">
        <f t="shared" si="379"/>
        <v>407156</v>
      </c>
      <c r="M258" s="79">
        <f t="shared" si="379"/>
        <v>104888</v>
      </c>
      <c r="N258" s="80">
        <f t="shared" si="379"/>
        <v>71.776600000000002</v>
      </c>
      <c r="O258" s="80">
        <f t="shared" si="379"/>
        <v>65.102199999999996</v>
      </c>
      <c r="P258" s="81">
        <f t="shared" si="379"/>
        <v>6.6744000000000003</v>
      </c>
      <c r="Q258" s="725">
        <f t="shared" ref="Q258:BA258" si="380">SUM(Q257)</f>
        <v>-6500</v>
      </c>
      <c r="R258" s="725">
        <f t="shared" si="380"/>
        <v>0</v>
      </c>
      <c r="S258" s="79">
        <f t="shared" si="380"/>
        <v>0</v>
      </c>
      <c r="T258" s="79">
        <f t="shared" si="380"/>
        <v>0</v>
      </c>
      <c r="U258" s="79">
        <f t="shared" si="380"/>
        <v>0</v>
      </c>
      <c r="V258" s="79">
        <f t="shared" si="380"/>
        <v>-6500</v>
      </c>
      <c r="W258" s="79">
        <f t="shared" si="380"/>
        <v>6500</v>
      </c>
      <c r="X258" s="79">
        <f t="shared" si="380"/>
        <v>0</v>
      </c>
      <c r="Y258" s="79">
        <f t="shared" si="380"/>
        <v>0</v>
      </c>
      <c r="Z258" s="79">
        <f t="shared" si="380"/>
        <v>6500</v>
      </c>
      <c r="AA258" s="79">
        <f t="shared" si="380"/>
        <v>0</v>
      </c>
      <c r="AB258" s="79">
        <f t="shared" si="380"/>
        <v>0</v>
      </c>
      <c r="AC258" s="79">
        <f t="shared" si="380"/>
        <v>-65</v>
      </c>
      <c r="AD258" s="79">
        <f t="shared" si="380"/>
        <v>0</v>
      </c>
      <c r="AE258" s="79">
        <f t="shared" si="380"/>
        <v>0</v>
      </c>
      <c r="AF258" s="79">
        <f t="shared" si="380"/>
        <v>0</v>
      </c>
      <c r="AG258" s="79">
        <f t="shared" si="380"/>
        <v>-65</v>
      </c>
      <c r="AH258" s="80">
        <f t="shared" si="380"/>
        <v>0</v>
      </c>
      <c r="AI258" s="80">
        <f t="shared" si="380"/>
        <v>0</v>
      </c>
      <c r="AJ258" s="80">
        <f t="shared" si="380"/>
        <v>0</v>
      </c>
      <c r="AK258" s="80">
        <f t="shared" si="380"/>
        <v>0</v>
      </c>
      <c r="AL258" s="80">
        <f t="shared" si="380"/>
        <v>0</v>
      </c>
      <c r="AM258" s="80">
        <f t="shared" si="380"/>
        <v>0</v>
      </c>
      <c r="AN258" s="80">
        <f t="shared" si="380"/>
        <v>0</v>
      </c>
      <c r="AO258" s="80">
        <f t="shared" si="380"/>
        <v>0</v>
      </c>
      <c r="AP258" s="80">
        <f t="shared" si="380"/>
        <v>0</v>
      </c>
      <c r="AQ258" s="80">
        <f t="shared" si="380"/>
        <v>0</v>
      </c>
      <c r="AR258" s="721">
        <f t="shared" si="380"/>
        <v>0</v>
      </c>
      <c r="AS258" s="706">
        <f t="shared" si="380"/>
        <v>54989471</v>
      </c>
      <c r="AT258" s="79">
        <f t="shared" si="380"/>
        <v>40709114</v>
      </c>
      <c r="AU258" s="79">
        <f t="shared" si="380"/>
        <v>6500</v>
      </c>
      <c r="AV258" s="79">
        <f t="shared" si="380"/>
        <v>13761878</v>
      </c>
      <c r="AW258" s="79">
        <f t="shared" si="380"/>
        <v>407091</v>
      </c>
      <c r="AX258" s="79">
        <f t="shared" si="380"/>
        <v>104888</v>
      </c>
      <c r="AY258" s="80">
        <f t="shared" si="380"/>
        <v>71.776600000000002</v>
      </c>
      <c r="AZ258" s="80">
        <f t="shared" si="380"/>
        <v>65.102199999999996</v>
      </c>
      <c r="BA258" s="81">
        <f t="shared" si="380"/>
        <v>6.6744000000000003</v>
      </c>
    </row>
    <row r="259" spans="1:53" ht="14.1" customHeight="1" x14ac:dyDescent="0.2">
      <c r="A259" s="67">
        <v>53</v>
      </c>
      <c r="B259" s="64">
        <v>2431</v>
      </c>
      <c r="C259" s="65">
        <v>600079228</v>
      </c>
      <c r="D259" s="64">
        <v>46746234</v>
      </c>
      <c r="E259" s="66" t="s">
        <v>662</v>
      </c>
      <c r="F259" s="67">
        <v>3111</v>
      </c>
      <c r="G259" s="66" t="s">
        <v>307</v>
      </c>
      <c r="H259" s="68" t="s">
        <v>277</v>
      </c>
      <c r="I259" s="462">
        <v>7144089</v>
      </c>
      <c r="J259" s="16">
        <v>5275437</v>
      </c>
      <c r="K259" s="457">
        <v>1783098</v>
      </c>
      <c r="L259" s="457">
        <v>52754</v>
      </c>
      <c r="M259" s="16">
        <v>32800</v>
      </c>
      <c r="N259" s="13">
        <v>10.6915</v>
      </c>
      <c r="O259" s="13">
        <v>8.4514999999999993</v>
      </c>
      <c r="P259" s="17">
        <v>2.2400000000000002</v>
      </c>
      <c r="Q259" s="469">
        <f t="shared" si="307"/>
        <v>0</v>
      </c>
      <c r="R259" s="469">
        <v>0</v>
      </c>
      <c r="S259" s="460">
        <v>0</v>
      </c>
      <c r="T259" s="460">
        <v>0</v>
      </c>
      <c r="U259" s="460">
        <v>0</v>
      </c>
      <c r="V259" s="460">
        <f>SUM(Q259:U259)</f>
        <v>0</v>
      </c>
      <c r="W259" s="460">
        <v>0</v>
      </c>
      <c r="X259" s="460">
        <v>0</v>
      </c>
      <c r="Y259" s="460">
        <v>0</v>
      </c>
      <c r="Z259" s="460">
        <f t="shared" ref="Z259:Z261" si="381">SUM(W259:Y259)</f>
        <v>0</v>
      </c>
      <c r="AA259" s="460">
        <f t="shared" ref="AA259:AA261" si="382">V259+Z259</f>
        <v>0</v>
      </c>
      <c r="AB259" s="69">
        <f t="shared" ref="AB259:AB261" si="383">ROUND((V259+W259+X259)*33.8%,0)</f>
        <v>0</v>
      </c>
      <c r="AC259" s="69">
        <f t="shared" ref="AC259:AC261" si="384">ROUND(V259*1%,0)</f>
        <v>0</v>
      </c>
      <c r="AD259" s="460">
        <v>0</v>
      </c>
      <c r="AE259" s="460">
        <v>0</v>
      </c>
      <c r="AF259" s="460">
        <f>SUM(AD259:AE259)</f>
        <v>0</v>
      </c>
      <c r="AG259" s="460">
        <f>AA259+AB259+AC259+AF259</f>
        <v>0</v>
      </c>
      <c r="AH259" s="461">
        <v>0</v>
      </c>
      <c r="AI259" s="461">
        <v>0</v>
      </c>
      <c r="AJ259" s="461">
        <v>0</v>
      </c>
      <c r="AK259" s="461">
        <v>0</v>
      </c>
      <c r="AL259" s="461">
        <v>0</v>
      </c>
      <c r="AM259" s="461">
        <v>0</v>
      </c>
      <c r="AN259" s="461">
        <v>0</v>
      </c>
      <c r="AO259" s="461">
        <v>0</v>
      </c>
      <c r="AP259" s="461">
        <f t="shared" si="308"/>
        <v>0</v>
      </c>
      <c r="AQ259" s="461">
        <f t="shared" si="309"/>
        <v>0</v>
      </c>
      <c r="AR259" s="737">
        <f t="shared" si="310"/>
        <v>0</v>
      </c>
      <c r="AS259" s="470">
        <f t="shared" si="311"/>
        <v>7144089</v>
      </c>
      <c r="AT259" s="460">
        <f t="shared" si="312"/>
        <v>5275437</v>
      </c>
      <c r="AU259" s="460">
        <f t="shared" si="313"/>
        <v>0</v>
      </c>
      <c r="AV259" s="460">
        <f t="shared" si="314"/>
        <v>1783098</v>
      </c>
      <c r="AW259" s="460">
        <f t="shared" si="315"/>
        <v>52754</v>
      </c>
      <c r="AX259" s="460">
        <f t="shared" si="316"/>
        <v>32800</v>
      </c>
      <c r="AY259" s="461">
        <f t="shared" si="317"/>
        <v>10.6915</v>
      </c>
      <c r="AZ259" s="461">
        <f t="shared" si="318"/>
        <v>8.4514999999999993</v>
      </c>
      <c r="BA259" s="463">
        <f t="shared" si="319"/>
        <v>2.2400000000000002</v>
      </c>
    </row>
    <row r="260" spans="1:53" ht="14.1" customHeight="1" x14ac:dyDescent="0.2">
      <c r="A260" s="67">
        <v>53</v>
      </c>
      <c r="B260" s="64">
        <v>2431</v>
      </c>
      <c r="C260" s="65">
        <v>600079228</v>
      </c>
      <c r="D260" s="64">
        <v>46746234</v>
      </c>
      <c r="E260" s="66" t="s">
        <v>662</v>
      </c>
      <c r="F260" s="67">
        <v>3111</v>
      </c>
      <c r="G260" s="78" t="s">
        <v>308</v>
      </c>
      <c r="H260" s="68" t="s">
        <v>278</v>
      </c>
      <c r="I260" s="462">
        <v>0</v>
      </c>
      <c r="J260" s="457">
        <v>0</v>
      </c>
      <c r="K260" s="457">
        <v>0</v>
      </c>
      <c r="L260" s="457">
        <v>0</v>
      </c>
      <c r="M260" s="457">
        <v>0</v>
      </c>
      <c r="N260" s="458">
        <v>0</v>
      </c>
      <c r="O260" s="459">
        <v>0</v>
      </c>
      <c r="P260" s="646">
        <v>0</v>
      </c>
      <c r="Q260" s="469">
        <f t="shared" si="307"/>
        <v>0</v>
      </c>
      <c r="R260" s="469">
        <v>0</v>
      </c>
      <c r="S260" s="460">
        <v>0</v>
      </c>
      <c r="T260" s="460">
        <v>0</v>
      </c>
      <c r="U260" s="460">
        <v>0</v>
      </c>
      <c r="V260" s="460">
        <f>SUM(Q260:U260)</f>
        <v>0</v>
      </c>
      <c r="W260" s="460">
        <v>0</v>
      </c>
      <c r="X260" s="460">
        <v>0</v>
      </c>
      <c r="Y260" s="460">
        <v>0</v>
      </c>
      <c r="Z260" s="460">
        <f t="shared" si="381"/>
        <v>0</v>
      </c>
      <c r="AA260" s="460">
        <f t="shared" si="382"/>
        <v>0</v>
      </c>
      <c r="AB260" s="69">
        <f t="shared" si="383"/>
        <v>0</v>
      </c>
      <c r="AC260" s="69">
        <f t="shared" si="384"/>
        <v>0</v>
      </c>
      <c r="AD260" s="460">
        <v>0</v>
      </c>
      <c r="AE260" s="460">
        <v>0</v>
      </c>
      <c r="AF260" s="460">
        <f>SUM(AD260:AE260)</f>
        <v>0</v>
      </c>
      <c r="AG260" s="460">
        <f>AA260+AB260+AC260+AF260</f>
        <v>0</v>
      </c>
      <c r="AH260" s="461">
        <v>0</v>
      </c>
      <c r="AI260" s="461">
        <v>0</v>
      </c>
      <c r="AJ260" s="461">
        <v>0</v>
      </c>
      <c r="AK260" s="461">
        <v>0</v>
      </c>
      <c r="AL260" s="461">
        <v>0</v>
      </c>
      <c r="AM260" s="461">
        <v>0</v>
      </c>
      <c r="AN260" s="461">
        <v>0</v>
      </c>
      <c r="AO260" s="461">
        <v>0</v>
      </c>
      <c r="AP260" s="461">
        <f t="shared" si="308"/>
        <v>0</v>
      </c>
      <c r="AQ260" s="461">
        <f t="shared" si="309"/>
        <v>0</v>
      </c>
      <c r="AR260" s="737">
        <f t="shared" si="310"/>
        <v>0</v>
      </c>
      <c r="AS260" s="470">
        <f t="shared" si="311"/>
        <v>0</v>
      </c>
      <c r="AT260" s="460">
        <f t="shared" si="312"/>
        <v>0</v>
      </c>
      <c r="AU260" s="460">
        <f t="shared" si="313"/>
        <v>0</v>
      </c>
      <c r="AV260" s="460">
        <f t="shared" si="314"/>
        <v>0</v>
      </c>
      <c r="AW260" s="460">
        <f t="shared" si="315"/>
        <v>0</v>
      </c>
      <c r="AX260" s="460">
        <f t="shared" si="316"/>
        <v>0</v>
      </c>
      <c r="AY260" s="461">
        <f t="shared" si="317"/>
        <v>0</v>
      </c>
      <c r="AZ260" s="461">
        <f t="shared" si="318"/>
        <v>0</v>
      </c>
      <c r="BA260" s="463">
        <f t="shared" si="319"/>
        <v>0</v>
      </c>
    </row>
    <row r="261" spans="1:53" ht="14.1" customHeight="1" x14ac:dyDescent="0.2">
      <c r="A261" s="67">
        <v>53</v>
      </c>
      <c r="B261" s="64">
        <v>2431</v>
      </c>
      <c r="C261" s="65">
        <v>600079228</v>
      </c>
      <c r="D261" s="64">
        <v>46746234</v>
      </c>
      <c r="E261" s="66" t="s">
        <v>662</v>
      </c>
      <c r="F261" s="67">
        <v>3141</v>
      </c>
      <c r="G261" s="66" t="s">
        <v>311</v>
      </c>
      <c r="H261" s="68" t="s">
        <v>278</v>
      </c>
      <c r="I261" s="462">
        <v>923238</v>
      </c>
      <c r="J261" s="728">
        <v>681654</v>
      </c>
      <c r="K261" s="457">
        <v>230399</v>
      </c>
      <c r="L261" s="457">
        <v>6817</v>
      </c>
      <c r="M261" s="728">
        <v>4368</v>
      </c>
      <c r="N261" s="458">
        <v>2.19</v>
      </c>
      <c r="O261" s="459">
        <v>0</v>
      </c>
      <c r="P261" s="646">
        <v>2.19</v>
      </c>
      <c r="Q261" s="469">
        <f t="shared" si="307"/>
        <v>0</v>
      </c>
      <c r="R261" s="469">
        <v>0</v>
      </c>
      <c r="S261" s="460">
        <v>0</v>
      </c>
      <c r="T261" s="460">
        <v>0</v>
      </c>
      <c r="U261" s="460">
        <v>0</v>
      </c>
      <c r="V261" s="460">
        <f>SUM(Q261:U261)</f>
        <v>0</v>
      </c>
      <c r="W261" s="460">
        <v>0</v>
      </c>
      <c r="X261" s="460">
        <v>0</v>
      </c>
      <c r="Y261" s="460">
        <v>0</v>
      </c>
      <c r="Z261" s="460">
        <f t="shared" si="381"/>
        <v>0</v>
      </c>
      <c r="AA261" s="460">
        <f t="shared" si="382"/>
        <v>0</v>
      </c>
      <c r="AB261" s="69">
        <f t="shared" si="383"/>
        <v>0</v>
      </c>
      <c r="AC261" s="69">
        <f t="shared" si="384"/>
        <v>0</v>
      </c>
      <c r="AD261" s="460">
        <v>0</v>
      </c>
      <c r="AE261" s="460">
        <v>0</v>
      </c>
      <c r="AF261" s="460">
        <f>SUM(AD261:AE261)</f>
        <v>0</v>
      </c>
      <c r="AG261" s="460">
        <f>AA261+AB261+AC261+AF261</f>
        <v>0</v>
      </c>
      <c r="AH261" s="461">
        <v>0</v>
      </c>
      <c r="AI261" s="461">
        <v>0</v>
      </c>
      <c r="AJ261" s="461">
        <v>0</v>
      </c>
      <c r="AK261" s="461">
        <v>0</v>
      </c>
      <c r="AL261" s="461">
        <v>0</v>
      </c>
      <c r="AM261" s="461">
        <v>0</v>
      </c>
      <c r="AN261" s="461">
        <v>0</v>
      </c>
      <c r="AO261" s="461">
        <v>0</v>
      </c>
      <c r="AP261" s="461">
        <f t="shared" si="308"/>
        <v>0</v>
      </c>
      <c r="AQ261" s="461">
        <f t="shared" si="309"/>
        <v>0</v>
      </c>
      <c r="AR261" s="737">
        <f t="shared" si="310"/>
        <v>0</v>
      </c>
      <c r="AS261" s="470">
        <f t="shared" si="311"/>
        <v>923238</v>
      </c>
      <c r="AT261" s="460">
        <f t="shared" si="312"/>
        <v>681654</v>
      </c>
      <c r="AU261" s="460">
        <f t="shared" si="313"/>
        <v>0</v>
      </c>
      <c r="AV261" s="460">
        <f t="shared" si="314"/>
        <v>230399</v>
      </c>
      <c r="AW261" s="460">
        <f t="shared" si="315"/>
        <v>6817</v>
      </c>
      <c r="AX261" s="460">
        <f t="shared" si="316"/>
        <v>4368</v>
      </c>
      <c r="AY261" s="461">
        <f t="shared" si="317"/>
        <v>2.19</v>
      </c>
      <c r="AZ261" s="461">
        <f t="shared" si="318"/>
        <v>0</v>
      </c>
      <c r="BA261" s="463">
        <f t="shared" si="319"/>
        <v>2.19</v>
      </c>
    </row>
    <row r="262" spans="1:53" ht="14.1" customHeight="1" x14ac:dyDescent="0.2">
      <c r="A262" s="73">
        <v>53</v>
      </c>
      <c r="B262" s="70">
        <v>2431</v>
      </c>
      <c r="C262" s="71">
        <v>600079228</v>
      </c>
      <c r="D262" s="70">
        <v>46746234</v>
      </c>
      <c r="E262" s="72" t="s">
        <v>663</v>
      </c>
      <c r="F262" s="73"/>
      <c r="G262" s="72"/>
      <c r="H262" s="74"/>
      <c r="I262" s="701">
        <f t="shared" ref="I262:P262" si="385">SUM(I259:I261)</f>
        <v>8067327</v>
      </c>
      <c r="J262" s="75">
        <f t="shared" si="385"/>
        <v>5957091</v>
      </c>
      <c r="K262" s="75">
        <f t="shared" si="385"/>
        <v>2013497</v>
      </c>
      <c r="L262" s="75">
        <f t="shared" si="385"/>
        <v>59571</v>
      </c>
      <c r="M262" s="75">
        <f t="shared" si="385"/>
        <v>37168</v>
      </c>
      <c r="N262" s="76">
        <f t="shared" si="385"/>
        <v>12.881499999999999</v>
      </c>
      <c r="O262" s="76">
        <f t="shared" si="385"/>
        <v>8.4514999999999993</v>
      </c>
      <c r="P262" s="77">
        <f t="shared" si="385"/>
        <v>4.43</v>
      </c>
      <c r="Q262" s="724">
        <f t="shared" ref="Q262:BA262" si="386">SUM(Q259:Q261)</f>
        <v>0</v>
      </c>
      <c r="R262" s="724">
        <f t="shared" si="386"/>
        <v>0</v>
      </c>
      <c r="S262" s="75">
        <f t="shared" si="386"/>
        <v>0</v>
      </c>
      <c r="T262" s="75">
        <f t="shared" si="386"/>
        <v>0</v>
      </c>
      <c r="U262" s="75">
        <f t="shared" si="386"/>
        <v>0</v>
      </c>
      <c r="V262" s="75">
        <f t="shared" si="386"/>
        <v>0</v>
      </c>
      <c r="W262" s="75">
        <f t="shared" si="386"/>
        <v>0</v>
      </c>
      <c r="X262" s="75">
        <f t="shared" si="386"/>
        <v>0</v>
      </c>
      <c r="Y262" s="75">
        <f t="shared" si="386"/>
        <v>0</v>
      </c>
      <c r="Z262" s="75">
        <f t="shared" si="386"/>
        <v>0</v>
      </c>
      <c r="AA262" s="75">
        <f t="shared" si="386"/>
        <v>0</v>
      </c>
      <c r="AB262" s="75">
        <f t="shared" si="386"/>
        <v>0</v>
      </c>
      <c r="AC262" s="75">
        <f t="shared" si="386"/>
        <v>0</v>
      </c>
      <c r="AD262" s="75">
        <f t="shared" si="386"/>
        <v>0</v>
      </c>
      <c r="AE262" s="75">
        <f t="shared" si="386"/>
        <v>0</v>
      </c>
      <c r="AF262" s="75">
        <f t="shared" si="386"/>
        <v>0</v>
      </c>
      <c r="AG262" s="75">
        <f t="shared" si="386"/>
        <v>0</v>
      </c>
      <c r="AH262" s="76">
        <f t="shared" si="386"/>
        <v>0</v>
      </c>
      <c r="AI262" s="76">
        <f t="shared" si="386"/>
        <v>0</v>
      </c>
      <c r="AJ262" s="76">
        <f t="shared" si="386"/>
        <v>0</v>
      </c>
      <c r="AK262" s="76">
        <f t="shared" si="386"/>
        <v>0</v>
      </c>
      <c r="AL262" s="76">
        <f t="shared" si="386"/>
        <v>0</v>
      </c>
      <c r="AM262" s="76">
        <f t="shared" si="386"/>
        <v>0</v>
      </c>
      <c r="AN262" s="76">
        <f t="shared" si="386"/>
        <v>0</v>
      </c>
      <c r="AO262" s="76">
        <f t="shared" si="386"/>
        <v>0</v>
      </c>
      <c r="AP262" s="76">
        <f t="shared" si="386"/>
        <v>0</v>
      </c>
      <c r="AQ262" s="76">
        <f t="shared" si="386"/>
        <v>0</v>
      </c>
      <c r="AR262" s="720">
        <f t="shared" si="386"/>
        <v>0</v>
      </c>
      <c r="AS262" s="701">
        <f t="shared" si="386"/>
        <v>8067327</v>
      </c>
      <c r="AT262" s="75">
        <f t="shared" si="386"/>
        <v>5957091</v>
      </c>
      <c r="AU262" s="75">
        <f t="shared" si="386"/>
        <v>0</v>
      </c>
      <c r="AV262" s="75">
        <f t="shared" si="386"/>
        <v>2013497</v>
      </c>
      <c r="AW262" s="75">
        <f t="shared" si="386"/>
        <v>59571</v>
      </c>
      <c r="AX262" s="75">
        <f t="shared" si="386"/>
        <v>37168</v>
      </c>
      <c r="AY262" s="76">
        <f t="shared" si="386"/>
        <v>12.881499999999999</v>
      </c>
      <c r="AZ262" s="76">
        <f t="shared" si="386"/>
        <v>8.4514999999999993</v>
      </c>
      <c r="BA262" s="77">
        <f t="shared" si="386"/>
        <v>4.43</v>
      </c>
    </row>
    <row r="263" spans="1:53" ht="11.25" customHeight="1" x14ac:dyDescent="0.2">
      <c r="A263" s="67">
        <v>54</v>
      </c>
      <c r="B263" s="64">
        <v>2434</v>
      </c>
      <c r="C263" s="65">
        <v>600079317</v>
      </c>
      <c r="D263" s="64">
        <v>46746480</v>
      </c>
      <c r="E263" s="66" t="s">
        <v>664</v>
      </c>
      <c r="F263" s="67">
        <v>3111</v>
      </c>
      <c r="G263" s="66" t="s">
        <v>307</v>
      </c>
      <c r="H263" s="68" t="s">
        <v>277</v>
      </c>
      <c r="I263" s="462">
        <v>13912506</v>
      </c>
      <c r="J263" s="16">
        <v>10267735</v>
      </c>
      <c r="K263" s="457">
        <v>3470494</v>
      </c>
      <c r="L263" s="457">
        <v>102677</v>
      </c>
      <c r="M263" s="16">
        <v>71600</v>
      </c>
      <c r="N263" s="13">
        <v>21.759999999999998</v>
      </c>
      <c r="O263" s="13">
        <v>16</v>
      </c>
      <c r="P263" s="17">
        <v>5.76</v>
      </c>
      <c r="Q263" s="469">
        <f t="shared" si="307"/>
        <v>-6240</v>
      </c>
      <c r="R263" s="469">
        <v>0</v>
      </c>
      <c r="S263" s="460">
        <v>0</v>
      </c>
      <c r="T263" s="460">
        <v>0</v>
      </c>
      <c r="U263" s="460">
        <v>0</v>
      </c>
      <c r="V263" s="460">
        <f>SUM(Q263:U263)</f>
        <v>-6240</v>
      </c>
      <c r="W263" s="460">
        <v>6240</v>
      </c>
      <c r="X263" s="460">
        <v>0</v>
      </c>
      <c r="Y263" s="460">
        <v>0</v>
      </c>
      <c r="Z263" s="460">
        <f t="shared" ref="Z263:Z265" si="387">SUM(W263:Y263)</f>
        <v>6240</v>
      </c>
      <c r="AA263" s="460">
        <f t="shared" ref="AA263:AA265" si="388">V263+Z263</f>
        <v>0</v>
      </c>
      <c r="AB263" s="69">
        <f t="shared" ref="AB263:AB265" si="389">ROUND((V263+W263+X263)*33.8%,0)</f>
        <v>0</v>
      </c>
      <c r="AC263" s="69">
        <f t="shared" ref="AC263:AC265" si="390">ROUND(V263*1%,0)</f>
        <v>-62</v>
      </c>
      <c r="AD263" s="460">
        <v>0</v>
      </c>
      <c r="AE263" s="460">
        <v>0</v>
      </c>
      <c r="AF263" s="460">
        <f>SUM(AD263:AE263)</f>
        <v>0</v>
      </c>
      <c r="AG263" s="460">
        <f>AA263+AB263+AC263+AF263</f>
        <v>-62</v>
      </c>
      <c r="AH263" s="461">
        <v>0</v>
      </c>
      <c r="AI263" s="461">
        <v>0</v>
      </c>
      <c r="AJ263" s="461">
        <v>0</v>
      </c>
      <c r="AK263" s="461">
        <v>0</v>
      </c>
      <c r="AL263" s="461">
        <v>0</v>
      </c>
      <c r="AM263" s="461">
        <v>0</v>
      </c>
      <c r="AN263" s="461">
        <v>0</v>
      </c>
      <c r="AO263" s="461">
        <v>0</v>
      </c>
      <c r="AP263" s="461">
        <f t="shared" si="308"/>
        <v>0</v>
      </c>
      <c r="AQ263" s="461">
        <f t="shared" si="309"/>
        <v>0</v>
      </c>
      <c r="AR263" s="737">
        <f t="shared" si="310"/>
        <v>0</v>
      </c>
      <c r="AS263" s="470">
        <f t="shared" si="311"/>
        <v>13912444</v>
      </c>
      <c r="AT263" s="460">
        <f t="shared" si="312"/>
        <v>10261495</v>
      </c>
      <c r="AU263" s="460">
        <f t="shared" si="313"/>
        <v>6240</v>
      </c>
      <c r="AV263" s="460">
        <f t="shared" si="314"/>
        <v>3470494</v>
      </c>
      <c r="AW263" s="460">
        <f t="shared" si="315"/>
        <v>102615</v>
      </c>
      <c r="AX263" s="460">
        <f t="shared" si="316"/>
        <v>71600</v>
      </c>
      <c r="AY263" s="461">
        <f t="shared" si="317"/>
        <v>21.759999999999998</v>
      </c>
      <c r="AZ263" s="461">
        <f t="shared" si="318"/>
        <v>16</v>
      </c>
      <c r="BA263" s="463">
        <f t="shared" si="319"/>
        <v>5.76</v>
      </c>
    </row>
    <row r="264" spans="1:53" ht="14.1" customHeight="1" x14ac:dyDescent="0.2">
      <c r="A264" s="67">
        <v>54</v>
      </c>
      <c r="B264" s="64">
        <v>2434</v>
      </c>
      <c r="C264" s="65">
        <v>600079317</v>
      </c>
      <c r="D264" s="64">
        <v>46746480</v>
      </c>
      <c r="E264" s="66" t="s">
        <v>664</v>
      </c>
      <c r="F264" s="67">
        <v>3111</v>
      </c>
      <c r="G264" s="78" t="s">
        <v>308</v>
      </c>
      <c r="H264" s="68" t="s">
        <v>278</v>
      </c>
      <c r="I264" s="462">
        <v>0</v>
      </c>
      <c r="J264" s="457">
        <v>0</v>
      </c>
      <c r="K264" s="457">
        <v>0</v>
      </c>
      <c r="L264" s="457">
        <v>0</v>
      </c>
      <c r="M264" s="457">
        <v>0</v>
      </c>
      <c r="N264" s="458">
        <v>0</v>
      </c>
      <c r="O264" s="459">
        <v>0</v>
      </c>
      <c r="P264" s="646">
        <v>0</v>
      </c>
      <c r="Q264" s="469">
        <f t="shared" si="307"/>
        <v>0</v>
      </c>
      <c r="R264" s="469">
        <v>1039341</v>
      </c>
      <c r="S264" s="460">
        <v>0</v>
      </c>
      <c r="T264" s="460">
        <v>0</v>
      </c>
      <c r="U264" s="460">
        <v>0</v>
      </c>
      <c r="V264" s="460">
        <f>SUM(Q264:U264)</f>
        <v>1039341</v>
      </c>
      <c r="W264" s="460">
        <v>0</v>
      </c>
      <c r="X264" s="460">
        <v>0</v>
      </c>
      <c r="Y264" s="460">
        <v>0</v>
      </c>
      <c r="Z264" s="460">
        <f t="shared" si="387"/>
        <v>0</v>
      </c>
      <c r="AA264" s="460">
        <f t="shared" si="388"/>
        <v>1039341</v>
      </c>
      <c r="AB264" s="69">
        <f t="shared" si="389"/>
        <v>351297</v>
      </c>
      <c r="AC264" s="69">
        <f t="shared" si="390"/>
        <v>10393</v>
      </c>
      <c r="AD264" s="460">
        <v>2750</v>
      </c>
      <c r="AE264" s="460">
        <v>0</v>
      </c>
      <c r="AF264" s="460">
        <f>SUM(AD264:AE264)</f>
        <v>2750</v>
      </c>
      <c r="AG264" s="460">
        <f>AA264+AB264+AC264+AF264</f>
        <v>1403781</v>
      </c>
      <c r="AH264" s="461">
        <v>0</v>
      </c>
      <c r="AI264" s="461">
        <v>0</v>
      </c>
      <c r="AJ264" s="461">
        <v>3</v>
      </c>
      <c r="AK264" s="461">
        <v>0</v>
      </c>
      <c r="AL264" s="461">
        <v>0</v>
      </c>
      <c r="AM264" s="461">
        <v>0</v>
      </c>
      <c r="AN264" s="461">
        <v>0</v>
      </c>
      <c r="AO264" s="461">
        <v>0</v>
      </c>
      <c r="AP264" s="461">
        <f t="shared" si="308"/>
        <v>3</v>
      </c>
      <c r="AQ264" s="461">
        <f t="shared" si="309"/>
        <v>0</v>
      </c>
      <c r="AR264" s="737">
        <f t="shared" si="310"/>
        <v>3</v>
      </c>
      <c r="AS264" s="470">
        <f t="shared" si="311"/>
        <v>1403781</v>
      </c>
      <c r="AT264" s="460">
        <f t="shared" si="312"/>
        <v>1039341</v>
      </c>
      <c r="AU264" s="460">
        <f t="shared" si="313"/>
        <v>0</v>
      </c>
      <c r="AV264" s="460">
        <f t="shared" si="314"/>
        <v>351297</v>
      </c>
      <c r="AW264" s="460">
        <f t="shared" si="315"/>
        <v>10393</v>
      </c>
      <c r="AX264" s="460">
        <f t="shared" si="316"/>
        <v>2750</v>
      </c>
      <c r="AY264" s="461">
        <f t="shared" si="317"/>
        <v>3</v>
      </c>
      <c r="AZ264" s="461">
        <f t="shared" si="318"/>
        <v>3</v>
      </c>
      <c r="BA264" s="463">
        <f t="shared" si="319"/>
        <v>0</v>
      </c>
    </row>
    <row r="265" spans="1:53" ht="14.1" customHeight="1" x14ac:dyDescent="0.2">
      <c r="A265" s="67">
        <v>54</v>
      </c>
      <c r="B265" s="64">
        <v>2434</v>
      </c>
      <c r="C265" s="65">
        <v>600079317</v>
      </c>
      <c r="D265" s="64">
        <v>46746480</v>
      </c>
      <c r="E265" s="66" t="s">
        <v>664</v>
      </c>
      <c r="F265" s="67">
        <v>3141</v>
      </c>
      <c r="G265" s="66" t="s">
        <v>311</v>
      </c>
      <c r="H265" s="68" t="s">
        <v>278</v>
      </c>
      <c r="I265" s="462">
        <v>2006290</v>
      </c>
      <c r="J265" s="728">
        <v>1482003</v>
      </c>
      <c r="K265" s="457">
        <v>500917</v>
      </c>
      <c r="L265" s="457">
        <v>14820</v>
      </c>
      <c r="M265" s="728">
        <v>8550</v>
      </c>
      <c r="N265" s="458">
        <v>4.76</v>
      </c>
      <c r="O265" s="459">
        <v>0</v>
      </c>
      <c r="P265" s="646">
        <v>4.76</v>
      </c>
      <c r="Q265" s="469">
        <f t="shared" si="307"/>
        <v>0</v>
      </c>
      <c r="R265" s="469">
        <v>0</v>
      </c>
      <c r="S265" s="460">
        <v>0</v>
      </c>
      <c r="T265" s="460">
        <v>0</v>
      </c>
      <c r="U265" s="460">
        <v>0</v>
      </c>
      <c r="V265" s="460">
        <f>SUM(Q265:U265)</f>
        <v>0</v>
      </c>
      <c r="W265" s="460">
        <v>0</v>
      </c>
      <c r="X265" s="460">
        <v>0</v>
      </c>
      <c r="Y265" s="460">
        <v>0</v>
      </c>
      <c r="Z265" s="460">
        <f t="shared" si="387"/>
        <v>0</v>
      </c>
      <c r="AA265" s="460">
        <f t="shared" si="388"/>
        <v>0</v>
      </c>
      <c r="AB265" s="69">
        <f t="shared" si="389"/>
        <v>0</v>
      </c>
      <c r="AC265" s="69">
        <f t="shared" si="390"/>
        <v>0</v>
      </c>
      <c r="AD265" s="460">
        <v>0</v>
      </c>
      <c r="AE265" s="460">
        <v>0</v>
      </c>
      <c r="AF265" s="460">
        <f>SUM(AD265:AE265)</f>
        <v>0</v>
      </c>
      <c r="AG265" s="460">
        <f>AA265+AB265+AC265+AF265</f>
        <v>0</v>
      </c>
      <c r="AH265" s="461">
        <v>0</v>
      </c>
      <c r="AI265" s="461">
        <v>0</v>
      </c>
      <c r="AJ265" s="461">
        <v>0</v>
      </c>
      <c r="AK265" s="461">
        <v>0</v>
      </c>
      <c r="AL265" s="461">
        <v>0</v>
      </c>
      <c r="AM265" s="461">
        <v>0</v>
      </c>
      <c r="AN265" s="461">
        <v>0</v>
      </c>
      <c r="AO265" s="461">
        <v>0</v>
      </c>
      <c r="AP265" s="461">
        <f t="shared" si="308"/>
        <v>0</v>
      </c>
      <c r="AQ265" s="461">
        <f t="shared" si="309"/>
        <v>0</v>
      </c>
      <c r="AR265" s="737">
        <f t="shared" si="310"/>
        <v>0</v>
      </c>
      <c r="AS265" s="470">
        <f t="shared" si="311"/>
        <v>2006290</v>
      </c>
      <c r="AT265" s="460">
        <f t="shared" si="312"/>
        <v>1482003</v>
      </c>
      <c r="AU265" s="460">
        <f t="shared" si="313"/>
        <v>0</v>
      </c>
      <c r="AV265" s="460">
        <f t="shared" si="314"/>
        <v>500917</v>
      </c>
      <c r="AW265" s="460">
        <f t="shared" si="315"/>
        <v>14820</v>
      </c>
      <c r="AX265" s="460">
        <f t="shared" si="316"/>
        <v>8550</v>
      </c>
      <c r="AY265" s="461">
        <f t="shared" si="317"/>
        <v>4.76</v>
      </c>
      <c r="AZ265" s="461">
        <f t="shared" si="318"/>
        <v>0</v>
      </c>
      <c r="BA265" s="463">
        <f t="shared" si="319"/>
        <v>4.76</v>
      </c>
    </row>
    <row r="266" spans="1:53" ht="14.1" customHeight="1" x14ac:dyDescent="0.2">
      <c r="A266" s="73">
        <v>54</v>
      </c>
      <c r="B266" s="70">
        <v>2434</v>
      </c>
      <c r="C266" s="71">
        <v>600079317</v>
      </c>
      <c r="D266" s="70">
        <v>46746480</v>
      </c>
      <c r="E266" s="72" t="s">
        <v>665</v>
      </c>
      <c r="F266" s="73"/>
      <c r="G266" s="72"/>
      <c r="H266" s="74"/>
      <c r="I266" s="701">
        <f t="shared" ref="I266:P266" si="391">SUM(I263:I265)</f>
        <v>15918796</v>
      </c>
      <c r="J266" s="75">
        <f t="shared" si="391"/>
        <v>11749738</v>
      </c>
      <c r="K266" s="75">
        <f t="shared" si="391"/>
        <v>3971411</v>
      </c>
      <c r="L266" s="75">
        <f t="shared" si="391"/>
        <v>117497</v>
      </c>
      <c r="M266" s="75">
        <f t="shared" si="391"/>
        <v>80150</v>
      </c>
      <c r="N266" s="76">
        <f t="shared" si="391"/>
        <v>26.519999999999996</v>
      </c>
      <c r="O266" s="76">
        <f t="shared" si="391"/>
        <v>16</v>
      </c>
      <c r="P266" s="77">
        <f t="shared" si="391"/>
        <v>10.52</v>
      </c>
      <c r="Q266" s="724">
        <f t="shared" ref="Q266:BA266" si="392">SUM(Q263:Q265)</f>
        <v>-6240</v>
      </c>
      <c r="R266" s="724">
        <f t="shared" si="392"/>
        <v>1039341</v>
      </c>
      <c r="S266" s="75">
        <f t="shared" si="392"/>
        <v>0</v>
      </c>
      <c r="T266" s="75">
        <f t="shared" si="392"/>
        <v>0</v>
      </c>
      <c r="U266" s="75">
        <f t="shared" si="392"/>
        <v>0</v>
      </c>
      <c r="V266" s="75">
        <f t="shared" si="392"/>
        <v>1033101</v>
      </c>
      <c r="W266" s="75">
        <f t="shared" si="392"/>
        <v>6240</v>
      </c>
      <c r="X266" s="75">
        <f t="shared" si="392"/>
        <v>0</v>
      </c>
      <c r="Y266" s="75">
        <f t="shared" si="392"/>
        <v>0</v>
      </c>
      <c r="Z266" s="75">
        <f t="shared" si="392"/>
        <v>6240</v>
      </c>
      <c r="AA266" s="75">
        <f t="shared" si="392"/>
        <v>1039341</v>
      </c>
      <c r="AB266" s="75">
        <f t="shared" si="392"/>
        <v>351297</v>
      </c>
      <c r="AC266" s="75">
        <f t="shared" si="392"/>
        <v>10331</v>
      </c>
      <c r="AD266" s="75">
        <f t="shared" si="392"/>
        <v>2750</v>
      </c>
      <c r="AE266" s="75">
        <f t="shared" si="392"/>
        <v>0</v>
      </c>
      <c r="AF266" s="75">
        <f t="shared" si="392"/>
        <v>2750</v>
      </c>
      <c r="AG266" s="75">
        <f t="shared" si="392"/>
        <v>1403719</v>
      </c>
      <c r="AH266" s="76">
        <f t="shared" si="392"/>
        <v>0</v>
      </c>
      <c r="AI266" s="76">
        <f t="shared" si="392"/>
        <v>0</v>
      </c>
      <c r="AJ266" s="76">
        <f t="shared" si="392"/>
        <v>3</v>
      </c>
      <c r="AK266" s="76">
        <f t="shared" si="392"/>
        <v>0</v>
      </c>
      <c r="AL266" s="76">
        <f t="shared" si="392"/>
        <v>0</v>
      </c>
      <c r="AM266" s="76">
        <f t="shared" si="392"/>
        <v>0</v>
      </c>
      <c r="AN266" s="76">
        <f t="shared" si="392"/>
        <v>0</v>
      </c>
      <c r="AO266" s="76">
        <f t="shared" si="392"/>
        <v>0</v>
      </c>
      <c r="AP266" s="76">
        <f t="shared" si="392"/>
        <v>3</v>
      </c>
      <c r="AQ266" s="76">
        <f t="shared" si="392"/>
        <v>0</v>
      </c>
      <c r="AR266" s="720">
        <f t="shared" si="392"/>
        <v>3</v>
      </c>
      <c r="AS266" s="701">
        <f t="shared" si="392"/>
        <v>17322515</v>
      </c>
      <c r="AT266" s="75">
        <f t="shared" si="392"/>
        <v>12782839</v>
      </c>
      <c r="AU266" s="75">
        <f t="shared" si="392"/>
        <v>6240</v>
      </c>
      <c r="AV266" s="75">
        <f t="shared" si="392"/>
        <v>4322708</v>
      </c>
      <c r="AW266" s="75">
        <f t="shared" si="392"/>
        <v>127828</v>
      </c>
      <c r="AX266" s="75">
        <f t="shared" si="392"/>
        <v>82900</v>
      </c>
      <c r="AY266" s="76">
        <f t="shared" si="392"/>
        <v>29.519999999999996</v>
      </c>
      <c r="AZ266" s="76">
        <f t="shared" si="392"/>
        <v>19</v>
      </c>
      <c r="BA266" s="77">
        <f t="shared" si="392"/>
        <v>10.52</v>
      </c>
    </row>
    <row r="267" spans="1:53" ht="14.1" customHeight="1" x14ac:dyDescent="0.2">
      <c r="A267" s="67">
        <v>55</v>
      </c>
      <c r="B267" s="64">
        <v>2484</v>
      </c>
      <c r="C267" s="65">
        <v>600079864</v>
      </c>
      <c r="D267" s="64">
        <v>46746145</v>
      </c>
      <c r="E267" s="66" t="s">
        <v>666</v>
      </c>
      <c r="F267" s="67">
        <v>3113</v>
      </c>
      <c r="G267" s="66" t="s">
        <v>310</v>
      </c>
      <c r="H267" s="68" t="s">
        <v>277</v>
      </c>
      <c r="I267" s="462">
        <v>44469675</v>
      </c>
      <c r="J267" s="16">
        <v>32261691</v>
      </c>
      <c r="K267" s="457">
        <v>10904452</v>
      </c>
      <c r="L267" s="457">
        <v>322617</v>
      </c>
      <c r="M267" s="16">
        <v>980915</v>
      </c>
      <c r="N267" s="13">
        <v>54.174599999999998</v>
      </c>
      <c r="O267" s="13">
        <v>43.954599999999999</v>
      </c>
      <c r="P267" s="17">
        <v>10.220000000000001</v>
      </c>
      <c r="Q267" s="469">
        <f t="shared" si="307"/>
        <v>-143000</v>
      </c>
      <c r="R267" s="469">
        <v>0</v>
      </c>
      <c r="S267" s="460">
        <v>0</v>
      </c>
      <c r="T267" s="460">
        <v>0</v>
      </c>
      <c r="U267" s="460">
        <v>0</v>
      </c>
      <c r="V267" s="460">
        <f>SUM(Q267:U267)</f>
        <v>-143000</v>
      </c>
      <c r="W267" s="460">
        <v>143000</v>
      </c>
      <c r="X267" s="460">
        <v>0</v>
      </c>
      <c r="Y267" s="460">
        <v>0</v>
      </c>
      <c r="Z267" s="460">
        <f t="shared" ref="Z267:Z271" si="393">SUM(W267:Y267)</f>
        <v>143000</v>
      </c>
      <c r="AA267" s="460">
        <f t="shared" ref="AA267:AA271" si="394">V267+Z267</f>
        <v>0</v>
      </c>
      <c r="AB267" s="69">
        <f t="shared" ref="AB267:AB271" si="395">ROUND((V267+W267+X267)*33.8%,0)</f>
        <v>0</v>
      </c>
      <c r="AC267" s="69">
        <f t="shared" ref="AC267:AC271" si="396">ROUND(V267*1%,0)</f>
        <v>-1430</v>
      </c>
      <c r="AD267" s="460">
        <v>0</v>
      </c>
      <c r="AE267" s="460">
        <v>0</v>
      </c>
      <c r="AF267" s="460">
        <f>SUM(AD267:AE267)</f>
        <v>0</v>
      </c>
      <c r="AG267" s="460">
        <f>AA267+AB267+AC267+AF267</f>
        <v>-1430</v>
      </c>
      <c r="AH267" s="461">
        <v>-0.08</v>
      </c>
      <c r="AI267" s="461">
        <v>-0.04</v>
      </c>
      <c r="AJ267" s="461">
        <v>0</v>
      </c>
      <c r="AK267" s="461">
        <v>0</v>
      </c>
      <c r="AL267" s="461">
        <v>0</v>
      </c>
      <c r="AM267" s="461">
        <v>0</v>
      </c>
      <c r="AN267" s="461">
        <v>0</v>
      </c>
      <c r="AO267" s="461">
        <v>0</v>
      </c>
      <c r="AP267" s="461">
        <f t="shared" si="308"/>
        <v>-0.08</v>
      </c>
      <c r="AQ267" s="461">
        <f t="shared" si="309"/>
        <v>-0.04</v>
      </c>
      <c r="AR267" s="737">
        <f t="shared" si="310"/>
        <v>-0.12</v>
      </c>
      <c r="AS267" s="470">
        <f t="shared" si="311"/>
        <v>44468245</v>
      </c>
      <c r="AT267" s="460">
        <f t="shared" si="312"/>
        <v>32118691</v>
      </c>
      <c r="AU267" s="460">
        <f t="shared" si="313"/>
        <v>143000</v>
      </c>
      <c r="AV267" s="460">
        <f t="shared" si="314"/>
        <v>10904452</v>
      </c>
      <c r="AW267" s="460">
        <f t="shared" si="315"/>
        <v>321187</v>
      </c>
      <c r="AX267" s="460">
        <f t="shared" si="316"/>
        <v>980915</v>
      </c>
      <c r="AY267" s="461">
        <f t="shared" si="317"/>
        <v>54.054600000000001</v>
      </c>
      <c r="AZ267" s="461">
        <f t="shared" si="318"/>
        <v>43.874600000000001</v>
      </c>
      <c r="BA267" s="463">
        <f t="shared" si="319"/>
        <v>10.180000000000001</v>
      </c>
    </row>
    <row r="268" spans="1:53" ht="14.1" customHeight="1" x14ac:dyDescent="0.2">
      <c r="A268" s="67">
        <v>55</v>
      </c>
      <c r="B268" s="64">
        <v>2484</v>
      </c>
      <c r="C268" s="65">
        <v>600079864</v>
      </c>
      <c r="D268" s="64">
        <v>46746145</v>
      </c>
      <c r="E268" s="66" t="s">
        <v>666</v>
      </c>
      <c r="F268" s="67">
        <v>3113</v>
      </c>
      <c r="G268" s="78" t="s">
        <v>308</v>
      </c>
      <c r="H268" s="68" t="s">
        <v>278</v>
      </c>
      <c r="I268" s="462">
        <v>0</v>
      </c>
      <c r="J268" s="457">
        <v>0</v>
      </c>
      <c r="K268" s="457">
        <v>0</v>
      </c>
      <c r="L268" s="457">
        <v>0</v>
      </c>
      <c r="M268" s="457">
        <v>0</v>
      </c>
      <c r="N268" s="458">
        <v>0</v>
      </c>
      <c r="O268" s="459">
        <v>0</v>
      </c>
      <c r="P268" s="646">
        <v>0</v>
      </c>
      <c r="Q268" s="469">
        <f t="shared" ref="Q268:Q331" si="397">W268*-1</f>
        <v>0</v>
      </c>
      <c r="R268" s="469">
        <v>3247814</v>
      </c>
      <c r="S268" s="460">
        <v>0</v>
      </c>
      <c r="T268" s="460">
        <v>0</v>
      </c>
      <c r="U268" s="460">
        <v>0</v>
      </c>
      <c r="V268" s="460">
        <f>SUM(Q268:U268)</f>
        <v>3247814</v>
      </c>
      <c r="W268" s="460">
        <v>0</v>
      </c>
      <c r="X268" s="460">
        <v>0</v>
      </c>
      <c r="Y268" s="460">
        <v>0</v>
      </c>
      <c r="Z268" s="460">
        <f t="shared" si="393"/>
        <v>0</v>
      </c>
      <c r="AA268" s="460">
        <f t="shared" si="394"/>
        <v>3247814</v>
      </c>
      <c r="AB268" s="69">
        <f t="shared" si="395"/>
        <v>1097761</v>
      </c>
      <c r="AC268" s="69">
        <f t="shared" si="396"/>
        <v>32478</v>
      </c>
      <c r="AD268" s="460">
        <v>4500</v>
      </c>
      <c r="AE268" s="460">
        <v>0</v>
      </c>
      <c r="AF268" s="460">
        <f>SUM(AD268:AE268)</f>
        <v>4500</v>
      </c>
      <c r="AG268" s="460">
        <f>AA268+AB268+AC268+AF268</f>
        <v>4382553</v>
      </c>
      <c r="AH268" s="461">
        <v>0</v>
      </c>
      <c r="AI268" s="461">
        <v>0</v>
      </c>
      <c r="AJ268" s="461">
        <v>9.0400000000000009</v>
      </c>
      <c r="AK268" s="461">
        <v>0</v>
      </c>
      <c r="AL268" s="461">
        <v>0</v>
      </c>
      <c r="AM268" s="461">
        <v>0</v>
      </c>
      <c r="AN268" s="461">
        <v>0</v>
      </c>
      <c r="AO268" s="461">
        <v>0</v>
      </c>
      <c r="AP268" s="461">
        <f t="shared" si="308"/>
        <v>9.0400000000000009</v>
      </c>
      <c r="AQ268" s="461">
        <f t="shared" si="309"/>
        <v>0</v>
      </c>
      <c r="AR268" s="737">
        <f t="shared" si="310"/>
        <v>9.0400000000000009</v>
      </c>
      <c r="AS268" s="470">
        <f t="shared" si="311"/>
        <v>4382553</v>
      </c>
      <c r="AT268" s="460">
        <f t="shared" si="312"/>
        <v>3247814</v>
      </c>
      <c r="AU268" s="460">
        <f t="shared" si="313"/>
        <v>0</v>
      </c>
      <c r="AV268" s="460">
        <f t="shared" si="314"/>
        <v>1097761</v>
      </c>
      <c r="AW268" s="460">
        <f t="shared" si="315"/>
        <v>32478</v>
      </c>
      <c r="AX268" s="460">
        <f t="shared" si="316"/>
        <v>4500</v>
      </c>
      <c r="AY268" s="461">
        <f t="shared" si="317"/>
        <v>9.0400000000000009</v>
      </c>
      <c r="AZ268" s="461">
        <f t="shared" si="318"/>
        <v>9.0400000000000009</v>
      </c>
      <c r="BA268" s="463">
        <f t="shared" si="319"/>
        <v>0</v>
      </c>
    </row>
    <row r="269" spans="1:53" ht="14.1" customHeight="1" x14ac:dyDescent="0.2">
      <c r="A269" s="67">
        <v>55</v>
      </c>
      <c r="B269" s="64">
        <v>2484</v>
      </c>
      <c r="C269" s="65">
        <v>600079864</v>
      </c>
      <c r="D269" s="64">
        <v>46746145</v>
      </c>
      <c r="E269" s="66" t="s">
        <v>666</v>
      </c>
      <c r="F269" s="67">
        <v>3141</v>
      </c>
      <c r="G269" s="66" t="s">
        <v>311</v>
      </c>
      <c r="H269" s="68" t="s">
        <v>278</v>
      </c>
      <c r="I269" s="462">
        <v>3689567</v>
      </c>
      <c r="J269" s="728">
        <v>2711839</v>
      </c>
      <c r="K269" s="457">
        <v>916602</v>
      </c>
      <c r="L269" s="457">
        <v>27118</v>
      </c>
      <c r="M269" s="728">
        <v>34008</v>
      </c>
      <c r="N269" s="458">
        <v>8.7100000000000009</v>
      </c>
      <c r="O269" s="459">
        <v>0</v>
      </c>
      <c r="P269" s="646">
        <v>8.7100000000000009</v>
      </c>
      <c r="Q269" s="469">
        <f t="shared" si="397"/>
        <v>-117000</v>
      </c>
      <c r="R269" s="469">
        <v>0</v>
      </c>
      <c r="S269" s="460">
        <v>0</v>
      </c>
      <c r="T269" s="460">
        <v>0</v>
      </c>
      <c r="U269" s="460">
        <v>0</v>
      </c>
      <c r="V269" s="460">
        <f>SUM(Q269:U269)</f>
        <v>-117000</v>
      </c>
      <c r="W269" s="460">
        <v>117000</v>
      </c>
      <c r="X269" s="460">
        <v>0</v>
      </c>
      <c r="Y269" s="460">
        <v>0</v>
      </c>
      <c r="Z269" s="460">
        <f t="shared" si="393"/>
        <v>117000</v>
      </c>
      <c r="AA269" s="460">
        <f t="shared" si="394"/>
        <v>0</v>
      </c>
      <c r="AB269" s="69">
        <f t="shared" si="395"/>
        <v>0</v>
      </c>
      <c r="AC269" s="69">
        <f t="shared" si="396"/>
        <v>-1170</v>
      </c>
      <c r="AD269" s="460">
        <v>0</v>
      </c>
      <c r="AE269" s="460">
        <v>0</v>
      </c>
      <c r="AF269" s="460">
        <f>SUM(AD269:AE269)</f>
        <v>0</v>
      </c>
      <c r="AG269" s="460">
        <f>AA269+AB269+AC269+AF269</f>
        <v>-1170</v>
      </c>
      <c r="AH269" s="461">
        <v>0</v>
      </c>
      <c r="AI269" s="461">
        <v>-0.13</v>
      </c>
      <c r="AJ269" s="461">
        <v>0</v>
      </c>
      <c r="AK269" s="461">
        <v>0</v>
      </c>
      <c r="AL269" s="461">
        <v>0</v>
      </c>
      <c r="AM269" s="461">
        <v>0</v>
      </c>
      <c r="AN269" s="461">
        <v>0</v>
      </c>
      <c r="AO269" s="461">
        <v>0</v>
      </c>
      <c r="AP269" s="461">
        <f t="shared" ref="AP269:AP331" si="398">AH269+AJ269+AK269+AM269+AN269</f>
        <v>0</v>
      </c>
      <c r="AQ269" s="461">
        <f t="shared" ref="AQ269:AQ331" si="399">AI269+AL269+AO269</f>
        <v>-0.13</v>
      </c>
      <c r="AR269" s="737">
        <f t="shared" ref="AR269:AR331" si="400">SUM(AP269:AQ269)</f>
        <v>-0.13</v>
      </c>
      <c r="AS269" s="470">
        <f t="shared" ref="AS269:AS331" si="401">I269+AG269</f>
        <v>3688397</v>
      </c>
      <c r="AT269" s="460">
        <f t="shared" ref="AT269:AT331" si="402">J269+V269</f>
        <v>2594839</v>
      </c>
      <c r="AU269" s="460">
        <f t="shared" ref="AU269:AU331" si="403">Z269</f>
        <v>117000</v>
      </c>
      <c r="AV269" s="460">
        <f t="shared" ref="AV269:AV331" si="404">K269+AB269</f>
        <v>916602</v>
      </c>
      <c r="AW269" s="460">
        <f t="shared" ref="AW269:AW331" si="405">L269+AC269</f>
        <v>25948</v>
      </c>
      <c r="AX269" s="460">
        <f t="shared" ref="AX269:AX331" si="406">M269+AF269</f>
        <v>34008</v>
      </c>
      <c r="AY269" s="461">
        <f t="shared" ref="AY269:AY331" si="407">N269+AR269</f>
        <v>8.58</v>
      </c>
      <c r="AZ269" s="461">
        <f t="shared" ref="AZ269:AZ331" si="408">O269+AP269</f>
        <v>0</v>
      </c>
      <c r="BA269" s="463">
        <f t="shared" ref="BA269:BA331" si="409">P269+AQ269</f>
        <v>8.58</v>
      </c>
    </row>
    <row r="270" spans="1:53" ht="14.1" customHeight="1" x14ac:dyDescent="0.2">
      <c r="A270" s="67">
        <v>55</v>
      </c>
      <c r="B270" s="64">
        <v>2484</v>
      </c>
      <c r="C270" s="65">
        <v>600079864</v>
      </c>
      <c r="D270" s="64">
        <v>46746145</v>
      </c>
      <c r="E270" s="66" t="s">
        <v>666</v>
      </c>
      <c r="F270" s="67">
        <v>3143</v>
      </c>
      <c r="G270" s="78" t="s">
        <v>616</v>
      </c>
      <c r="H270" s="68" t="s">
        <v>277</v>
      </c>
      <c r="I270" s="462">
        <v>4191897</v>
      </c>
      <c r="J270" s="16">
        <v>3109716</v>
      </c>
      <c r="K270" s="457">
        <v>1051084</v>
      </c>
      <c r="L270" s="457">
        <v>31097</v>
      </c>
      <c r="M270" s="16">
        <v>0</v>
      </c>
      <c r="N270" s="458">
        <v>6.4435000000000002</v>
      </c>
      <c r="O270" s="13">
        <v>6.4435000000000002</v>
      </c>
      <c r="P270" s="17">
        <v>0</v>
      </c>
      <c r="Q270" s="469">
        <f t="shared" si="397"/>
        <v>-78000</v>
      </c>
      <c r="R270" s="469">
        <v>0</v>
      </c>
      <c r="S270" s="460">
        <v>0</v>
      </c>
      <c r="T270" s="460">
        <v>0</v>
      </c>
      <c r="U270" s="460">
        <v>0</v>
      </c>
      <c r="V270" s="460">
        <f>SUM(Q270:U270)</f>
        <v>-78000</v>
      </c>
      <c r="W270" s="460">
        <v>78000</v>
      </c>
      <c r="X270" s="460">
        <v>0</v>
      </c>
      <c r="Y270" s="460">
        <v>0</v>
      </c>
      <c r="Z270" s="460">
        <f t="shared" si="393"/>
        <v>78000</v>
      </c>
      <c r="AA270" s="460">
        <f t="shared" si="394"/>
        <v>0</v>
      </c>
      <c r="AB270" s="69">
        <f t="shared" si="395"/>
        <v>0</v>
      </c>
      <c r="AC270" s="69">
        <f t="shared" si="396"/>
        <v>-780</v>
      </c>
      <c r="AD270" s="460">
        <v>0</v>
      </c>
      <c r="AE270" s="460">
        <v>0</v>
      </c>
      <c r="AF270" s="460">
        <f>SUM(AD270:AE270)</f>
        <v>0</v>
      </c>
      <c r="AG270" s="460">
        <f>AA270+AB270+AC270+AF270</f>
        <v>-780</v>
      </c>
      <c r="AH270" s="461">
        <v>0</v>
      </c>
      <c r="AI270" s="461">
        <v>0</v>
      </c>
      <c r="AJ270" s="461">
        <v>0</v>
      </c>
      <c r="AK270" s="461">
        <v>0</v>
      </c>
      <c r="AL270" s="461">
        <v>0</v>
      </c>
      <c r="AM270" s="461">
        <v>0</v>
      </c>
      <c r="AN270" s="461">
        <v>0</v>
      </c>
      <c r="AO270" s="461">
        <v>0</v>
      </c>
      <c r="AP270" s="461">
        <f t="shared" si="398"/>
        <v>0</v>
      </c>
      <c r="AQ270" s="461">
        <f t="shared" si="399"/>
        <v>0</v>
      </c>
      <c r="AR270" s="737">
        <f t="shared" si="400"/>
        <v>0</v>
      </c>
      <c r="AS270" s="470">
        <f t="shared" si="401"/>
        <v>4191117</v>
      </c>
      <c r="AT270" s="460">
        <f t="shared" si="402"/>
        <v>3031716</v>
      </c>
      <c r="AU270" s="460">
        <f t="shared" si="403"/>
        <v>78000</v>
      </c>
      <c r="AV270" s="460">
        <f t="shared" si="404"/>
        <v>1051084</v>
      </c>
      <c r="AW270" s="460">
        <f t="shared" si="405"/>
        <v>30317</v>
      </c>
      <c r="AX270" s="460">
        <f t="shared" si="406"/>
        <v>0</v>
      </c>
      <c r="AY270" s="461">
        <f t="shared" si="407"/>
        <v>6.4435000000000002</v>
      </c>
      <c r="AZ270" s="461">
        <f t="shared" si="408"/>
        <v>6.4435000000000002</v>
      </c>
      <c r="BA270" s="463">
        <f t="shared" si="409"/>
        <v>0</v>
      </c>
    </row>
    <row r="271" spans="1:53" ht="14.1" customHeight="1" x14ac:dyDescent="0.2">
      <c r="A271" s="67">
        <v>55</v>
      </c>
      <c r="B271" s="64">
        <v>2484</v>
      </c>
      <c r="C271" s="65">
        <v>600079864</v>
      </c>
      <c r="D271" s="64">
        <v>46746145</v>
      </c>
      <c r="E271" s="66" t="s">
        <v>666</v>
      </c>
      <c r="F271" s="67">
        <v>3143</v>
      </c>
      <c r="G271" s="78" t="s">
        <v>617</v>
      </c>
      <c r="H271" s="68" t="s">
        <v>278</v>
      </c>
      <c r="I271" s="462">
        <v>137070</v>
      </c>
      <c r="J271" s="673">
        <v>97939</v>
      </c>
      <c r="K271" s="457">
        <v>33103</v>
      </c>
      <c r="L271" s="457">
        <v>979</v>
      </c>
      <c r="M271" s="673">
        <v>5049</v>
      </c>
      <c r="N271" s="458">
        <v>0.39</v>
      </c>
      <c r="O271" s="459">
        <v>0</v>
      </c>
      <c r="P271" s="646">
        <v>0.39</v>
      </c>
      <c r="Q271" s="469">
        <f t="shared" si="397"/>
        <v>0</v>
      </c>
      <c r="R271" s="469">
        <v>0</v>
      </c>
      <c r="S271" s="460">
        <v>0</v>
      </c>
      <c r="T271" s="460">
        <v>0</v>
      </c>
      <c r="U271" s="460">
        <v>0</v>
      </c>
      <c r="V271" s="460">
        <f>SUM(Q271:U271)</f>
        <v>0</v>
      </c>
      <c r="W271" s="460">
        <v>0</v>
      </c>
      <c r="X271" s="460">
        <v>0</v>
      </c>
      <c r="Y271" s="460">
        <v>0</v>
      </c>
      <c r="Z271" s="460">
        <f t="shared" si="393"/>
        <v>0</v>
      </c>
      <c r="AA271" s="460">
        <f t="shared" si="394"/>
        <v>0</v>
      </c>
      <c r="AB271" s="69">
        <f t="shared" si="395"/>
        <v>0</v>
      </c>
      <c r="AC271" s="69">
        <f t="shared" si="396"/>
        <v>0</v>
      </c>
      <c r="AD271" s="460">
        <v>0</v>
      </c>
      <c r="AE271" s="460">
        <v>0</v>
      </c>
      <c r="AF271" s="460">
        <f>SUM(AD271:AE271)</f>
        <v>0</v>
      </c>
      <c r="AG271" s="460">
        <f>AA271+AB271+AC271+AF271</f>
        <v>0</v>
      </c>
      <c r="AH271" s="461">
        <v>0</v>
      </c>
      <c r="AI271" s="461">
        <v>0</v>
      </c>
      <c r="AJ271" s="461">
        <v>0</v>
      </c>
      <c r="AK271" s="461">
        <v>0</v>
      </c>
      <c r="AL271" s="461">
        <v>0</v>
      </c>
      <c r="AM271" s="461">
        <v>0</v>
      </c>
      <c r="AN271" s="461">
        <v>0</v>
      </c>
      <c r="AO271" s="461">
        <v>0</v>
      </c>
      <c r="AP271" s="461">
        <f t="shared" si="398"/>
        <v>0</v>
      </c>
      <c r="AQ271" s="461">
        <f t="shared" si="399"/>
        <v>0</v>
      </c>
      <c r="AR271" s="737">
        <f t="shared" si="400"/>
        <v>0</v>
      </c>
      <c r="AS271" s="470">
        <f t="shared" si="401"/>
        <v>137070</v>
      </c>
      <c r="AT271" s="460">
        <f t="shared" si="402"/>
        <v>97939</v>
      </c>
      <c r="AU271" s="460">
        <f t="shared" si="403"/>
        <v>0</v>
      </c>
      <c r="AV271" s="460">
        <f t="shared" si="404"/>
        <v>33103</v>
      </c>
      <c r="AW271" s="460">
        <f t="shared" si="405"/>
        <v>979</v>
      </c>
      <c r="AX271" s="460">
        <f t="shared" si="406"/>
        <v>5049</v>
      </c>
      <c r="AY271" s="461">
        <f t="shared" si="407"/>
        <v>0.39</v>
      </c>
      <c r="AZ271" s="461">
        <f t="shared" si="408"/>
        <v>0</v>
      </c>
      <c r="BA271" s="463">
        <f t="shared" si="409"/>
        <v>0.39</v>
      </c>
    </row>
    <row r="272" spans="1:53" ht="14.1" customHeight="1" x14ac:dyDescent="0.2">
      <c r="A272" s="73">
        <v>55</v>
      </c>
      <c r="B272" s="70">
        <v>2484</v>
      </c>
      <c r="C272" s="71">
        <v>600079864</v>
      </c>
      <c r="D272" s="70">
        <v>46746145</v>
      </c>
      <c r="E272" s="72" t="s">
        <v>667</v>
      </c>
      <c r="F272" s="73"/>
      <c r="G272" s="72"/>
      <c r="H272" s="74"/>
      <c r="I272" s="701">
        <f t="shared" ref="I272:P272" si="410">SUM(I267:I271)</f>
        <v>52488209</v>
      </c>
      <c r="J272" s="75">
        <f t="shared" si="410"/>
        <v>38181185</v>
      </c>
      <c r="K272" s="75">
        <f t="shared" si="410"/>
        <v>12905241</v>
      </c>
      <c r="L272" s="75">
        <f t="shared" si="410"/>
        <v>381811</v>
      </c>
      <c r="M272" s="75">
        <f t="shared" si="410"/>
        <v>1019972</v>
      </c>
      <c r="N272" s="76">
        <f t="shared" si="410"/>
        <v>69.718100000000007</v>
      </c>
      <c r="O272" s="76">
        <f t="shared" si="410"/>
        <v>50.398099999999999</v>
      </c>
      <c r="P272" s="77">
        <f t="shared" si="410"/>
        <v>19.32</v>
      </c>
      <c r="Q272" s="724">
        <f t="shared" ref="Q272:BA272" si="411">SUM(Q267:Q271)</f>
        <v>-338000</v>
      </c>
      <c r="R272" s="724">
        <f t="shared" si="411"/>
        <v>3247814</v>
      </c>
      <c r="S272" s="75">
        <f t="shared" si="411"/>
        <v>0</v>
      </c>
      <c r="T272" s="75">
        <f t="shared" si="411"/>
        <v>0</v>
      </c>
      <c r="U272" s="75">
        <f t="shared" si="411"/>
        <v>0</v>
      </c>
      <c r="V272" s="75">
        <f t="shared" si="411"/>
        <v>2909814</v>
      </c>
      <c r="W272" s="75">
        <f t="shared" si="411"/>
        <v>338000</v>
      </c>
      <c r="X272" s="75">
        <f t="shared" si="411"/>
        <v>0</v>
      </c>
      <c r="Y272" s="75">
        <f t="shared" si="411"/>
        <v>0</v>
      </c>
      <c r="Z272" s="75">
        <f t="shared" si="411"/>
        <v>338000</v>
      </c>
      <c r="AA272" s="75">
        <f t="shared" si="411"/>
        <v>3247814</v>
      </c>
      <c r="AB272" s="75">
        <f t="shared" si="411"/>
        <v>1097761</v>
      </c>
      <c r="AC272" s="75">
        <f t="shared" si="411"/>
        <v>29098</v>
      </c>
      <c r="AD272" s="75">
        <f t="shared" si="411"/>
        <v>4500</v>
      </c>
      <c r="AE272" s="75">
        <f t="shared" si="411"/>
        <v>0</v>
      </c>
      <c r="AF272" s="75">
        <f t="shared" si="411"/>
        <v>4500</v>
      </c>
      <c r="AG272" s="75">
        <f t="shared" si="411"/>
        <v>4379173</v>
      </c>
      <c r="AH272" s="76">
        <f t="shared" si="411"/>
        <v>-0.08</v>
      </c>
      <c r="AI272" s="76">
        <f t="shared" si="411"/>
        <v>-0.17</v>
      </c>
      <c r="AJ272" s="76">
        <f t="shared" si="411"/>
        <v>9.0400000000000009</v>
      </c>
      <c r="AK272" s="76">
        <f t="shared" si="411"/>
        <v>0</v>
      </c>
      <c r="AL272" s="76">
        <f t="shared" si="411"/>
        <v>0</v>
      </c>
      <c r="AM272" s="76">
        <f t="shared" si="411"/>
        <v>0</v>
      </c>
      <c r="AN272" s="76">
        <f t="shared" si="411"/>
        <v>0</v>
      </c>
      <c r="AO272" s="76">
        <f t="shared" si="411"/>
        <v>0</v>
      </c>
      <c r="AP272" s="76">
        <f t="shared" si="411"/>
        <v>8.9600000000000009</v>
      </c>
      <c r="AQ272" s="76">
        <f t="shared" si="411"/>
        <v>-0.17</v>
      </c>
      <c r="AR272" s="720">
        <f t="shared" si="411"/>
        <v>8.7900000000000009</v>
      </c>
      <c r="AS272" s="701">
        <f t="shared" si="411"/>
        <v>56867382</v>
      </c>
      <c r="AT272" s="75">
        <f t="shared" si="411"/>
        <v>41090999</v>
      </c>
      <c r="AU272" s="75">
        <f t="shared" si="411"/>
        <v>338000</v>
      </c>
      <c r="AV272" s="75">
        <f t="shared" si="411"/>
        <v>14003002</v>
      </c>
      <c r="AW272" s="75">
        <f t="shared" si="411"/>
        <v>410909</v>
      </c>
      <c r="AX272" s="75">
        <f t="shared" si="411"/>
        <v>1024472</v>
      </c>
      <c r="AY272" s="76">
        <f t="shared" si="411"/>
        <v>78.508099999999999</v>
      </c>
      <c r="AZ272" s="76">
        <f t="shared" si="411"/>
        <v>59.3581</v>
      </c>
      <c r="BA272" s="77">
        <f t="shared" si="411"/>
        <v>19.150000000000002</v>
      </c>
    </row>
    <row r="273" spans="1:53" ht="14.1" customHeight="1" x14ac:dyDescent="0.2">
      <c r="A273" s="67">
        <v>56</v>
      </c>
      <c r="B273" s="64">
        <v>2401</v>
      </c>
      <c r="C273" s="65">
        <v>600079597</v>
      </c>
      <c r="D273" s="64">
        <v>72741538</v>
      </c>
      <c r="E273" s="66" t="s">
        <v>668</v>
      </c>
      <c r="F273" s="67">
        <v>3111</v>
      </c>
      <c r="G273" s="66" t="s">
        <v>307</v>
      </c>
      <c r="H273" s="68" t="s">
        <v>277</v>
      </c>
      <c r="I273" s="462">
        <v>3343707</v>
      </c>
      <c r="J273" s="16">
        <v>2468922</v>
      </c>
      <c r="K273" s="457">
        <v>834496</v>
      </c>
      <c r="L273" s="457">
        <v>24689</v>
      </c>
      <c r="M273" s="16">
        <v>15600</v>
      </c>
      <c r="N273" s="13">
        <v>5.12</v>
      </c>
      <c r="O273" s="13">
        <v>4</v>
      </c>
      <c r="P273" s="17">
        <v>1.1200000000000001</v>
      </c>
      <c r="Q273" s="469">
        <f t="shared" si="397"/>
        <v>-65000</v>
      </c>
      <c r="R273" s="469">
        <v>0</v>
      </c>
      <c r="S273" s="460">
        <v>0</v>
      </c>
      <c r="T273" s="460">
        <v>0</v>
      </c>
      <c r="U273" s="460">
        <v>0</v>
      </c>
      <c r="V273" s="460">
        <f>SUM(Q273:U273)</f>
        <v>-65000</v>
      </c>
      <c r="W273" s="460">
        <v>65000</v>
      </c>
      <c r="X273" s="460">
        <v>0</v>
      </c>
      <c r="Y273" s="460">
        <v>0</v>
      </c>
      <c r="Z273" s="460">
        <f t="shared" ref="Z273:Z275" si="412">SUM(W273:Y273)</f>
        <v>65000</v>
      </c>
      <c r="AA273" s="460">
        <f t="shared" ref="AA273:AA275" si="413">V273+Z273</f>
        <v>0</v>
      </c>
      <c r="AB273" s="69">
        <f t="shared" ref="AB273:AB275" si="414">ROUND((V273+W273+X273)*33.8%,0)</f>
        <v>0</v>
      </c>
      <c r="AC273" s="69">
        <f t="shared" ref="AC273:AC275" si="415">ROUND(V273*1%,0)</f>
        <v>-650</v>
      </c>
      <c r="AD273" s="460">
        <v>0</v>
      </c>
      <c r="AE273" s="460">
        <v>0</v>
      </c>
      <c r="AF273" s="460">
        <f>SUM(AD273:AE273)</f>
        <v>0</v>
      </c>
      <c r="AG273" s="460">
        <f>AA273+AB273+AC273+AF273</f>
        <v>-650</v>
      </c>
      <c r="AH273" s="461">
        <v>-0.08</v>
      </c>
      <c r="AI273" s="461">
        <v>-7.0000000000000007E-2</v>
      </c>
      <c r="AJ273" s="461">
        <v>0</v>
      </c>
      <c r="AK273" s="461">
        <v>0</v>
      </c>
      <c r="AL273" s="461">
        <v>0</v>
      </c>
      <c r="AM273" s="461">
        <v>0</v>
      </c>
      <c r="AN273" s="461">
        <v>0</v>
      </c>
      <c r="AO273" s="461">
        <v>0</v>
      </c>
      <c r="AP273" s="461">
        <f t="shared" si="398"/>
        <v>-0.08</v>
      </c>
      <c r="AQ273" s="461">
        <f t="shared" si="399"/>
        <v>-7.0000000000000007E-2</v>
      </c>
      <c r="AR273" s="737">
        <f t="shared" si="400"/>
        <v>-0.15000000000000002</v>
      </c>
      <c r="AS273" s="470">
        <f t="shared" si="401"/>
        <v>3343057</v>
      </c>
      <c r="AT273" s="460">
        <f t="shared" si="402"/>
        <v>2403922</v>
      </c>
      <c r="AU273" s="460">
        <f t="shared" si="403"/>
        <v>65000</v>
      </c>
      <c r="AV273" s="460">
        <f t="shared" si="404"/>
        <v>834496</v>
      </c>
      <c r="AW273" s="460">
        <f t="shared" si="405"/>
        <v>24039</v>
      </c>
      <c r="AX273" s="460">
        <f t="shared" si="406"/>
        <v>15600</v>
      </c>
      <c r="AY273" s="461">
        <f t="shared" si="407"/>
        <v>4.97</v>
      </c>
      <c r="AZ273" s="461">
        <f t="shared" si="408"/>
        <v>3.92</v>
      </c>
      <c r="BA273" s="463">
        <f t="shared" si="409"/>
        <v>1.05</v>
      </c>
    </row>
    <row r="274" spans="1:53" ht="14.1" customHeight="1" x14ac:dyDescent="0.2">
      <c r="A274" s="67">
        <v>56</v>
      </c>
      <c r="B274" s="64">
        <v>2401</v>
      </c>
      <c r="C274" s="65">
        <v>600079597</v>
      </c>
      <c r="D274" s="64">
        <v>72741538</v>
      </c>
      <c r="E274" s="66" t="s">
        <v>668</v>
      </c>
      <c r="F274" s="67">
        <v>3111</v>
      </c>
      <c r="G274" s="66" t="s">
        <v>308</v>
      </c>
      <c r="H274" s="68" t="s">
        <v>278</v>
      </c>
      <c r="I274" s="462">
        <v>0</v>
      </c>
      <c r="J274" s="457">
        <v>0</v>
      </c>
      <c r="K274" s="457">
        <v>0</v>
      </c>
      <c r="L274" s="457">
        <v>0</v>
      </c>
      <c r="M274" s="457">
        <v>0</v>
      </c>
      <c r="N274" s="458">
        <v>0</v>
      </c>
      <c r="O274" s="459">
        <v>0</v>
      </c>
      <c r="P274" s="646">
        <v>0</v>
      </c>
      <c r="Q274" s="469">
        <f t="shared" si="397"/>
        <v>0</v>
      </c>
      <c r="R274" s="469">
        <v>658486</v>
      </c>
      <c r="S274" s="460">
        <v>0</v>
      </c>
      <c r="T274" s="460">
        <v>0</v>
      </c>
      <c r="U274" s="460">
        <v>0</v>
      </c>
      <c r="V274" s="460">
        <f>SUM(Q274:U274)</f>
        <v>658486</v>
      </c>
      <c r="W274" s="460">
        <v>0</v>
      </c>
      <c r="X274" s="460">
        <v>0</v>
      </c>
      <c r="Y274" s="460">
        <v>0</v>
      </c>
      <c r="Z274" s="460">
        <f t="shared" si="412"/>
        <v>0</v>
      </c>
      <c r="AA274" s="460">
        <f t="shared" si="413"/>
        <v>658486</v>
      </c>
      <c r="AB274" s="69">
        <f t="shared" si="414"/>
        <v>222568</v>
      </c>
      <c r="AC274" s="69">
        <f t="shared" si="415"/>
        <v>6585</v>
      </c>
      <c r="AD274" s="460">
        <v>0</v>
      </c>
      <c r="AE274" s="460">
        <v>0</v>
      </c>
      <c r="AF274" s="460">
        <f>SUM(AD274:AE274)</f>
        <v>0</v>
      </c>
      <c r="AG274" s="460">
        <f>AA274+AB274+AC274+AF274</f>
        <v>887639</v>
      </c>
      <c r="AH274" s="461">
        <v>0</v>
      </c>
      <c r="AI274" s="461">
        <v>0</v>
      </c>
      <c r="AJ274" s="461">
        <v>1.8</v>
      </c>
      <c r="AK274" s="461">
        <v>0</v>
      </c>
      <c r="AL274" s="461">
        <v>0</v>
      </c>
      <c r="AM274" s="461">
        <v>0</v>
      </c>
      <c r="AN274" s="461">
        <v>0</v>
      </c>
      <c r="AO274" s="461">
        <v>0</v>
      </c>
      <c r="AP274" s="461">
        <f t="shared" si="398"/>
        <v>1.8</v>
      </c>
      <c r="AQ274" s="461">
        <f t="shared" si="399"/>
        <v>0</v>
      </c>
      <c r="AR274" s="737">
        <f t="shared" si="400"/>
        <v>1.8</v>
      </c>
      <c r="AS274" s="470">
        <f t="shared" si="401"/>
        <v>887639</v>
      </c>
      <c r="AT274" s="460">
        <f t="shared" si="402"/>
        <v>658486</v>
      </c>
      <c r="AU274" s="460">
        <f t="shared" si="403"/>
        <v>0</v>
      </c>
      <c r="AV274" s="460">
        <f t="shared" si="404"/>
        <v>222568</v>
      </c>
      <c r="AW274" s="460">
        <f t="shared" si="405"/>
        <v>6585</v>
      </c>
      <c r="AX274" s="460">
        <f t="shared" si="406"/>
        <v>0</v>
      </c>
      <c r="AY274" s="461">
        <f t="shared" si="407"/>
        <v>1.8</v>
      </c>
      <c r="AZ274" s="461">
        <f t="shared" si="408"/>
        <v>1.8</v>
      </c>
      <c r="BA274" s="463">
        <f t="shared" si="409"/>
        <v>0</v>
      </c>
    </row>
    <row r="275" spans="1:53" ht="14.1" customHeight="1" x14ac:dyDescent="0.2">
      <c r="A275" s="67">
        <v>56</v>
      </c>
      <c r="B275" s="64">
        <v>2401</v>
      </c>
      <c r="C275" s="65">
        <v>600079597</v>
      </c>
      <c r="D275" s="64">
        <v>72741538</v>
      </c>
      <c r="E275" s="66" t="s">
        <v>668</v>
      </c>
      <c r="F275" s="67">
        <v>3141</v>
      </c>
      <c r="G275" s="66" t="s">
        <v>311</v>
      </c>
      <c r="H275" s="68" t="s">
        <v>278</v>
      </c>
      <c r="I275" s="462">
        <v>546531</v>
      </c>
      <c r="J275" s="728">
        <v>403934</v>
      </c>
      <c r="K275" s="457">
        <v>136530</v>
      </c>
      <c r="L275" s="457">
        <v>4039</v>
      </c>
      <c r="M275" s="728">
        <v>2028</v>
      </c>
      <c r="N275" s="458">
        <v>1.3</v>
      </c>
      <c r="O275" s="459">
        <v>0</v>
      </c>
      <c r="P275" s="646">
        <v>1.3</v>
      </c>
      <c r="Q275" s="469">
        <f t="shared" si="397"/>
        <v>0</v>
      </c>
      <c r="R275" s="469">
        <v>0</v>
      </c>
      <c r="S275" s="460">
        <v>0</v>
      </c>
      <c r="T275" s="460">
        <v>0</v>
      </c>
      <c r="U275" s="460">
        <v>0</v>
      </c>
      <c r="V275" s="460">
        <f>SUM(Q275:U275)</f>
        <v>0</v>
      </c>
      <c r="W275" s="460">
        <v>0</v>
      </c>
      <c r="X275" s="460">
        <v>0</v>
      </c>
      <c r="Y275" s="460">
        <v>0</v>
      </c>
      <c r="Z275" s="460">
        <f t="shared" si="412"/>
        <v>0</v>
      </c>
      <c r="AA275" s="460">
        <f t="shared" si="413"/>
        <v>0</v>
      </c>
      <c r="AB275" s="69">
        <f t="shared" si="414"/>
        <v>0</v>
      </c>
      <c r="AC275" s="69">
        <f t="shared" si="415"/>
        <v>0</v>
      </c>
      <c r="AD275" s="460">
        <v>0</v>
      </c>
      <c r="AE275" s="460">
        <v>0</v>
      </c>
      <c r="AF275" s="460">
        <f>SUM(AD275:AE275)</f>
        <v>0</v>
      </c>
      <c r="AG275" s="460">
        <f>AA275+AB275+AC275+AF275</f>
        <v>0</v>
      </c>
      <c r="AH275" s="461">
        <v>0</v>
      </c>
      <c r="AI275" s="461">
        <v>0</v>
      </c>
      <c r="AJ275" s="461">
        <v>0</v>
      </c>
      <c r="AK275" s="461">
        <v>0</v>
      </c>
      <c r="AL275" s="461">
        <v>0</v>
      </c>
      <c r="AM275" s="461">
        <v>0</v>
      </c>
      <c r="AN275" s="461">
        <v>0</v>
      </c>
      <c r="AO275" s="461">
        <v>0</v>
      </c>
      <c r="AP275" s="461">
        <f t="shared" si="398"/>
        <v>0</v>
      </c>
      <c r="AQ275" s="461">
        <f t="shared" si="399"/>
        <v>0</v>
      </c>
      <c r="AR275" s="737">
        <f t="shared" si="400"/>
        <v>0</v>
      </c>
      <c r="AS275" s="470">
        <f t="shared" si="401"/>
        <v>546531</v>
      </c>
      <c r="AT275" s="460">
        <f t="shared" si="402"/>
        <v>403934</v>
      </c>
      <c r="AU275" s="460">
        <f t="shared" si="403"/>
        <v>0</v>
      </c>
      <c r="AV275" s="460">
        <f t="shared" si="404"/>
        <v>136530</v>
      </c>
      <c r="AW275" s="460">
        <f t="shared" si="405"/>
        <v>4039</v>
      </c>
      <c r="AX275" s="460">
        <f t="shared" si="406"/>
        <v>2028</v>
      </c>
      <c r="AY275" s="461">
        <f t="shared" si="407"/>
        <v>1.3</v>
      </c>
      <c r="AZ275" s="461">
        <f t="shared" si="408"/>
        <v>0</v>
      </c>
      <c r="BA275" s="463">
        <f t="shared" si="409"/>
        <v>1.3</v>
      </c>
    </row>
    <row r="276" spans="1:53" ht="14.1" customHeight="1" x14ac:dyDescent="0.2">
      <c r="A276" s="73">
        <v>56</v>
      </c>
      <c r="B276" s="70">
        <v>2401</v>
      </c>
      <c r="C276" s="71">
        <v>600079597</v>
      </c>
      <c r="D276" s="70">
        <v>72741538</v>
      </c>
      <c r="E276" s="72" t="s">
        <v>669</v>
      </c>
      <c r="F276" s="73"/>
      <c r="G276" s="72"/>
      <c r="H276" s="74"/>
      <c r="I276" s="701">
        <f t="shared" ref="I276:P276" si="416">SUM(I273:I275)</f>
        <v>3890238</v>
      </c>
      <c r="J276" s="75">
        <f t="shared" si="416"/>
        <v>2872856</v>
      </c>
      <c r="K276" s="75">
        <f t="shared" si="416"/>
        <v>971026</v>
      </c>
      <c r="L276" s="75">
        <f t="shared" si="416"/>
        <v>28728</v>
      </c>
      <c r="M276" s="75">
        <f t="shared" si="416"/>
        <v>17628</v>
      </c>
      <c r="N276" s="76">
        <f t="shared" si="416"/>
        <v>6.42</v>
      </c>
      <c r="O276" s="76">
        <f t="shared" si="416"/>
        <v>4</v>
      </c>
      <c r="P276" s="77">
        <f t="shared" si="416"/>
        <v>2.42</v>
      </c>
      <c r="Q276" s="724">
        <f t="shared" ref="Q276:BA276" si="417">SUM(Q273:Q275)</f>
        <v>-65000</v>
      </c>
      <c r="R276" s="724">
        <f t="shared" si="417"/>
        <v>658486</v>
      </c>
      <c r="S276" s="75">
        <f t="shared" si="417"/>
        <v>0</v>
      </c>
      <c r="T276" s="75">
        <f t="shared" si="417"/>
        <v>0</v>
      </c>
      <c r="U276" s="75">
        <f t="shared" si="417"/>
        <v>0</v>
      </c>
      <c r="V276" s="75">
        <f t="shared" si="417"/>
        <v>593486</v>
      </c>
      <c r="W276" s="75">
        <f t="shared" si="417"/>
        <v>65000</v>
      </c>
      <c r="X276" s="75">
        <f t="shared" si="417"/>
        <v>0</v>
      </c>
      <c r="Y276" s="75">
        <f t="shared" si="417"/>
        <v>0</v>
      </c>
      <c r="Z276" s="75">
        <f t="shared" si="417"/>
        <v>65000</v>
      </c>
      <c r="AA276" s="75">
        <f t="shared" si="417"/>
        <v>658486</v>
      </c>
      <c r="AB276" s="75">
        <f t="shared" si="417"/>
        <v>222568</v>
      </c>
      <c r="AC276" s="75">
        <f t="shared" si="417"/>
        <v>5935</v>
      </c>
      <c r="AD276" s="75">
        <f t="shared" si="417"/>
        <v>0</v>
      </c>
      <c r="AE276" s="75">
        <f t="shared" si="417"/>
        <v>0</v>
      </c>
      <c r="AF276" s="75">
        <f t="shared" si="417"/>
        <v>0</v>
      </c>
      <c r="AG276" s="75">
        <f t="shared" si="417"/>
        <v>886989</v>
      </c>
      <c r="AH276" s="76">
        <f t="shared" si="417"/>
        <v>-0.08</v>
      </c>
      <c r="AI276" s="76">
        <f t="shared" si="417"/>
        <v>-7.0000000000000007E-2</v>
      </c>
      <c r="AJ276" s="76">
        <f t="shared" si="417"/>
        <v>1.8</v>
      </c>
      <c r="AK276" s="76">
        <f t="shared" si="417"/>
        <v>0</v>
      </c>
      <c r="AL276" s="76">
        <f t="shared" si="417"/>
        <v>0</v>
      </c>
      <c r="AM276" s="76">
        <f t="shared" si="417"/>
        <v>0</v>
      </c>
      <c r="AN276" s="76">
        <f t="shared" si="417"/>
        <v>0</v>
      </c>
      <c r="AO276" s="76">
        <f t="shared" si="417"/>
        <v>0</v>
      </c>
      <c r="AP276" s="76">
        <f t="shared" si="417"/>
        <v>1.72</v>
      </c>
      <c r="AQ276" s="76">
        <f t="shared" si="417"/>
        <v>-7.0000000000000007E-2</v>
      </c>
      <c r="AR276" s="720">
        <f t="shared" si="417"/>
        <v>1.65</v>
      </c>
      <c r="AS276" s="701">
        <f t="shared" si="417"/>
        <v>4777227</v>
      </c>
      <c r="AT276" s="75">
        <f t="shared" si="417"/>
        <v>3466342</v>
      </c>
      <c r="AU276" s="75">
        <f t="shared" si="417"/>
        <v>65000</v>
      </c>
      <c r="AV276" s="75">
        <f t="shared" si="417"/>
        <v>1193594</v>
      </c>
      <c r="AW276" s="75">
        <f t="shared" si="417"/>
        <v>34663</v>
      </c>
      <c r="AX276" s="75">
        <f t="shared" si="417"/>
        <v>17628</v>
      </c>
      <c r="AY276" s="76">
        <f t="shared" si="417"/>
        <v>8.07</v>
      </c>
      <c r="AZ276" s="76">
        <f t="shared" si="417"/>
        <v>5.72</v>
      </c>
      <c r="BA276" s="77">
        <f t="shared" si="417"/>
        <v>2.35</v>
      </c>
    </row>
    <row r="277" spans="1:53" ht="14.1" customHeight="1" x14ac:dyDescent="0.2">
      <c r="A277" s="67">
        <v>57</v>
      </c>
      <c r="B277" s="64">
        <v>2449</v>
      </c>
      <c r="C277" s="65">
        <v>650029348</v>
      </c>
      <c r="D277" s="64">
        <v>72742071</v>
      </c>
      <c r="E277" s="66" t="s">
        <v>670</v>
      </c>
      <c r="F277" s="67">
        <v>3111</v>
      </c>
      <c r="G277" s="66" t="s">
        <v>307</v>
      </c>
      <c r="H277" s="68" t="s">
        <v>277</v>
      </c>
      <c r="I277" s="462">
        <v>3200683</v>
      </c>
      <c r="J277" s="16">
        <v>2361338</v>
      </c>
      <c r="K277" s="457">
        <v>798132</v>
      </c>
      <c r="L277" s="457">
        <v>23613</v>
      </c>
      <c r="M277" s="16">
        <v>17600</v>
      </c>
      <c r="N277" s="13">
        <v>4.8</v>
      </c>
      <c r="O277" s="13">
        <v>4</v>
      </c>
      <c r="P277" s="17">
        <v>0.8</v>
      </c>
      <c r="Q277" s="469">
        <f t="shared" si="397"/>
        <v>0</v>
      </c>
      <c r="R277" s="469">
        <v>0</v>
      </c>
      <c r="S277" s="460">
        <v>0</v>
      </c>
      <c r="T277" s="460">
        <v>0</v>
      </c>
      <c r="U277" s="460">
        <v>0</v>
      </c>
      <c r="V277" s="460">
        <f t="shared" ref="V277:V282" si="418">SUM(Q277:U277)</f>
        <v>0</v>
      </c>
      <c r="W277" s="460">
        <v>0</v>
      </c>
      <c r="X277" s="460">
        <v>0</v>
      </c>
      <c r="Y277" s="460">
        <v>0</v>
      </c>
      <c r="Z277" s="460">
        <f t="shared" ref="Z277:Z282" si="419">SUM(W277:Y277)</f>
        <v>0</v>
      </c>
      <c r="AA277" s="460">
        <f t="shared" ref="AA277:AA282" si="420">V277+Z277</f>
        <v>0</v>
      </c>
      <c r="AB277" s="69">
        <f t="shared" ref="AB277:AB282" si="421">ROUND((V277+W277+X277)*33.8%,0)</f>
        <v>0</v>
      </c>
      <c r="AC277" s="69">
        <f t="shared" ref="AC277:AC282" si="422">ROUND(V277*1%,0)</f>
        <v>0</v>
      </c>
      <c r="AD277" s="460">
        <v>0</v>
      </c>
      <c r="AE277" s="460">
        <v>0</v>
      </c>
      <c r="AF277" s="460">
        <f t="shared" ref="AF277:AF282" si="423">SUM(AD277:AE277)</f>
        <v>0</v>
      </c>
      <c r="AG277" s="460">
        <f t="shared" ref="AG277:AG282" si="424">AA277+AB277+AC277+AF277</f>
        <v>0</v>
      </c>
      <c r="AH277" s="461">
        <v>0</v>
      </c>
      <c r="AI277" s="461">
        <v>0</v>
      </c>
      <c r="AJ277" s="461">
        <v>0</v>
      </c>
      <c r="AK277" s="461">
        <v>0</v>
      </c>
      <c r="AL277" s="461">
        <v>0</v>
      </c>
      <c r="AM277" s="461">
        <v>0</v>
      </c>
      <c r="AN277" s="461">
        <v>0</v>
      </c>
      <c r="AO277" s="461">
        <v>0</v>
      </c>
      <c r="AP277" s="461">
        <f t="shared" si="398"/>
        <v>0</v>
      </c>
      <c r="AQ277" s="461">
        <f t="shared" si="399"/>
        <v>0</v>
      </c>
      <c r="AR277" s="737">
        <f t="shared" si="400"/>
        <v>0</v>
      </c>
      <c r="AS277" s="470">
        <f t="shared" si="401"/>
        <v>3200683</v>
      </c>
      <c r="AT277" s="460">
        <f t="shared" si="402"/>
        <v>2361338</v>
      </c>
      <c r="AU277" s="460">
        <f t="shared" si="403"/>
        <v>0</v>
      </c>
      <c r="AV277" s="460">
        <f t="shared" si="404"/>
        <v>798132</v>
      </c>
      <c r="AW277" s="460">
        <f t="shared" si="405"/>
        <v>23613</v>
      </c>
      <c r="AX277" s="460">
        <f t="shared" si="406"/>
        <v>17600</v>
      </c>
      <c r="AY277" s="461">
        <f t="shared" si="407"/>
        <v>4.8</v>
      </c>
      <c r="AZ277" s="461">
        <f t="shared" si="408"/>
        <v>4</v>
      </c>
      <c r="BA277" s="463">
        <f t="shared" si="409"/>
        <v>0.8</v>
      </c>
    </row>
    <row r="278" spans="1:53" ht="14.1" customHeight="1" x14ac:dyDescent="0.2">
      <c r="A278" s="67">
        <v>57</v>
      </c>
      <c r="B278" s="64">
        <v>2449</v>
      </c>
      <c r="C278" s="65">
        <v>650029348</v>
      </c>
      <c r="D278" s="64">
        <v>72742071</v>
      </c>
      <c r="E278" s="66" t="s">
        <v>670</v>
      </c>
      <c r="F278" s="67">
        <v>3117</v>
      </c>
      <c r="G278" s="66" t="s">
        <v>310</v>
      </c>
      <c r="H278" s="68" t="s">
        <v>277</v>
      </c>
      <c r="I278" s="462">
        <v>4738367</v>
      </c>
      <c r="J278" s="16">
        <v>3459249</v>
      </c>
      <c r="K278" s="457">
        <v>1169226</v>
      </c>
      <c r="L278" s="457">
        <v>34592</v>
      </c>
      <c r="M278" s="16">
        <v>75300</v>
      </c>
      <c r="N278" s="13">
        <v>6.6627000000000001</v>
      </c>
      <c r="O278" s="13">
        <v>4.7727000000000004</v>
      </c>
      <c r="P278" s="17">
        <v>1.89</v>
      </c>
      <c r="Q278" s="469">
        <f t="shared" si="397"/>
        <v>0</v>
      </c>
      <c r="R278" s="469">
        <v>0</v>
      </c>
      <c r="S278" s="460">
        <v>0</v>
      </c>
      <c r="T278" s="460">
        <v>0</v>
      </c>
      <c r="U278" s="460">
        <v>0</v>
      </c>
      <c r="V278" s="460">
        <f t="shared" si="418"/>
        <v>0</v>
      </c>
      <c r="W278" s="460">
        <v>0</v>
      </c>
      <c r="X278" s="460">
        <v>0</v>
      </c>
      <c r="Y278" s="460">
        <v>0</v>
      </c>
      <c r="Z278" s="460">
        <f t="shared" si="419"/>
        <v>0</v>
      </c>
      <c r="AA278" s="460">
        <f t="shared" si="420"/>
        <v>0</v>
      </c>
      <c r="AB278" s="69">
        <f t="shared" si="421"/>
        <v>0</v>
      </c>
      <c r="AC278" s="69">
        <f t="shared" si="422"/>
        <v>0</v>
      </c>
      <c r="AD278" s="460">
        <v>0</v>
      </c>
      <c r="AE278" s="460">
        <v>0</v>
      </c>
      <c r="AF278" s="460">
        <f t="shared" si="423"/>
        <v>0</v>
      </c>
      <c r="AG278" s="460">
        <f t="shared" si="424"/>
        <v>0</v>
      </c>
      <c r="AH278" s="461">
        <v>0</v>
      </c>
      <c r="AI278" s="461">
        <v>0</v>
      </c>
      <c r="AJ278" s="461">
        <v>0</v>
      </c>
      <c r="AK278" s="461">
        <v>0</v>
      </c>
      <c r="AL278" s="461">
        <v>0</v>
      </c>
      <c r="AM278" s="461">
        <v>0</v>
      </c>
      <c r="AN278" s="461">
        <v>0</v>
      </c>
      <c r="AO278" s="461">
        <v>0</v>
      </c>
      <c r="AP278" s="461">
        <f t="shared" si="398"/>
        <v>0</v>
      </c>
      <c r="AQ278" s="461">
        <f t="shared" si="399"/>
        <v>0</v>
      </c>
      <c r="AR278" s="737">
        <f t="shared" si="400"/>
        <v>0</v>
      </c>
      <c r="AS278" s="470">
        <f t="shared" si="401"/>
        <v>4738367</v>
      </c>
      <c r="AT278" s="460">
        <f t="shared" si="402"/>
        <v>3459249</v>
      </c>
      <c r="AU278" s="460">
        <f t="shared" si="403"/>
        <v>0</v>
      </c>
      <c r="AV278" s="460">
        <f t="shared" si="404"/>
        <v>1169226</v>
      </c>
      <c r="AW278" s="460">
        <f t="shared" si="405"/>
        <v>34592</v>
      </c>
      <c r="AX278" s="460">
        <f t="shared" si="406"/>
        <v>75300</v>
      </c>
      <c r="AY278" s="461">
        <f t="shared" si="407"/>
        <v>6.6627000000000001</v>
      </c>
      <c r="AZ278" s="461">
        <f t="shared" si="408"/>
        <v>4.7727000000000004</v>
      </c>
      <c r="BA278" s="463">
        <f t="shared" si="409"/>
        <v>1.89</v>
      </c>
    </row>
    <row r="279" spans="1:53" ht="14.1" customHeight="1" x14ac:dyDescent="0.2">
      <c r="A279" s="67">
        <v>57</v>
      </c>
      <c r="B279" s="64">
        <v>2449</v>
      </c>
      <c r="C279" s="65">
        <v>650029348</v>
      </c>
      <c r="D279" s="64">
        <v>72742071</v>
      </c>
      <c r="E279" s="66" t="s">
        <v>670</v>
      </c>
      <c r="F279" s="67">
        <v>3117</v>
      </c>
      <c r="G279" s="78" t="s">
        <v>308</v>
      </c>
      <c r="H279" s="68" t="s">
        <v>278</v>
      </c>
      <c r="I279" s="462">
        <v>0</v>
      </c>
      <c r="J279" s="457">
        <v>0</v>
      </c>
      <c r="K279" s="457">
        <v>0</v>
      </c>
      <c r="L279" s="457">
        <v>0</v>
      </c>
      <c r="M279" s="457">
        <v>0</v>
      </c>
      <c r="N279" s="458">
        <v>0</v>
      </c>
      <c r="O279" s="459">
        <v>0</v>
      </c>
      <c r="P279" s="646">
        <v>0</v>
      </c>
      <c r="Q279" s="469">
        <f t="shared" si="397"/>
        <v>0</v>
      </c>
      <c r="R279" s="469">
        <v>369583</v>
      </c>
      <c r="S279" s="460">
        <v>0</v>
      </c>
      <c r="T279" s="460">
        <v>0</v>
      </c>
      <c r="U279" s="460">
        <v>0</v>
      </c>
      <c r="V279" s="460">
        <f t="shared" si="418"/>
        <v>369583</v>
      </c>
      <c r="W279" s="460">
        <v>0</v>
      </c>
      <c r="X279" s="460">
        <v>0</v>
      </c>
      <c r="Y279" s="460">
        <v>0</v>
      </c>
      <c r="Z279" s="460">
        <f t="shared" si="419"/>
        <v>0</v>
      </c>
      <c r="AA279" s="460">
        <f t="shared" si="420"/>
        <v>369583</v>
      </c>
      <c r="AB279" s="69">
        <f t="shared" si="421"/>
        <v>124919</v>
      </c>
      <c r="AC279" s="69">
        <f t="shared" si="422"/>
        <v>3696</v>
      </c>
      <c r="AD279" s="460">
        <v>0</v>
      </c>
      <c r="AE279" s="460">
        <v>0</v>
      </c>
      <c r="AF279" s="460">
        <f t="shared" si="423"/>
        <v>0</v>
      </c>
      <c r="AG279" s="460">
        <f t="shared" si="424"/>
        <v>498198</v>
      </c>
      <c r="AH279" s="461">
        <v>0</v>
      </c>
      <c r="AI279" s="461">
        <v>0</v>
      </c>
      <c r="AJ279" s="461">
        <v>1.05</v>
      </c>
      <c r="AK279" s="461">
        <v>0</v>
      </c>
      <c r="AL279" s="461">
        <v>0</v>
      </c>
      <c r="AM279" s="461">
        <v>0</v>
      </c>
      <c r="AN279" s="461">
        <v>0</v>
      </c>
      <c r="AO279" s="461">
        <v>0</v>
      </c>
      <c r="AP279" s="461">
        <f t="shared" si="398"/>
        <v>1.05</v>
      </c>
      <c r="AQ279" s="461">
        <f t="shared" si="399"/>
        <v>0</v>
      </c>
      <c r="AR279" s="737">
        <f t="shared" si="400"/>
        <v>1.05</v>
      </c>
      <c r="AS279" s="470">
        <f t="shared" si="401"/>
        <v>498198</v>
      </c>
      <c r="AT279" s="460">
        <f t="shared" si="402"/>
        <v>369583</v>
      </c>
      <c r="AU279" s="460">
        <f t="shared" si="403"/>
        <v>0</v>
      </c>
      <c r="AV279" s="460">
        <f t="shared" si="404"/>
        <v>124919</v>
      </c>
      <c r="AW279" s="460">
        <f t="shared" si="405"/>
        <v>3696</v>
      </c>
      <c r="AX279" s="460">
        <f t="shared" si="406"/>
        <v>0</v>
      </c>
      <c r="AY279" s="461">
        <f t="shared" si="407"/>
        <v>1.05</v>
      </c>
      <c r="AZ279" s="461">
        <f t="shared" si="408"/>
        <v>1.05</v>
      </c>
      <c r="BA279" s="463">
        <f t="shared" si="409"/>
        <v>0</v>
      </c>
    </row>
    <row r="280" spans="1:53" ht="14.1" customHeight="1" x14ac:dyDescent="0.2">
      <c r="A280" s="67">
        <v>57</v>
      </c>
      <c r="B280" s="64">
        <v>2449</v>
      </c>
      <c r="C280" s="65">
        <v>650029348</v>
      </c>
      <c r="D280" s="64">
        <v>72742071</v>
      </c>
      <c r="E280" s="66" t="s">
        <v>670</v>
      </c>
      <c r="F280" s="67">
        <v>3141</v>
      </c>
      <c r="G280" s="66" t="s">
        <v>311</v>
      </c>
      <c r="H280" s="68" t="s">
        <v>278</v>
      </c>
      <c r="I280" s="462">
        <v>1058150</v>
      </c>
      <c r="J280" s="728">
        <v>781506</v>
      </c>
      <c r="K280" s="457">
        <v>264149</v>
      </c>
      <c r="L280" s="457">
        <v>7815</v>
      </c>
      <c r="M280" s="728">
        <v>4680</v>
      </c>
      <c r="N280" s="458">
        <v>2.5099999999999998</v>
      </c>
      <c r="O280" s="459">
        <v>0</v>
      </c>
      <c r="P280" s="646">
        <v>2.5099999999999998</v>
      </c>
      <c r="Q280" s="469">
        <f t="shared" si="397"/>
        <v>0</v>
      </c>
      <c r="R280" s="469">
        <v>0</v>
      </c>
      <c r="S280" s="460">
        <v>0</v>
      </c>
      <c r="T280" s="460">
        <v>0</v>
      </c>
      <c r="U280" s="460">
        <v>0</v>
      </c>
      <c r="V280" s="460">
        <f t="shared" si="418"/>
        <v>0</v>
      </c>
      <c r="W280" s="460">
        <v>0</v>
      </c>
      <c r="X280" s="460">
        <v>0</v>
      </c>
      <c r="Y280" s="460">
        <v>0</v>
      </c>
      <c r="Z280" s="460">
        <f t="shared" si="419"/>
        <v>0</v>
      </c>
      <c r="AA280" s="460">
        <f t="shared" si="420"/>
        <v>0</v>
      </c>
      <c r="AB280" s="69">
        <f t="shared" si="421"/>
        <v>0</v>
      </c>
      <c r="AC280" s="69">
        <f t="shared" si="422"/>
        <v>0</v>
      </c>
      <c r="AD280" s="460">
        <v>0</v>
      </c>
      <c r="AE280" s="460">
        <v>0</v>
      </c>
      <c r="AF280" s="460">
        <f t="shared" si="423"/>
        <v>0</v>
      </c>
      <c r="AG280" s="460">
        <f t="shared" si="424"/>
        <v>0</v>
      </c>
      <c r="AH280" s="461">
        <v>0</v>
      </c>
      <c r="AI280" s="461">
        <v>0</v>
      </c>
      <c r="AJ280" s="461">
        <v>0</v>
      </c>
      <c r="AK280" s="461">
        <v>0</v>
      </c>
      <c r="AL280" s="461">
        <v>0</v>
      </c>
      <c r="AM280" s="461">
        <v>0</v>
      </c>
      <c r="AN280" s="461">
        <v>0</v>
      </c>
      <c r="AO280" s="461">
        <v>0</v>
      </c>
      <c r="AP280" s="461">
        <f t="shared" si="398"/>
        <v>0</v>
      </c>
      <c r="AQ280" s="461">
        <f t="shared" si="399"/>
        <v>0</v>
      </c>
      <c r="AR280" s="737">
        <f t="shared" si="400"/>
        <v>0</v>
      </c>
      <c r="AS280" s="470">
        <f t="shared" si="401"/>
        <v>1058150</v>
      </c>
      <c r="AT280" s="460">
        <f t="shared" si="402"/>
        <v>781506</v>
      </c>
      <c r="AU280" s="460">
        <f t="shared" si="403"/>
        <v>0</v>
      </c>
      <c r="AV280" s="460">
        <f t="shared" si="404"/>
        <v>264149</v>
      </c>
      <c r="AW280" s="460">
        <f t="shared" si="405"/>
        <v>7815</v>
      </c>
      <c r="AX280" s="460">
        <f t="shared" si="406"/>
        <v>4680</v>
      </c>
      <c r="AY280" s="461">
        <f t="shared" si="407"/>
        <v>2.5099999999999998</v>
      </c>
      <c r="AZ280" s="461">
        <f t="shared" si="408"/>
        <v>0</v>
      </c>
      <c r="BA280" s="463">
        <f t="shared" si="409"/>
        <v>2.5099999999999998</v>
      </c>
    </row>
    <row r="281" spans="1:53" ht="14.1" customHeight="1" x14ac:dyDescent="0.2">
      <c r="A281" s="67">
        <v>57</v>
      </c>
      <c r="B281" s="64">
        <v>2449</v>
      </c>
      <c r="C281" s="65">
        <v>650029348</v>
      </c>
      <c r="D281" s="64">
        <v>72742071</v>
      </c>
      <c r="E281" s="66" t="s">
        <v>670</v>
      </c>
      <c r="F281" s="67">
        <v>3143</v>
      </c>
      <c r="G281" s="78" t="s">
        <v>616</v>
      </c>
      <c r="H281" s="68" t="s">
        <v>277</v>
      </c>
      <c r="I281" s="462">
        <v>693614</v>
      </c>
      <c r="J281" s="16">
        <v>514550</v>
      </c>
      <c r="K281" s="457">
        <v>173918</v>
      </c>
      <c r="L281" s="457">
        <v>5146</v>
      </c>
      <c r="M281" s="16">
        <v>0</v>
      </c>
      <c r="N281" s="458">
        <v>1</v>
      </c>
      <c r="O281" s="13">
        <v>1</v>
      </c>
      <c r="P281" s="17">
        <v>0</v>
      </c>
      <c r="Q281" s="469">
        <f t="shared" si="397"/>
        <v>0</v>
      </c>
      <c r="R281" s="469">
        <v>0</v>
      </c>
      <c r="S281" s="460">
        <v>0</v>
      </c>
      <c r="T281" s="460">
        <v>0</v>
      </c>
      <c r="U281" s="460">
        <v>0</v>
      </c>
      <c r="V281" s="460">
        <f t="shared" si="418"/>
        <v>0</v>
      </c>
      <c r="W281" s="460">
        <v>0</v>
      </c>
      <c r="X281" s="460">
        <v>0</v>
      </c>
      <c r="Y281" s="460">
        <v>0</v>
      </c>
      <c r="Z281" s="460">
        <f t="shared" si="419"/>
        <v>0</v>
      </c>
      <c r="AA281" s="460">
        <f t="shared" si="420"/>
        <v>0</v>
      </c>
      <c r="AB281" s="69">
        <f t="shared" si="421"/>
        <v>0</v>
      </c>
      <c r="AC281" s="69">
        <f t="shared" si="422"/>
        <v>0</v>
      </c>
      <c r="AD281" s="460">
        <v>0</v>
      </c>
      <c r="AE281" s="460">
        <v>0</v>
      </c>
      <c r="AF281" s="460">
        <f t="shared" si="423"/>
        <v>0</v>
      </c>
      <c r="AG281" s="460">
        <f t="shared" si="424"/>
        <v>0</v>
      </c>
      <c r="AH281" s="461">
        <v>0</v>
      </c>
      <c r="AI281" s="461">
        <v>0</v>
      </c>
      <c r="AJ281" s="461">
        <v>0</v>
      </c>
      <c r="AK281" s="461">
        <v>0</v>
      </c>
      <c r="AL281" s="461">
        <v>0</v>
      </c>
      <c r="AM281" s="461">
        <v>0</v>
      </c>
      <c r="AN281" s="461">
        <v>0</v>
      </c>
      <c r="AO281" s="461">
        <v>0</v>
      </c>
      <c r="AP281" s="461">
        <f t="shared" si="398"/>
        <v>0</v>
      </c>
      <c r="AQ281" s="461">
        <f t="shared" si="399"/>
        <v>0</v>
      </c>
      <c r="AR281" s="737">
        <f t="shared" si="400"/>
        <v>0</v>
      </c>
      <c r="AS281" s="470">
        <f t="shared" si="401"/>
        <v>693614</v>
      </c>
      <c r="AT281" s="460">
        <f t="shared" si="402"/>
        <v>514550</v>
      </c>
      <c r="AU281" s="460">
        <f t="shared" si="403"/>
        <v>0</v>
      </c>
      <c r="AV281" s="460">
        <f t="shared" si="404"/>
        <v>173918</v>
      </c>
      <c r="AW281" s="460">
        <f t="shared" si="405"/>
        <v>5146</v>
      </c>
      <c r="AX281" s="460">
        <f t="shared" si="406"/>
        <v>0</v>
      </c>
      <c r="AY281" s="461">
        <f t="shared" si="407"/>
        <v>1</v>
      </c>
      <c r="AZ281" s="461">
        <f t="shared" si="408"/>
        <v>1</v>
      </c>
      <c r="BA281" s="463">
        <f t="shared" si="409"/>
        <v>0</v>
      </c>
    </row>
    <row r="282" spans="1:53" ht="14.1" customHeight="1" x14ac:dyDescent="0.2">
      <c r="A282" s="67">
        <v>57</v>
      </c>
      <c r="B282" s="64">
        <v>2449</v>
      </c>
      <c r="C282" s="65">
        <v>650029348</v>
      </c>
      <c r="D282" s="64">
        <v>72742071</v>
      </c>
      <c r="E282" s="66" t="s">
        <v>670</v>
      </c>
      <c r="F282" s="67">
        <v>3143</v>
      </c>
      <c r="G282" s="78" t="s">
        <v>617</v>
      </c>
      <c r="H282" s="68" t="s">
        <v>278</v>
      </c>
      <c r="I282" s="462">
        <v>21257</v>
      </c>
      <c r="J282" s="673">
        <v>15188</v>
      </c>
      <c r="K282" s="457">
        <v>5134</v>
      </c>
      <c r="L282" s="457">
        <v>152</v>
      </c>
      <c r="M282" s="673">
        <v>783</v>
      </c>
      <c r="N282" s="458">
        <v>0.06</v>
      </c>
      <c r="O282" s="459">
        <v>0</v>
      </c>
      <c r="P282" s="717">
        <v>0.06</v>
      </c>
      <c r="Q282" s="469">
        <f t="shared" si="397"/>
        <v>0</v>
      </c>
      <c r="R282" s="469">
        <v>0</v>
      </c>
      <c r="S282" s="460">
        <v>0</v>
      </c>
      <c r="T282" s="460">
        <v>0</v>
      </c>
      <c r="U282" s="460">
        <v>0</v>
      </c>
      <c r="V282" s="460">
        <f t="shared" si="418"/>
        <v>0</v>
      </c>
      <c r="W282" s="460">
        <v>0</v>
      </c>
      <c r="X282" s="460">
        <v>0</v>
      </c>
      <c r="Y282" s="460">
        <v>0</v>
      </c>
      <c r="Z282" s="460">
        <f t="shared" si="419"/>
        <v>0</v>
      </c>
      <c r="AA282" s="460">
        <f t="shared" si="420"/>
        <v>0</v>
      </c>
      <c r="AB282" s="69">
        <f t="shared" si="421"/>
        <v>0</v>
      </c>
      <c r="AC282" s="69">
        <f t="shared" si="422"/>
        <v>0</v>
      </c>
      <c r="AD282" s="460">
        <v>0</v>
      </c>
      <c r="AE282" s="460">
        <v>0</v>
      </c>
      <c r="AF282" s="460">
        <f t="shared" si="423"/>
        <v>0</v>
      </c>
      <c r="AG282" s="460">
        <f t="shared" si="424"/>
        <v>0</v>
      </c>
      <c r="AH282" s="461">
        <v>0</v>
      </c>
      <c r="AI282" s="461">
        <v>0</v>
      </c>
      <c r="AJ282" s="461">
        <v>0</v>
      </c>
      <c r="AK282" s="461">
        <v>0</v>
      </c>
      <c r="AL282" s="461">
        <v>0</v>
      </c>
      <c r="AM282" s="461">
        <v>0</v>
      </c>
      <c r="AN282" s="461">
        <v>0</v>
      </c>
      <c r="AO282" s="461">
        <v>0</v>
      </c>
      <c r="AP282" s="461">
        <f t="shared" si="398"/>
        <v>0</v>
      </c>
      <c r="AQ282" s="461">
        <f t="shared" si="399"/>
        <v>0</v>
      </c>
      <c r="AR282" s="737">
        <f t="shared" si="400"/>
        <v>0</v>
      </c>
      <c r="AS282" s="470">
        <f t="shared" si="401"/>
        <v>21257</v>
      </c>
      <c r="AT282" s="460">
        <f t="shared" si="402"/>
        <v>15188</v>
      </c>
      <c r="AU282" s="460">
        <f t="shared" si="403"/>
        <v>0</v>
      </c>
      <c r="AV282" s="460">
        <f t="shared" si="404"/>
        <v>5134</v>
      </c>
      <c r="AW282" s="460">
        <f t="shared" si="405"/>
        <v>152</v>
      </c>
      <c r="AX282" s="460">
        <f t="shared" si="406"/>
        <v>783</v>
      </c>
      <c r="AY282" s="461">
        <f t="shared" si="407"/>
        <v>0.06</v>
      </c>
      <c r="AZ282" s="461">
        <f t="shared" si="408"/>
        <v>0</v>
      </c>
      <c r="BA282" s="463">
        <f t="shared" si="409"/>
        <v>0.06</v>
      </c>
    </row>
    <row r="283" spans="1:53" ht="14.1" customHeight="1" x14ac:dyDescent="0.2">
      <c r="A283" s="73">
        <v>57</v>
      </c>
      <c r="B283" s="70">
        <v>2449</v>
      </c>
      <c r="C283" s="71">
        <v>650029348</v>
      </c>
      <c r="D283" s="70">
        <v>72742071</v>
      </c>
      <c r="E283" s="72" t="s">
        <v>671</v>
      </c>
      <c r="F283" s="73"/>
      <c r="G283" s="72"/>
      <c r="H283" s="74"/>
      <c r="I283" s="701">
        <f t="shared" ref="I283:P283" si="425">SUM(I277:I282)</f>
        <v>9712071</v>
      </c>
      <c r="J283" s="75">
        <f t="shared" si="425"/>
        <v>7131831</v>
      </c>
      <c r="K283" s="75">
        <f t="shared" si="425"/>
        <v>2410559</v>
      </c>
      <c r="L283" s="75">
        <f t="shared" si="425"/>
        <v>71318</v>
      </c>
      <c r="M283" s="75">
        <f t="shared" si="425"/>
        <v>98363</v>
      </c>
      <c r="N283" s="76">
        <f t="shared" si="425"/>
        <v>15.0327</v>
      </c>
      <c r="O283" s="76">
        <f t="shared" si="425"/>
        <v>9.7727000000000004</v>
      </c>
      <c r="P283" s="77">
        <f t="shared" si="425"/>
        <v>5.2599999999999989</v>
      </c>
      <c r="Q283" s="724">
        <f t="shared" ref="Q283:BA283" si="426">SUM(Q277:Q282)</f>
        <v>0</v>
      </c>
      <c r="R283" s="724">
        <f t="shared" si="426"/>
        <v>369583</v>
      </c>
      <c r="S283" s="75">
        <f t="shared" si="426"/>
        <v>0</v>
      </c>
      <c r="T283" s="75">
        <f t="shared" si="426"/>
        <v>0</v>
      </c>
      <c r="U283" s="75">
        <f t="shared" si="426"/>
        <v>0</v>
      </c>
      <c r="V283" s="75">
        <f t="shared" si="426"/>
        <v>369583</v>
      </c>
      <c r="W283" s="75">
        <f t="shared" si="426"/>
        <v>0</v>
      </c>
      <c r="X283" s="75">
        <f t="shared" si="426"/>
        <v>0</v>
      </c>
      <c r="Y283" s="75">
        <f t="shared" si="426"/>
        <v>0</v>
      </c>
      <c r="Z283" s="75">
        <f t="shared" si="426"/>
        <v>0</v>
      </c>
      <c r="AA283" s="75">
        <f t="shared" si="426"/>
        <v>369583</v>
      </c>
      <c r="AB283" s="75">
        <f t="shared" si="426"/>
        <v>124919</v>
      </c>
      <c r="AC283" s="75">
        <f t="shared" si="426"/>
        <v>3696</v>
      </c>
      <c r="AD283" s="75">
        <f t="shared" si="426"/>
        <v>0</v>
      </c>
      <c r="AE283" s="75">
        <f t="shared" si="426"/>
        <v>0</v>
      </c>
      <c r="AF283" s="75">
        <f t="shared" si="426"/>
        <v>0</v>
      </c>
      <c r="AG283" s="75">
        <f t="shared" si="426"/>
        <v>498198</v>
      </c>
      <c r="AH283" s="76">
        <f t="shared" si="426"/>
        <v>0</v>
      </c>
      <c r="AI283" s="76">
        <f t="shared" si="426"/>
        <v>0</v>
      </c>
      <c r="AJ283" s="76">
        <f t="shared" si="426"/>
        <v>1.05</v>
      </c>
      <c r="AK283" s="76">
        <f t="shared" si="426"/>
        <v>0</v>
      </c>
      <c r="AL283" s="76">
        <f t="shared" si="426"/>
        <v>0</v>
      </c>
      <c r="AM283" s="76">
        <f t="shared" si="426"/>
        <v>0</v>
      </c>
      <c r="AN283" s="76">
        <f t="shared" si="426"/>
        <v>0</v>
      </c>
      <c r="AO283" s="76">
        <f t="shared" si="426"/>
        <v>0</v>
      </c>
      <c r="AP283" s="76">
        <f t="shared" si="426"/>
        <v>1.05</v>
      </c>
      <c r="AQ283" s="76">
        <f t="shared" si="426"/>
        <v>0</v>
      </c>
      <c r="AR283" s="720">
        <f t="shared" si="426"/>
        <v>1.05</v>
      </c>
      <c r="AS283" s="701">
        <f t="shared" si="426"/>
        <v>10210269</v>
      </c>
      <c r="AT283" s="75">
        <f t="shared" si="426"/>
        <v>7501414</v>
      </c>
      <c r="AU283" s="75">
        <f t="shared" si="426"/>
        <v>0</v>
      </c>
      <c r="AV283" s="75">
        <f t="shared" si="426"/>
        <v>2535478</v>
      </c>
      <c r="AW283" s="75">
        <f t="shared" si="426"/>
        <v>75014</v>
      </c>
      <c r="AX283" s="75">
        <f t="shared" si="426"/>
        <v>98363</v>
      </c>
      <c r="AY283" s="76">
        <f t="shared" si="426"/>
        <v>16.082699999999999</v>
      </c>
      <c r="AZ283" s="76">
        <f t="shared" si="426"/>
        <v>10.822700000000001</v>
      </c>
      <c r="BA283" s="77">
        <f t="shared" si="426"/>
        <v>5.2599999999999989</v>
      </c>
    </row>
    <row r="284" spans="1:53" ht="14.1" customHeight="1" x14ac:dyDescent="0.2">
      <c r="A284" s="67">
        <v>58</v>
      </c>
      <c r="B284" s="64">
        <v>2318</v>
      </c>
      <c r="C284" s="65">
        <v>600079546</v>
      </c>
      <c r="D284" s="64">
        <v>70695253</v>
      </c>
      <c r="E284" s="66" t="s">
        <v>672</v>
      </c>
      <c r="F284" s="67">
        <v>3111</v>
      </c>
      <c r="G284" s="66" t="s">
        <v>307</v>
      </c>
      <c r="H284" s="68" t="s">
        <v>277</v>
      </c>
      <c r="I284" s="462">
        <v>7773279</v>
      </c>
      <c r="J284" s="16">
        <v>5727811</v>
      </c>
      <c r="K284" s="457">
        <v>1936000</v>
      </c>
      <c r="L284" s="457">
        <v>57278</v>
      </c>
      <c r="M284" s="16">
        <v>52190</v>
      </c>
      <c r="N284" s="13">
        <v>12.07</v>
      </c>
      <c r="O284" s="13">
        <v>9</v>
      </c>
      <c r="P284" s="17">
        <v>3.0700000000000003</v>
      </c>
      <c r="Q284" s="469">
        <f t="shared" si="397"/>
        <v>-9818</v>
      </c>
      <c r="R284" s="469">
        <v>0</v>
      </c>
      <c r="S284" s="460">
        <v>0</v>
      </c>
      <c r="T284" s="460">
        <v>0</v>
      </c>
      <c r="U284" s="460">
        <v>0</v>
      </c>
      <c r="V284" s="460">
        <f>SUM(Q284:U284)</f>
        <v>-9818</v>
      </c>
      <c r="W284" s="460">
        <v>9818</v>
      </c>
      <c r="X284" s="460">
        <v>0</v>
      </c>
      <c r="Y284" s="460">
        <v>0</v>
      </c>
      <c r="Z284" s="460">
        <f t="shared" ref="Z284:Z287" si="427">SUM(W284:Y284)</f>
        <v>9818</v>
      </c>
      <c r="AA284" s="460">
        <f t="shared" ref="AA284:AA287" si="428">V284+Z284</f>
        <v>0</v>
      </c>
      <c r="AB284" s="69">
        <f t="shared" ref="AB284:AB287" si="429">ROUND((V284+W284+X284)*33.8%,0)</f>
        <v>0</v>
      </c>
      <c r="AC284" s="69">
        <f t="shared" ref="AC284:AC287" si="430">ROUND(V284*1%,0)</f>
        <v>-98</v>
      </c>
      <c r="AD284" s="460">
        <v>0</v>
      </c>
      <c r="AE284" s="460">
        <v>0</v>
      </c>
      <c r="AF284" s="460">
        <f>SUM(AD284:AE284)</f>
        <v>0</v>
      </c>
      <c r="AG284" s="460">
        <f>AA284+AB284+AC284+AF284</f>
        <v>-98</v>
      </c>
      <c r="AH284" s="461">
        <v>-0.01</v>
      </c>
      <c r="AI284" s="461">
        <v>-0.02</v>
      </c>
      <c r="AJ284" s="461">
        <v>0</v>
      </c>
      <c r="AK284" s="461">
        <v>0</v>
      </c>
      <c r="AL284" s="461">
        <v>0</v>
      </c>
      <c r="AM284" s="461">
        <v>0</v>
      </c>
      <c r="AN284" s="461">
        <v>0</v>
      </c>
      <c r="AO284" s="461">
        <v>0</v>
      </c>
      <c r="AP284" s="461">
        <f t="shared" si="398"/>
        <v>-0.01</v>
      </c>
      <c r="AQ284" s="461">
        <f t="shared" si="399"/>
        <v>-0.02</v>
      </c>
      <c r="AR284" s="737">
        <f t="shared" si="400"/>
        <v>-0.03</v>
      </c>
      <c r="AS284" s="470">
        <f t="shared" si="401"/>
        <v>7773181</v>
      </c>
      <c r="AT284" s="460">
        <f t="shared" si="402"/>
        <v>5717993</v>
      </c>
      <c r="AU284" s="460">
        <f t="shared" si="403"/>
        <v>9818</v>
      </c>
      <c r="AV284" s="460">
        <f t="shared" si="404"/>
        <v>1936000</v>
      </c>
      <c r="AW284" s="460">
        <f t="shared" si="405"/>
        <v>57180</v>
      </c>
      <c r="AX284" s="460">
        <f t="shared" si="406"/>
        <v>52190</v>
      </c>
      <c r="AY284" s="461">
        <f t="shared" si="407"/>
        <v>12.040000000000001</v>
      </c>
      <c r="AZ284" s="461">
        <f t="shared" si="408"/>
        <v>8.99</v>
      </c>
      <c r="BA284" s="463">
        <f t="shared" si="409"/>
        <v>3.0500000000000003</v>
      </c>
    </row>
    <row r="285" spans="1:53" ht="14.1" customHeight="1" x14ac:dyDescent="0.2">
      <c r="A285" s="67">
        <v>58</v>
      </c>
      <c r="B285" s="64">
        <v>2318</v>
      </c>
      <c r="C285" s="65">
        <v>600079546</v>
      </c>
      <c r="D285" s="64">
        <v>70695253</v>
      </c>
      <c r="E285" s="66" t="s">
        <v>672</v>
      </c>
      <c r="F285" s="67">
        <v>3111</v>
      </c>
      <c r="G285" s="44" t="s">
        <v>309</v>
      </c>
      <c r="H285" s="68" t="s">
        <v>277</v>
      </c>
      <c r="I285" s="462">
        <v>443497</v>
      </c>
      <c r="J285" s="16">
        <v>329004</v>
      </c>
      <c r="K285" s="457">
        <v>111203</v>
      </c>
      <c r="L285" s="457">
        <v>3290</v>
      </c>
      <c r="M285" s="16">
        <v>0</v>
      </c>
      <c r="N285" s="13">
        <v>1</v>
      </c>
      <c r="O285" s="13">
        <v>1</v>
      </c>
      <c r="P285" s="17">
        <v>0</v>
      </c>
      <c r="Q285" s="469">
        <f t="shared" si="397"/>
        <v>0</v>
      </c>
      <c r="R285" s="469">
        <v>0</v>
      </c>
      <c r="S285" s="460">
        <v>0</v>
      </c>
      <c r="T285" s="460">
        <v>0</v>
      </c>
      <c r="U285" s="460">
        <v>0</v>
      </c>
      <c r="V285" s="460">
        <f>SUM(Q285:U285)</f>
        <v>0</v>
      </c>
      <c r="W285" s="460">
        <v>0</v>
      </c>
      <c r="X285" s="460">
        <v>0</v>
      </c>
      <c r="Y285" s="460">
        <v>0</v>
      </c>
      <c r="Z285" s="460">
        <f t="shared" si="427"/>
        <v>0</v>
      </c>
      <c r="AA285" s="460">
        <f t="shared" si="428"/>
        <v>0</v>
      </c>
      <c r="AB285" s="69">
        <f t="shared" si="429"/>
        <v>0</v>
      </c>
      <c r="AC285" s="69">
        <f t="shared" si="430"/>
        <v>0</v>
      </c>
      <c r="AD285" s="460">
        <v>0</v>
      </c>
      <c r="AE285" s="460">
        <v>0</v>
      </c>
      <c r="AF285" s="460">
        <f>SUM(AD285:AE285)</f>
        <v>0</v>
      </c>
      <c r="AG285" s="460">
        <f>AA285+AB285+AC285+AF285</f>
        <v>0</v>
      </c>
      <c r="AH285" s="461">
        <v>0</v>
      </c>
      <c r="AI285" s="461">
        <v>0</v>
      </c>
      <c r="AJ285" s="461">
        <v>0</v>
      </c>
      <c r="AK285" s="461">
        <v>0</v>
      </c>
      <c r="AL285" s="461">
        <v>0</v>
      </c>
      <c r="AM285" s="461">
        <v>0</v>
      </c>
      <c r="AN285" s="461">
        <v>0</v>
      </c>
      <c r="AO285" s="461">
        <v>0</v>
      </c>
      <c r="AP285" s="461">
        <f t="shared" si="398"/>
        <v>0</v>
      </c>
      <c r="AQ285" s="461">
        <f t="shared" si="399"/>
        <v>0</v>
      </c>
      <c r="AR285" s="737">
        <f t="shared" si="400"/>
        <v>0</v>
      </c>
      <c r="AS285" s="470">
        <f t="shared" si="401"/>
        <v>443497</v>
      </c>
      <c r="AT285" s="460">
        <f t="shared" si="402"/>
        <v>329004</v>
      </c>
      <c r="AU285" s="460">
        <f t="shared" si="403"/>
        <v>0</v>
      </c>
      <c r="AV285" s="460">
        <f t="shared" si="404"/>
        <v>111203</v>
      </c>
      <c r="AW285" s="460">
        <f t="shared" si="405"/>
        <v>3290</v>
      </c>
      <c r="AX285" s="460">
        <f t="shared" si="406"/>
        <v>0</v>
      </c>
      <c r="AY285" s="461">
        <f t="shared" si="407"/>
        <v>1</v>
      </c>
      <c r="AZ285" s="461">
        <f t="shared" si="408"/>
        <v>1</v>
      </c>
      <c r="BA285" s="463">
        <f t="shared" si="409"/>
        <v>0</v>
      </c>
    </row>
    <row r="286" spans="1:53" ht="14.1" customHeight="1" x14ac:dyDescent="0.2">
      <c r="A286" s="67">
        <v>58</v>
      </c>
      <c r="B286" s="64">
        <v>2318</v>
      </c>
      <c r="C286" s="65">
        <v>600079546</v>
      </c>
      <c r="D286" s="64">
        <v>70695253</v>
      </c>
      <c r="E286" s="66" t="s">
        <v>672</v>
      </c>
      <c r="F286" s="67">
        <v>3111</v>
      </c>
      <c r="G286" s="78" t="s">
        <v>308</v>
      </c>
      <c r="H286" s="68" t="s">
        <v>278</v>
      </c>
      <c r="I286" s="462">
        <v>0</v>
      </c>
      <c r="J286" s="457">
        <v>0</v>
      </c>
      <c r="K286" s="457">
        <v>0</v>
      </c>
      <c r="L286" s="457">
        <v>0</v>
      </c>
      <c r="M286" s="457">
        <v>0</v>
      </c>
      <c r="N286" s="458">
        <v>0</v>
      </c>
      <c r="O286" s="459">
        <v>0</v>
      </c>
      <c r="P286" s="646">
        <v>0</v>
      </c>
      <c r="Q286" s="469">
        <f t="shared" si="397"/>
        <v>0</v>
      </c>
      <c r="R286" s="469">
        <v>254043</v>
      </c>
      <c r="S286" s="460">
        <v>0</v>
      </c>
      <c r="T286" s="460">
        <v>0</v>
      </c>
      <c r="U286" s="460">
        <v>0</v>
      </c>
      <c r="V286" s="460">
        <f>SUM(Q286:U286)</f>
        <v>254043</v>
      </c>
      <c r="W286" s="460">
        <v>0</v>
      </c>
      <c r="X286" s="460">
        <v>0</v>
      </c>
      <c r="Y286" s="460">
        <v>0</v>
      </c>
      <c r="Z286" s="460">
        <f t="shared" si="427"/>
        <v>0</v>
      </c>
      <c r="AA286" s="460">
        <f t="shared" si="428"/>
        <v>254043</v>
      </c>
      <c r="AB286" s="69">
        <f t="shared" si="429"/>
        <v>85867</v>
      </c>
      <c r="AC286" s="69">
        <f t="shared" si="430"/>
        <v>2540</v>
      </c>
      <c r="AD286" s="460">
        <v>0</v>
      </c>
      <c r="AE286" s="460">
        <v>0</v>
      </c>
      <c r="AF286" s="460">
        <f>SUM(AD286:AE286)</f>
        <v>0</v>
      </c>
      <c r="AG286" s="460">
        <f>AA286+AB286+AC286+AF286</f>
        <v>342450</v>
      </c>
      <c r="AH286" s="461">
        <v>0</v>
      </c>
      <c r="AI286" s="461">
        <v>0</v>
      </c>
      <c r="AJ286" s="461">
        <v>1</v>
      </c>
      <c r="AK286" s="461">
        <v>0</v>
      </c>
      <c r="AL286" s="461">
        <v>0</v>
      </c>
      <c r="AM286" s="461">
        <v>0</v>
      </c>
      <c r="AN286" s="461">
        <v>0</v>
      </c>
      <c r="AO286" s="461">
        <v>0</v>
      </c>
      <c r="AP286" s="461">
        <f t="shared" si="398"/>
        <v>1</v>
      </c>
      <c r="AQ286" s="461">
        <f t="shared" si="399"/>
        <v>0</v>
      </c>
      <c r="AR286" s="737">
        <f t="shared" si="400"/>
        <v>1</v>
      </c>
      <c r="AS286" s="470">
        <f t="shared" si="401"/>
        <v>342450</v>
      </c>
      <c r="AT286" s="460">
        <f t="shared" si="402"/>
        <v>254043</v>
      </c>
      <c r="AU286" s="460">
        <f t="shared" si="403"/>
        <v>0</v>
      </c>
      <c r="AV286" s="460">
        <f t="shared" si="404"/>
        <v>85867</v>
      </c>
      <c r="AW286" s="460">
        <f t="shared" si="405"/>
        <v>2540</v>
      </c>
      <c r="AX286" s="460">
        <f t="shared" si="406"/>
        <v>0</v>
      </c>
      <c r="AY286" s="461">
        <f t="shared" si="407"/>
        <v>1</v>
      </c>
      <c r="AZ286" s="461">
        <f t="shared" si="408"/>
        <v>1</v>
      </c>
      <c r="BA286" s="463">
        <f t="shared" si="409"/>
        <v>0</v>
      </c>
    </row>
    <row r="287" spans="1:53" ht="14.1" customHeight="1" x14ac:dyDescent="0.2">
      <c r="A287" s="67">
        <v>58</v>
      </c>
      <c r="B287" s="64">
        <v>2318</v>
      </c>
      <c r="C287" s="65">
        <v>600079546</v>
      </c>
      <c r="D287" s="64">
        <v>70695253</v>
      </c>
      <c r="E287" s="66" t="s">
        <v>672</v>
      </c>
      <c r="F287" s="67">
        <v>3141</v>
      </c>
      <c r="G287" s="66" t="s">
        <v>311</v>
      </c>
      <c r="H287" s="68" t="s">
        <v>278</v>
      </c>
      <c r="I287" s="462">
        <v>1066861</v>
      </c>
      <c r="J287" s="728">
        <v>787466</v>
      </c>
      <c r="K287" s="457">
        <v>266164</v>
      </c>
      <c r="L287" s="457">
        <v>7875</v>
      </c>
      <c r="M287" s="728">
        <v>5356</v>
      </c>
      <c r="N287" s="458">
        <v>2.5299999999999998</v>
      </c>
      <c r="O287" s="459">
        <v>0</v>
      </c>
      <c r="P287" s="646">
        <v>2.5299999999999998</v>
      </c>
      <c r="Q287" s="469">
        <f t="shared" si="397"/>
        <v>0</v>
      </c>
      <c r="R287" s="469">
        <v>0</v>
      </c>
      <c r="S287" s="460">
        <v>0</v>
      </c>
      <c r="T287" s="460">
        <v>0</v>
      </c>
      <c r="U287" s="460">
        <v>0</v>
      </c>
      <c r="V287" s="460">
        <f>SUM(Q287:U287)</f>
        <v>0</v>
      </c>
      <c r="W287" s="460">
        <v>0</v>
      </c>
      <c r="X287" s="460">
        <v>0</v>
      </c>
      <c r="Y287" s="460">
        <v>0</v>
      </c>
      <c r="Z287" s="460">
        <f t="shared" si="427"/>
        <v>0</v>
      </c>
      <c r="AA287" s="460">
        <f t="shared" si="428"/>
        <v>0</v>
      </c>
      <c r="AB287" s="69">
        <f t="shared" si="429"/>
        <v>0</v>
      </c>
      <c r="AC287" s="69">
        <f t="shared" si="430"/>
        <v>0</v>
      </c>
      <c r="AD287" s="460">
        <v>0</v>
      </c>
      <c r="AE287" s="460">
        <v>0</v>
      </c>
      <c r="AF287" s="460">
        <f>SUM(AD287:AE287)</f>
        <v>0</v>
      </c>
      <c r="AG287" s="460">
        <f>AA287+AB287+AC287+AF287</f>
        <v>0</v>
      </c>
      <c r="AH287" s="461">
        <v>0</v>
      </c>
      <c r="AI287" s="461">
        <v>0</v>
      </c>
      <c r="AJ287" s="461">
        <v>0</v>
      </c>
      <c r="AK287" s="461">
        <v>0</v>
      </c>
      <c r="AL287" s="461">
        <v>0</v>
      </c>
      <c r="AM287" s="461">
        <v>0</v>
      </c>
      <c r="AN287" s="461">
        <v>0</v>
      </c>
      <c r="AO287" s="461">
        <v>0</v>
      </c>
      <c r="AP287" s="461">
        <f t="shared" si="398"/>
        <v>0</v>
      </c>
      <c r="AQ287" s="461">
        <f t="shared" si="399"/>
        <v>0</v>
      </c>
      <c r="AR287" s="737">
        <f t="shared" si="400"/>
        <v>0</v>
      </c>
      <c r="AS287" s="470">
        <f t="shared" si="401"/>
        <v>1066861</v>
      </c>
      <c r="AT287" s="460">
        <f t="shared" si="402"/>
        <v>787466</v>
      </c>
      <c r="AU287" s="460">
        <f t="shared" si="403"/>
        <v>0</v>
      </c>
      <c r="AV287" s="460">
        <f t="shared" si="404"/>
        <v>266164</v>
      </c>
      <c r="AW287" s="460">
        <f t="shared" si="405"/>
        <v>7875</v>
      </c>
      <c r="AX287" s="460">
        <f t="shared" si="406"/>
        <v>5356</v>
      </c>
      <c r="AY287" s="461">
        <f t="shared" si="407"/>
        <v>2.5299999999999998</v>
      </c>
      <c r="AZ287" s="461">
        <f t="shared" si="408"/>
        <v>0</v>
      </c>
      <c r="BA287" s="463">
        <f t="shared" si="409"/>
        <v>2.5299999999999998</v>
      </c>
    </row>
    <row r="288" spans="1:53" ht="14.1" customHeight="1" x14ac:dyDescent="0.2">
      <c r="A288" s="73">
        <v>58</v>
      </c>
      <c r="B288" s="70">
        <v>2318</v>
      </c>
      <c r="C288" s="71">
        <v>600079546</v>
      </c>
      <c r="D288" s="70">
        <v>70695253</v>
      </c>
      <c r="E288" s="72" t="s">
        <v>673</v>
      </c>
      <c r="F288" s="73"/>
      <c r="G288" s="72"/>
      <c r="H288" s="74"/>
      <c r="I288" s="701">
        <f t="shared" ref="I288:P288" si="431">SUM(I284:I287)</f>
        <v>9283637</v>
      </c>
      <c r="J288" s="75">
        <f t="shared" si="431"/>
        <v>6844281</v>
      </c>
      <c r="K288" s="75">
        <f t="shared" si="431"/>
        <v>2313367</v>
      </c>
      <c r="L288" s="75">
        <f t="shared" si="431"/>
        <v>68443</v>
      </c>
      <c r="M288" s="75">
        <f t="shared" si="431"/>
        <v>57546</v>
      </c>
      <c r="N288" s="76">
        <f t="shared" si="431"/>
        <v>15.6</v>
      </c>
      <c r="O288" s="76">
        <f t="shared" si="431"/>
        <v>10</v>
      </c>
      <c r="P288" s="77">
        <f t="shared" si="431"/>
        <v>5.6</v>
      </c>
      <c r="Q288" s="724">
        <f t="shared" ref="Q288:BA288" si="432">SUM(Q284:Q287)</f>
        <v>-9818</v>
      </c>
      <c r="R288" s="724">
        <f t="shared" si="432"/>
        <v>254043</v>
      </c>
      <c r="S288" s="75">
        <f t="shared" si="432"/>
        <v>0</v>
      </c>
      <c r="T288" s="75">
        <f t="shared" si="432"/>
        <v>0</v>
      </c>
      <c r="U288" s="75">
        <f t="shared" si="432"/>
        <v>0</v>
      </c>
      <c r="V288" s="75">
        <f t="shared" si="432"/>
        <v>244225</v>
      </c>
      <c r="W288" s="75">
        <f t="shared" si="432"/>
        <v>9818</v>
      </c>
      <c r="X288" s="75">
        <f t="shared" si="432"/>
        <v>0</v>
      </c>
      <c r="Y288" s="75">
        <f t="shared" si="432"/>
        <v>0</v>
      </c>
      <c r="Z288" s="75">
        <f t="shared" si="432"/>
        <v>9818</v>
      </c>
      <c r="AA288" s="75">
        <f t="shared" si="432"/>
        <v>254043</v>
      </c>
      <c r="AB288" s="75">
        <f t="shared" si="432"/>
        <v>85867</v>
      </c>
      <c r="AC288" s="75">
        <f t="shared" si="432"/>
        <v>2442</v>
      </c>
      <c r="AD288" s="75">
        <f t="shared" si="432"/>
        <v>0</v>
      </c>
      <c r="AE288" s="75">
        <f t="shared" si="432"/>
        <v>0</v>
      </c>
      <c r="AF288" s="75">
        <f t="shared" si="432"/>
        <v>0</v>
      </c>
      <c r="AG288" s="75">
        <f t="shared" si="432"/>
        <v>342352</v>
      </c>
      <c r="AH288" s="76">
        <f t="shared" si="432"/>
        <v>-0.01</v>
      </c>
      <c r="AI288" s="76">
        <f t="shared" si="432"/>
        <v>-0.02</v>
      </c>
      <c r="AJ288" s="76">
        <f t="shared" si="432"/>
        <v>1</v>
      </c>
      <c r="AK288" s="76">
        <f t="shared" si="432"/>
        <v>0</v>
      </c>
      <c r="AL288" s="76">
        <f t="shared" si="432"/>
        <v>0</v>
      </c>
      <c r="AM288" s="76">
        <f t="shared" si="432"/>
        <v>0</v>
      </c>
      <c r="AN288" s="76">
        <f t="shared" si="432"/>
        <v>0</v>
      </c>
      <c r="AO288" s="76">
        <f t="shared" si="432"/>
        <v>0</v>
      </c>
      <c r="AP288" s="76">
        <f t="shared" si="432"/>
        <v>0.99</v>
      </c>
      <c r="AQ288" s="76">
        <f t="shared" si="432"/>
        <v>-0.02</v>
      </c>
      <c r="AR288" s="720">
        <f t="shared" si="432"/>
        <v>0.97</v>
      </c>
      <c r="AS288" s="701">
        <f t="shared" si="432"/>
        <v>9625989</v>
      </c>
      <c r="AT288" s="75">
        <f t="shared" si="432"/>
        <v>7088506</v>
      </c>
      <c r="AU288" s="75">
        <f t="shared" si="432"/>
        <v>9818</v>
      </c>
      <c r="AV288" s="75">
        <f t="shared" si="432"/>
        <v>2399234</v>
      </c>
      <c r="AW288" s="75">
        <f t="shared" si="432"/>
        <v>70885</v>
      </c>
      <c r="AX288" s="75">
        <f t="shared" si="432"/>
        <v>57546</v>
      </c>
      <c r="AY288" s="76">
        <f t="shared" si="432"/>
        <v>16.57</v>
      </c>
      <c r="AZ288" s="76">
        <f t="shared" si="432"/>
        <v>10.99</v>
      </c>
      <c r="BA288" s="77">
        <f t="shared" si="432"/>
        <v>5.58</v>
      </c>
    </row>
    <row r="289" spans="1:53" ht="14.1" customHeight="1" x14ac:dyDescent="0.2">
      <c r="A289" s="67">
        <v>59</v>
      </c>
      <c r="B289" s="64">
        <v>2452</v>
      </c>
      <c r="C289" s="65">
        <v>600079660</v>
      </c>
      <c r="D289" s="64">
        <v>70695261</v>
      </c>
      <c r="E289" s="66" t="s">
        <v>674</v>
      </c>
      <c r="F289" s="67">
        <v>3113</v>
      </c>
      <c r="G289" s="66" t="s">
        <v>310</v>
      </c>
      <c r="H289" s="68" t="s">
        <v>277</v>
      </c>
      <c r="I289" s="462">
        <v>34560145</v>
      </c>
      <c r="J289" s="16">
        <v>25199491</v>
      </c>
      <c r="K289" s="457">
        <v>8517429</v>
      </c>
      <c r="L289" s="457">
        <v>251995</v>
      </c>
      <c r="M289" s="16">
        <v>591230</v>
      </c>
      <c r="N289" s="13">
        <v>41.857200000000006</v>
      </c>
      <c r="O289" s="13">
        <v>34.227200000000003</v>
      </c>
      <c r="P289" s="17">
        <v>7.6300000000000008</v>
      </c>
      <c r="Q289" s="469">
        <f t="shared" si="397"/>
        <v>-39000</v>
      </c>
      <c r="R289" s="469">
        <v>0</v>
      </c>
      <c r="S289" s="460">
        <v>0</v>
      </c>
      <c r="T289" s="460">
        <v>105230</v>
      </c>
      <c r="U289" s="460">
        <v>0</v>
      </c>
      <c r="V289" s="460">
        <f t="shared" ref="V289:V295" si="433">SUM(Q289:U289)</f>
        <v>66230</v>
      </c>
      <c r="W289" s="460">
        <v>39000</v>
      </c>
      <c r="X289" s="460">
        <v>0</v>
      </c>
      <c r="Y289" s="460">
        <v>0</v>
      </c>
      <c r="Z289" s="460">
        <f t="shared" ref="Z289:Z295" si="434">SUM(W289:Y289)</f>
        <v>39000</v>
      </c>
      <c r="AA289" s="460">
        <f t="shared" ref="AA289:AA295" si="435">V289+Z289</f>
        <v>105230</v>
      </c>
      <c r="AB289" s="69">
        <f t="shared" ref="AB289:AB295" si="436">ROUND((V289+W289+X289)*33.8%,0)</f>
        <v>35568</v>
      </c>
      <c r="AC289" s="69">
        <f t="shared" ref="AC289:AC295" si="437">ROUND(V289*1%,0)</f>
        <v>662</v>
      </c>
      <c r="AD289" s="460">
        <v>0</v>
      </c>
      <c r="AE289" s="460">
        <v>0</v>
      </c>
      <c r="AF289" s="460">
        <f t="shared" ref="AF289:AF295" si="438">SUM(AD289:AE289)</f>
        <v>0</v>
      </c>
      <c r="AG289" s="460">
        <f t="shared" ref="AG289:AG295" si="439">AA289+AB289+AC289+AF289</f>
        <v>141460</v>
      </c>
      <c r="AH289" s="461">
        <v>0</v>
      </c>
      <c r="AI289" s="461">
        <v>-0.12</v>
      </c>
      <c r="AJ289" s="461">
        <v>0</v>
      </c>
      <c r="AK289" s="461">
        <v>0</v>
      </c>
      <c r="AL289" s="461">
        <v>0</v>
      </c>
      <c r="AM289" s="461">
        <v>0.16</v>
      </c>
      <c r="AN289" s="461">
        <v>0</v>
      </c>
      <c r="AO289" s="461">
        <v>0</v>
      </c>
      <c r="AP289" s="461">
        <f t="shared" si="398"/>
        <v>0.16</v>
      </c>
      <c r="AQ289" s="461">
        <f t="shared" si="399"/>
        <v>-0.12</v>
      </c>
      <c r="AR289" s="737">
        <f t="shared" si="400"/>
        <v>4.0000000000000008E-2</v>
      </c>
      <c r="AS289" s="470">
        <f t="shared" si="401"/>
        <v>34701605</v>
      </c>
      <c r="AT289" s="460">
        <f t="shared" si="402"/>
        <v>25265721</v>
      </c>
      <c r="AU289" s="460">
        <f t="shared" si="403"/>
        <v>39000</v>
      </c>
      <c r="AV289" s="460">
        <f t="shared" si="404"/>
        <v>8552997</v>
      </c>
      <c r="AW289" s="460">
        <f t="shared" si="405"/>
        <v>252657</v>
      </c>
      <c r="AX289" s="460">
        <f t="shared" si="406"/>
        <v>591230</v>
      </c>
      <c r="AY289" s="461">
        <f t="shared" si="407"/>
        <v>41.897200000000005</v>
      </c>
      <c r="AZ289" s="461">
        <f t="shared" si="408"/>
        <v>34.3872</v>
      </c>
      <c r="BA289" s="463">
        <f t="shared" si="409"/>
        <v>7.5100000000000007</v>
      </c>
    </row>
    <row r="290" spans="1:53" ht="14.1" customHeight="1" x14ac:dyDescent="0.2">
      <c r="A290" s="67">
        <v>59</v>
      </c>
      <c r="B290" s="64">
        <v>2452</v>
      </c>
      <c r="C290" s="65">
        <v>600079660</v>
      </c>
      <c r="D290" s="64">
        <v>70695261</v>
      </c>
      <c r="E290" s="66" t="s">
        <v>674</v>
      </c>
      <c r="F290" s="67">
        <v>3113</v>
      </c>
      <c r="G290" s="44" t="s">
        <v>309</v>
      </c>
      <c r="H290" s="68" t="s">
        <v>277</v>
      </c>
      <c r="I290" s="462">
        <v>1491339</v>
      </c>
      <c r="J290" s="16">
        <v>1106335</v>
      </c>
      <c r="K290" s="457">
        <v>373941</v>
      </c>
      <c r="L290" s="457">
        <v>11063</v>
      </c>
      <c r="M290" s="16">
        <v>0</v>
      </c>
      <c r="N290" s="13">
        <v>3.1389</v>
      </c>
      <c r="O290" s="13">
        <v>3.1389</v>
      </c>
      <c r="P290" s="17">
        <v>0</v>
      </c>
      <c r="Q290" s="469">
        <f t="shared" si="397"/>
        <v>0</v>
      </c>
      <c r="R290" s="469">
        <v>0</v>
      </c>
      <c r="S290" s="460">
        <v>0</v>
      </c>
      <c r="T290" s="460">
        <v>0</v>
      </c>
      <c r="U290" s="460">
        <v>0</v>
      </c>
      <c r="V290" s="460">
        <f t="shared" si="433"/>
        <v>0</v>
      </c>
      <c r="W290" s="460">
        <v>0</v>
      </c>
      <c r="X290" s="460">
        <v>0</v>
      </c>
      <c r="Y290" s="460">
        <v>0</v>
      </c>
      <c r="Z290" s="460">
        <f t="shared" si="434"/>
        <v>0</v>
      </c>
      <c r="AA290" s="460">
        <f t="shared" si="435"/>
        <v>0</v>
      </c>
      <c r="AB290" s="69">
        <f t="shared" si="436"/>
        <v>0</v>
      </c>
      <c r="AC290" s="69">
        <f t="shared" si="437"/>
        <v>0</v>
      </c>
      <c r="AD290" s="460">
        <v>0</v>
      </c>
      <c r="AE290" s="460">
        <v>0</v>
      </c>
      <c r="AF290" s="460">
        <f t="shared" si="438"/>
        <v>0</v>
      </c>
      <c r="AG290" s="460">
        <f t="shared" si="439"/>
        <v>0</v>
      </c>
      <c r="AH290" s="461">
        <v>0</v>
      </c>
      <c r="AI290" s="461">
        <v>0</v>
      </c>
      <c r="AJ290" s="461">
        <v>0</v>
      </c>
      <c r="AK290" s="461">
        <v>0</v>
      </c>
      <c r="AL290" s="461">
        <v>0</v>
      </c>
      <c r="AM290" s="461">
        <v>0</v>
      </c>
      <c r="AN290" s="461">
        <v>0</v>
      </c>
      <c r="AO290" s="461">
        <v>0</v>
      </c>
      <c r="AP290" s="461">
        <f t="shared" si="398"/>
        <v>0</v>
      </c>
      <c r="AQ290" s="461">
        <f t="shared" si="399"/>
        <v>0</v>
      </c>
      <c r="AR290" s="737">
        <f t="shared" si="400"/>
        <v>0</v>
      </c>
      <c r="AS290" s="470">
        <f t="shared" si="401"/>
        <v>1491339</v>
      </c>
      <c r="AT290" s="460">
        <f t="shared" si="402"/>
        <v>1106335</v>
      </c>
      <c r="AU290" s="460">
        <f t="shared" si="403"/>
        <v>0</v>
      </c>
      <c r="AV290" s="460">
        <f t="shared" si="404"/>
        <v>373941</v>
      </c>
      <c r="AW290" s="460">
        <f t="shared" si="405"/>
        <v>11063</v>
      </c>
      <c r="AX290" s="460">
        <f t="shared" si="406"/>
        <v>0</v>
      </c>
      <c r="AY290" s="461">
        <f t="shared" si="407"/>
        <v>3.1389</v>
      </c>
      <c r="AZ290" s="461">
        <f t="shared" si="408"/>
        <v>3.1389</v>
      </c>
      <c r="BA290" s="463">
        <f t="shared" si="409"/>
        <v>0</v>
      </c>
    </row>
    <row r="291" spans="1:53" ht="14.1" customHeight="1" x14ac:dyDescent="0.2">
      <c r="A291" s="67">
        <v>59</v>
      </c>
      <c r="B291" s="64">
        <v>2452</v>
      </c>
      <c r="C291" s="65">
        <v>600079660</v>
      </c>
      <c r="D291" s="64">
        <v>70695261</v>
      </c>
      <c r="E291" s="66" t="s">
        <v>674</v>
      </c>
      <c r="F291" s="67">
        <v>3113</v>
      </c>
      <c r="G291" s="78" t="s">
        <v>308</v>
      </c>
      <c r="H291" s="68" t="s">
        <v>278</v>
      </c>
      <c r="I291" s="462">
        <v>0</v>
      </c>
      <c r="J291" s="457">
        <v>0</v>
      </c>
      <c r="K291" s="457">
        <v>0</v>
      </c>
      <c r="L291" s="457">
        <v>0</v>
      </c>
      <c r="M291" s="457">
        <v>0</v>
      </c>
      <c r="N291" s="458">
        <v>0</v>
      </c>
      <c r="O291" s="459">
        <v>0</v>
      </c>
      <c r="P291" s="646">
        <v>0</v>
      </c>
      <c r="Q291" s="469">
        <f t="shared" si="397"/>
        <v>0</v>
      </c>
      <c r="R291" s="469">
        <v>2992560</v>
      </c>
      <c r="S291" s="460">
        <v>0</v>
      </c>
      <c r="T291" s="460">
        <v>0</v>
      </c>
      <c r="U291" s="460">
        <v>0</v>
      </c>
      <c r="V291" s="460">
        <f t="shared" si="433"/>
        <v>2992560</v>
      </c>
      <c r="W291" s="460">
        <v>0</v>
      </c>
      <c r="X291" s="460">
        <v>0</v>
      </c>
      <c r="Y291" s="460">
        <v>0</v>
      </c>
      <c r="Z291" s="460">
        <f t="shared" si="434"/>
        <v>0</v>
      </c>
      <c r="AA291" s="460">
        <f t="shared" si="435"/>
        <v>2992560</v>
      </c>
      <c r="AB291" s="69">
        <f t="shared" si="436"/>
        <v>1011485</v>
      </c>
      <c r="AC291" s="69">
        <f t="shared" si="437"/>
        <v>29926</v>
      </c>
      <c r="AD291" s="460">
        <v>2750</v>
      </c>
      <c r="AE291" s="460">
        <v>0</v>
      </c>
      <c r="AF291" s="460">
        <f t="shared" si="438"/>
        <v>2750</v>
      </c>
      <c r="AG291" s="460">
        <f t="shared" si="439"/>
        <v>4036721</v>
      </c>
      <c r="AH291" s="461">
        <v>0</v>
      </c>
      <c r="AI291" s="461">
        <v>0</v>
      </c>
      <c r="AJ291" s="461">
        <v>8.4700000000000006</v>
      </c>
      <c r="AK291" s="461">
        <v>0</v>
      </c>
      <c r="AL291" s="461">
        <v>0</v>
      </c>
      <c r="AM291" s="461">
        <v>0</v>
      </c>
      <c r="AN291" s="461">
        <v>0</v>
      </c>
      <c r="AO291" s="461">
        <v>0</v>
      </c>
      <c r="AP291" s="461">
        <f t="shared" si="398"/>
        <v>8.4700000000000006</v>
      </c>
      <c r="AQ291" s="461">
        <f t="shared" si="399"/>
        <v>0</v>
      </c>
      <c r="AR291" s="737">
        <f t="shared" si="400"/>
        <v>8.4700000000000006</v>
      </c>
      <c r="AS291" s="470">
        <f t="shared" si="401"/>
        <v>4036721</v>
      </c>
      <c r="AT291" s="460">
        <f t="shared" si="402"/>
        <v>2992560</v>
      </c>
      <c r="AU291" s="460">
        <f t="shared" si="403"/>
        <v>0</v>
      </c>
      <c r="AV291" s="460">
        <f t="shared" si="404"/>
        <v>1011485</v>
      </c>
      <c r="AW291" s="460">
        <f t="shared" si="405"/>
        <v>29926</v>
      </c>
      <c r="AX291" s="460">
        <f t="shared" si="406"/>
        <v>2750</v>
      </c>
      <c r="AY291" s="461">
        <f t="shared" si="407"/>
        <v>8.4700000000000006</v>
      </c>
      <c r="AZ291" s="461">
        <f t="shared" si="408"/>
        <v>8.4700000000000006</v>
      </c>
      <c r="BA291" s="463">
        <f t="shared" si="409"/>
        <v>0</v>
      </c>
    </row>
    <row r="292" spans="1:53" ht="14.1" customHeight="1" x14ac:dyDescent="0.2">
      <c r="A292" s="67">
        <v>59</v>
      </c>
      <c r="B292" s="64">
        <v>2452</v>
      </c>
      <c r="C292" s="65">
        <v>600079660</v>
      </c>
      <c r="D292" s="64">
        <v>70695261</v>
      </c>
      <c r="E292" s="66" t="s">
        <v>674</v>
      </c>
      <c r="F292" s="67">
        <v>3141</v>
      </c>
      <c r="G292" s="66" t="s">
        <v>311</v>
      </c>
      <c r="H292" s="68" t="s">
        <v>278</v>
      </c>
      <c r="I292" s="462">
        <v>2440339</v>
      </c>
      <c r="J292" s="728">
        <v>1795257</v>
      </c>
      <c r="K292" s="457">
        <v>606797</v>
      </c>
      <c r="L292" s="457">
        <v>17953</v>
      </c>
      <c r="M292" s="728">
        <v>20332</v>
      </c>
      <c r="N292" s="458">
        <v>5.77</v>
      </c>
      <c r="O292" s="459">
        <v>0</v>
      </c>
      <c r="P292" s="646">
        <v>5.77</v>
      </c>
      <c r="Q292" s="469">
        <f t="shared" si="397"/>
        <v>0</v>
      </c>
      <c r="R292" s="469">
        <v>0</v>
      </c>
      <c r="S292" s="460">
        <v>0</v>
      </c>
      <c r="T292" s="460">
        <v>0</v>
      </c>
      <c r="U292" s="460">
        <v>0</v>
      </c>
      <c r="V292" s="460">
        <f t="shared" si="433"/>
        <v>0</v>
      </c>
      <c r="W292" s="460">
        <v>0</v>
      </c>
      <c r="X292" s="460">
        <v>0</v>
      </c>
      <c r="Y292" s="460">
        <v>0</v>
      </c>
      <c r="Z292" s="460">
        <f t="shared" si="434"/>
        <v>0</v>
      </c>
      <c r="AA292" s="460">
        <f t="shared" si="435"/>
        <v>0</v>
      </c>
      <c r="AB292" s="69">
        <f t="shared" si="436"/>
        <v>0</v>
      </c>
      <c r="AC292" s="69">
        <f t="shared" si="437"/>
        <v>0</v>
      </c>
      <c r="AD292" s="460">
        <v>0</v>
      </c>
      <c r="AE292" s="460">
        <v>0</v>
      </c>
      <c r="AF292" s="460">
        <f t="shared" si="438"/>
        <v>0</v>
      </c>
      <c r="AG292" s="460">
        <f t="shared" si="439"/>
        <v>0</v>
      </c>
      <c r="AH292" s="461">
        <v>0</v>
      </c>
      <c r="AI292" s="461">
        <v>0</v>
      </c>
      <c r="AJ292" s="461">
        <v>0</v>
      </c>
      <c r="AK292" s="461">
        <v>0</v>
      </c>
      <c r="AL292" s="461">
        <v>0</v>
      </c>
      <c r="AM292" s="461">
        <v>0</v>
      </c>
      <c r="AN292" s="461">
        <v>0</v>
      </c>
      <c r="AO292" s="461">
        <v>0</v>
      </c>
      <c r="AP292" s="461">
        <f t="shared" si="398"/>
        <v>0</v>
      </c>
      <c r="AQ292" s="461">
        <f t="shared" si="399"/>
        <v>0</v>
      </c>
      <c r="AR292" s="737">
        <f t="shared" si="400"/>
        <v>0</v>
      </c>
      <c r="AS292" s="470">
        <f t="shared" si="401"/>
        <v>2440339</v>
      </c>
      <c r="AT292" s="460">
        <f t="shared" si="402"/>
        <v>1795257</v>
      </c>
      <c r="AU292" s="460">
        <f t="shared" si="403"/>
        <v>0</v>
      </c>
      <c r="AV292" s="460">
        <f t="shared" si="404"/>
        <v>606797</v>
      </c>
      <c r="AW292" s="460">
        <f t="shared" si="405"/>
        <v>17953</v>
      </c>
      <c r="AX292" s="460">
        <f t="shared" si="406"/>
        <v>20332</v>
      </c>
      <c r="AY292" s="461">
        <f t="shared" si="407"/>
        <v>5.77</v>
      </c>
      <c r="AZ292" s="461">
        <f t="shared" si="408"/>
        <v>0</v>
      </c>
      <c r="BA292" s="463">
        <f t="shared" si="409"/>
        <v>5.77</v>
      </c>
    </row>
    <row r="293" spans="1:53" ht="14.1" customHeight="1" x14ac:dyDescent="0.2">
      <c r="A293" s="67">
        <v>59</v>
      </c>
      <c r="B293" s="64">
        <v>2452</v>
      </c>
      <c r="C293" s="65">
        <v>600079660</v>
      </c>
      <c r="D293" s="64">
        <v>70695261</v>
      </c>
      <c r="E293" s="66" t="s">
        <v>674</v>
      </c>
      <c r="F293" s="67">
        <v>3143</v>
      </c>
      <c r="G293" s="78" t="s">
        <v>616</v>
      </c>
      <c r="H293" s="68" t="s">
        <v>277</v>
      </c>
      <c r="I293" s="462">
        <v>2734443</v>
      </c>
      <c r="J293" s="16">
        <v>2028519</v>
      </c>
      <c r="K293" s="457">
        <v>685639</v>
      </c>
      <c r="L293" s="457">
        <v>20285</v>
      </c>
      <c r="M293" s="16">
        <v>0</v>
      </c>
      <c r="N293" s="458">
        <v>4.6428000000000003</v>
      </c>
      <c r="O293" s="13">
        <v>4.6428000000000003</v>
      </c>
      <c r="P293" s="17">
        <v>0</v>
      </c>
      <c r="Q293" s="469">
        <f t="shared" si="397"/>
        <v>0</v>
      </c>
      <c r="R293" s="469">
        <v>0</v>
      </c>
      <c r="S293" s="460">
        <v>0</v>
      </c>
      <c r="T293" s="460">
        <v>0</v>
      </c>
      <c r="U293" s="460">
        <v>0</v>
      </c>
      <c r="V293" s="460">
        <f t="shared" si="433"/>
        <v>0</v>
      </c>
      <c r="W293" s="460">
        <v>0</v>
      </c>
      <c r="X293" s="460">
        <v>0</v>
      </c>
      <c r="Y293" s="460">
        <v>0</v>
      </c>
      <c r="Z293" s="460">
        <f t="shared" si="434"/>
        <v>0</v>
      </c>
      <c r="AA293" s="460">
        <f t="shared" si="435"/>
        <v>0</v>
      </c>
      <c r="AB293" s="69">
        <f t="shared" si="436"/>
        <v>0</v>
      </c>
      <c r="AC293" s="69">
        <f t="shared" si="437"/>
        <v>0</v>
      </c>
      <c r="AD293" s="460">
        <v>0</v>
      </c>
      <c r="AE293" s="460">
        <v>0</v>
      </c>
      <c r="AF293" s="460">
        <f t="shared" si="438"/>
        <v>0</v>
      </c>
      <c r="AG293" s="460">
        <f t="shared" si="439"/>
        <v>0</v>
      </c>
      <c r="AH293" s="461">
        <v>0</v>
      </c>
      <c r="AI293" s="461">
        <v>0</v>
      </c>
      <c r="AJ293" s="461">
        <v>0</v>
      </c>
      <c r="AK293" s="461">
        <v>0</v>
      </c>
      <c r="AL293" s="461">
        <v>0</v>
      </c>
      <c r="AM293" s="461">
        <v>0</v>
      </c>
      <c r="AN293" s="461">
        <v>0</v>
      </c>
      <c r="AO293" s="461">
        <v>0</v>
      </c>
      <c r="AP293" s="461">
        <f t="shared" si="398"/>
        <v>0</v>
      </c>
      <c r="AQ293" s="461">
        <f t="shared" si="399"/>
        <v>0</v>
      </c>
      <c r="AR293" s="737">
        <f t="shared" si="400"/>
        <v>0</v>
      </c>
      <c r="AS293" s="470">
        <f t="shared" si="401"/>
        <v>2734443</v>
      </c>
      <c r="AT293" s="460">
        <f t="shared" si="402"/>
        <v>2028519</v>
      </c>
      <c r="AU293" s="460">
        <f t="shared" si="403"/>
        <v>0</v>
      </c>
      <c r="AV293" s="460">
        <f t="shared" si="404"/>
        <v>685639</v>
      </c>
      <c r="AW293" s="460">
        <f t="shared" si="405"/>
        <v>20285</v>
      </c>
      <c r="AX293" s="460">
        <f t="shared" si="406"/>
        <v>0</v>
      </c>
      <c r="AY293" s="461">
        <f t="shared" si="407"/>
        <v>4.6428000000000003</v>
      </c>
      <c r="AZ293" s="461">
        <f t="shared" si="408"/>
        <v>4.6428000000000003</v>
      </c>
      <c r="BA293" s="463">
        <f t="shared" si="409"/>
        <v>0</v>
      </c>
    </row>
    <row r="294" spans="1:53" ht="14.1" customHeight="1" x14ac:dyDescent="0.2">
      <c r="A294" s="67">
        <v>59</v>
      </c>
      <c r="B294" s="64">
        <v>2452</v>
      </c>
      <c r="C294" s="65">
        <v>600079660</v>
      </c>
      <c r="D294" s="64">
        <v>70695261</v>
      </c>
      <c r="E294" s="66" t="s">
        <v>674</v>
      </c>
      <c r="F294" s="67">
        <v>3143</v>
      </c>
      <c r="G294" s="78" t="s">
        <v>313</v>
      </c>
      <c r="H294" s="68" t="s">
        <v>278</v>
      </c>
      <c r="I294" s="462">
        <v>524020</v>
      </c>
      <c r="J294" s="457">
        <v>387804</v>
      </c>
      <c r="K294" s="457">
        <v>131078</v>
      </c>
      <c r="L294" s="457">
        <v>3878</v>
      </c>
      <c r="M294" s="457">
        <v>1260</v>
      </c>
      <c r="N294" s="458">
        <v>0.88</v>
      </c>
      <c r="O294" s="458">
        <v>0.73</v>
      </c>
      <c r="P294" s="646">
        <v>0.15</v>
      </c>
      <c r="Q294" s="469">
        <f t="shared" si="397"/>
        <v>0</v>
      </c>
      <c r="R294" s="469">
        <v>0</v>
      </c>
      <c r="S294" s="460">
        <v>0</v>
      </c>
      <c r="T294" s="460">
        <v>0</v>
      </c>
      <c r="U294" s="460">
        <v>0</v>
      </c>
      <c r="V294" s="460">
        <f t="shared" si="433"/>
        <v>0</v>
      </c>
      <c r="W294" s="460">
        <v>0</v>
      </c>
      <c r="X294" s="460">
        <v>0</v>
      </c>
      <c r="Y294" s="460">
        <v>0</v>
      </c>
      <c r="Z294" s="460">
        <f t="shared" si="434"/>
        <v>0</v>
      </c>
      <c r="AA294" s="460">
        <f t="shared" si="435"/>
        <v>0</v>
      </c>
      <c r="AB294" s="69">
        <f t="shared" si="436"/>
        <v>0</v>
      </c>
      <c r="AC294" s="69">
        <f t="shared" si="437"/>
        <v>0</v>
      </c>
      <c r="AD294" s="460">
        <v>0</v>
      </c>
      <c r="AE294" s="460">
        <v>0</v>
      </c>
      <c r="AF294" s="460">
        <f t="shared" si="438"/>
        <v>0</v>
      </c>
      <c r="AG294" s="460">
        <f t="shared" si="439"/>
        <v>0</v>
      </c>
      <c r="AH294" s="461">
        <v>0</v>
      </c>
      <c r="AI294" s="461">
        <v>0</v>
      </c>
      <c r="AJ294" s="461">
        <v>0</v>
      </c>
      <c r="AK294" s="461">
        <v>0</v>
      </c>
      <c r="AL294" s="461">
        <v>0</v>
      </c>
      <c r="AM294" s="461">
        <v>0</v>
      </c>
      <c r="AN294" s="461">
        <v>0</v>
      </c>
      <c r="AO294" s="461">
        <v>0</v>
      </c>
      <c r="AP294" s="461">
        <f t="shared" si="398"/>
        <v>0</v>
      </c>
      <c r="AQ294" s="461">
        <f t="shared" si="399"/>
        <v>0</v>
      </c>
      <c r="AR294" s="737">
        <f t="shared" si="400"/>
        <v>0</v>
      </c>
      <c r="AS294" s="470">
        <f t="shared" si="401"/>
        <v>524020</v>
      </c>
      <c r="AT294" s="460">
        <f t="shared" si="402"/>
        <v>387804</v>
      </c>
      <c r="AU294" s="460">
        <f t="shared" si="403"/>
        <v>0</v>
      </c>
      <c r="AV294" s="460">
        <f t="shared" si="404"/>
        <v>131078</v>
      </c>
      <c r="AW294" s="460">
        <f t="shared" si="405"/>
        <v>3878</v>
      </c>
      <c r="AX294" s="460">
        <f t="shared" si="406"/>
        <v>1260</v>
      </c>
      <c r="AY294" s="461">
        <f t="shared" si="407"/>
        <v>0.88</v>
      </c>
      <c r="AZ294" s="461">
        <f t="shared" si="408"/>
        <v>0.73</v>
      </c>
      <c r="BA294" s="463">
        <f t="shared" si="409"/>
        <v>0.15</v>
      </c>
    </row>
    <row r="295" spans="1:53" ht="14.1" customHeight="1" x14ac:dyDescent="0.2">
      <c r="A295" s="67">
        <v>59</v>
      </c>
      <c r="B295" s="64">
        <v>2452</v>
      </c>
      <c r="C295" s="65">
        <v>600079660</v>
      </c>
      <c r="D295" s="64">
        <v>70695261</v>
      </c>
      <c r="E295" s="66" t="s">
        <v>674</v>
      </c>
      <c r="F295" s="67">
        <v>3143</v>
      </c>
      <c r="G295" s="78" t="s">
        <v>617</v>
      </c>
      <c r="H295" s="68" t="s">
        <v>278</v>
      </c>
      <c r="I295" s="462">
        <v>95290</v>
      </c>
      <c r="J295" s="673">
        <v>68086</v>
      </c>
      <c r="K295" s="457">
        <v>23013</v>
      </c>
      <c r="L295" s="457">
        <v>681</v>
      </c>
      <c r="M295" s="673">
        <v>3510</v>
      </c>
      <c r="N295" s="458">
        <v>0.27</v>
      </c>
      <c r="O295" s="459">
        <v>0</v>
      </c>
      <c r="P295" s="717">
        <v>0.27</v>
      </c>
      <c r="Q295" s="469">
        <f t="shared" si="397"/>
        <v>0</v>
      </c>
      <c r="R295" s="469">
        <v>0</v>
      </c>
      <c r="S295" s="460">
        <v>0</v>
      </c>
      <c r="T295" s="460">
        <v>0</v>
      </c>
      <c r="U295" s="460">
        <v>0</v>
      </c>
      <c r="V295" s="460">
        <f t="shared" si="433"/>
        <v>0</v>
      </c>
      <c r="W295" s="460">
        <v>0</v>
      </c>
      <c r="X295" s="460">
        <v>0</v>
      </c>
      <c r="Y295" s="460">
        <v>0</v>
      </c>
      <c r="Z295" s="460">
        <f t="shared" si="434"/>
        <v>0</v>
      </c>
      <c r="AA295" s="460">
        <f t="shared" si="435"/>
        <v>0</v>
      </c>
      <c r="AB295" s="69">
        <f t="shared" si="436"/>
        <v>0</v>
      </c>
      <c r="AC295" s="69">
        <f t="shared" si="437"/>
        <v>0</v>
      </c>
      <c r="AD295" s="460">
        <v>0</v>
      </c>
      <c r="AE295" s="460">
        <v>0</v>
      </c>
      <c r="AF295" s="460">
        <f t="shared" si="438"/>
        <v>0</v>
      </c>
      <c r="AG295" s="460">
        <f t="shared" si="439"/>
        <v>0</v>
      </c>
      <c r="AH295" s="461">
        <v>0</v>
      </c>
      <c r="AI295" s="461">
        <v>0</v>
      </c>
      <c r="AJ295" s="461">
        <v>0</v>
      </c>
      <c r="AK295" s="461">
        <v>0</v>
      </c>
      <c r="AL295" s="461">
        <v>0</v>
      </c>
      <c r="AM295" s="461">
        <v>0</v>
      </c>
      <c r="AN295" s="461">
        <v>0</v>
      </c>
      <c r="AO295" s="461">
        <v>0</v>
      </c>
      <c r="AP295" s="461">
        <f t="shared" si="398"/>
        <v>0</v>
      </c>
      <c r="AQ295" s="461">
        <f t="shared" si="399"/>
        <v>0</v>
      </c>
      <c r="AR295" s="737">
        <f t="shared" si="400"/>
        <v>0</v>
      </c>
      <c r="AS295" s="470">
        <f t="shared" si="401"/>
        <v>95290</v>
      </c>
      <c r="AT295" s="460">
        <f t="shared" si="402"/>
        <v>68086</v>
      </c>
      <c r="AU295" s="460">
        <f t="shared" si="403"/>
        <v>0</v>
      </c>
      <c r="AV295" s="460">
        <f t="shared" si="404"/>
        <v>23013</v>
      </c>
      <c r="AW295" s="460">
        <f t="shared" si="405"/>
        <v>681</v>
      </c>
      <c r="AX295" s="460">
        <f t="shared" si="406"/>
        <v>3510</v>
      </c>
      <c r="AY295" s="461">
        <f t="shared" si="407"/>
        <v>0.27</v>
      </c>
      <c r="AZ295" s="461">
        <f t="shared" si="408"/>
        <v>0</v>
      </c>
      <c r="BA295" s="463">
        <f t="shared" si="409"/>
        <v>0.27</v>
      </c>
    </row>
    <row r="296" spans="1:53" ht="14.1" customHeight="1" x14ac:dyDescent="0.2">
      <c r="A296" s="73">
        <v>59</v>
      </c>
      <c r="B296" s="70">
        <v>2452</v>
      </c>
      <c r="C296" s="71">
        <v>600079660</v>
      </c>
      <c r="D296" s="70">
        <v>70695261</v>
      </c>
      <c r="E296" s="72" t="s">
        <v>675</v>
      </c>
      <c r="F296" s="73"/>
      <c r="G296" s="72"/>
      <c r="H296" s="74"/>
      <c r="I296" s="701">
        <f t="shared" ref="I296:P296" si="440">SUM(I289:I295)</f>
        <v>41845576</v>
      </c>
      <c r="J296" s="75">
        <f t="shared" si="440"/>
        <v>30585492</v>
      </c>
      <c r="K296" s="75">
        <f t="shared" si="440"/>
        <v>10337897</v>
      </c>
      <c r="L296" s="75">
        <f t="shared" si="440"/>
        <v>305855</v>
      </c>
      <c r="M296" s="75">
        <f t="shared" si="440"/>
        <v>616332</v>
      </c>
      <c r="N296" s="76">
        <f t="shared" si="440"/>
        <v>56.558900000000015</v>
      </c>
      <c r="O296" s="76">
        <f t="shared" si="440"/>
        <v>42.738900000000001</v>
      </c>
      <c r="P296" s="77">
        <f t="shared" si="440"/>
        <v>13.82</v>
      </c>
      <c r="Q296" s="724">
        <f t="shared" ref="Q296:BA296" si="441">SUM(Q289:Q295)</f>
        <v>-39000</v>
      </c>
      <c r="R296" s="724">
        <f t="shared" si="441"/>
        <v>2992560</v>
      </c>
      <c r="S296" s="75">
        <f t="shared" si="441"/>
        <v>0</v>
      </c>
      <c r="T296" s="75">
        <f t="shared" si="441"/>
        <v>105230</v>
      </c>
      <c r="U296" s="75">
        <f t="shared" si="441"/>
        <v>0</v>
      </c>
      <c r="V296" s="75">
        <f t="shared" si="441"/>
        <v>3058790</v>
      </c>
      <c r="W296" s="75">
        <f t="shared" si="441"/>
        <v>39000</v>
      </c>
      <c r="X296" s="75">
        <f t="shared" si="441"/>
        <v>0</v>
      </c>
      <c r="Y296" s="75">
        <f t="shared" si="441"/>
        <v>0</v>
      </c>
      <c r="Z296" s="75">
        <f t="shared" si="441"/>
        <v>39000</v>
      </c>
      <c r="AA296" s="75">
        <f t="shared" si="441"/>
        <v>3097790</v>
      </c>
      <c r="AB296" s="75">
        <f t="shared" si="441"/>
        <v>1047053</v>
      </c>
      <c r="AC296" s="75">
        <f t="shared" si="441"/>
        <v>30588</v>
      </c>
      <c r="AD296" s="75">
        <f t="shared" si="441"/>
        <v>2750</v>
      </c>
      <c r="AE296" s="75">
        <f t="shared" si="441"/>
        <v>0</v>
      </c>
      <c r="AF296" s="75">
        <f t="shared" si="441"/>
        <v>2750</v>
      </c>
      <c r="AG296" s="75">
        <f t="shared" si="441"/>
        <v>4178181</v>
      </c>
      <c r="AH296" s="76">
        <f t="shared" si="441"/>
        <v>0</v>
      </c>
      <c r="AI296" s="76">
        <f t="shared" si="441"/>
        <v>-0.12</v>
      </c>
      <c r="AJ296" s="76">
        <f t="shared" si="441"/>
        <v>8.4700000000000006</v>
      </c>
      <c r="AK296" s="76">
        <f t="shared" si="441"/>
        <v>0</v>
      </c>
      <c r="AL296" s="76">
        <f t="shared" si="441"/>
        <v>0</v>
      </c>
      <c r="AM296" s="76">
        <f t="shared" si="441"/>
        <v>0.16</v>
      </c>
      <c r="AN296" s="76">
        <f t="shared" si="441"/>
        <v>0</v>
      </c>
      <c r="AO296" s="76">
        <f t="shared" si="441"/>
        <v>0</v>
      </c>
      <c r="AP296" s="76">
        <f t="shared" si="441"/>
        <v>8.6300000000000008</v>
      </c>
      <c r="AQ296" s="76">
        <f t="shared" si="441"/>
        <v>-0.12</v>
      </c>
      <c r="AR296" s="720">
        <f t="shared" si="441"/>
        <v>8.51</v>
      </c>
      <c r="AS296" s="701">
        <f t="shared" si="441"/>
        <v>46023757</v>
      </c>
      <c r="AT296" s="75">
        <f t="shared" si="441"/>
        <v>33644282</v>
      </c>
      <c r="AU296" s="75">
        <f t="shared" si="441"/>
        <v>39000</v>
      </c>
      <c r="AV296" s="75">
        <f t="shared" si="441"/>
        <v>11384950</v>
      </c>
      <c r="AW296" s="75">
        <f t="shared" si="441"/>
        <v>336443</v>
      </c>
      <c r="AX296" s="75">
        <f t="shared" si="441"/>
        <v>619082</v>
      </c>
      <c r="AY296" s="76">
        <f t="shared" si="441"/>
        <v>65.068899999999999</v>
      </c>
      <c r="AZ296" s="76">
        <f t="shared" si="441"/>
        <v>51.368899999999996</v>
      </c>
      <c r="BA296" s="77">
        <f t="shared" si="441"/>
        <v>13.700000000000001</v>
      </c>
    </row>
    <row r="297" spans="1:53" ht="14.1" customHeight="1" x14ac:dyDescent="0.2">
      <c r="A297" s="67">
        <v>60</v>
      </c>
      <c r="B297" s="64">
        <v>2319</v>
      </c>
      <c r="C297" s="65">
        <v>600080218</v>
      </c>
      <c r="D297" s="64">
        <v>70695245</v>
      </c>
      <c r="E297" s="66" t="s">
        <v>676</v>
      </c>
      <c r="F297" s="67">
        <v>3231</v>
      </c>
      <c r="G297" s="66" t="s">
        <v>312</v>
      </c>
      <c r="H297" s="68" t="s">
        <v>277</v>
      </c>
      <c r="I297" s="462">
        <v>8039680</v>
      </c>
      <c r="J297" s="16">
        <v>5954149</v>
      </c>
      <c r="K297" s="457">
        <v>2012502</v>
      </c>
      <c r="L297" s="457">
        <v>59541</v>
      </c>
      <c r="M297" s="16">
        <v>13488</v>
      </c>
      <c r="N297" s="13">
        <v>10.4915</v>
      </c>
      <c r="O297" s="13">
        <v>9.5411000000000001</v>
      </c>
      <c r="P297" s="17">
        <v>0.95040000000000002</v>
      </c>
      <c r="Q297" s="469">
        <f t="shared" si="397"/>
        <v>0</v>
      </c>
      <c r="R297" s="469">
        <v>0</v>
      </c>
      <c r="S297" s="460">
        <v>0</v>
      </c>
      <c r="T297" s="460">
        <v>0</v>
      </c>
      <c r="U297" s="460">
        <v>0</v>
      </c>
      <c r="V297" s="460">
        <f>SUM(Q297:U297)</f>
        <v>0</v>
      </c>
      <c r="W297" s="460">
        <v>0</v>
      </c>
      <c r="X297" s="460">
        <v>0</v>
      </c>
      <c r="Y297" s="460">
        <v>0</v>
      </c>
      <c r="Z297" s="460">
        <f t="shared" ref="Z297" si="442">SUM(W297:Y297)</f>
        <v>0</v>
      </c>
      <c r="AA297" s="460">
        <f t="shared" ref="AA297" si="443">V297+Z297</f>
        <v>0</v>
      </c>
      <c r="AB297" s="69">
        <f t="shared" ref="AB297" si="444">ROUND((V297+W297+X297)*33.8%,0)</f>
        <v>0</v>
      </c>
      <c r="AC297" s="69">
        <f>ROUND(V297*1%,0)</f>
        <v>0</v>
      </c>
      <c r="AD297" s="460">
        <v>0</v>
      </c>
      <c r="AE297" s="460">
        <v>0</v>
      </c>
      <c r="AF297" s="460">
        <f>SUM(AD297:AE297)</f>
        <v>0</v>
      </c>
      <c r="AG297" s="460">
        <f>AA297+AB297+AC297+AF297</f>
        <v>0</v>
      </c>
      <c r="AH297" s="461">
        <v>0</v>
      </c>
      <c r="AI297" s="461">
        <v>0</v>
      </c>
      <c r="AJ297" s="461">
        <v>0</v>
      </c>
      <c r="AK297" s="461">
        <v>0</v>
      </c>
      <c r="AL297" s="461">
        <v>0</v>
      </c>
      <c r="AM297" s="461">
        <v>0</v>
      </c>
      <c r="AN297" s="461">
        <v>0</v>
      </c>
      <c r="AO297" s="461">
        <v>0</v>
      </c>
      <c r="AP297" s="461">
        <f t="shared" si="398"/>
        <v>0</v>
      </c>
      <c r="AQ297" s="461">
        <f t="shared" si="399"/>
        <v>0</v>
      </c>
      <c r="AR297" s="737">
        <f t="shared" si="400"/>
        <v>0</v>
      </c>
      <c r="AS297" s="470">
        <f t="shared" si="401"/>
        <v>8039680</v>
      </c>
      <c r="AT297" s="460">
        <f t="shared" si="402"/>
        <v>5954149</v>
      </c>
      <c r="AU297" s="460">
        <f t="shared" si="403"/>
        <v>0</v>
      </c>
      <c r="AV297" s="460">
        <f t="shared" si="404"/>
        <v>2012502</v>
      </c>
      <c r="AW297" s="460">
        <f t="shared" si="405"/>
        <v>59541</v>
      </c>
      <c r="AX297" s="460">
        <f t="shared" si="406"/>
        <v>13488</v>
      </c>
      <c r="AY297" s="461">
        <f t="shared" si="407"/>
        <v>10.4915</v>
      </c>
      <c r="AZ297" s="461">
        <f t="shared" si="408"/>
        <v>9.5411000000000001</v>
      </c>
      <c r="BA297" s="463">
        <f t="shared" si="409"/>
        <v>0.95040000000000002</v>
      </c>
    </row>
    <row r="298" spans="1:53" ht="14.1" customHeight="1" x14ac:dyDescent="0.2">
      <c r="A298" s="73">
        <v>60</v>
      </c>
      <c r="B298" s="70">
        <v>2319</v>
      </c>
      <c r="C298" s="71">
        <v>600080218</v>
      </c>
      <c r="D298" s="70">
        <v>70695245</v>
      </c>
      <c r="E298" s="72" t="s">
        <v>677</v>
      </c>
      <c r="F298" s="73"/>
      <c r="G298" s="72"/>
      <c r="H298" s="74"/>
      <c r="I298" s="706">
        <f t="shared" ref="I298:P298" si="445">SUM(I297)</f>
        <v>8039680</v>
      </c>
      <c r="J298" s="79">
        <f t="shared" si="445"/>
        <v>5954149</v>
      </c>
      <c r="K298" s="79">
        <f t="shared" si="445"/>
        <v>2012502</v>
      </c>
      <c r="L298" s="79">
        <f t="shared" si="445"/>
        <v>59541</v>
      </c>
      <c r="M298" s="79">
        <f t="shared" si="445"/>
        <v>13488</v>
      </c>
      <c r="N298" s="80">
        <f t="shared" si="445"/>
        <v>10.4915</v>
      </c>
      <c r="O298" s="80">
        <f t="shared" si="445"/>
        <v>9.5411000000000001</v>
      </c>
      <c r="P298" s="81">
        <f t="shared" si="445"/>
        <v>0.95040000000000002</v>
      </c>
      <c r="Q298" s="725">
        <f t="shared" ref="Q298:BA298" si="446">SUM(Q297)</f>
        <v>0</v>
      </c>
      <c r="R298" s="725">
        <f t="shared" si="446"/>
        <v>0</v>
      </c>
      <c r="S298" s="79">
        <f t="shared" si="446"/>
        <v>0</v>
      </c>
      <c r="T298" s="79">
        <f t="shared" si="446"/>
        <v>0</v>
      </c>
      <c r="U298" s="79">
        <f t="shared" si="446"/>
        <v>0</v>
      </c>
      <c r="V298" s="79">
        <f t="shared" si="446"/>
        <v>0</v>
      </c>
      <c r="W298" s="79">
        <f t="shared" si="446"/>
        <v>0</v>
      </c>
      <c r="X298" s="79">
        <f t="shared" si="446"/>
        <v>0</v>
      </c>
      <c r="Y298" s="79">
        <f t="shared" si="446"/>
        <v>0</v>
      </c>
      <c r="Z298" s="79">
        <f t="shared" si="446"/>
        <v>0</v>
      </c>
      <c r="AA298" s="79">
        <f t="shared" si="446"/>
        <v>0</v>
      </c>
      <c r="AB298" s="79">
        <f t="shared" si="446"/>
        <v>0</v>
      </c>
      <c r="AC298" s="79">
        <f t="shared" si="446"/>
        <v>0</v>
      </c>
      <c r="AD298" s="79">
        <f t="shared" si="446"/>
        <v>0</v>
      </c>
      <c r="AE298" s="79">
        <f t="shared" si="446"/>
        <v>0</v>
      </c>
      <c r="AF298" s="79">
        <f t="shared" si="446"/>
        <v>0</v>
      </c>
      <c r="AG298" s="79">
        <f t="shared" si="446"/>
        <v>0</v>
      </c>
      <c r="AH298" s="80">
        <f t="shared" si="446"/>
        <v>0</v>
      </c>
      <c r="AI298" s="80">
        <f t="shared" si="446"/>
        <v>0</v>
      </c>
      <c r="AJ298" s="80">
        <f t="shared" si="446"/>
        <v>0</v>
      </c>
      <c r="AK298" s="80">
        <f t="shared" si="446"/>
        <v>0</v>
      </c>
      <c r="AL298" s="80">
        <f t="shared" si="446"/>
        <v>0</v>
      </c>
      <c r="AM298" s="80">
        <f t="shared" si="446"/>
        <v>0</v>
      </c>
      <c r="AN298" s="80">
        <f t="shared" si="446"/>
        <v>0</v>
      </c>
      <c r="AO298" s="80">
        <f t="shared" si="446"/>
        <v>0</v>
      </c>
      <c r="AP298" s="80">
        <f t="shared" si="446"/>
        <v>0</v>
      </c>
      <c r="AQ298" s="80">
        <f t="shared" si="446"/>
        <v>0</v>
      </c>
      <c r="AR298" s="721">
        <f t="shared" si="446"/>
        <v>0</v>
      </c>
      <c r="AS298" s="706">
        <f t="shared" si="446"/>
        <v>8039680</v>
      </c>
      <c r="AT298" s="79">
        <f t="shared" si="446"/>
        <v>5954149</v>
      </c>
      <c r="AU298" s="79">
        <f t="shared" si="446"/>
        <v>0</v>
      </c>
      <c r="AV298" s="79">
        <f t="shared" si="446"/>
        <v>2012502</v>
      </c>
      <c r="AW298" s="79">
        <f t="shared" si="446"/>
        <v>59541</v>
      </c>
      <c r="AX298" s="79">
        <f t="shared" si="446"/>
        <v>13488</v>
      </c>
      <c r="AY298" s="80">
        <f t="shared" si="446"/>
        <v>10.4915</v>
      </c>
      <c r="AZ298" s="80">
        <f t="shared" si="446"/>
        <v>9.5411000000000001</v>
      </c>
      <c r="BA298" s="81">
        <f t="shared" si="446"/>
        <v>0.95040000000000002</v>
      </c>
    </row>
    <row r="299" spans="1:53" ht="14.1" customHeight="1" x14ac:dyDescent="0.2">
      <c r="A299" s="67">
        <v>61</v>
      </c>
      <c r="B299" s="64">
        <v>2444</v>
      </c>
      <c r="C299" s="65">
        <v>600079848</v>
      </c>
      <c r="D299" s="64">
        <v>72742836</v>
      </c>
      <c r="E299" s="66" t="s">
        <v>678</v>
      </c>
      <c r="F299" s="67">
        <v>3111</v>
      </c>
      <c r="G299" s="66" t="s">
        <v>307</v>
      </c>
      <c r="H299" s="68" t="s">
        <v>277</v>
      </c>
      <c r="I299" s="462">
        <v>4462313</v>
      </c>
      <c r="J299" s="16">
        <v>3294891</v>
      </c>
      <c r="K299" s="457">
        <v>1113673</v>
      </c>
      <c r="L299" s="457">
        <v>32949</v>
      </c>
      <c r="M299" s="16">
        <v>20800</v>
      </c>
      <c r="N299" s="13">
        <v>6.98</v>
      </c>
      <c r="O299" s="13">
        <v>5.9</v>
      </c>
      <c r="P299" s="17">
        <v>1.08</v>
      </c>
      <c r="Q299" s="469">
        <f t="shared" si="397"/>
        <v>0</v>
      </c>
      <c r="R299" s="469">
        <v>0</v>
      </c>
      <c r="S299" s="460">
        <v>0</v>
      </c>
      <c r="T299" s="460">
        <v>0</v>
      </c>
      <c r="U299" s="460">
        <v>0</v>
      </c>
      <c r="V299" s="460">
        <f t="shared" ref="V299:V304" si="447">SUM(Q299:U299)</f>
        <v>0</v>
      </c>
      <c r="W299" s="460">
        <v>0</v>
      </c>
      <c r="X299" s="460">
        <v>0</v>
      </c>
      <c r="Y299" s="460">
        <v>0</v>
      </c>
      <c r="Z299" s="460">
        <f t="shared" ref="Z299:Z304" si="448">SUM(W299:Y299)</f>
        <v>0</v>
      </c>
      <c r="AA299" s="460">
        <f t="shared" ref="AA299:AA304" si="449">V299+Z299</f>
        <v>0</v>
      </c>
      <c r="AB299" s="69">
        <f t="shared" ref="AB299:AB304" si="450">ROUND((V299+W299+X299)*33.8%,0)</f>
        <v>0</v>
      </c>
      <c r="AC299" s="69">
        <f t="shared" ref="AC299:AC304" si="451">ROUND(V299*1%,0)</f>
        <v>0</v>
      </c>
      <c r="AD299" s="460">
        <v>0</v>
      </c>
      <c r="AE299" s="460">
        <v>0</v>
      </c>
      <c r="AF299" s="460">
        <f t="shared" ref="AF299:AF304" si="452">SUM(AD299:AE299)</f>
        <v>0</v>
      </c>
      <c r="AG299" s="460">
        <f t="shared" ref="AG299:AG304" si="453">AA299+AB299+AC299+AF299</f>
        <v>0</v>
      </c>
      <c r="AH299" s="461">
        <v>0</v>
      </c>
      <c r="AI299" s="461">
        <v>0</v>
      </c>
      <c r="AJ299" s="461">
        <v>0</v>
      </c>
      <c r="AK299" s="461">
        <v>0</v>
      </c>
      <c r="AL299" s="461">
        <v>0</v>
      </c>
      <c r="AM299" s="461">
        <v>0</v>
      </c>
      <c r="AN299" s="461">
        <v>0</v>
      </c>
      <c r="AO299" s="461">
        <v>0</v>
      </c>
      <c r="AP299" s="461">
        <f t="shared" si="398"/>
        <v>0</v>
      </c>
      <c r="AQ299" s="461">
        <f t="shared" si="399"/>
        <v>0</v>
      </c>
      <c r="AR299" s="737">
        <f t="shared" si="400"/>
        <v>0</v>
      </c>
      <c r="AS299" s="470">
        <f t="shared" si="401"/>
        <v>4462313</v>
      </c>
      <c r="AT299" s="460">
        <f t="shared" si="402"/>
        <v>3294891</v>
      </c>
      <c r="AU299" s="460">
        <f t="shared" si="403"/>
        <v>0</v>
      </c>
      <c r="AV299" s="460">
        <f t="shared" si="404"/>
        <v>1113673</v>
      </c>
      <c r="AW299" s="460">
        <f t="shared" si="405"/>
        <v>32949</v>
      </c>
      <c r="AX299" s="460">
        <f t="shared" si="406"/>
        <v>20800</v>
      </c>
      <c r="AY299" s="461">
        <f t="shared" si="407"/>
        <v>6.98</v>
      </c>
      <c r="AZ299" s="461">
        <f t="shared" si="408"/>
        <v>5.9</v>
      </c>
      <c r="BA299" s="463">
        <f t="shared" si="409"/>
        <v>1.08</v>
      </c>
    </row>
    <row r="300" spans="1:53" ht="14.1" customHeight="1" x14ac:dyDescent="0.2">
      <c r="A300" s="67">
        <v>61</v>
      </c>
      <c r="B300" s="64">
        <v>2444</v>
      </c>
      <c r="C300" s="65">
        <v>600079848</v>
      </c>
      <c r="D300" s="64">
        <v>72742836</v>
      </c>
      <c r="E300" s="66" t="s">
        <v>678</v>
      </c>
      <c r="F300" s="67">
        <v>3117</v>
      </c>
      <c r="G300" s="82" t="s">
        <v>310</v>
      </c>
      <c r="H300" s="68" t="s">
        <v>277</v>
      </c>
      <c r="I300" s="462">
        <v>4264575</v>
      </c>
      <c r="J300" s="16">
        <v>3097978</v>
      </c>
      <c r="K300" s="457">
        <v>1047117</v>
      </c>
      <c r="L300" s="457">
        <v>30980</v>
      </c>
      <c r="M300" s="16">
        <v>88500</v>
      </c>
      <c r="N300" s="13">
        <v>5.79</v>
      </c>
      <c r="O300" s="13">
        <v>4</v>
      </c>
      <c r="P300" s="17">
        <v>1.79</v>
      </c>
      <c r="Q300" s="469">
        <f t="shared" si="397"/>
        <v>-21450</v>
      </c>
      <c r="R300" s="469">
        <v>0</v>
      </c>
      <c r="S300" s="460">
        <v>0</v>
      </c>
      <c r="T300" s="460">
        <v>0</v>
      </c>
      <c r="U300" s="460">
        <v>0</v>
      </c>
      <c r="V300" s="460">
        <f t="shared" si="447"/>
        <v>-21450</v>
      </c>
      <c r="W300" s="460">
        <v>21450</v>
      </c>
      <c r="X300" s="460">
        <v>0</v>
      </c>
      <c r="Y300" s="460">
        <v>0</v>
      </c>
      <c r="Z300" s="460">
        <f t="shared" si="448"/>
        <v>21450</v>
      </c>
      <c r="AA300" s="460">
        <f t="shared" si="449"/>
        <v>0</v>
      </c>
      <c r="AB300" s="69">
        <f t="shared" si="450"/>
        <v>0</v>
      </c>
      <c r="AC300" s="69">
        <f t="shared" si="451"/>
        <v>-215</v>
      </c>
      <c r="AD300" s="460">
        <v>0</v>
      </c>
      <c r="AE300" s="460">
        <v>0</v>
      </c>
      <c r="AF300" s="460">
        <f t="shared" si="452"/>
        <v>0</v>
      </c>
      <c r="AG300" s="460">
        <f t="shared" si="453"/>
        <v>-215</v>
      </c>
      <c r="AH300" s="461">
        <v>-0.03</v>
      </c>
      <c r="AI300" s="461">
        <v>0</v>
      </c>
      <c r="AJ300" s="461">
        <v>0</v>
      </c>
      <c r="AK300" s="461">
        <v>0</v>
      </c>
      <c r="AL300" s="461">
        <v>0</v>
      </c>
      <c r="AM300" s="461">
        <v>0</v>
      </c>
      <c r="AN300" s="461">
        <v>0</v>
      </c>
      <c r="AO300" s="461">
        <v>0</v>
      </c>
      <c r="AP300" s="461">
        <f t="shared" si="398"/>
        <v>-0.03</v>
      </c>
      <c r="AQ300" s="461">
        <f t="shared" si="399"/>
        <v>0</v>
      </c>
      <c r="AR300" s="737">
        <f t="shared" si="400"/>
        <v>-0.03</v>
      </c>
      <c r="AS300" s="470">
        <f t="shared" si="401"/>
        <v>4264360</v>
      </c>
      <c r="AT300" s="460">
        <f t="shared" si="402"/>
        <v>3076528</v>
      </c>
      <c r="AU300" s="460">
        <f t="shared" si="403"/>
        <v>21450</v>
      </c>
      <c r="AV300" s="460">
        <f t="shared" si="404"/>
        <v>1047117</v>
      </c>
      <c r="AW300" s="460">
        <f t="shared" si="405"/>
        <v>30765</v>
      </c>
      <c r="AX300" s="460">
        <f t="shared" si="406"/>
        <v>88500</v>
      </c>
      <c r="AY300" s="461">
        <f t="shared" si="407"/>
        <v>5.76</v>
      </c>
      <c r="AZ300" s="461">
        <f t="shared" si="408"/>
        <v>3.97</v>
      </c>
      <c r="BA300" s="463">
        <f t="shared" si="409"/>
        <v>1.79</v>
      </c>
    </row>
    <row r="301" spans="1:53" ht="14.1" customHeight="1" x14ac:dyDescent="0.2">
      <c r="A301" s="67">
        <v>61</v>
      </c>
      <c r="B301" s="64">
        <v>2444</v>
      </c>
      <c r="C301" s="65">
        <v>600079848</v>
      </c>
      <c r="D301" s="64">
        <v>72742836</v>
      </c>
      <c r="E301" s="66" t="s">
        <v>678</v>
      </c>
      <c r="F301" s="67">
        <v>3117</v>
      </c>
      <c r="G301" s="78" t="s">
        <v>308</v>
      </c>
      <c r="H301" s="68" t="s">
        <v>278</v>
      </c>
      <c r="I301" s="462">
        <v>0</v>
      </c>
      <c r="J301" s="457">
        <v>0</v>
      </c>
      <c r="K301" s="457">
        <v>0</v>
      </c>
      <c r="L301" s="457">
        <v>0</v>
      </c>
      <c r="M301" s="457">
        <v>0</v>
      </c>
      <c r="N301" s="458">
        <v>0</v>
      </c>
      <c r="O301" s="459">
        <v>0</v>
      </c>
      <c r="P301" s="646">
        <v>0</v>
      </c>
      <c r="Q301" s="469">
        <f t="shared" si="397"/>
        <v>0</v>
      </c>
      <c r="R301" s="469">
        <v>417704</v>
      </c>
      <c r="S301" s="460">
        <v>0</v>
      </c>
      <c r="T301" s="460">
        <v>0</v>
      </c>
      <c r="U301" s="460">
        <v>0</v>
      </c>
      <c r="V301" s="460">
        <f t="shared" si="447"/>
        <v>417704</v>
      </c>
      <c r="W301" s="460">
        <v>0</v>
      </c>
      <c r="X301" s="460">
        <v>0</v>
      </c>
      <c r="Y301" s="460">
        <v>0</v>
      </c>
      <c r="Z301" s="460">
        <f t="shared" si="448"/>
        <v>0</v>
      </c>
      <c r="AA301" s="460">
        <f t="shared" si="449"/>
        <v>417704</v>
      </c>
      <c r="AB301" s="69">
        <f t="shared" si="450"/>
        <v>141184</v>
      </c>
      <c r="AC301" s="69">
        <f t="shared" si="451"/>
        <v>4177</v>
      </c>
      <c r="AD301" s="460">
        <v>0</v>
      </c>
      <c r="AE301" s="460">
        <v>0</v>
      </c>
      <c r="AF301" s="460">
        <f t="shared" si="452"/>
        <v>0</v>
      </c>
      <c r="AG301" s="460">
        <f t="shared" si="453"/>
        <v>563065</v>
      </c>
      <c r="AH301" s="461">
        <v>0</v>
      </c>
      <c r="AI301" s="461">
        <v>0</v>
      </c>
      <c r="AJ301" s="461">
        <v>1.19</v>
      </c>
      <c r="AK301" s="461">
        <v>0</v>
      </c>
      <c r="AL301" s="461">
        <v>0</v>
      </c>
      <c r="AM301" s="461">
        <v>0</v>
      </c>
      <c r="AN301" s="461">
        <v>0</v>
      </c>
      <c r="AO301" s="461">
        <v>0</v>
      </c>
      <c r="AP301" s="461">
        <f t="shared" si="398"/>
        <v>1.19</v>
      </c>
      <c r="AQ301" s="461">
        <f t="shared" si="399"/>
        <v>0</v>
      </c>
      <c r="AR301" s="737">
        <f t="shared" si="400"/>
        <v>1.19</v>
      </c>
      <c r="AS301" s="470">
        <f t="shared" si="401"/>
        <v>563065</v>
      </c>
      <c r="AT301" s="460">
        <f t="shared" si="402"/>
        <v>417704</v>
      </c>
      <c r="AU301" s="460">
        <f t="shared" si="403"/>
        <v>0</v>
      </c>
      <c r="AV301" s="460">
        <f t="shared" si="404"/>
        <v>141184</v>
      </c>
      <c r="AW301" s="460">
        <f t="shared" si="405"/>
        <v>4177</v>
      </c>
      <c r="AX301" s="460">
        <f t="shared" si="406"/>
        <v>0</v>
      </c>
      <c r="AY301" s="461">
        <f t="shared" si="407"/>
        <v>1.19</v>
      </c>
      <c r="AZ301" s="461">
        <f t="shared" si="408"/>
        <v>1.19</v>
      </c>
      <c r="BA301" s="463">
        <f t="shared" si="409"/>
        <v>0</v>
      </c>
    </row>
    <row r="302" spans="1:53" ht="14.1" customHeight="1" x14ac:dyDescent="0.2">
      <c r="A302" s="67">
        <v>61</v>
      </c>
      <c r="B302" s="64">
        <v>2444</v>
      </c>
      <c r="C302" s="65">
        <v>600079848</v>
      </c>
      <c r="D302" s="64">
        <v>72742836</v>
      </c>
      <c r="E302" s="66" t="s">
        <v>678</v>
      </c>
      <c r="F302" s="67">
        <v>3141</v>
      </c>
      <c r="G302" s="66" t="s">
        <v>311</v>
      </c>
      <c r="H302" s="68" t="s">
        <v>278</v>
      </c>
      <c r="I302" s="462">
        <v>1234768</v>
      </c>
      <c r="J302" s="728">
        <v>911679</v>
      </c>
      <c r="K302" s="457">
        <v>308148</v>
      </c>
      <c r="L302" s="457">
        <v>9117</v>
      </c>
      <c r="M302" s="728">
        <v>5824</v>
      </c>
      <c r="N302" s="458">
        <v>2.93</v>
      </c>
      <c r="O302" s="459">
        <v>0</v>
      </c>
      <c r="P302" s="646">
        <v>2.93</v>
      </c>
      <c r="Q302" s="469">
        <f t="shared" si="397"/>
        <v>0</v>
      </c>
      <c r="R302" s="469">
        <v>0</v>
      </c>
      <c r="S302" s="460">
        <v>0</v>
      </c>
      <c r="T302" s="460">
        <v>0</v>
      </c>
      <c r="U302" s="460">
        <v>0</v>
      </c>
      <c r="V302" s="460">
        <f t="shared" si="447"/>
        <v>0</v>
      </c>
      <c r="W302" s="460">
        <v>0</v>
      </c>
      <c r="X302" s="460">
        <v>0</v>
      </c>
      <c r="Y302" s="460">
        <v>0</v>
      </c>
      <c r="Z302" s="460">
        <f t="shared" si="448"/>
        <v>0</v>
      </c>
      <c r="AA302" s="460">
        <f t="shared" si="449"/>
        <v>0</v>
      </c>
      <c r="AB302" s="69">
        <f t="shared" si="450"/>
        <v>0</v>
      </c>
      <c r="AC302" s="69">
        <f t="shared" si="451"/>
        <v>0</v>
      </c>
      <c r="AD302" s="460">
        <v>0</v>
      </c>
      <c r="AE302" s="460">
        <v>0</v>
      </c>
      <c r="AF302" s="460">
        <f t="shared" si="452"/>
        <v>0</v>
      </c>
      <c r="AG302" s="460">
        <f t="shared" si="453"/>
        <v>0</v>
      </c>
      <c r="AH302" s="461">
        <v>0</v>
      </c>
      <c r="AI302" s="461">
        <v>0</v>
      </c>
      <c r="AJ302" s="461">
        <v>0</v>
      </c>
      <c r="AK302" s="461">
        <v>0</v>
      </c>
      <c r="AL302" s="461">
        <v>0</v>
      </c>
      <c r="AM302" s="461">
        <v>0</v>
      </c>
      <c r="AN302" s="461">
        <v>0</v>
      </c>
      <c r="AO302" s="461">
        <v>0</v>
      </c>
      <c r="AP302" s="461">
        <f t="shared" si="398"/>
        <v>0</v>
      </c>
      <c r="AQ302" s="461">
        <f t="shared" si="399"/>
        <v>0</v>
      </c>
      <c r="AR302" s="737">
        <f t="shared" si="400"/>
        <v>0</v>
      </c>
      <c r="AS302" s="470">
        <f t="shared" si="401"/>
        <v>1234768</v>
      </c>
      <c r="AT302" s="460">
        <f t="shared" si="402"/>
        <v>911679</v>
      </c>
      <c r="AU302" s="460">
        <f t="shared" si="403"/>
        <v>0</v>
      </c>
      <c r="AV302" s="460">
        <f t="shared" si="404"/>
        <v>308148</v>
      </c>
      <c r="AW302" s="460">
        <f t="shared" si="405"/>
        <v>9117</v>
      </c>
      <c r="AX302" s="460">
        <f t="shared" si="406"/>
        <v>5824</v>
      </c>
      <c r="AY302" s="461">
        <f t="shared" si="407"/>
        <v>2.93</v>
      </c>
      <c r="AZ302" s="461">
        <f t="shared" si="408"/>
        <v>0</v>
      </c>
      <c r="BA302" s="463">
        <f t="shared" si="409"/>
        <v>2.93</v>
      </c>
    </row>
    <row r="303" spans="1:53" ht="14.1" customHeight="1" x14ac:dyDescent="0.2">
      <c r="A303" s="67">
        <v>61</v>
      </c>
      <c r="B303" s="64">
        <v>2444</v>
      </c>
      <c r="C303" s="65">
        <v>600079848</v>
      </c>
      <c r="D303" s="64">
        <v>72742836</v>
      </c>
      <c r="E303" s="66" t="s">
        <v>678</v>
      </c>
      <c r="F303" s="67">
        <v>3143</v>
      </c>
      <c r="G303" s="78" t="s">
        <v>616</v>
      </c>
      <c r="H303" s="68" t="s">
        <v>277</v>
      </c>
      <c r="I303" s="462">
        <v>713283</v>
      </c>
      <c r="J303" s="16">
        <v>529142</v>
      </c>
      <c r="K303" s="457">
        <v>178850</v>
      </c>
      <c r="L303" s="457">
        <v>5291</v>
      </c>
      <c r="M303" s="16">
        <v>0</v>
      </c>
      <c r="N303" s="458">
        <v>1</v>
      </c>
      <c r="O303" s="13">
        <v>1</v>
      </c>
      <c r="P303" s="17">
        <v>0</v>
      </c>
      <c r="Q303" s="469">
        <f t="shared" si="397"/>
        <v>0</v>
      </c>
      <c r="R303" s="469">
        <v>0</v>
      </c>
      <c r="S303" s="460">
        <v>0</v>
      </c>
      <c r="T303" s="460">
        <v>0</v>
      </c>
      <c r="U303" s="460">
        <v>0</v>
      </c>
      <c r="V303" s="460">
        <f t="shared" si="447"/>
        <v>0</v>
      </c>
      <c r="W303" s="460">
        <v>0</v>
      </c>
      <c r="X303" s="460">
        <v>0</v>
      </c>
      <c r="Y303" s="460">
        <v>0</v>
      </c>
      <c r="Z303" s="460">
        <f t="shared" si="448"/>
        <v>0</v>
      </c>
      <c r="AA303" s="460">
        <f t="shared" si="449"/>
        <v>0</v>
      </c>
      <c r="AB303" s="69">
        <f t="shared" si="450"/>
        <v>0</v>
      </c>
      <c r="AC303" s="69">
        <f t="shared" si="451"/>
        <v>0</v>
      </c>
      <c r="AD303" s="460">
        <v>0</v>
      </c>
      <c r="AE303" s="460">
        <v>0</v>
      </c>
      <c r="AF303" s="460">
        <f t="shared" si="452"/>
        <v>0</v>
      </c>
      <c r="AG303" s="460">
        <f t="shared" si="453"/>
        <v>0</v>
      </c>
      <c r="AH303" s="461">
        <v>0</v>
      </c>
      <c r="AI303" s="461">
        <v>0</v>
      </c>
      <c r="AJ303" s="461">
        <v>0</v>
      </c>
      <c r="AK303" s="461">
        <v>0</v>
      </c>
      <c r="AL303" s="461">
        <v>0</v>
      </c>
      <c r="AM303" s="461">
        <v>0</v>
      </c>
      <c r="AN303" s="461">
        <v>0</v>
      </c>
      <c r="AO303" s="461">
        <v>0</v>
      </c>
      <c r="AP303" s="461">
        <f t="shared" si="398"/>
        <v>0</v>
      </c>
      <c r="AQ303" s="461">
        <f t="shared" si="399"/>
        <v>0</v>
      </c>
      <c r="AR303" s="737">
        <f t="shared" si="400"/>
        <v>0</v>
      </c>
      <c r="AS303" s="470">
        <f t="shared" si="401"/>
        <v>713283</v>
      </c>
      <c r="AT303" s="460">
        <f t="shared" si="402"/>
        <v>529142</v>
      </c>
      <c r="AU303" s="460">
        <f t="shared" si="403"/>
        <v>0</v>
      </c>
      <c r="AV303" s="460">
        <f t="shared" si="404"/>
        <v>178850</v>
      </c>
      <c r="AW303" s="460">
        <f t="shared" si="405"/>
        <v>5291</v>
      </c>
      <c r="AX303" s="460">
        <f t="shared" si="406"/>
        <v>0</v>
      </c>
      <c r="AY303" s="461">
        <f t="shared" si="407"/>
        <v>1</v>
      </c>
      <c r="AZ303" s="461">
        <f t="shared" si="408"/>
        <v>1</v>
      </c>
      <c r="BA303" s="463">
        <f t="shared" si="409"/>
        <v>0</v>
      </c>
    </row>
    <row r="304" spans="1:53" ht="14.1" customHeight="1" x14ac:dyDescent="0.2">
      <c r="A304" s="67">
        <v>61</v>
      </c>
      <c r="B304" s="64">
        <v>2444</v>
      </c>
      <c r="C304" s="65">
        <v>600079848</v>
      </c>
      <c r="D304" s="64">
        <v>72742836</v>
      </c>
      <c r="E304" s="66" t="s">
        <v>678</v>
      </c>
      <c r="F304" s="67">
        <v>3143</v>
      </c>
      <c r="G304" s="78" t="s">
        <v>617</v>
      </c>
      <c r="H304" s="68" t="s">
        <v>278</v>
      </c>
      <c r="I304" s="462">
        <v>21990</v>
      </c>
      <c r="J304" s="673">
        <v>15712</v>
      </c>
      <c r="K304" s="457">
        <v>5311</v>
      </c>
      <c r="L304" s="457">
        <v>157</v>
      </c>
      <c r="M304" s="673">
        <v>810</v>
      </c>
      <c r="N304" s="458">
        <v>0.06</v>
      </c>
      <c r="O304" s="459">
        <v>0</v>
      </c>
      <c r="P304" s="717">
        <v>0.06</v>
      </c>
      <c r="Q304" s="469">
        <f t="shared" si="397"/>
        <v>0</v>
      </c>
      <c r="R304" s="469">
        <v>0</v>
      </c>
      <c r="S304" s="460">
        <v>0</v>
      </c>
      <c r="T304" s="460">
        <v>0</v>
      </c>
      <c r="U304" s="460">
        <v>0</v>
      </c>
      <c r="V304" s="460">
        <f t="shared" si="447"/>
        <v>0</v>
      </c>
      <c r="W304" s="460">
        <v>0</v>
      </c>
      <c r="X304" s="460">
        <v>0</v>
      </c>
      <c r="Y304" s="460">
        <v>0</v>
      </c>
      <c r="Z304" s="460">
        <f t="shared" si="448"/>
        <v>0</v>
      </c>
      <c r="AA304" s="460">
        <f t="shared" si="449"/>
        <v>0</v>
      </c>
      <c r="AB304" s="69">
        <f t="shared" si="450"/>
        <v>0</v>
      </c>
      <c r="AC304" s="69">
        <f t="shared" si="451"/>
        <v>0</v>
      </c>
      <c r="AD304" s="460">
        <v>0</v>
      </c>
      <c r="AE304" s="460">
        <v>0</v>
      </c>
      <c r="AF304" s="460">
        <f t="shared" si="452"/>
        <v>0</v>
      </c>
      <c r="AG304" s="460">
        <f t="shared" si="453"/>
        <v>0</v>
      </c>
      <c r="AH304" s="461">
        <v>0</v>
      </c>
      <c r="AI304" s="461">
        <v>0</v>
      </c>
      <c r="AJ304" s="461">
        <v>0</v>
      </c>
      <c r="AK304" s="461">
        <v>0</v>
      </c>
      <c r="AL304" s="461">
        <v>0</v>
      </c>
      <c r="AM304" s="461">
        <v>0</v>
      </c>
      <c r="AN304" s="461">
        <v>0</v>
      </c>
      <c r="AO304" s="461">
        <v>0</v>
      </c>
      <c r="AP304" s="461">
        <f t="shared" si="398"/>
        <v>0</v>
      </c>
      <c r="AQ304" s="461">
        <f t="shared" si="399"/>
        <v>0</v>
      </c>
      <c r="AR304" s="737">
        <f t="shared" si="400"/>
        <v>0</v>
      </c>
      <c r="AS304" s="470">
        <f t="shared" si="401"/>
        <v>21990</v>
      </c>
      <c r="AT304" s="460">
        <f t="shared" si="402"/>
        <v>15712</v>
      </c>
      <c r="AU304" s="460">
        <f t="shared" si="403"/>
        <v>0</v>
      </c>
      <c r="AV304" s="460">
        <f t="shared" si="404"/>
        <v>5311</v>
      </c>
      <c r="AW304" s="460">
        <f t="shared" si="405"/>
        <v>157</v>
      </c>
      <c r="AX304" s="460">
        <f t="shared" si="406"/>
        <v>810</v>
      </c>
      <c r="AY304" s="461">
        <f t="shared" si="407"/>
        <v>0.06</v>
      </c>
      <c r="AZ304" s="461">
        <f t="shared" si="408"/>
        <v>0</v>
      </c>
      <c r="BA304" s="463">
        <f t="shared" si="409"/>
        <v>0.06</v>
      </c>
    </row>
    <row r="305" spans="1:53" ht="14.1" customHeight="1" x14ac:dyDescent="0.2">
      <c r="A305" s="73">
        <v>61</v>
      </c>
      <c r="B305" s="70">
        <v>2444</v>
      </c>
      <c r="C305" s="71">
        <v>600079848</v>
      </c>
      <c r="D305" s="70">
        <v>72742836</v>
      </c>
      <c r="E305" s="72" t="s">
        <v>679</v>
      </c>
      <c r="F305" s="73"/>
      <c r="G305" s="72"/>
      <c r="H305" s="74"/>
      <c r="I305" s="701">
        <f t="shared" ref="I305:P305" si="454">SUM(I299:I304)</f>
        <v>10696929</v>
      </c>
      <c r="J305" s="75">
        <f t="shared" si="454"/>
        <v>7849402</v>
      </c>
      <c r="K305" s="75">
        <f t="shared" si="454"/>
        <v>2653099</v>
      </c>
      <c r="L305" s="75">
        <f t="shared" si="454"/>
        <v>78494</v>
      </c>
      <c r="M305" s="75">
        <f t="shared" si="454"/>
        <v>115934</v>
      </c>
      <c r="N305" s="76">
        <f t="shared" si="454"/>
        <v>16.759999999999998</v>
      </c>
      <c r="O305" s="76">
        <f t="shared" si="454"/>
        <v>10.9</v>
      </c>
      <c r="P305" s="77">
        <f t="shared" si="454"/>
        <v>5.86</v>
      </c>
      <c r="Q305" s="724">
        <f t="shared" ref="Q305:BA305" si="455">SUM(Q299:Q304)</f>
        <v>-21450</v>
      </c>
      <c r="R305" s="724">
        <f t="shared" si="455"/>
        <v>417704</v>
      </c>
      <c r="S305" s="75">
        <f t="shared" si="455"/>
        <v>0</v>
      </c>
      <c r="T305" s="75">
        <f t="shared" si="455"/>
        <v>0</v>
      </c>
      <c r="U305" s="75">
        <f t="shared" si="455"/>
        <v>0</v>
      </c>
      <c r="V305" s="75">
        <f t="shared" si="455"/>
        <v>396254</v>
      </c>
      <c r="W305" s="75">
        <f t="shared" si="455"/>
        <v>21450</v>
      </c>
      <c r="X305" s="75">
        <f t="shared" si="455"/>
        <v>0</v>
      </c>
      <c r="Y305" s="75">
        <f t="shared" si="455"/>
        <v>0</v>
      </c>
      <c r="Z305" s="75">
        <f t="shared" si="455"/>
        <v>21450</v>
      </c>
      <c r="AA305" s="75">
        <f t="shared" si="455"/>
        <v>417704</v>
      </c>
      <c r="AB305" s="75">
        <f t="shared" si="455"/>
        <v>141184</v>
      </c>
      <c r="AC305" s="75">
        <f t="shared" si="455"/>
        <v>3962</v>
      </c>
      <c r="AD305" s="75">
        <f t="shared" si="455"/>
        <v>0</v>
      </c>
      <c r="AE305" s="75">
        <f t="shared" si="455"/>
        <v>0</v>
      </c>
      <c r="AF305" s="75">
        <f t="shared" si="455"/>
        <v>0</v>
      </c>
      <c r="AG305" s="75">
        <f t="shared" si="455"/>
        <v>562850</v>
      </c>
      <c r="AH305" s="76">
        <f t="shared" si="455"/>
        <v>-0.03</v>
      </c>
      <c r="AI305" s="76">
        <f t="shared" si="455"/>
        <v>0</v>
      </c>
      <c r="AJ305" s="76">
        <f t="shared" si="455"/>
        <v>1.19</v>
      </c>
      <c r="AK305" s="76">
        <f t="shared" si="455"/>
        <v>0</v>
      </c>
      <c r="AL305" s="76">
        <f t="shared" si="455"/>
        <v>0</v>
      </c>
      <c r="AM305" s="76">
        <f t="shared" si="455"/>
        <v>0</v>
      </c>
      <c r="AN305" s="76">
        <f t="shared" si="455"/>
        <v>0</v>
      </c>
      <c r="AO305" s="76">
        <f t="shared" si="455"/>
        <v>0</v>
      </c>
      <c r="AP305" s="76">
        <f t="shared" si="455"/>
        <v>1.1599999999999999</v>
      </c>
      <c r="AQ305" s="76">
        <f t="shared" si="455"/>
        <v>0</v>
      </c>
      <c r="AR305" s="720">
        <f t="shared" si="455"/>
        <v>1.1599999999999999</v>
      </c>
      <c r="AS305" s="701">
        <f t="shared" si="455"/>
        <v>11259779</v>
      </c>
      <c r="AT305" s="75">
        <f t="shared" si="455"/>
        <v>8245656</v>
      </c>
      <c r="AU305" s="75">
        <f t="shared" si="455"/>
        <v>21450</v>
      </c>
      <c r="AV305" s="75">
        <f t="shared" si="455"/>
        <v>2794283</v>
      </c>
      <c r="AW305" s="75">
        <f t="shared" si="455"/>
        <v>82456</v>
      </c>
      <c r="AX305" s="75">
        <f t="shared" si="455"/>
        <v>115934</v>
      </c>
      <c r="AY305" s="76">
        <f t="shared" si="455"/>
        <v>17.919999999999998</v>
      </c>
      <c r="AZ305" s="76">
        <f t="shared" si="455"/>
        <v>12.06</v>
      </c>
      <c r="BA305" s="77">
        <f t="shared" si="455"/>
        <v>5.86</v>
      </c>
    </row>
    <row r="306" spans="1:53" ht="14.1" customHeight="1" x14ac:dyDescent="0.2">
      <c r="A306" s="67">
        <v>62</v>
      </c>
      <c r="B306" s="64">
        <v>2457</v>
      </c>
      <c r="C306" s="65">
        <v>650021479</v>
      </c>
      <c r="D306" s="64">
        <v>72742577</v>
      </c>
      <c r="E306" s="66" t="s">
        <v>680</v>
      </c>
      <c r="F306" s="67">
        <v>3111</v>
      </c>
      <c r="G306" s="66" t="s">
        <v>307</v>
      </c>
      <c r="H306" s="68" t="s">
        <v>277</v>
      </c>
      <c r="I306" s="462">
        <v>1444309</v>
      </c>
      <c r="J306" s="16">
        <v>1065808</v>
      </c>
      <c r="K306" s="457">
        <v>360243</v>
      </c>
      <c r="L306" s="457">
        <v>10658</v>
      </c>
      <c r="M306" s="16">
        <v>7600</v>
      </c>
      <c r="N306" s="13">
        <v>2.2955000000000001</v>
      </c>
      <c r="O306" s="13">
        <v>1.9355</v>
      </c>
      <c r="P306" s="17">
        <v>0.36</v>
      </c>
      <c r="Q306" s="469">
        <f t="shared" si="397"/>
        <v>0</v>
      </c>
      <c r="R306" s="469">
        <v>0</v>
      </c>
      <c r="S306" s="460">
        <v>0</v>
      </c>
      <c r="T306" s="460">
        <v>0</v>
      </c>
      <c r="U306" s="460">
        <v>0</v>
      </c>
      <c r="V306" s="460">
        <f t="shared" ref="V306:V311" si="456">SUM(Q306:U306)</f>
        <v>0</v>
      </c>
      <c r="W306" s="460">
        <v>0</v>
      </c>
      <c r="X306" s="460">
        <v>0</v>
      </c>
      <c r="Y306" s="460">
        <v>0</v>
      </c>
      <c r="Z306" s="460">
        <f t="shared" ref="Z306:Z311" si="457">SUM(W306:Y306)</f>
        <v>0</v>
      </c>
      <c r="AA306" s="460">
        <f t="shared" ref="AA306:AA311" si="458">V306+Z306</f>
        <v>0</v>
      </c>
      <c r="AB306" s="69">
        <f t="shared" ref="AB306:AB311" si="459">ROUND((V306+W306+X306)*33.8%,0)</f>
        <v>0</v>
      </c>
      <c r="AC306" s="69">
        <f t="shared" ref="AC306:AC311" si="460">ROUND(V306*1%,0)</f>
        <v>0</v>
      </c>
      <c r="AD306" s="460">
        <v>0</v>
      </c>
      <c r="AE306" s="460">
        <v>0</v>
      </c>
      <c r="AF306" s="460">
        <f t="shared" ref="AF306:AF311" si="461">SUM(AD306:AE306)</f>
        <v>0</v>
      </c>
      <c r="AG306" s="460">
        <f t="shared" ref="AG306:AG311" si="462">AA306+AB306+AC306+AF306</f>
        <v>0</v>
      </c>
      <c r="AH306" s="461">
        <v>0</v>
      </c>
      <c r="AI306" s="461">
        <v>0</v>
      </c>
      <c r="AJ306" s="461">
        <v>0</v>
      </c>
      <c r="AK306" s="461">
        <v>0</v>
      </c>
      <c r="AL306" s="461">
        <v>0</v>
      </c>
      <c r="AM306" s="461">
        <v>0</v>
      </c>
      <c r="AN306" s="461">
        <v>0</v>
      </c>
      <c r="AO306" s="461">
        <v>0</v>
      </c>
      <c r="AP306" s="461">
        <f t="shared" si="398"/>
        <v>0</v>
      </c>
      <c r="AQ306" s="461">
        <f t="shared" si="399"/>
        <v>0</v>
      </c>
      <c r="AR306" s="737">
        <f t="shared" si="400"/>
        <v>0</v>
      </c>
      <c r="AS306" s="470">
        <f t="shared" si="401"/>
        <v>1444309</v>
      </c>
      <c r="AT306" s="460">
        <f t="shared" si="402"/>
        <v>1065808</v>
      </c>
      <c r="AU306" s="460">
        <f t="shared" si="403"/>
        <v>0</v>
      </c>
      <c r="AV306" s="460">
        <f t="shared" si="404"/>
        <v>360243</v>
      </c>
      <c r="AW306" s="460">
        <f t="shared" si="405"/>
        <v>10658</v>
      </c>
      <c r="AX306" s="460">
        <f t="shared" si="406"/>
        <v>7600</v>
      </c>
      <c r="AY306" s="461">
        <f t="shared" si="407"/>
        <v>2.2955000000000001</v>
      </c>
      <c r="AZ306" s="461">
        <f t="shared" si="408"/>
        <v>1.9355</v>
      </c>
      <c r="BA306" s="463">
        <f t="shared" si="409"/>
        <v>0.36</v>
      </c>
    </row>
    <row r="307" spans="1:53" ht="14.1" customHeight="1" x14ac:dyDescent="0.2">
      <c r="A307" s="67">
        <v>62</v>
      </c>
      <c r="B307" s="64">
        <v>2457</v>
      </c>
      <c r="C307" s="65">
        <v>650021479</v>
      </c>
      <c r="D307" s="64">
        <v>72742577</v>
      </c>
      <c r="E307" s="66" t="s">
        <v>680</v>
      </c>
      <c r="F307" s="67">
        <v>3117</v>
      </c>
      <c r="G307" s="82" t="s">
        <v>310</v>
      </c>
      <c r="H307" s="68" t="s">
        <v>277</v>
      </c>
      <c r="I307" s="462">
        <v>1518744</v>
      </c>
      <c r="J307" s="16">
        <v>1112439</v>
      </c>
      <c r="K307" s="457">
        <v>376005</v>
      </c>
      <c r="L307" s="457">
        <v>11125</v>
      </c>
      <c r="M307" s="16">
        <v>19175</v>
      </c>
      <c r="N307" s="13">
        <v>2.04</v>
      </c>
      <c r="O307" s="13">
        <v>1.54</v>
      </c>
      <c r="P307" s="17">
        <v>0.5</v>
      </c>
      <c r="Q307" s="469">
        <f t="shared" si="397"/>
        <v>0</v>
      </c>
      <c r="R307" s="469">
        <v>0</v>
      </c>
      <c r="S307" s="460">
        <v>0</v>
      </c>
      <c r="T307" s="460">
        <v>0</v>
      </c>
      <c r="U307" s="460">
        <v>0</v>
      </c>
      <c r="V307" s="460">
        <f t="shared" si="456"/>
        <v>0</v>
      </c>
      <c r="W307" s="460">
        <v>0</v>
      </c>
      <c r="X307" s="460">
        <v>0</v>
      </c>
      <c r="Y307" s="460">
        <v>0</v>
      </c>
      <c r="Z307" s="460">
        <f t="shared" si="457"/>
        <v>0</v>
      </c>
      <c r="AA307" s="460">
        <f t="shared" si="458"/>
        <v>0</v>
      </c>
      <c r="AB307" s="69">
        <f t="shared" si="459"/>
        <v>0</v>
      </c>
      <c r="AC307" s="69">
        <f t="shared" si="460"/>
        <v>0</v>
      </c>
      <c r="AD307" s="460">
        <v>0</v>
      </c>
      <c r="AE307" s="460">
        <v>0</v>
      </c>
      <c r="AF307" s="460">
        <f t="shared" si="461"/>
        <v>0</v>
      </c>
      <c r="AG307" s="460">
        <f t="shared" si="462"/>
        <v>0</v>
      </c>
      <c r="AH307" s="461">
        <v>0</v>
      </c>
      <c r="AI307" s="461">
        <v>0</v>
      </c>
      <c r="AJ307" s="461">
        <v>0</v>
      </c>
      <c r="AK307" s="461">
        <v>0</v>
      </c>
      <c r="AL307" s="461">
        <v>0</v>
      </c>
      <c r="AM307" s="461">
        <v>0</v>
      </c>
      <c r="AN307" s="461">
        <v>0</v>
      </c>
      <c r="AO307" s="461">
        <v>0</v>
      </c>
      <c r="AP307" s="461">
        <f t="shared" si="398"/>
        <v>0</v>
      </c>
      <c r="AQ307" s="461">
        <f t="shared" si="399"/>
        <v>0</v>
      </c>
      <c r="AR307" s="737">
        <f t="shared" si="400"/>
        <v>0</v>
      </c>
      <c r="AS307" s="470">
        <f t="shared" si="401"/>
        <v>1518744</v>
      </c>
      <c r="AT307" s="460">
        <f t="shared" si="402"/>
        <v>1112439</v>
      </c>
      <c r="AU307" s="460">
        <f t="shared" si="403"/>
        <v>0</v>
      </c>
      <c r="AV307" s="460">
        <f t="shared" si="404"/>
        <v>376005</v>
      </c>
      <c r="AW307" s="460">
        <f t="shared" si="405"/>
        <v>11125</v>
      </c>
      <c r="AX307" s="460">
        <f t="shared" si="406"/>
        <v>19175</v>
      </c>
      <c r="AY307" s="461">
        <f t="shared" si="407"/>
        <v>2.04</v>
      </c>
      <c r="AZ307" s="461">
        <f t="shared" si="408"/>
        <v>1.54</v>
      </c>
      <c r="BA307" s="463">
        <f t="shared" si="409"/>
        <v>0.5</v>
      </c>
    </row>
    <row r="308" spans="1:53" ht="14.1" customHeight="1" x14ac:dyDescent="0.2">
      <c r="A308" s="67">
        <v>62</v>
      </c>
      <c r="B308" s="64">
        <v>2457</v>
      </c>
      <c r="C308" s="65">
        <v>650021479</v>
      </c>
      <c r="D308" s="64">
        <v>72742577</v>
      </c>
      <c r="E308" s="66" t="s">
        <v>680</v>
      </c>
      <c r="F308" s="67">
        <v>3117</v>
      </c>
      <c r="G308" s="78" t="s">
        <v>308</v>
      </c>
      <c r="H308" s="68" t="s">
        <v>278</v>
      </c>
      <c r="I308" s="462">
        <v>0</v>
      </c>
      <c r="J308" s="457">
        <v>0</v>
      </c>
      <c r="K308" s="457">
        <v>0</v>
      </c>
      <c r="L308" s="457">
        <v>0</v>
      </c>
      <c r="M308" s="457">
        <v>0</v>
      </c>
      <c r="N308" s="458">
        <v>0</v>
      </c>
      <c r="O308" s="459">
        <v>0</v>
      </c>
      <c r="P308" s="646">
        <v>0</v>
      </c>
      <c r="Q308" s="469">
        <f t="shared" si="397"/>
        <v>0</v>
      </c>
      <c r="R308" s="469">
        <v>0</v>
      </c>
      <c r="S308" s="460">
        <v>0</v>
      </c>
      <c r="T308" s="460">
        <v>0</v>
      </c>
      <c r="U308" s="460">
        <v>0</v>
      </c>
      <c r="V308" s="460">
        <f t="shared" si="456"/>
        <v>0</v>
      </c>
      <c r="W308" s="460">
        <v>0</v>
      </c>
      <c r="X308" s="460">
        <v>0</v>
      </c>
      <c r="Y308" s="460">
        <v>0</v>
      </c>
      <c r="Z308" s="460">
        <f t="shared" si="457"/>
        <v>0</v>
      </c>
      <c r="AA308" s="460">
        <f t="shared" si="458"/>
        <v>0</v>
      </c>
      <c r="AB308" s="69">
        <f t="shared" si="459"/>
        <v>0</v>
      </c>
      <c r="AC308" s="69">
        <f t="shared" si="460"/>
        <v>0</v>
      </c>
      <c r="AD308" s="460">
        <v>0</v>
      </c>
      <c r="AE308" s="460">
        <v>0</v>
      </c>
      <c r="AF308" s="460">
        <f t="shared" si="461"/>
        <v>0</v>
      </c>
      <c r="AG308" s="460">
        <f t="shared" si="462"/>
        <v>0</v>
      </c>
      <c r="AH308" s="461">
        <v>0</v>
      </c>
      <c r="AI308" s="461">
        <v>0</v>
      </c>
      <c r="AJ308" s="461">
        <v>0</v>
      </c>
      <c r="AK308" s="461">
        <v>0</v>
      </c>
      <c r="AL308" s="461">
        <v>0</v>
      </c>
      <c r="AM308" s="461">
        <v>0</v>
      </c>
      <c r="AN308" s="461">
        <v>0</v>
      </c>
      <c r="AO308" s="461">
        <v>0</v>
      </c>
      <c r="AP308" s="461">
        <f t="shared" si="398"/>
        <v>0</v>
      </c>
      <c r="AQ308" s="461">
        <f t="shared" si="399"/>
        <v>0</v>
      </c>
      <c r="AR308" s="737">
        <f t="shared" si="400"/>
        <v>0</v>
      </c>
      <c r="AS308" s="470">
        <f t="shared" si="401"/>
        <v>0</v>
      </c>
      <c r="AT308" s="460">
        <f t="shared" si="402"/>
        <v>0</v>
      </c>
      <c r="AU308" s="460">
        <f t="shared" si="403"/>
        <v>0</v>
      </c>
      <c r="AV308" s="460">
        <f t="shared" si="404"/>
        <v>0</v>
      </c>
      <c r="AW308" s="460">
        <f t="shared" si="405"/>
        <v>0</v>
      </c>
      <c r="AX308" s="460">
        <f t="shared" si="406"/>
        <v>0</v>
      </c>
      <c r="AY308" s="461">
        <f t="shared" si="407"/>
        <v>0</v>
      </c>
      <c r="AZ308" s="461">
        <f t="shared" si="408"/>
        <v>0</v>
      </c>
      <c r="BA308" s="463">
        <f t="shared" si="409"/>
        <v>0</v>
      </c>
    </row>
    <row r="309" spans="1:53" ht="14.1" customHeight="1" x14ac:dyDescent="0.2">
      <c r="A309" s="67">
        <v>62</v>
      </c>
      <c r="B309" s="64">
        <v>2457</v>
      </c>
      <c r="C309" s="65">
        <v>650021479</v>
      </c>
      <c r="D309" s="64">
        <v>72742577</v>
      </c>
      <c r="E309" s="66" t="s">
        <v>680</v>
      </c>
      <c r="F309" s="67">
        <v>3141</v>
      </c>
      <c r="G309" s="66" t="s">
        <v>311</v>
      </c>
      <c r="H309" s="68" t="s">
        <v>278</v>
      </c>
      <c r="I309" s="462">
        <v>455384</v>
      </c>
      <c r="J309" s="728">
        <v>336626</v>
      </c>
      <c r="K309" s="457">
        <v>113780</v>
      </c>
      <c r="L309" s="457">
        <v>3366</v>
      </c>
      <c r="M309" s="728">
        <v>1612</v>
      </c>
      <c r="N309" s="458">
        <v>1.08</v>
      </c>
      <c r="O309" s="459">
        <v>0</v>
      </c>
      <c r="P309" s="646">
        <v>1.08</v>
      </c>
      <c r="Q309" s="469">
        <f t="shared" si="397"/>
        <v>-78000</v>
      </c>
      <c r="R309" s="469">
        <v>0</v>
      </c>
      <c r="S309" s="460">
        <v>0</v>
      </c>
      <c r="T309" s="460">
        <v>0</v>
      </c>
      <c r="U309" s="460">
        <v>0</v>
      </c>
      <c r="V309" s="460">
        <f t="shared" si="456"/>
        <v>-78000</v>
      </c>
      <c r="W309" s="460">
        <v>78000</v>
      </c>
      <c r="X309" s="460">
        <v>0</v>
      </c>
      <c r="Y309" s="460">
        <v>0</v>
      </c>
      <c r="Z309" s="460">
        <f t="shared" si="457"/>
        <v>78000</v>
      </c>
      <c r="AA309" s="460">
        <f t="shared" si="458"/>
        <v>0</v>
      </c>
      <c r="AB309" s="69">
        <f t="shared" si="459"/>
        <v>0</v>
      </c>
      <c r="AC309" s="69">
        <f t="shared" si="460"/>
        <v>-780</v>
      </c>
      <c r="AD309" s="460">
        <v>0</v>
      </c>
      <c r="AE309" s="460">
        <v>0</v>
      </c>
      <c r="AF309" s="460">
        <f t="shared" si="461"/>
        <v>0</v>
      </c>
      <c r="AG309" s="460">
        <f t="shared" si="462"/>
        <v>-780</v>
      </c>
      <c r="AH309" s="461">
        <v>0</v>
      </c>
      <c r="AI309" s="461">
        <v>-0.25</v>
      </c>
      <c r="AJ309" s="461">
        <v>0</v>
      </c>
      <c r="AK309" s="461">
        <v>0</v>
      </c>
      <c r="AL309" s="461">
        <v>0</v>
      </c>
      <c r="AM309" s="461">
        <v>0</v>
      </c>
      <c r="AN309" s="461">
        <v>0</v>
      </c>
      <c r="AO309" s="461">
        <v>0</v>
      </c>
      <c r="AP309" s="461">
        <f t="shared" si="398"/>
        <v>0</v>
      </c>
      <c r="AQ309" s="461">
        <f t="shared" si="399"/>
        <v>-0.25</v>
      </c>
      <c r="AR309" s="737">
        <f t="shared" si="400"/>
        <v>-0.25</v>
      </c>
      <c r="AS309" s="470">
        <f t="shared" si="401"/>
        <v>454604</v>
      </c>
      <c r="AT309" s="460">
        <f t="shared" si="402"/>
        <v>258626</v>
      </c>
      <c r="AU309" s="460">
        <f t="shared" si="403"/>
        <v>78000</v>
      </c>
      <c r="AV309" s="460">
        <f t="shared" si="404"/>
        <v>113780</v>
      </c>
      <c r="AW309" s="460">
        <f t="shared" si="405"/>
        <v>2586</v>
      </c>
      <c r="AX309" s="460">
        <f t="shared" si="406"/>
        <v>1612</v>
      </c>
      <c r="AY309" s="461">
        <f t="shared" si="407"/>
        <v>0.83000000000000007</v>
      </c>
      <c r="AZ309" s="461">
        <f t="shared" si="408"/>
        <v>0</v>
      </c>
      <c r="BA309" s="463">
        <f t="shared" si="409"/>
        <v>0.83000000000000007</v>
      </c>
    </row>
    <row r="310" spans="1:53" ht="14.1" customHeight="1" x14ac:dyDescent="0.2">
      <c r="A310" s="67">
        <v>62</v>
      </c>
      <c r="B310" s="64">
        <v>2457</v>
      </c>
      <c r="C310" s="65">
        <v>650021479</v>
      </c>
      <c r="D310" s="64">
        <v>72742577</v>
      </c>
      <c r="E310" s="66" t="s">
        <v>680</v>
      </c>
      <c r="F310" s="67">
        <v>3143</v>
      </c>
      <c r="G310" s="78" t="s">
        <v>616</v>
      </c>
      <c r="H310" s="68" t="s">
        <v>277</v>
      </c>
      <c r="I310" s="462">
        <v>62990</v>
      </c>
      <c r="J310" s="16">
        <v>46729</v>
      </c>
      <c r="K310" s="457">
        <v>15794</v>
      </c>
      <c r="L310" s="457">
        <v>467</v>
      </c>
      <c r="M310" s="16">
        <v>0</v>
      </c>
      <c r="N310" s="458">
        <v>0.1</v>
      </c>
      <c r="O310" s="13">
        <v>0.1</v>
      </c>
      <c r="P310" s="17">
        <v>0</v>
      </c>
      <c r="Q310" s="469">
        <f t="shared" si="397"/>
        <v>0</v>
      </c>
      <c r="R310" s="469">
        <v>0</v>
      </c>
      <c r="S310" s="460">
        <v>0</v>
      </c>
      <c r="T310" s="460">
        <v>0</v>
      </c>
      <c r="U310" s="460">
        <v>0</v>
      </c>
      <c r="V310" s="460">
        <f t="shared" si="456"/>
        <v>0</v>
      </c>
      <c r="W310" s="460">
        <v>0</v>
      </c>
      <c r="X310" s="460">
        <v>0</v>
      </c>
      <c r="Y310" s="460">
        <v>0</v>
      </c>
      <c r="Z310" s="460">
        <f t="shared" si="457"/>
        <v>0</v>
      </c>
      <c r="AA310" s="460">
        <f t="shared" si="458"/>
        <v>0</v>
      </c>
      <c r="AB310" s="69">
        <f t="shared" si="459"/>
        <v>0</v>
      </c>
      <c r="AC310" s="69">
        <f t="shared" si="460"/>
        <v>0</v>
      </c>
      <c r="AD310" s="460">
        <v>0</v>
      </c>
      <c r="AE310" s="460">
        <v>0</v>
      </c>
      <c r="AF310" s="460">
        <f t="shared" si="461"/>
        <v>0</v>
      </c>
      <c r="AG310" s="460">
        <f t="shared" si="462"/>
        <v>0</v>
      </c>
      <c r="AH310" s="461">
        <v>0</v>
      </c>
      <c r="AI310" s="461">
        <v>0</v>
      </c>
      <c r="AJ310" s="461">
        <v>0</v>
      </c>
      <c r="AK310" s="461">
        <v>0</v>
      </c>
      <c r="AL310" s="461">
        <v>0</v>
      </c>
      <c r="AM310" s="461">
        <v>0</v>
      </c>
      <c r="AN310" s="461">
        <v>0</v>
      </c>
      <c r="AO310" s="461">
        <v>0</v>
      </c>
      <c r="AP310" s="461">
        <f t="shared" si="398"/>
        <v>0</v>
      </c>
      <c r="AQ310" s="461">
        <f t="shared" si="399"/>
        <v>0</v>
      </c>
      <c r="AR310" s="737">
        <f t="shared" si="400"/>
        <v>0</v>
      </c>
      <c r="AS310" s="470">
        <f t="shared" si="401"/>
        <v>62990</v>
      </c>
      <c r="AT310" s="460">
        <f t="shared" si="402"/>
        <v>46729</v>
      </c>
      <c r="AU310" s="460">
        <f t="shared" si="403"/>
        <v>0</v>
      </c>
      <c r="AV310" s="460">
        <f t="shared" si="404"/>
        <v>15794</v>
      </c>
      <c r="AW310" s="460">
        <f t="shared" si="405"/>
        <v>467</v>
      </c>
      <c r="AX310" s="460">
        <f t="shared" si="406"/>
        <v>0</v>
      </c>
      <c r="AY310" s="461">
        <f t="shared" si="407"/>
        <v>0.1</v>
      </c>
      <c r="AZ310" s="461">
        <f t="shared" si="408"/>
        <v>0.1</v>
      </c>
      <c r="BA310" s="463">
        <f t="shared" si="409"/>
        <v>0</v>
      </c>
    </row>
    <row r="311" spans="1:53" ht="14.1" customHeight="1" x14ac:dyDescent="0.2">
      <c r="A311" s="67">
        <v>62</v>
      </c>
      <c r="B311" s="64">
        <v>2457</v>
      </c>
      <c r="C311" s="65">
        <v>650021479</v>
      </c>
      <c r="D311" s="64">
        <v>72742577</v>
      </c>
      <c r="E311" s="66" t="s">
        <v>680</v>
      </c>
      <c r="F311" s="67">
        <v>3143</v>
      </c>
      <c r="G311" s="78" t="s">
        <v>617</v>
      </c>
      <c r="H311" s="68" t="s">
        <v>278</v>
      </c>
      <c r="I311" s="462">
        <v>9529</v>
      </c>
      <c r="J311" s="673">
        <v>6809</v>
      </c>
      <c r="K311" s="457">
        <v>2301</v>
      </c>
      <c r="L311" s="457">
        <v>68</v>
      </c>
      <c r="M311" s="673">
        <v>351</v>
      </c>
      <c r="N311" s="458">
        <v>0.03</v>
      </c>
      <c r="O311" s="459">
        <v>0</v>
      </c>
      <c r="P311" s="717">
        <v>0.03</v>
      </c>
      <c r="Q311" s="469">
        <f t="shared" si="397"/>
        <v>0</v>
      </c>
      <c r="R311" s="469">
        <v>0</v>
      </c>
      <c r="S311" s="460">
        <v>0</v>
      </c>
      <c r="T311" s="460">
        <v>0</v>
      </c>
      <c r="U311" s="460">
        <v>0</v>
      </c>
      <c r="V311" s="460">
        <f t="shared" si="456"/>
        <v>0</v>
      </c>
      <c r="W311" s="460">
        <v>0</v>
      </c>
      <c r="X311" s="460">
        <v>0</v>
      </c>
      <c r="Y311" s="460">
        <v>0</v>
      </c>
      <c r="Z311" s="460">
        <f t="shared" si="457"/>
        <v>0</v>
      </c>
      <c r="AA311" s="460">
        <f t="shared" si="458"/>
        <v>0</v>
      </c>
      <c r="AB311" s="69">
        <f t="shared" si="459"/>
        <v>0</v>
      </c>
      <c r="AC311" s="69">
        <f t="shared" si="460"/>
        <v>0</v>
      </c>
      <c r="AD311" s="460">
        <v>0</v>
      </c>
      <c r="AE311" s="460">
        <v>0</v>
      </c>
      <c r="AF311" s="460">
        <f t="shared" si="461"/>
        <v>0</v>
      </c>
      <c r="AG311" s="460">
        <f t="shared" si="462"/>
        <v>0</v>
      </c>
      <c r="AH311" s="461">
        <v>0</v>
      </c>
      <c r="AI311" s="461">
        <v>0</v>
      </c>
      <c r="AJ311" s="461">
        <v>0</v>
      </c>
      <c r="AK311" s="461">
        <v>0</v>
      </c>
      <c r="AL311" s="461">
        <v>0</v>
      </c>
      <c r="AM311" s="461">
        <v>0</v>
      </c>
      <c r="AN311" s="461">
        <v>0</v>
      </c>
      <c r="AO311" s="461">
        <v>0</v>
      </c>
      <c r="AP311" s="461">
        <f t="shared" si="398"/>
        <v>0</v>
      </c>
      <c r="AQ311" s="461">
        <f t="shared" si="399"/>
        <v>0</v>
      </c>
      <c r="AR311" s="737">
        <f t="shared" si="400"/>
        <v>0</v>
      </c>
      <c r="AS311" s="470">
        <f t="shared" si="401"/>
        <v>9529</v>
      </c>
      <c r="AT311" s="460">
        <f t="shared" si="402"/>
        <v>6809</v>
      </c>
      <c r="AU311" s="460">
        <f t="shared" si="403"/>
        <v>0</v>
      </c>
      <c r="AV311" s="460">
        <f t="shared" si="404"/>
        <v>2301</v>
      </c>
      <c r="AW311" s="460">
        <f t="shared" si="405"/>
        <v>68</v>
      </c>
      <c r="AX311" s="460">
        <f t="shared" si="406"/>
        <v>351</v>
      </c>
      <c r="AY311" s="461">
        <f t="shared" si="407"/>
        <v>0.03</v>
      </c>
      <c r="AZ311" s="461">
        <f t="shared" si="408"/>
        <v>0</v>
      </c>
      <c r="BA311" s="463">
        <f t="shared" si="409"/>
        <v>0.03</v>
      </c>
    </row>
    <row r="312" spans="1:53" ht="14.1" customHeight="1" x14ac:dyDescent="0.2">
      <c r="A312" s="73">
        <v>62</v>
      </c>
      <c r="B312" s="70">
        <v>2457</v>
      </c>
      <c r="C312" s="71">
        <v>650021479</v>
      </c>
      <c r="D312" s="70">
        <v>72742577</v>
      </c>
      <c r="E312" s="72" t="s">
        <v>681</v>
      </c>
      <c r="F312" s="73"/>
      <c r="G312" s="72"/>
      <c r="H312" s="74"/>
      <c r="I312" s="701">
        <f t="shared" ref="I312:P312" si="463">SUM(I306:I311)</f>
        <v>3490956</v>
      </c>
      <c r="J312" s="75">
        <f t="shared" si="463"/>
        <v>2568411</v>
      </c>
      <c r="K312" s="75">
        <f t="shared" si="463"/>
        <v>868123</v>
      </c>
      <c r="L312" s="75">
        <f t="shared" si="463"/>
        <v>25684</v>
      </c>
      <c r="M312" s="75">
        <f t="shared" si="463"/>
        <v>28738</v>
      </c>
      <c r="N312" s="76">
        <f t="shared" si="463"/>
        <v>5.5454999999999997</v>
      </c>
      <c r="O312" s="76">
        <f t="shared" si="463"/>
        <v>3.5755000000000003</v>
      </c>
      <c r="P312" s="77">
        <f t="shared" si="463"/>
        <v>1.97</v>
      </c>
      <c r="Q312" s="724">
        <f t="shared" ref="Q312:BA312" si="464">SUM(Q306:Q311)</f>
        <v>-78000</v>
      </c>
      <c r="R312" s="724">
        <f t="shared" si="464"/>
        <v>0</v>
      </c>
      <c r="S312" s="75">
        <f t="shared" si="464"/>
        <v>0</v>
      </c>
      <c r="T312" s="75">
        <f t="shared" si="464"/>
        <v>0</v>
      </c>
      <c r="U312" s="75">
        <f t="shared" si="464"/>
        <v>0</v>
      </c>
      <c r="V312" s="75">
        <f t="shared" si="464"/>
        <v>-78000</v>
      </c>
      <c r="W312" s="75">
        <f t="shared" si="464"/>
        <v>78000</v>
      </c>
      <c r="X312" s="75">
        <f t="shared" si="464"/>
        <v>0</v>
      </c>
      <c r="Y312" s="75">
        <f t="shared" si="464"/>
        <v>0</v>
      </c>
      <c r="Z312" s="75">
        <f t="shared" si="464"/>
        <v>78000</v>
      </c>
      <c r="AA312" s="75">
        <f t="shared" si="464"/>
        <v>0</v>
      </c>
      <c r="AB312" s="75">
        <f t="shared" si="464"/>
        <v>0</v>
      </c>
      <c r="AC312" s="75">
        <f t="shared" si="464"/>
        <v>-780</v>
      </c>
      <c r="AD312" s="75">
        <f t="shared" si="464"/>
        <v>0</v>
      </c>
      <c r="AE312" s="75">
        <f t="shared" si="464"/>
        <v>0</v>
      </c>
      <c r="AF312" s="75">
        <f t="shared" si="464"/>
        <v>0</v>
      </c>
      <c r="AG312" s="75">
        <f t="shared" si="464"/>
        <v>-780</v>
      </c>
      <c r="AH312" s="76">
        <f t="shared" si="464"/>
        <v>0</v>
      </c>
      <c r="AI312" s="76">
        <f t="shared" si="464"/>
        <v>-0.25</v>
      </c>
      <c r="AJ312" s="76">
        <f t="shared" si="464"/>
        <v>0</v>
      </c>
      <c r="AK312" s="76">
        <f t="shared" si="464"/>
        <v>0</v>
      </c>
      <c r="AL312" s="76">
        <f t="shared" si="464"/>
        <v>0</v>
      </c>
      <c r="AM312" s="76">
        <f t="shared" si="464"/>
        <v>0</v>
      </c>
      <c r="AN312" s="76">
        <f t="shared" si="464"/>
        <v>0</v>
      </c>
      <c r="AO312" s="76">
        <f t="shared" si="464"/>
        <v>0</v>
      </c>
      <c r="AP312" s="76">
        <f t="shared" si="464"/>
        <v>0</v>
      </c>
      <c r="AQ312" s="76">
        <f t="shared" si="464"/>
        <v>-0.25</v>
      </c>
      <c r="AR312" s="720">
        <f t="shared" si="464"/>
        <v>-0.25</v>
      </c>
      <c r="AS312" s="701">
        <f t="shared" si="464"/>
        <v>3490176</v>
      </c>
      <c r="AT312" s="75">
        <f t="shared" si="464"/>
        <v>2490411</v>
      </c>
      <c r="AU312" s="75">
        <f t="shared" si="464"/>
        <v>78000</v>
      </c>
      <c r="AV312" s="75">
        <f t="shared" si="464"/>
        <v>868123</v>
      </c>
      <c r="AW312" s="75">
        <f t="shared" si="464"/>
        <v>24904</v>
      </c>
      <c r="AX312" s="75">
        <f t="shared" si="464"/>
        <v>28738</v>
      </c>
      <c r="AY312" s="76">
        <f t="shared" si="464"/>
        <v>5.2954999999999997</v>
      </c>
      <c r="AZ312" s="76">
        <f t="shared" si="464"/>
        <v>3.5755000000000003</v>
      </c>
      <c r="BA312" s="77">
        <f t="shared" si="464"/>
        <v>1.72</v>
      </c>
    </row>
    <row r="313" spans="1:53" ht="14.1" customHeight="1" x14ac:dyDescent="0.2">
      <c r="A313" s="67">
        <v>63</v>
      </c>
      <c r="B313" s="64">
        <v>2403</v>
      </c>
      <c r="C313" s="65">
        <v>600078931</v>
      </c>
      <c r="D313" s="64">
        <v>72744324</v>
      </c>
      <c r="E313" s="66" t="s">
        <v>682</v>
      </c>
      <c r="F313" s="67">
        <v>3111</v>
      </c>
      <c r="G313" s="66" t="s">
        <v>307</v>
      </c>
      <c r="H313" s="68" t="s">
        <v>277</v>
      </c>
      <c r="I313" s="462">
        <v>6908729</v>
      </c>
      <c r="J313" s="16">
        <v>5094829</v>
      </c>
      <c r="K313" s="457">
        <v>1722052</v>
      </c>
      <c r="L313" s="457">
        <v>50948</v>
      </c>
      <c r="M313" s="16">
        <v>40900</v>
      </c>
      <c r="N313" s="13">
        <v>10.4</v>
      </c>
      <c r="O313" s="13">
        <v>8</v>
      </c>
      <c r="P313" s="17">
        <v>2.4000000000000004</v>
      </c>
      <c r="Q313" s="469">
        <f t="shared" si="397"/>
        <v>0</v>
      </c>
      <c r="R313" s="469">
        <v>0</v>
      </c>
      <c r="S313" s="460">
        <v>0</v>
      </c>
      <c r="T313" s="460">
        <v>0</v>
      </c>
      <c r="U313" s="460">
        <v>0</v>
      </c>
      <c r="V313" s="460">
        <f>SUM(Q313:U313)</f>
        <v>0</v>
      </c>
      <c r="W313" s="460">
        <v>0</v>
      </c>
      <c r="X313" s="460">
        <v>0</v>
      </c>
      <c r="Y313" s="460">
        <v>0</v>
      </c>
      <c r="Z313" s="460">
        <f t="shared" ref="Z313:Z315" si="465">SUM(W313:Y313)</f>
        <v>0</v>
      </c>
      <c r="AA313" s="460">
        <f t="shared" ref="AA313:AA315" si="466">V313+Z313</f>
        <v>0</v>
      </c>
      <c r="AB313" s="69">
        <f t="shared" ref="AB313:AB315" si="467">ROUND((V313+W313+X313)*33.8%,0)</f>
        <v>0</v>
      </c>
      <c r="AC313" s="69">
        <f t="shared" ref="AC313:AC315" si="468">ROUND(V313*1%,0)</f>
        <v>0</v>
      </c>
      <c r="AD313" s="460">
        <v>0</v>
      </c>
      <c r="AE313" s="460">
        <v>0</v>
      </c>
      <c r="AF313" s="460">
        <f>SUM(AD313:AE313)</f>
        <v>0</v>
      </c>
      <c r="AG313" s="460">
        <f>AA313+AB313+AC313+AF313</f>
        <v>0</v>
      </c>
      <c r="AH313" s="461">
        <v>0</v>
      </c>
      <c r="AI313" s="461">
        <v>0</v>
      </c>
      <c r="AJ313" s="461">
        <v>0</v>
      </c>
      <c r="AK313" s="461">
        <v>0</v>
      </c>
      <c r="AL313" s="461">
        <v>0</v>
      </c>
      <c r="AM313" s="461">
        <v>0</v>
      </c>
      <c r="AN313" s="461">
        <v>0</v>
      </c>
      <c r="AO313" s="461">
        <v>0</v>
      </c>
      <c r="AP313" s="461">
        <f t="shared" si="398"/>
        <v>0</v>
      </c>
      <c r="AQ313" s="461">
        <f t="shared" si="399"/>
        <v>0</v>
      </c>
      <c r="AR313" s="737">
        <f t="shared" si="400"/>
        <v>0</v>
      </c>
      <c r="AS313" s="470">
        <f t="shared" si="401"/>
        <v>6908729</v>
      </c>
      <c r="AT313" s="460">
        <f t="shared" si="402"/>
        <v>5094829</v>
      </c>
      <c r="AU313" s="460">
        <f t="shared" si="403"/>
        <v>0</v>
      </c>
      <c r="AV313" s="460">
        <f t="shared" si="404"/>
        <v>1722052</v>
      </c>
      <c r="AW313" s="460">
        <f t="shared" si="405"/>
        <v>50948</v>
      </c>
      <c r="AX313" s="460">
        <f t="shared" si="406"/>
        <v>40900</v>
      </c>
      <c r="AY313" s="461">
        <f t="shared" si="407"/>
        <v>10.4</v>
      </c>
      <c r="AZ313" s="461">
        <f t="shared" si="408"/>
        <v>8</v>
      </c>
      <c r="BA313" s="463">
        <f t="shared" si="409"/>
        <v>2.4000000000000004</v>
      </c>
    </row>
    <row r="314" spans="1:53" ht="14.1" customHeight="1" x14ac:dyDescent="0.2">
      <c r="A314" s="67">
        <v>63</v>
      </c>
      <c r="B314" s="64">
        <v>2403</v>
      </c>
      <c r="C314" s="65">
        <v>600078931</v>
      </c>
      <c r="D314" s="64">
        <v>72744324</v>
      </c>
      <c r="E314" s="66" t="s">
        <v>682</v>
      </c>
      <c r="F314" s="67">
        <v>3111</v>
      </c>
      <c r="G314" s="78" t="s">
        <v>308</v>
      </c>
      <c r="H314" s="68" t="s">
        <v>278</v>
      </c>
      <c r="I314" s="462">
        <v>0</v>
      </c>
      <c r="J314" s="457">
        <v>0</v>
      </c>
      <c r="K314" s="457">
        <v>0</v>
      </c>
      <c r="L314" s="457">
        <v>0</v>
      </c>
      <c r="M314" s="457">
        <v>0</v>
      </c>
      <c r="N314" s="458">
        <v>0</v>
      </c>
      <c r="O314" s="459">
        <v>0</v>
      </c>
      <c r="P314" s="646">
        <v>0</v>
      </c>
      <c r="Q314" s="469">
        <f t="shared" si="397"/>
        <v>0</v>
      </c>
      <c r="R314" s="469">
        <v>866117</v>
      </c>
      <c r="S314" s="460">
        <v>0</v>
      </c>
      <c r="T314" s="460">
        <v>0</v>
      </c>
      <c r="U314" s="460">
        <v>0</v>
      </c>
      <c r="V314" s="460">
        <f>SUM(Q314:U314)</f>
        <v>866117</v>
      </c>
      <c r="W314" s="460">
        <v>0</v>
      </c>
      <c r="X314" s="460">
        <v>0</v>
      </c>
      <c r="Y314" s="460">
        <v>0</v>
      </c>
      <c r="Z314" s="460">
        <f t="shared" si="465"/>
        <v>0</v>
      </c>
      <c r="AA314" s="460">
        <f t="shared" si="466"/>
        <v>866117</v>
      </c>
      <c r="AB314" s="69">
        <f t="shared" si="467"/>
        <v>292748</v>
      </c>
      <c r="AC314" s="69">
        <f t="shared" si="468"/>
        <v>8661</v>
      </c>
      <c r="AD314" s="460">
        <v>0</v>
      </c>
      <c r="AE314" s="460">
        <v>0</v>
      </c>
      <c r="AF314" s="460">
        <f>SUM(AD314:AE314)</f>
        <v>0</v>
      </c>
      <c r="AG314" s="460">
        <f>AA314+AB314+AC314+AF314</f>
        <v>1167526</v>
      </c>
      <c r="AH314" s="461">
        <v>0</v>
      </c>
      <c r="AI314" s="461">
        <v>0</v>
      </c>
      <c r="AJ314" s="461">
        <v>2.5</v>
      </c>
      <c r="AK314" s="461">
        <v>0</v>
      </c>
      <c r="AL314" s="461">
        <v>0</v>
      </c>
      <c r="AM314" s="461">
        <v>0</v>
      </c>
      <c r="AN314" s="461">
        <v>0</v>
      </c>
      <c r="AO314" s="461">
        <v>0</v>
      </c>
      <c r="AP314" s="461">
        <f t="shared" si="398"/>
        <v>2.5</v>
      </c>
      <c r="AQ314" s="461">
        <f t="shared" si="399"/>
        <v>0</v>
      </c>
      <c r="AR314" s="737">
        <f t="shared" si="400"/>
        <v>2.5</v>
      </c>
      <c r="AS314" s="470">
        <f t="shared" si="401"/>
        <v>1167526</v>
      </c>
      <c r="AT314" s="460">
        <f t="shared" si="402"/>
        <v>866117</v>
      </c>
      <c r="AU314" s="460">
        <f t="shared" si="403"/>
        <v>0</v>
      </c>
      <c r="AV314" s="460">
        <f t="shared" si="404"/>
        <v>292748</v>
      </c>
      <c r="AW314" s="460">
        <f t="shared" si="405"/>
        <v>8661</v>
      </c>
      <c r="AX314" s="460">
        <f t="shared" si="406"/>
        <v>0</v>
      </c>
      <c r="AY314" s="461">
        <f t="shared" si="407"/>
        <v>2.5</v>
      </c>
      <c r="AZ314" s="461">
        <f t="shared" si="408"/>
        <v>2.5</v>
      </c>
      <c r="BA314" s="463">
        <f t="shared" si="409"/>
        <v>0</v>
      </c>
    </row>
    <row r="315" spans="1:53" ht="14.1" customHeight="1" x14ac:dyDescent="0.2">
      <c r="A315" s="67">
        <v>63</v>
      </c>
      <c r="B315" s="64">
        <v>2403</v>
      </c>
      <c r="C315" s="65">
        <v>600078931</v>
      </c>
      <c r="D315" s="64">
        <v>72744324</v>
      </c>
      <c r="E315" s="66" t="s">
        <v>682</v>
      </c>
      <c r="F315" s="67">
        <v>3141</v>
      </c>
      <c r="G315" s="66" t="s">
        <v>311</v>
      </c>
      <c r="H315" s="68" t="s">
        <v>278</v>
      </c>
      <c r="I315" s="462">
        <v>976178</v>
      </c>
      <c r="J315" s="728">
        <v>720657</v>
      </c>
      <c r="K315" s="457">
        <v>243582</v>
      </c>
      <c r="L315" s="457">
        <v>7207</v>
      </c>
      <c r="M315" s="728">
        <v>4732</v>
      </c>
      <c r="N315" s="458">
        <v>2.3199999999999998</v>
      </c>
      <c r="O315" s="459">
        <v>0</v>
      </c>
      <c r="P315" s="646">
        <v>2.3199999999999998</v>
      </c>
      <c r="Q315" s="469">
        <f t="shared" si="397"/>
        <v>0</v>
      </c>
      <c r="R315" s="469">
        <v>0</v>
      </c>
      <c r="S315" s="460">
        <v>0</v>
      </c>
      <c r="T315" s="460">
        <v>0</v>
      </c>
      <c r="U315" s="460">
        <v>0</v>
      </c>
      <c r="V315" s="460">
        <f>SUM(Q315:U315)</f>
        <v>0</v>
      </c>
      <c r="W315" s="460">
        <v>0</v>
      </c>
      <c r="X315" s="460">
        <v>0</v>
      </c>
      <c r="Y315" s="460">
        <v>0</v>
      </c>
      <c r="Z315" s="460">
        <f t="shared" si="465"/>
        <v>0</v>
      </c>
      <c r="AA315" s="460">
        <f t="shared" si="466"/>
        <v>0</v>
      </c>
      <c r="AB315" s="69">
        <f t="shared" si="467"/>
        <v>0</v>
      </c>
      <c r="AC315" s="69">
        <f t="shared" si="468"/>
        <v>0</v>
      </c>
      <c r="AD315" s="460">
        <v>0</v>
      </c>
      <c r="AE315" s="460">
        <v>0</v>
      </c>
      <c r="AF315" s="460">
        <f>SUM(AD315:AE315)</f>
        <v>0</v>
      </c>
      <c r="AG315" s="460">
        <f>AA315+AB315+AC315+AF315</f>
        <v>0</v>
      </c>
      <c r="AH315" s="461">
        <v>0</v>
      </c>
      <c r="AI315" s="461">
        <v>0</v>
      </c>
      <c r="AJ315" s="461">
        <v>0</v>
      </c>
      <c r="AK315" s="461">
        <v>0</v>
      </c>
      <c r="AL315" s="461">
        <v>0</v>
      </c>
      <c r="AM315" s="461">
        <v>0</v>
      </c>
      <c r="AN315" s="461">
        <v>0</v>
      </c>
      <c r="AO315" s="461">
        <v>0</v>
      </c>
      <c r="AP315" s="461">
        <f t="shared" si="398"/>
        <v>0</v>
      </c>
      <c r="AQ315" s="461">
        <f t="shared" si="399"/>
        <v>0</v>
      </c>
      <c r="AR315" s="737">
        <f t="shared" si="400"/>
        <v>0</v>
      </c>
      <c r="AS315" s="470">
        <f t="shared" si="401"/>
        <v>976178</v>
      </c>
      <c r="AT315" s="460">
        <f t="shared" si="402"/>
        <v>720657</v>
      </c>
      <c r="AU315" s="460">
        <f t="shared" si="403"/>
        <v>0</v>
      </c>
      <c r="AV315" s="460">
        <f t="shared" si="404"/>
        <v>243582</v>
      </c>
      <c r="AW315" s="460">
        <f t="shared" si="405"/>
        <v>7207</v>
      </c>
      <c r="AX315" s="460">
        <f t="shared" si="406"/>
        <v>4732</v>
      </c>
      <c r="AY315" s="461">
        <f t="shared" si="407"/>
        <v>2.3199999999999998</v>
      </c>
      <c r="AZ315" s="461">
        <f t="shared" si="408"/>
        <v>0</v>
      </c>
      <c r="BA315" s="463">
        <f t="shared" si="409"/>
        <v>2.3199999999999998</v>
      </c>
    </row>
    <row r="316" spans="1:53" ht="14.1" customHeight="1" x14ac:dyDescent="0.2">
      <c r="A316" s="73">
        <v>63</v>
      </c>
      <c r="B316" s="70">
        <v>2403</v>
      </c>
      <c r="C316" s="71">
        <v>600078931</v>
      </c>
      <c r="D316" s="70">
        <v>72744324</v>
      </c>
      <c r="E316" s="72" t="s">
        <v>683</v>
      </c>
      <c r="F316" s="73"/>
      <c r="G316" s="72"/>
      <c r="H316" s="74"/>
      <c r="I316" s="701">
        <f t="shared" ref="I316:P316" si="469">SUM(I313:I315)</f>
        <v>7884907</v>
      </c>
      <c r="J316" s="75">
        <f t="shared" si="469"/>
        <v>5815486</v>
      </c>
      <c r="K316" s="75">
        <f t="shared" si="469"/>
        <v>1965634</v>
      </c>
      <c r="L316" s="75">
        <f t="shared" si="469"/>
        <v>58155</v>
      </c>
      <c r="M316" s="75">
        <f t="shared" si="469"/>
        <v>45632</v>
      </c>
      <c r="N316" s="76">
        <f t="shared" si="469"/>
        <v>12.72</v>
      </c>
      <c r="O316" s="76">
        <f t="shared" si="469"/>
        <v>8</v>
      </c>
      <c r="P316" s="77">
        <f t="shared" si="469"/>
        <v>4.7200000000000006</v>
      </c>
      <c r="Q316" s="724">
        <f t="shared" ref="Q316:BA316" si="470">SUM(Q313:Q315)</f>
        <v>0</v>
      </c>
      <c r="R316" s="724">
        <f t="shared" si="470"/>
        <v>866117</v>
      </c>
      <c r="S316" s="75">
        <f t="shared" si="470"/>
        <v>0</v>
      </c>
      <c r="T316" s="75">
        <f t="shared" si="470"/>
        <v>0</v>
      </c>
      <c r="U316" s="75">
        <f t="shared" si="470"/>
        <v>0</v>
      </c>
      <c r="V316" s="75">
        <f t="shared" si="470"/>
        <v>866117</v>
      </c>
      <c r="W316" s="75">
        <f t="shared" si="470"/>
        <v>0</v>
      </c>
      <c r="X316" s="75">
        <f t="shared" si="470"/>
        <v>0</v>
      </c>
      <c r="Y316" s="75">
        <f t="shared" si="470"/>
        <v>0</v>
      </c>
      <c r="Z316" s="75">
        <f t="shared" si="470"/>
        <v>0</v>
      </c>
      <c r="AA316" s="75">
        <f t="shared" si="470"/>
        <v>866117</v>
      </c>
      <c r="AB316" s="75">
        <f t="shared" si="470"/>
        <v>292748</v>
      </c>
      <c r="AC316" s="75">
        <f t="shared" si="470"/>
        <v>8661</v>
      </c>
      <c r="AD316" s="75">
        <f t="shared" si="470"/>
        <v>0</v>
      </c>
      <c r="AE316" s="75">
        <f t="shared" si="470"/>
        <v>0</v>
      </c>
      <c r="AF316" s="75">
        <f t="shared" si="470"/>
        <v>0</v>
      </c>
      <c r="AG316" s="75">
        <f t="shared" si="470"/>
        <v>1167526</v>
      </c>
      <c r="AH316" s="76">
        <f t="shared" si="470"/>
        <v>0</v>
      </c>
      <c r="AI316" s="76">
        <f t="shared" si="470"/>
        <v>0</v>
      </c>
      <c r="AJ316" s="76">
        <f t="shared" si="470"/>
        <v>2.5</v>
      </c>
      <c r="AK316" s="76">
        <f t="shared" si="470"/>
        <v>0</v>
      </c>
      <c r="AL316" s="76">
        <f t="shared" si="470"/>
        <v>0</v>
      </c>
      <c r="AM316" s="76">
        <f t="shared" si="470"/>
        <v>0</v>
      </c>
      <c r="AN316" s="76">
        <f t="shared" si="470"/>
        <v>0</v>
      </c>
      <c r="AO316" s="76">
        <f t="shared" si="470"/>
        <v>0</v>
      </c>
      <c r="AP316" s="76">
        <f t="shared" si="470"/>
        <v>2.5</v>
      </c>
      <c r="AQ316" s="76">
        <f t="shared" si="470"/>
        <v>0</v>
      </c>
      <c r="AR316" s="720">
        <f t="shared" si="470"/>
        <v>2.5</v>
      </c>
      <c r="AS316" s="701">
        <f t="shared" si="470"/>
        <v>9052433</v>
      </c>
      <c r="AT316" s="75">
        <f t="shared" si="470"/>
        <v>6681603</v>
      </c>
      <c r="AU316" s="75">
        <f t="shared" si="470"/>
        <v>0</v>
      </c>
      <c r="AV316" s="75">
        <f t="shared" si="470"/>
        <v>2258382</v>
      </c>
      <c r="AW316" s="75">
        <f t="shared" si="470"/>
        <v>66816</v>
      </c>
      <c r="AX316" s="75">
        <f t="shared" si="470"/>
        <v>45632</v>
      </c>
      <c r="AY316" s="76">
        <f t="shared" si="470"/>
        <v>15.22</v>
      </c>
      <c r="AZ316" s="76">
        <f t="shared" si="470"/>
        <v>10.5</v>
      </c>
      <c r="BA316" s="77">
        <f t="shared" si="470"/>
        <v>4.7200000000000006</v>
      </c>
    </row>
    <row r="317" spans="1:53" ht="14.1" customHeight="1" x14ac:dyDescent="0.2">
      <c r="A317" s="67">
        <v>64</v>
      </c>
      <c r="B317" s="64">
        <v>2458</v>
      </c>
      <c r="C317" s="65">
        <v>600079741</v>
      </c>
      <c r="D317" s="64">
        <v>72744243</v>
      </c>
      <c r="E317" s="66" t="s">
        <v>684</v>
      </c>
      <c r="F317" s="67">
        <v>3113</v>
      </c>
      <c r="G317" s="66" t="s">
        <v>310</v>
      </c>
      <c r="H317" s="68" t="s">
        <v>277</v>
      </c>
      <c r="I317" s="462">
        <v>22978991</v>
      </c>
      <c r="J317" s="16">
        <v>16744738</v>
      </c>
      <c r="K317" s="457">
        <v>5659721</v>
      </c>
      <c r="L317" s="457">
        <v>167447</v>
      </c>
      <c r="M317" s="16">
        <v>407085</v>
      </c>
      <c r="N317" s="13">
        <v>30.057299999999998</v>
      </c>
      <c r="O317" s="13">
        <v>23.7273</v>
      </c>
      <c r="P317" s="17">
        <v>6.33</v>
      </c>
      <c r="Q317" s="469">
        <f t="shared" si="397"/>
        <v>-39000</v>
      </c>
      <c r="R317" s="469">
        <v>0</v>
      </c>
      <c r="S317" s="460">
        <v>0</v>
      </c>
      <c r="T317" s="460">
        <v>0</v>
      </c>
      <c r="U317" s="460">
        <v>0</v>
      </c>
      <c r="V317" s="460">
        <f>SUM(Q317:U317)</f>
        <v>-39000</v>
      </c>
      <c r="W317" s="460">
        <v>39000</v>
      </c>
      <c r="X317" s="460">
        <v>0</v>
      </c>
      <c r="Y317" s="460">
        <v>0</v>
      </c>
      <c r="Z317" s="460">
        <f t="shared" ref="Z317:Z321" si="471">SUM(W317:Y317)</f>
        <v>39000</v>
      </c>
      <c r="AA317" s="460">
        <f t="shared" ref="AA317:AA321" si="472">V317+Z317</f>
        <v>0</v>
      </c>
      <c r="AB317" s="69">
        <f t="shared" ref="AB317:AB321" si="473">ROUND((V317+W317+X317)*33.8%,0)</f>
        <v>0</v>
      </c>
      <c r="AC317" s="69">
        <f t="shared" ref="AC317:AC321" si="474">ROUND(V317*1%,0)</f>
        <v>-390</v>
      </c>
      <c r="AD317" s="460">
        <v>0</v>
      </c>
      <c r="AE317" s="460">
        <v>0</v>
      </c>
      <c r="AF317" s="460">
        <f>SUM(AD317:AE317)</f>
        <v>0</v>
      </c>
      <c r="AG317" s="460">
        <f>AA317+AB317+AC317+AF317</f>
        <v>-390</v>
      </c>
      <c r="AH317" s="461">
        <v>-0.06</v>
      </c>
      <c r="AI317" s="461">
        <v>0</v>
      </c>
      <c r="AJ317" s="461">
        <v>0</v>
      </c>
      <c r="AK317" s="461">
        <v>0</v>
      </c>
      <c r="AL317" s="461">
        <v>0</v>
      </c>
      <c r="AM317" s="461">
        <v>0</v>
      </c>
      <c r="AN317" s="461">
        <v>0</v>
      </c>
      <c r="AO317" s="461">
        <v>0</v>
      </c>
      <c r="AP317" s="461">
        <f t="shared" si="398"/>
        <v>-0.06</v>
      </c>
      <c r="AQ317" s="461">
        <f t="shared" si="399"/>
        <v>0</v>
      </c>
      <c r="AR317" s="737">
        <f t="shared" si="400"/>
        <v>-0.06</v>
      </c>
      <c r="AS317" s="470">
        <f t="shared" si="401"/>
        <v>22978601</v>
      </c>
      <c r="AT317" s="460">
        <f t="shared" si="402"/>
        <v>16705738</v>
      </c>
      <c r="AU317" s="460">
        <f t="shared" si="403"/>
        <v>39000</v>
      </c>
      <c r="AV317" s="460">
        <f t="shared" si="404"/>
        <v>5659721</v>
      </c>
      <c r="AW317" s="460">
        <f t="shared" si="405"/>
        <v>167057</v>
      </c>
      <c r="AX317" s="460">
        <f t="shared" si="406"/>
        <v>407085</v>
      </c>
      <c r="AY317" s="461">
        <f t="shared" si="407"/>
        <v>29.997299999999999</v>
      </c>
      <c r="AZ317" s="461">
        <f t="shared" si="408"/>
        <v>23.667300000000001</v>
      </c>
      <c r="BA317" s="463">
        <f t="shared" si="409"/>
        <v>6.33</v>
      </c>
    </row>
    <row r="318" spans="1:53" ht="14.1" customHeight="1" x14ac:dyDescent="0.2">
      <c r="A318" s="67">
        <v>64</v>
      </c>
      <c r="B318" s="64">
        <v>2458</v>
      </c>
      <c r="C318" s="65">
        <v>600079741</v>
      </c>
      <c r="D318" s="64">
        <v>72744243</v>
      </c>
      <c r="E318" s="66" t="s">
        <v>684</v>
      </c>
      <c r="F318" s="67">
        <v>3113</v>
      </c>
      <c r="G318" s="78" t="s">
        <v>308</v>
      </c>
      <c r="H318" s="68" t="s">
        <v>278</v>
      </c>
      <c r="I318" s="462">
        <v>0</v>
      </c>
      <c r="J318" s="457">
        <v>0</v>
      </c>
      <c r="K318" s="457">
        <v>0</v>
      </c>
      <c r="L318" s="457">
        <v>0</v>
      </c>
      <c r="M318" s="457">
        <v>0</v>
      </c>
      <c r="N318" s="458">
        <v>0</v>
      </c>
      <c r="O318" s="459">
        <v>0</v>
      </c>
      <c r="P318" s="646">
        <v>0</v>
      </c>
      <c r="Q318" s="469">
        <f t="shared" si="397"/>
        <v>0</v>
      </c>
      <c r="R318" s="469">
        <v>823848</v>
      </c>
      <c r="S318" s="460">
        <v>0</v>
      </c>
      <c r="T318" s="460">
        <v>0</v>
      </c>
      <c r="U318" s="460">
        <v>0</v>
      </c>
      <c r="V318" s="460">
        <f>SUM(Q318:U318)</f>
        <v>823848</v>
      </c>
      <c r="W318" s="460">
        <v>0</v>
      </c>
      <c r="X318" s="460">
        <v>0</v>
      </c>
      <c r="Y318" s="460">
        <v>0</v>
      </c>
      <c r="Z318" s="460">
        <f t="shared" si="471"/>
        <v>0</v>
      </c>
      <c r="AA318" s="460">
        <f t="shared" si="472"/>
        <v>823848</v>
      </c>
      <c r="AB318" s="69">
        <f t="shared" si="473"/>
        <v>278461</v>
      </c>
      <c r="AC318" s="69">
        <f t="shared" si="474"/>
        <v>8238</v>
      </c>
      <c r="AD318" s="460">
        <v>0</v>
      </c>
      <c r="AE318" s="460">
        <v>0</v>
      </c>
      <c r="AF318" s="460">
        <f>SUM(AD318:AE318)</f>
        <v>0</v>
      </c>
      <c r="AG318" s="460">
        <f>AA318+AB318+AC318+AF318</f>
        <v>1110547</v>
      </c>
      <c r="AH318" s="461">
        <v>0</v>
      </c>
      <c r="AI318" s="461">
        <v>0</v>
      </c>
      <c r="AJ318" s="461">
        <v>2.3499999999999996</v>
      </c>
      <c r="AK318" s="461">
        <v>0</v>
      </c>
      <c r="AL318" s="461">
        <v>0</v>
      </c>
      <c r="AM318" s="461">
        <v>0</v>
      </c>
      <c r="AN318" s="461">
        <v>0</v>
      </c>
      <c r="AO318" s="461">
        <v>0</v>
      </c>
      <c r="AP318" s="461">
        <f t="shared" si="398"/>
        <v>2.3499999999999996</v>
      </c>
      <c r="AQ318" s="461">
        <f t="shared" si="399"/>
        <v>0</v>
      </c>
      <c r="AR318" s="737">
        <f t="shared" si="400"/>
        <v>2.3499999999999996</v>
      </c>
      <c r="AS318" s="470">
        <f t="shared" si="401"/>
        <v>1110547</v>
      </c>
      <c r="AT318" s="460">
        <f t="shared" si="402"/>
        <v>823848</v>
      </c>
      <c r="AU318" s="460">
        <f t="shared" si="403"/>
        <v>0</v>
      </c>
      <c r="AV318" s="460">
        <f t="shared" si="404"/>
        <v>278461</v>
      </c>
      <c r="AW318" s="460">
        <f t="shared" si="405"/>
        <v>8238</v>
      </c>
      <c r="AX318" s="460">
        <f t="shared" si="406"/>
        <v>0</v>
      </c>
      <c r="AY318" s="461">
        <f t="shared" si="407"/>
        <v>2.3499999999999996</v>
      </c>
      <c r="AZ318" s="461">
        <f t="shared" si="408"/>
        <v>2.3499999999999996</v>
      </c>
      <c r="BA318" s="463">
        <f t="shared" si="409"/>
        <v>0</v>
      </c>
    </row>
    <row r="319" spans="1:53" ht="14.1" customHeight="1" x14ac:dyDescent="0.2">
      <c r="A319" s="67">
        <v>64</v>
      </c>
      <c r="B319" s="64">
        <v>2458</v>
      </c>
      <c r="C319" s="65">
        <v>600079741</v>
      </c>
      <c r="D319" s="64">
        <v>72744243</v>
      </c>
      <c r="E319" s="66" t="s">
        <v>684</v>
      </c>
      <c r="F319" s="67">
        <v>3141</v>
      </c>
      <c r="G319" s="66" t="s">
        <v>311</v>
      </c>
      <c r="H319" s="68" t="s">
        <v>278</v>
      </c>
      <c r="I319" s="462">
        <v>2117854</v>
      </c>
      <c r="J319" s="728">
        <v>1559365</v>
      </c>
      <c r="K319" s="457">
        <v>527065</v>
      </c>
      <c r="L319" s="457">
        <v>15594</v>
      </c>
      <c r="M319" s="728">
        <v>15830</v>
      </c>
      <c r="N319" s="458">
        <v>5.01</v>
      </c>
      <c r="O319" s="459">
        <v>0</v>
      </c>
      <c r="P319" s="646">
        <v>5.01</v>
      </c>
      <c r="Q319" s="469">
        <f t="shared" si="397"/>
        <v>0</v>
      </c>
      <c r="R319" s="469">
        <v>0</v>
      </c>
      <c r="S319" s="460">
        <v>0</v>
      </c>
      <c r="T319" s="460">
        <v>0</v>
      </c>
      <c r="U319" s="460">
        <v>0</v>
      </c>
      <c r="V319" s="460">
        <f>SUM(Q319:U319)</f>
        <v>0</v>
      </c>
      <c r="W319" s="460">
        <v>0</v>
      </c>
      <c r="X319" s="460">
        <v>0</v>
      </c>
      <c r="Y319" s="460">
        <v>0</v>
      </c>
      <c r="Z319" s="460">
        <f t="shared" si="471"/>
        <v>0</v>
      </c>
      <c r="AA319" s="460">
        <f t="shared" si="472"/>
        <v>0</v>
      </c>
      <c r="AB319" s="69">
        <f t="shared" si="473"/>
        <v>0</v>
      </c>
      <c r="AC319" s="69">
        <f t="shared" si="474"/>
        <v>0</v>
      </c>
      <c r="AD319" s="460">
        <v>0</v>
      </c>
      <c r="AE319" s="460">
        <v>0</v>
      </c>
      <c r="AF319" s="460">
        <f>SUM(AD319:AE319)</f>
        <v>0</v>
      </c>
      <c r="AG319" s="460">
        <f>AA319+AB319+AC319+AF319</f>
        <v>0</v>
      </c>
      <c r="AH319" s="461">
        <v>0</v>
      </c>
      <c r="AI319" s="461">
        <v>0</v>
      </c>
      <c r="AJ319" s="461">
        <v>0</v>
      </c>
      <c r="AK319" s="461">
        <v>0</v>
      </c>
      <c r="AL319" s="461">
        <v>0</v>
      </c>
      <c r="AM319" s="461">
        <v>0</v>
      </c>
      <c r="AN319" s="461">
        <v>0</v>
      </c>
      <c r="AO319" s="461">
        <v>0</v>
      </c>
      <c r="AP319" s="461">
        <f t="shared" si="398"/>
        <v>0</v>
      </c>
      <c r="AQ319" s="461">
        <f t="shared" si="399"/>
        <v>0</v>
      </c>
      <c r="AR319" s="737">
        <f t="shared" si="400"/>
        <v>0</v>
      </c>
      <c r="AS319" s="470">
        <f t="shared" si="401"/>
        <v>2117854</v>
      </c>
      <c r="AT319" s="460">
        <f t="shared" si="402"/>
        <v>1559365</v>
      </c>
      <c r="AU319" s="460">
        <f t="shared" si="403"/>
        <v>0</v>
      </c>
      <c r="AV319" s="460">
        <f t="shared" si="404"/>
        <v>527065</v>
      </c>
      <c r="AW319" s="460">
        <f t="shared" si="405"/>
        <v>15594</v>
      </c>
      <c r="AX319" s="460">
        <f t="shared" si="406"/>
        <v>15830</v>
      </c>
      <c r="AY319" s="461">
        <f t="shared" si="407"/>
        <v>5.01</v>
      </c>
      <c r="AZ319" s="461">
        <f t="shared" si="408"/>
        <v>0</v>
      </c>
      <c r="BA319" s="463">
        <f t="shared" si="409"/>
        <v>5.01</v>
      </c>
    </row>
    <row r="320" spans="1:53" ht="14.1" customHeight="1" x14ac:dyDescent="0.2">
      <c r="A320" s="67">
        <v>64</v>
      </c>
      <c r="B320" s="64">
        <v>2458</v>
      </c>
      <c r="C320" s="65">
        <v>600079741</v>
      </c>
      <c r="D320" s="64">
        <v>72744243</v>
      </c>
      <c r="E320" s="66" t="s">
        <v>684</v>
      </c>
      <c r="F320" s="67">
        <v>3143</v>
      </c>
      <c r="G320" s="78" t="s">
        <v>616</v>
      </c>
      <c r="H320" s="68" t="s">
        <v>277</v>
      </c>
      <c r="I320" s="462">
        <v>1879483</v>
      </c>
      <c r="J320" s="16">
        <v>1394275</v>
      </c>
      <c r="K320" s="457">
        <v>471265</v>
      </c>
      <c r="L320" s="457">
        <v>13943</v>
      </c>
      <c r="M320" s="16">
        <v>0</v>
      </c>
      <c r="N320" s="458">
        <v>2.9998999999999998</v>
      </c>
      <c r="O320" s="13">
        <v>2.9998999999999998</v>
      </c>
      <c r="P320" s="17">
        <v>0</v>
      </c>
      <c r="Q320" s="469">
        <f t="shared" si="397"/>
        <v>0</v>
      </c>
      <c r="R320" s="469">
        <v>0</v>
      </c>
      <c r="S320" s="460">
        <v>0</v>
      </c>
      <c r="T320" s="460">
        <v>0</v>
      </c>
      <c r="U320" s="460">
        <v>0</v>
      </c>
      <c r="V320" s="460">
        <f>SUM(Q320:U320)</f>
        <v>0</v>
      </c>
      <c r="W320" s="460">
        <v>0</v>
      </c>
      <c r="X320" s="460">
        <v>0</v>
      </c>
      <c r="Y320" s="460">
        <v>0</v>
      </c>
      <c r="Z320" s="460">
        <f t="shared" si="471"/>
        <v>0</v>
      </c>
      <c r="AA320" s="460">
        <f t="shared" si="472"/>
        <v>0</v>
      </c>
      <c r="AB320" s="69">
        <f t="shared" si="473"/>
        <v>0</v>
      </c>
      <c r="AC320" s="69">
        <f t="shared" si="474"/>
        <v>0</v>
      </c>
      <c r="AD320" s="460">
        <v>0</v>
      </c>
      <c r="AE320" s="460">
        <v>0</v>
      </c>
      <c r="AF320" s="460">
        <f>SUM(AD320:AE320)</f>
        <v>0</v>
      </c>
      <c r="AG320" s="460">
        <f>AA320+AB320+AC320+AF320</f>
        <v>0</v>
      </c>
      <c r="AH320" s="461">
        <v>0</v>
      </c>
      <c r="AI320" s="461">
        <v>0</v>
      </c>
      <c r="AJ320" s="461">
        <v>0</v>
      </c>
      <c r="AK320" s="461">
        <v>0</v>
      </c>
      <c r="AL320" s="461">
        <v>0</v>
      </c>
      <c r="AM320" s="461">
        <v>0</v>
      </c>
      <c r="AN320" s="461">
        <v>0</v>
      </c>
      <c r="AO320" s="461">
        <v>0</v>
      </c>
      <c r="AP320" s="461">
        <f t="shared" si="398"/>
        <v>0</v>
      </c>
      <c r="AQ320" s="461">
        <f t="shared" si="399"/>
        <v>0</v>
      </c>
      <c r="AR320" s="737">
        <f t="shared" si="400"/>
        <v>0</v>
      </c>
      <c r="AS320" s="470">
        <f t="shared" si="401"/>
        <v>1879483</v>
      </c>
      <c r="AT320" s="460">
        <f t="shared" si="402"/>
        <v>1394275</v>
      </c>
      <c r="AU320" s="460">
        <f t="shared" si="403"/>
        <v>0</v>
      </c>
      <c r="AV320" s="460">
        <f t="shared" si="404"/>
        <v>471265</v>
      </c>
      <c r="AW320" s="460">
        <f t="shared" si="405"/>
        <v>13943</v>
      </c>
      <c r="AX320" s="460">
        <f t="shared" si="406"/>
        <v>0</v>
      </c>
      <c r="AY320" s="461">
        <f t="shared" si="407"/>
        <v>2.9998999999999998</v>
      </c>
      <c r="AZ320" s="461">
        <f t="shared" si="408"/>
        <v>2.9998999999999998</v>
      </c>
      <c r="BA320" s="463">
        <f t="shared" si="409"/>
        <v>0</v>
      </c>
    </row>
    <row r="321" spans="1:53" ht="14.1" customHeight="1" x14ac:dyDescent="0.2">
      <c r="A321" s="67">
        <v>64</v>
      </c>
      <c r="B321" s="64">
        <v>2458</v>
      </c>
      <c r="C321" s="65">
        <v>600079741</v>
      </c>
      <c r="D321" s="64">
        <v>72744243</v>
      </c>
      <c r="E321" s="66" t="s">
        <v>684</v>
      </c>
      <c r="F321" s="67">
        <v>3143</v>
      </c>
      <c r="G321" s="78" t="s">
        <v>617</v>
      </c>
      <c r="H321" s="68" t="s">
        <v>278</v>
      </c>
      <c r="I321" s="462">
        <v>62305</v>
      </c>
      <c r="J321" s="673">
        <v>44518</v>
      </c>
      <c r="K321" s="457">
        <v>15047</v>
      </c>
      <c r="L321" s="457">
        <v>445</v>
      </c>
      <c r="M321" s="673">
        <v>2295</v>
      </c>
      <c r="N321" s="458">
        <v>0.18</v>
      </c>
      <c r="O321" s="459">
        <v>0</v>
      </c>
      <c r="P321" s="717">
        <v>0.18</v>
      </c>
      <c r="Q321" s="469">
        <f t="shared" si="397"/>
        <v>0</v>
      </c>
      <c r="R321" s="469">
        <v>0</v>
      </c>
      <c r="S321" s="460">
        <v>0</v>
      </c>
      <c r="T321" s="460">
        <v>0</v>
      </c>
      <c r="U321" s="460">
        <v>0</v>
      </c>
      <c r="V321" s="460">
        <f>SUM(Q321:U321)</f>
        <v>0</v>
      </c>
      <c r="W321" s="460">
        <v>0</v>
      </c>
      <c r="X321" s="460">
        <v>0</v>
      </c>
      <c r="Y321" s="460">
        <v>0</v>
      </c>
      <c r="Z321" s="460">
        <f t="shared" si="471"/>
        <v>0</v>
      </c>
      <c r="AA321" s="460">
        <f t="shared" si="472"/>
        <v>0</v>
      </c>
      <c r="AB321" s="69">
        <f t="shared" si="473"/>
        <v>0</v>
      </c>
      <c r="AC321" s="69">
        <f t="shared" si="474"/>
        <v>0</v>
      </c>
      <c r="AD321" s="460">
        <v>0</v>
      </c>
      <c r="AE321" s="460">
        <v>0</v>
      </c>
      <c r="AF321" s="460">
        <f>SUM(AD321:AE321)</f>
        <v>0</v>
      </c>
      <c r="AG321" s="460">
        <f>AA321+AB321+AC321+AF321</f>
        <v>0</v>
      </c>
      <c r="AH321" s="461">
        <v>0</v>
      </c>
      <c r="AI321" s="461">
        <v>0</v>
      </c>
      <c r="AJ321" s="461">
        <v>0</v>
      </c>
      <c r="AK321" s="461">
        <v>0</v>
      </c>
      <c r="AL321" s="461">
        <v>0</v>
      </c>
      <c r="AM321" s="461">
        <v>0</v>
      </c>
      <c r="AN321" s="461">
        <v>0</v>
      </c>
      <c r="AO321" s="461">
        <v>0</v>
      </c>
      <c r="AP321" s="461">
        <f t="shared" si="398"/>
        <v>0</v>
      </c>
      <c r="AQ321" s="461">
        <f t="shared" si="399"/>
        <v>0</v>
      </c>
      <c r="AR321" s="737">
        <f t="shared" si="400"/>
        <v>0</v>
      </c>
      <c r="AS321" s="470">
        <f t="shared" si="401"/>
        <v>62305</v>
      </c>
      <c r="AT321" s="460">
        <f t="shared" si="402"/>
        <v>44518</v>
      </c>
      <c r="AU321" s="460">
        <f t="shared" si="403"/>
        <v>0</v>
      </c>
      <c r="AV321" s="460">
        <f t="shared" si="404"/>
        <v>15047</v>
      </c>
      <c r="AW321" s="460">
        <f t="shared" si="405"/>
        <v>445</v>
      </c>
      <c r="AX321" s="460">
        <f t="shared" si="406"/>
        <v>2295</v>
      </c>
      <c r="AY321" s="461">
        <f t="shared" si="407"/>
        <v>0.18</v>
      </c>
      <c r="AZ321" s="461">
        <f t="shared" si="408"/>
        <v>0</v>
      </c>
      <c r="BA321" s="463">
        <f t="shared" si="409"/>
        <v>0.18</v>
      </c>
    </row>
    <row r="322" spans="1:53" ht="14.1" customHeight="1" x14ac:dyDescent="0.2">
      <c r="A322" s="73">
        <v>64</v>
      </c>
      <c r="B322" s="70">
        <v>2458</v>
      </c>
      <c r="C322" s="71">
        <v>600079741</v>
      </c>
      <c r="D322" s="70">
        <v>72744243</v>
      </c>
      <c r="E322" s="72" t="s">
        <v>685</v>
      </c>
      <c r="F322" s="73"/>
      <c r="G322" s="72"/>
      <c r="H322" s="74"/>
      <c r="I322" s="701">
        <f t="shared" ref="I322:P322" si="475">SUM(I317:I321)</f>
        <v>27038633</v>
      </c>
      <c r="J322" s="75">
        <f t="shared" si="475"/>
        <v>19742896</v>
      </c>
      <c r="K322" s="75">
        <f t="shared" si="475"/>
        <v>6673098</v>
      </c>
      <c r="L322" s="75">
        <f t="shared" si="475"/>
        <v>197429</v>
      </c>
      <c r="M322" s="75">
        <f t="shared" si="475"/>
        <v>425210</v>
      </c>
      <c r="N322" s="76">
        <f t="shared" si="475"/>
        <v>38.247199999999992</v>
      </c>
      <c r="O322" s="76">
        <f t="shared" si="475"/>
        <v>26.7272</v>
      </c>
      <c r="P322" s="77">
        <f t="shared" si="475"/>
        <v>11.52</v>
      </c>
      <c r="Q322" s="724">
        <f t="shared" ref="Q322:BA322" si="476">SUM(Q317:Q321)</f>
        <v>-39000</v>
      </c>
      <c r="R322" s="724">
        <f t="shared" si="476"/>
        <v>823848</v>
      </c>
      <c r="S322" s="75">
        <f t="shared" si="476"/>
        <v>0</v>
      </c>
      <c r="T322" s="75">
        <f t="shared" si="476"/>
        <v>0</v>
      </c>
      <c r="U322" s="75">
        <f t="shared" si="476"/>
        <v>0</v>
      </c>
      <c r="V322" s="75">
        <f t="shared" si="476"/>
        <v>784848</v>
      </c>
      <c r="W322" s="75">
        <f t="shared" si="476"/>
        <v>39000</v>
      </c>
      <c r="X322" s="75">
        <f t="shared" si="476"/>
        <v>0</v>
      </c>
      <c r="Y322" s="75">
        <f t="shared" si="476"/>
        <v>0</v>
      </c>
      <c r="Z322" s="75">
        <f t="shared" si="476"/>
        <v>39000</v>
      </c>
      <c r="AA322" s="75">
        <f t="shared" si="476"/>
        <v>823848</v>
      </c>
      <c r="AB322" s="75">
        <f t="shared" si="476"/>
        <v>278461</v>
      </c>
      <c r="AC322" s="75">
        <f t="shared" si="476"/>
        <v>7848</v>
      </c>
      <c r="AD322" s="75">
        <f t="shared" si="476"/>
        <v>0</v>
      </c>
      <c r="AE322" s="75">
        <f t="shared" si="476"/>
        <v>0</v>
      </c>
      <c r="AF322" s="75">
        <f t="shared" si="476"/>
        <v>0</v>
      </c>
      <c r="AG322" s="75">
        <f t="shared" si="476"/>
        <v>1110157</v>
      </c>
      <c r="AH322" s="76">
        <f t="shared" si="476"/>
        <v>-0.06</v>
      </c>
      <c r="AI322" s="76">
        <f t="shared" si="476"/>
        <v>0</v>
      </c>
      <c r="AJ322" s="76">
        <f t="shared" si="476"/>
        <v>2.3499999999999996</v>
      </c>
      <c r="AK322" s="76">
        <f t="shared" si="476"/>
        <v>0</v>
      </c>
      <c r="AL322" s="76">
        <f t="shared" si="476"/>
        <v>0</v>
      </c>
      <c r="AM322" s="76">
        <f t="shared" si="476"/>
        <v>0</v>
      </c>
      <c r="AN322" s="76">
        <f t="shared" si="476"/>
        <v>0</v>
      </c>
      <c r="AO322" s="76">
        <f t="shared" si="476"/>
        <v>0</v>
      </c>
      <c r="AP322" s="76">
        <f t="shared" si="476"/>
        <v>2.2899999999999996</v>
      </c>
      <c r="AQ322" s="76">
        <f t="shared" si="476"/>
        <v>0</v>
      </c>
      <c r="AR322" s="720">
        <f t="shared" si="476"/>
        <v>2.2899999999999996</v>
      </c>
      <c r="AS322" s="701">
        <f t="shared" si="476"/>
        <v>28148790</v>
      </c>
      <c r="AT322" s="75">
        <f t="shared" si="476"/>
        <v>20527744</v>
      </c>
      <c r="AU322" s="75">
        <f t="shared" si="476"/>
        <v>39000</v>
      </c>
      <c r="AV322" s="75">
        <f t="shared" si="476"/>
        <v>6951559</v>
      </c>
      <c r="AW322" s="75">
        <f t="shared" si="476"/>
        <v>205277</v>
      </c>
      <c r="AX322" s="75">
        <f t="shared" si="476"/>
        <v>425210</v>
      </c>
      <c r="AY322" s="76">
        <f t="shared" si="476"/>
        <v>40.537199999999991</v>
      </c>
      <c r="AZ322" s="76">
        <f t="shared" si="476"/>
        <v>29.017199999999999</v>
      </c>
      <c r="BA322" s="77">
        <f t="shared" si="476"/>
        <v>11.52</v>
      </c>
    </row>
    <row r="323" spans="1:53" ht="14.1" customHeight="1" x14ac:dyDescent="0.2">
      <c r="A323" s="67">
        <v>65</v>
      </c>
      <c r="B323" s="64">
        <v>2316</v>
      </c>
      <c r="C323" s="65">
        <v>600080439</v>
      </c>
      <c r="D323" s="64">
        <v>70983224</v>
      </c>
      <c r="E323" s="66" t="s">
        <v>686</v>
      </c>
      <c r="F323" s="67">
        <v>3233</v>
      </c>
      <c r="G323" s="66" t="s">
        <v>314</v>
      </c>
      <c r="H323" s="68" t="s">
        <v>278</v>
      </c>
      <c r="I323" s="462">
        <v>2374228</v>
      </c>
      <c r="J323" s="457">
        <v>1759313</v>
      </c>
      <c r="K323" s="457">
        <v>594648</v>
      </c>
      <c r="L323" s="457">
        <v>17593</v>
      </c>
      <c r="M323" s="457">
        <v>2674</v>
      </c>
      <c r="N323" s="458">
        <v>3.84</v>
      </c>
      <c r="O323" s="459">
        <v>2.71</v>
      </c>
      <c r="P323" s="646">
        <v>1.1299999999999999</v>
      </c>
      <c r="Q323" s="469">
        <f t="shared" si="397"/>
        <v>-19500</v>
      </c>
      <c r="R323" s="469">
        <v>0</v>
      </c>
      <c r="S323" s="460">
        <v>0</v>
      </c>
      <c r="T323" s="460">
        <v>0</v>
      </c>
      <c r="U323" s="460">
        <v>0</v>
      </c>
      <c r="V323" s="460">
        <f>SUM(Q323:U323)</f>
        <v>-19500</v>
      </c>
      <c r="W323" s="460">
        <v>19500</v>
      </c>
      <c r="X323" s="460">
        <v>0</v>
      </c>
      <c r="Y323" s="460">
        <v>0</v>
      </c>
      <c r="Z323" s="460">
        <f t="shared" ref="Z323" si="477">SUM(W323:Y323)</f>
        <v>19500</v>
      </c>
      <c r="AA323" s="460">
        <f t="shared" ref="AA323" si="478">V323+Z323</f>
        <v>0</v>
      </c>
      <c r="AB323" s="69">
        <f t="shared" ref="AB323" si="479">ROUND((V323+W323+X323)*33.8%,0)</f>
        <v>0</v>
      </c>
      <c r="AC323" s="69">
        <f>ROUND(V323*1%,0)</f>
        <v>-195</v>
      </c>
      <c r="AD323" s="460">
        <v>0</v>
      </c>
      <c r="AE323" s="460">
        <v>0</v>
      </c>
      <c r="AF323" s="460">
        <f>SUM(AD323:AE323)</f>
        <v>0</v>
      </c>
      <c r="AG323" s="460">
        <f>AA323+AB323+AC323+AF323</f>
        <v>-195</v>
      </c>
      <c r="AH323" s="461">
        <v>-0.02</v>
      </c>
      <c r="AI323" s="461">
        <v>0</v>
      </c>
      <c r="AJ323" s="461">
        <v>0</v>
      </c>
      <c r="AK323" s="461">
        <v>0</v>
      </c>
      <c r="AL323" s="461">
        <v>0</v>
      </c>
      <c r="AM323" s="461">
        <v>0</v>
      </c>
      <c r="AN323" s="461">
        <v>0</v>
      </c>
      <c r="AO323" s="461">
        <v>0</v>
      </c>
      <c r="AP323" s="461">
        <f t="shared" si="398"/>
        <v>-0.02</v>
      </c>
      <c r="AQ323" s="461">
        <f t="shared" si="399"/>
        <v>0</v>
      </c>
      <c r="AR323" s="737">
        <f t="shared" si="400"/>
        <v>-0.02</v>
      </c>
      <c r="AS323" s="470">
        <f t="shared" si="401"/>
        <v>2374033</v>
      </c>
      <c r="AT323" s="460">
        <f t="shared" si="402"/>
        <v>1739813</v>
      </c>
      <c r="AU323" s="460">
        <f t="shared" si="403"/>
        <v>19500</v>
      </c>
      <c r="AV323" s="460">
        <f t="shared" si="404"/>
        <v>594648</v>
      </c>
      <c r="AW323" s="460">
        <f t="shared" si="405"/>
        <v>17398</v>
      </c>
      <c r="AX323" s="460">
        <f t="shared" si="406"/>
        <v>2674</v>
      </c>
      <c r="AY323" s="461">
        <f t="shared" si="407"/>
        <v>3.82</v>
      </c>
      <c r="AZ323" s="461">
        <f t="shared" si="408"/>
        <v>2.69</v>
      </c>
      <c r="BA323" s="463">
        <f t="shared" si="409"/>
        <v>1.1299999999999999</v>
      </c>
    </row>
    <row r="324" spans="1:53" ht="14.1" customHeight="1" x14ac:dyDescent="0.2">
      <c r="A324" s="73">
        <v>65</v>
      </c>
      <c r="B324" s="70">
        <v>2316</v>
      </c>
      <c r="C324" s="71">
        <v>600080439</v>
      </c>
      <c r="D324" s="70">
        <v>70983224</v>
      </c>
      <c r="E324" s="72" t="s">
        <v>687</v>
      </c>
      <c r="F324" s="73"/>
      <c r="G324" s="72"/>
      <c r="H324" s="74"/>
      <c r="I324" s="701">
        <f t="shared" ref="I324:P324" si="480">SUM(I323)</f>
        <v>2374228</v>
      </c>
      <c r="J324" s="75">
        <f t="shared" si="480"/>
        <v>1759313</v>
      </c>
      <c r="K324" s="75">
        <f t="shared" si="480"/>
        <v>594648</v>
      </c>
      <c r="L324" s="75">
        <f t="shared" si="480"/>
        <v>17593</v>
      </c>
      <c r="M324" s="75">
        <f t="shared" si="480"/>
        <v>2674</v>
      </c>
      <c r="N324" s="76">
        <f t="shared" si="480"/>
        <v>3.84</v>
      </c>
      <c r="O324" s="76">
        <f t="shared" si="480"/>
        <v>2.71</v>
      </c>
      <c r="P324" s="77">
        <f t="shared" si="480"/>
        <v>1.1299999999999999</v>
      </c>
      <c r="Q324" s="724">
        <f t="shared" ref="Q324:BA324" si="481">SUM(Q323)</f>
        <v>-19500</v>
      </c>
      <c r="R324" s="724">
        <f t="shared" si="481"/>
        <v>0</v>
      </c>
      <c r="S324" s="75">
        <f t="shared" si="481"/>
        <v>0</v>
      </c>
      <c r="T324" s="75">
        <f t="shared" si="481"/>
        <v>0</v>
      </c>
      <c r="U324" s="75">
        <f t="shared" si="481"/>
        <v>0</v>
      </c>
      <c r="V324" s="75">
        <f t="shared" si="481"/>
        <v>-19500</v>
      </c>
      <c r="W324" s="75">
        <f t="shared" si="481"/>
        <v>19500</v>
      </c>
      <c r="X324" s="75">
        <f t="shared" si="481"/>
        <v>0</v>
      </c>
      <c r="Y324" s="75">
        <f t="shared" si="481"/>
        <v>0</v>
      </c>
      <c r="Z324" s="75">
        <f t="shared" si="481"/>
        <v>19500</v>
      </c>
      <c r="AA324" s="75">
        <f t="shared" si="481"/>
        <v>0</v>
      </c>
      <c r="AB324" s="75">
        <f t="shared" si="481"/>
        <v>0</v>
      </c>
      <c r="AC324" s="75">
        <f t="shared" si="481"/>
        <v>-195</v>
      </c>
      <c r="AD324" s="75">
        <f t="shared" si="481"/>
        <v>0</v>
      </c>
      <c r="AE324" s="75">
        <f t="shared" si="481"/>
        <v>0</v>
      </c>
      <c r="AF324" s="75">
        <f t="shared" si="481"/>
        <v>0</v>
      </c>
      <c r="AG324" s="75">
        <f t="shared" si="481"/>
        <v>-195</v>
      </c>
      <c r="AH324" s="76">
        <f t="shared" si="481"/>
        <v>-0.02</v>
      </c>
      <c r="AI324" s="76">
        <f t="shared" si="481"/>
        <v>0</v>
      </c>
      <c r="AJ324" s="76">
        <f t="shared" si="481"/>
        <v>0</v>
      </c>
      <c r="AK324" s="76">
        <f t="shared" si="481"/>
        <v>0</v>
      </c>
      <c r="AL324" s="76">
        <f t="shared" si="481"/>
        <v>0</v>
      </c>
      <c r="AM324" s="76">
        <f t="shared" si="481"/>
        <v>0</v>
      </c>
      <c r="AN324" s="76">
        <f t="shared" si="481"/>
        <v>0</v>
      </c>
      <c r="AO324" s="76">
        <f t="shared" si="481"/>
        <v>0</v>
      </c>
      <c r="AP324" s="76">
        <f t="shared" si="481"/>
        <v>-0.02</v>
      </c>
      <c r="AQ324" s="76">
        <f t="shared" si="481"/>
        <v>0</v>
      </c>
      <c r="AR324" s="720">
        <f t="shared" si="481"/>
        <v>-0.02</v>
      </c>
      <c r="AS324" s="701">
        <f t="shared" si="481"/>
        <v>2374033</v>
      </c>
      <c r="AT324" s="75">
        <f t="shared" si="481"/>
        <v>1739813</v>
      </c>
      <c r="AU324" s="75">
        <f t="shared" si="481"/>
        <v>19500</v>
      </c>
      <c r="AV324" s="75">
        <f t="shared" si="481"/>
        <v>594648</v>
      </c>
      <c r="AW324" s="75">
        <f t="shared" si="481"/>
        <v>17398</v>
      </c>
      <c r="AX324" s="75">
        <f t="shared" si="481"/>
        <v>2674</v>
      </c>
      <c r="AY324" s="76">
        <f t="shared" si="481"/>
        <v>3.82</v>
      </c>
      <c r="AZ324" s="76">
        <f t="shared" si="481"/>
        <v>2.69</v>
      </c>
      <c r="BA324" s="77">
        <f t="shared" si="481"/>
        <v>1.1299999999999999</v>
      </c>
    </row>
    <row r="325" spans="1:53" ht="14.1" customHeight="1" x14ac:dyDescent="0.2">
      <c r="A325" s="67">
        <v>66</v>
      </c>
      <c r="B325" s="64">
        <v>2402</v>
      </c>
      <c r="C325" s="65">
        <v>600078949</v>
      </c>
      <c r="D325" s="64">
        <v>70983208</v>
      </c>
      <c r="E325" s="66" t="s">
        <v>688</v>
      </c>
      <c r="F325" s="67">
        <v>3111</v>
      </c>
      <c r="G325" s="66" t="s">
        <v>307</v>
      </c>
      <c r="H325" s="68" t="s">
        <v>277</v>
      </c>
      <c r="I325" s="462">
        <v>6865769</v>
      </c>
      <c r="J325" s="16">
        <v>5067781</v>
      </c>
      <c r="K325" s="457">
        <v>1712910</v>
      </c>
      <c r="L325" s="457">
        <v>50678</v>
      </c>
      <c r="M325" s="16">
        <v>34400</v>
      </c>
      <c r="N325" s="13">
        <v>10.8</v>
      </c>
      <c r="O325" s="13">
        <v>8</v>
      </c>
      <c r="P325" s="17">
        <v>2.8000000000000003</v>
      </c>
      <c r="Q325" s="469">
        <f t="shared" si="397"/>
        <v>0</v>
      </c>
      <c r="R325" s="469">
        <v>0</v>
      </c>
      <c r="S325" s="460">
        <v>0</v>
      </c>
      <c r="T325" s="460">
        <v>0</v>
      </c>
      <c r="U325" s="460">
        <v>0</v>
      </c>
      <c r="V325" s="460">
        <f>SUM(Q325:U325)</f>
        <v>0</v>
      </c>
      <c r="W325" s="460">
        <v>0</v>
      </c>
      <c r="X325" s="460">
        <v>0</v>
      </c>
      <c r="Y325" s="460">
        <v>0</v>
      </c>
      <c r="Z325" s="460">
        <f t="shared" ref="Z325:Z327" si="482">SUM(W325:Y325)</f>
        <v>0</v>
      </c>
      <c r="AA325" s="460">
        <f t="shared" ref="AA325:AA327" si="483">V325+Z325</f>
        <v>0</v>
      </c>
      <c r="AB325" s="69">
        <f t="shared" ref="AB325:AB327" si="484">ROUND((V325+W325+X325)*33.8%,0)</f>
        <v>0</v>
      </c>
      <c r="AC325" s="69">
        <f t="shared" ref="AC325:AC327" si="485">ROUND(V325*1%,0)</f>
        <v>0</v>
      </c>
      <c r="AD325" s="460">
        <v>0</v>
      </c>
      <c r="AE325" s="460">
        <v>0</v>
      </c>
      <c r="AF325" s="460">
        <f>SUM(AD325:AE325)</f>
        <v>0</v>
      </c>
      <c r="AG325" s="460">
        <f>AA325+AB325+AC325+AF325</f>
        <v>0</v>
      </c>
      <c r="AH325" s="461">
        <v>0</v>
      </c>
      <c r="AI325" s="461">
        <v>0</v>
      </c>
      <c r="AJ325" s="461">
        <v>0</v>
      </c>
      <c r="AK325" s="461">
        <v>0</v>
      </c>
      <c r="AL325" s="461">
        <v>0</v>
      </c>
      <c r="AM325" s="461">
        <v>0</v>
      </c>
      <c r="AN325" s="461">
        <v>0</v>
      </c>
      <c r="AO325" s="461">
        <v>0</v>
      </c>
      <c r="AP325" s="461">
        <f t="shared" si="398"/>
        <v>0</v>
      </c>
      <c r="AQ325" s="461">
        <f t="shared" si="399"/>
        <v>0</v>
      </c>
      <c r="AR325" s="737">
        <f t="shared" si="400"/>
        <v>0</v>
      </c>
      <c r="AS325" s="470">
        <f t="shared" si="401"/>
        <v>6865769</v>
      </c>
      <c r="AT325" s="460">
        <f t="shared" si="402"/>
        <v>5067781</v>
      </c>
      <c r="AU325" s="460">
        <f t="shared" si="403"/>
        <v>0</v>
      </c>
      <c r="AV325" s="460">
        <f t="shared" si="404"/>
        <v>1712910</v>
      </c>
      <c r="AW325" s="460">
        <f t="shared" si="405"/>
        <v>50678</v>
      </c>
      <c r="AX325" s="460">
        <f t="shared" si="406"/>
        <v>34400</v>
      </c>
      <c r="AY325" s="461">
        <f t="shared" si="407"/>
        <v>10.8</v>
      </c>
      <c r="AZ325" s="461">
        <f t="shared" si="408"/>
        <v>8</v>
      </c>
      <c r="BA325" s="463">
        <f t="shared" si="409"/>
        <v>2.8000000000000003</v>
      </c>
    </row>
    <row r="326" spans="1:53" ht="14.1" customHeight="1" x14ac:dyDescent="0.2">
      <c r="A326" s="67">
        <v>66</v>
      </c>
      <c r="B326" s="64">
        <v>2402</v>
      </c>
      <c r="C326" s="65">
        <v>600078949</v>
      </c>
      <c r="D326" s="64">
        <v>70983208</v>
      </c>
      <c r="E326" s="66" t="s">
        <v>688</v>
      </c>
      <c r="F326" s="67">
        <v>3111</v>
      </c>
      <c r="G326" s="66" t="s">
        <v>308</v>
      </c>
      <c r="H326" s="68" t="s">
        <v>278</v>
      </c>
      <c r="I326" s="462">
        <v>0</v>
      </c>
      <c r="J326" s="457">
        <v>0</v>
      </c>
      <c r="K326" s="457">
        <v>0</v>
      </c>
      <c r="L326" s="457">
        <v>0</v>
      </c>
      <c r="M326" s="457">
        <v>0</v>
      </c>
      <c r="N326" s="458">
        <v>0</v>
      </c>
      <c r="O326" s="459">
        <v>0</v>
      </c>
      <c r="P326" s="646">
        <v>0</v>
      </c>
      <c r="Q326" s="469">
        <f t="shared" si="397"/>
        <v>0</v>
      </c>
      <c r="R326" s="469">
        <v>692894</v>
      </c>
      <c r="S326" s="460">
        <v>0</v>
      </c>
      <c r="T326" s="460">
        <v>0</v>
      </c>
      <c r="U326" s="460">
        <v>0</v>
      </c>
      <c r="V326" s="460">
        <f>SUM(Q326:U326)</f>
        <v>692894</v>
      </c>
      <c r="W326" s="460">
        <v>0</v>
      </c>
      <c r="X326" s="460">
        <v>0</v>
      </c>
      <c r="Y326" s="460">
        <v>0</v>
      </c>
      <c r="Z326" s="460">
        <f t="shared" si="482"/>
        <v>0</v>
      </c>
      <c r="AA326" s="460">
        <f t="shared" si="483"/>
        <v>692894</v>
      </c>
      <c r="AB326" s="69">
        <f t="shared" si="484"/>
        <v>234198</v>
      </c>
      <c r="AC326" s="69">
        <f t="shared" si="485"/>
        <v>6929</v>
      </c>
      <c r="AD326" s="460">
        <v>0</v>
      </c>
      <c r="AE326" s="460">
        <v>0</v>
      </c>
      <c r="AF326" s="460">
        <f>SUM(AD326:AE326)</f>
        <v>0</v>
      </c>
      <c r="AG326" s="460">
        <f>AA326+AB326+AC326+AF326</f>
        <v>934021</v>
      </c>
      <c r="AH326" s="461">
        <v>0</v>
      </c>
      <c r="AI326" s="461">
        <v>0</v>
      </c>
      <c r="AJ326" s="461">
        <v>2</v>
      </c>
      <c r="AK326" s="461">
        <v>0</v>
      </c>
      <c r="AL326" s="461">
        <v>0</v>
      </c>
      <c r="AM326" s="461">
        <v>0</v>
      </c>
      <c r="AN326" s="461">
        <v>0</v>
      </c>
      <c r="AO326" s="461">
        <v>0</v>
      </c>
      <c r="AP326" s="461">
        <f t="shared" si="398"/>
        <v>2</v>
      </c>
      <c r="AQ326" s="461">
        <f t="shared" si="399"/>
        <v>0</v>
      </c>
      <c r="AR326" s="737">
        <f t="shared" si="400"/>
        <v>2</v>
      </c>
      <c r="AS326" s="470">
        <f t="shared" si="401"/>
        <v>934021</v>
      </c>
      <c r="AT326" s="460">
        <f t="shared" si="402"/>
        <v>692894</v>
      </c>
      <c r="AU326" s="460">
        <f t="shared" si="403"/>
        <v>0</v>
      </c>
      <c r="AV326" s="460">
        <f t="shared" si="404"/>
        <v>234198</v>
      </c>
      <c r="AW326" s="460">
        <f t="shared" si="405"/>
        <v>6929</v>
      </c>
      <c r="AX326" s="460">
        <f t="shared" si="406"/>
        <v>0</v>
      </c>
      <c r="AY326" s="461">
        <f t="shared" si="407"/>
        <v>2</v>
      </c>
      <c r="AZ326" s="461">
        <f t="shared" si="408"/>
        <v>2</v>
      </c>
      <c r="BA326" s="463">
        <f t="shared" si="409"/>
        <v>0</v>
      </c>
    </row>
    <row r="327" spans="1:53" ht="14.1" customHeight="1" x14ac:dyDescent="0.2">
      <c r="A327" s="67">
        <v>66</v>
      </c>
      <c r="B327" s="64">
        <v>2402</v>
      </c>
      <c r="C327" s="65">
        <v>600078949</v>
      </c>
      <c r="D327" s="64">
        <v>70983208</v>
      </c>
      <c r="E327" s="66" t="s">
        <v>688</v>
      </c>
      <c r="F327" s="67">
        <v>3141</v>
      </c>
      <c r="G327" s="66" t="s">
        <v>311</v>
      </c>
      <c r="H327" s="68" t="s">
        <v>278</v>
      </c>
      <c r="I327" s="462">
        <v>1120426</v>
      </c>
      <c r="J327" s="457">
        <v>827610</v>
      </c>
      <c r="K327" s="457">
        <v>279732</v>
      </c>
      <c r="L327" s="457">
        <v>8276</v>
      </c>
      <c r="M327" s="457">
        <v>4808</v>
      </c>
      <c r="N327" s="458">
        <v>2.66</v>
      </c>
      <c r="O327" s="459">
        <v>0</v>
      </c>
      <c r="P327" s="646">
        <v>2.66</v>
      </c>
      <c r="Q327" s="469">
        <f t="shared" si="397"/>
        <v>0</v>
      </c>
      <c r="R327" s="469">
        <v>0</v>
      </c>
      <c r="S327" s="460">
        <v>0</v>
      </c>
      <c r="T327" s="460">
        <v>0</v>
      </c>
      <c r="U327" s="460">
        <v>0</v>
      </c>
      <c r="V327" s="460">
        <f>SUM(Q327:U327)</f>
        <v>0</v>
      </c>
      <c r="W327" s="460">
        <v>0</v>
      </c>
      <c r="X327" s="460">
        <v>0</v>
      </c>
      <c r="Y327" s="460">
        <v>0</v>
      </c>
      <c r="Z327" s="460">
        <f t="shared" si="482"/>
        <v>0</v>
      </c>
      <c r="AA327" s="460">
        <f t="shared" si="483"/>
        <v>0</v>
      </c>
      <c r="AB327" s="69">
        <f t="shared" si="484"/>
        <v>0</v>
      </c>
      <c r="AC327" s="69">
        <f t="shared" si="485"/>
        <v>0</v>
      </c>
      <c r="AD327" s="460">
        <v>0</v>
      </c>
      <c r="AE327" s="460">
        <v>0</v>
      </c>
      <c r="AF327" s="460">
        <f>SUM(AD327:AE327)</f>
        <v>0</v>
      </c>
      <c r="AG327" s="460">
        <f>AA327+AB327+AC327+AF327</f>
        <v>0</v>
      </c>
      <c r="AH327" s="461">
        <v>0</v>
      </c>
      <c r="AI327" s="461">
        <v>0</v>
      </c>
      <c r="AJ327" s="461">
        <v>0</v>
      </c>
      <c r="AK327" s="461">
        <v>0</v>
      </c>
      <c r="AL327" s="461">
        <v>0</v>
      </c>
      <c r="AM327" s="461">
        <v>0</v>
      </c>
      <c r="AN327" s="461">
        <v>0</v>
      </c>
      <c r="AO327" s="461">
        <v>0</v>
      </c>
      <c r="AP327" s="461">
        <f t="shared" si="398"/>
        <v>0</v>
      </c>
      <c r="AQ327" s="461">
        <f t="shared" si="399"/>
        <v>0</v>
      </c>
      <c r="AR327" s="737">
        <f t="shared" si="400"/>
        <v>0</v>
      </c>
      <c r="AS327" s="470">
        <f t="shared" si="401"/>
        <v>1120426</v>
      </c>
      <c r="AT327" s="460">
        <f t="shared" si="402"/>
        <v>827610</v>
      </c>
      <c r="AU327" s="460">
        <f t="shared" si="403"/>
        <v>0</v>
      </c>
      <c r="AV327" s="460">
        <f t="shared" si="404"/>
        <v>279732</v>
      </c>
      <c r="AW327" s="460">
        <f t="shared" si="405"/>
        <v>8276</v>
      </c>
      <c r="AX327" s="460">
        <f t="shared" si="406"/>
        <v>4808</v>
      </c>
      <c r="AY327" s="461">
        <f t="shared" si="407"/>
        <v>2.66</v>
      </c>
      <c r="AZ327" s="461">
        <f t="shared" si="408"/>
        <v>0</v>
      </c>
      <c r="BA327" s="463">
        <f t="shared" si="409"/>
        <v>2.66</v>
      </c>
    </row>
    <row r="328" spans="1:53" ht="14.1" customHeight="1" x14ac:dyDescent="0.2">
      <c r="A328" s="73">
        <v>66</v>
      </c>
      <c r="B328" s="70">
        <v>2402</v>
      </c>
      <c r="C328" s="71">
        <v>600078949</v>
      </c>
      <c r="D328" s="70">
        <v>70983208</v>
      </c>
      <c r="E328" s="72" t="s">
        <v>689</v>
      </c>
      <c r="F328" s="73"/>
      <c r="G328" s="72"/>
      <c r="H328" s="74"/>
      <c r="I328" s="701">
        <f t="shared" ref="I328:P328" si="486">SUM(I325:I327)</f>
        <v>7986195</v>
      </c>
      <c r="J328" s="75">
        <f t="shared" si="486"/>
        <v>5895391</v>
      </c>
      <c r="K328" s="75">
        <f t="shared" si="486"/>
        <v>1992642</v>
      </c>
      <c r="L328" s="75">
        <f t="shared" si="486"/>
        <v>58954</v>
      </c>
      <c r="M328" s="75">
        <f t="shared" si="486"/>
        <v>39208</v>
      </c>
      <c r="N328" s="76">
        <f t="shared" si="486"/>
        <v>13.46</v>
      </c>
      <c r="O328" s="76">
        <f t="shared" si="486"/>
        <v>8</v>
      </c>
      <c r="P328" s="77">
        <f t="shared" si="486"/>
        <v>5.4600000000000009</v>
      </c>
      <c r="Q328" s="724">
        <f t="shared" ref="Q328:BA328" si="487">SUM(Q325:Q327)</f>
        <v>0</v>
      </c>
      <c r="R328" s="724">
        <f t="shared" si="487"/>
        <v>692894</v>
      </c>
      <c r="S328" s="75">
        <f t="shared" si="487"/>
        <v>0</v>
      </c>
      <c r="T328" s="75">
        <f t="shared" si="487"/>
        <v>0</v>
      </c>
      <c r="U328" s="75">
        <f t="shared" si="487"/>
        <v>0</v>
      </c>
      <c r="V328" s="75">
        <f t="shared" si="487"/>
        <v>692894</v>
      </c>
      <c r="W328" s="75">
        <f t="shared" si="487"/>
        <v>0</v>
      </c>
      <c r="X328" s="75">
        <f t="shared" si="487"/>
        <v>0</v>
      </c>
      <c r="Y328" s="75">
        <f t="shared" si="487"/>
        <v>0</v>
      </c>
      <c r="Z328" s="75">
        <f t="shared" si="487"/>
        <v>0</v>
      </c>
      <c r="AA328" s="75">
        <f t="shared" si="487"/>
        <v>692894</v>
      </c>
      <c r="AB328" s="75">
        <f t="shared" si="487"/>
        <v>234198</v>
      </c>
      <c r="AC328" s="75">
        <f t="shared" si="487"/>
        <v>6929</v>
      </c>
      <c r="AD328" s="75">
        <f t="shared" si="487"/>
        <v>0</v>
      </c>
      <c r="AE328" s="75">
        <f t="shared" si="487"/>
        <v>0</v>
      </c>
      <c r="AF328" s="75">
        <f t="shared" si="487"/>
        <v>0</v>
      </c>
      <c r="AG328" s="75">
        <f t="shared" si="487"/>
        <v>934021</v>
      </c>
      <c r="AH328" s="76">
        <f t="shared" si="487"/>
        <v>0</v>
      </c>
      <c r="AI328" s="76">
        <f t="shared" si="487"/>
        <v>0</v>
      </c>
      <c r="AJ328" s="76">
        <f t="shared" si="487"/>
        <v>2</v>
      </c>
      <c r="AK328" s="76">
        <f t="shared" si="487"/>
        <v>0</v>
      </c>
      <c r="AL328" s="76">
        <f t="shared" si="487"/>
        <v>0</v>
      </c>
      <c r="AM328" s="76">
        <f t="shared" si="487"/>
        <v>0</v>
      </c>
      <c r="AN328" s="76">
        <f t="shared" si="487"/>
        <v>0</v>
      </c>
      <c r="AO328" s="76">
        <f t="shared" si="487"/>
        <v>0</v>
      </c>
      <c r="AP328" s="76">
        <f t="shared" si="487"/>
        <v>2</v>
      </c>
      <c r="AQ328" s="76">
        <f t="shared" si="487"/>
        <v>0</v>
      </c>
      <c r="AR328" s="720">
        <f t="shared" si="487"/>
        <v>2</v>
      </c>
      <c r="AS328" s="701">
        <f t="shared" si="487"/>
        <v>8920216</v>
      </c>
      <c r="AT328" s="75">
        <f t="shared" si="487"/>
        <v>6588285</v>
      </c>
      <c r="AU328" s="75">
        <f t="shared" si="487"/>
        <v>0</v>
      </c>
      <c r="AV328" s="75">
        <f t="shared" si="487"/>
        <v>2226840</v>
      </c>
      <c r="AW328" s="75">
        <f t="shared" si="487"/>
        <v>65883</v>
      </c>
      <c r="AX328" s="75">
        <f t="shared" si="487"/>
        <v>39208</v>
      </c>
      <c r="AY328" s="76">
        <f t="shared" si="487"/>
        <v>15.46</v>
      </c>
      <c r="AZ328" s="76">
        <f t="shared" si="487"/>
        <v>10</v>
      </c>
      <c r="BA328" s="77">
        <f t="shared" si="487"/>
        <v>5.4600000000000009</v>
      </c>
    </row>
    <row r="329" spans="1:53" ht="14.1" customHeight="1" x14ac:dyDescent="0.2">
      <c r="A329" s="67">
        <v>67</v>
      </c>
      <c r="B329" s="64">
        <v>2404</v>
      </c>
      <c r="C329" s="65">
        <v>600078957</v>
      </c>
      <c r="D329" s="64">
        <v>70983135</v>
      </c>
      <c r="E329" s="66" t="s">
        <v>690</v>
      </c>
      <c r="F329" s="67">
        <v>3111</v>
      </c>
      <c r="G329" s="66" t="s">
        <v>307</v>
      </c>
      <c r="H329" s="68" t="s">
        <v>277</v>
      </c>
      <c r="I329" s="462">
        <v>5219605</v>
      </c>
      <c r="J329" s="16">
        <v>3851636</v>
      </c>
      <c r="K329" s="457">
        <v>1301853</v>
      </c>
      <c r="L329" s="457">
        <v>38516</v>
      </c>
      <c r="M329" s="16">
        <v>27600</v>
      </c>
      <c r="N329" s="13">
        <v>7.8</v>
      </c>
      <c r="O329" s="13">
        <v>6</v>
      </c>
      <c r="P329" s="17">
        <v>1.7999999999999998</v>
      </c>
      <c r="Q329" s="469">
        <f t="shared" si="397"/>
        <v>0</v>
      </c>
      <c r="R329" s="469">
        <v>0</v>
      </c>
      <c r="S329" s="460">
        <v>0</v>
      </c>
      <c r="T329" s="460">
        <v>0</v>
      </c>
      <c r="U329" s="460">
        <v>0</v>
      </c>
      <c r="V329" s="460">
        <f>SUM(Q329:U329)</f>
        <v>0</v>
      </c>
      <c r="W329" s="460">
        <v>0</v>
      </c>
      <c r="X329" s="460">
        <v>0</v>
      </c>
      <c r="Y329" s="460">
        <v>0</v>
      </c>
      <c r="Z329" s="460">
        <f t="shared" ref="Z329:Z331" si="488">SUM(W329:Y329)</f>
        <v>0</v>
      </c>
      <c r="AA329" s="460">
        <f t="shared" ref="AA329:AA331" si="489">V329+Z329</f>
        <v>0</v>
      </c>
      <c r="AB329" s="69">
        <f t="shared" ref="AB329:AB331" si="490">ROUND((V329+W329+X329)*33.8%,0)</f>
        <v>0</v>
      </c>
      <c r="AC329" s="69">
        <f t="shared" ref="AC329:AC331" si="491">ROUND(V329*1%,0)</f>
        <v>0</v>
      </c>
      <c r="AD329" s="460">
        <v>0</v>
      </c>
      <c r="AE329" s="460">
        <v>0</v>
      </c>
      <c r="AF329" s="460">
        <f>SUM(AD329:AE329)</f>
        <v>0</v>
      </c>
      <c r="AG329" s="460">
        <f>AA329+AB329+AC329+AF329</f>
        <v>0</v>
      </c>
      <c r="AH329" s="461">
        <v>0</v>
      </c>
      <c r="AI329" s="461">
        <v>0</v>
      </c>
      <c r="AJ329" s="461">
        <v>0</v>
      </c>
      <c r="AK329" s="461">
        <v>0</v>
      </c>
      <c r="AL329" s="461">
        <v>0</v>
      </c>
      <c r="AM329" s="461">
        <v>0</v>
      </c>
      <c r="AN329" s="461">
        <v>0</v>
      </c>
      <c r="AO329" s="461">
        <v>0</v>
      </c>
      <c r="AP329" s="461">
        <f t="shared" si="398"/>
        <v>0</v>
      </c>
      <c r="AQ329" s="461">
        <f t="shared" si="399"/>
        <v>0</v>
      </c>
      <c r="AR329" s="737">
        <f t="shared" si="400"/>
        <v>0</v>
      </c>
      <c r="AS329" s="470">
        <f t="shared" si="401"/>
        <v>5219605</v>
      </c>
      <c r="AT329" s="460">
        <f t="shared" si="402"/>
        <v>3851636</v>
      </c>
      <c r="AU329" s="460">
        <f t="shared" si="403"/>
        <v>0</v>
      </c>
      <c r="AV329" s="460">
        <f t="shared" si="404"/>
        <v>1301853</v>
      </c>
      <c r="AW329" s="460">
        <f t="shared" si="405"/>
        <v>38516</v>
      </c>
      <c r="AX329" s="460">
        <f t="shared" si="406"/>
        <v>27600</v>
      </c>
      <c r="AY329" s="461">
        <f t="shared" si="407"/>
        <v>7.8</v>
      </c>
      <c r="AZ329" s="461">
        <f t="shared" si="408"/>
        <v>6</v>
      </c>
      <c r="BA329" s="463">
        <f t="shared" si="409"/>
        <v>1.7999999999999998</v>
      </c>
    </row>
    <row r="330" spans="1:53" ht="14.1" customHeight="1" x14ac:dyDescent="0.2">
      <c r="A330" s="67">
        <v>67</v>
      </c>
      <c r="B330" s="64">
        <v>2404</v>
      </c>
      <c r="C330" s="65">
        <v>600078957</v>
      </c>
      <c r="D330" s="64">
        <v>70983135</v>
      </c>
      <c r="E330" s="66" t="s">
        <v>690</v>
      </c>
      <c r="F330" s="67">
        <v>3111</v>
      </c>
      <c r="G330" s="78" t="s">
        <v>308</v>
      </c>
      <c r="H330" s="68" t="s">
        <v>278</v>
      </c>
      <c r="I330" s="462">
        <v>0</v>
      </c>
      <c r="J330" s="457">
        <v>0</v>
      </c>
      <c r="K330" s="457">
        <v>0</v>
      </c>
      <c r="L330" s="457">
        <v>0</v>
      </c>
      <c r="M330" s="457">
        <v>0</v>
      </c>
      <c r="N330" s="458">
        <v>0</v>
      </c>
      <c r="O330" s="459">
        <v>0</v>
      </c>
      <c r="P330" s="646">
        <v>0</v>
      </c>
      <c r="Q330" s="469">
        <f t="shared" si="397"/>
        <v>0</v>
      </c>
      <c r="R330" s="469">
        <v>1039341</v>
      </c>
      <c r="S330" s="460">
        <v>0</v>
      </c>
      <c r="T330" s="460">
        <v>0</v>
      </c>
      <c r="U330" s="460">
        <v>0</v>
      </c>
      <c r="V330" s="460">
        <f>SUM(Q330:U330)</f>
        <v>1039341</v>
      </c>
      <c r="W330" s="460">
        <v>0</v>
      </c>
      <c r="X330" s="460">
        <v>0</v>
      </c>
      <c r="Y330" s="460">
        <v>0</v>
      </c>
      <c r="Z330" s="460">
        <f t="shared" si="488"/>
        <v>0</v>
      </c>
      <c r="AA330" s="460">
        <f t="shared" si="489"/>
        <v>1039341</v>
      </c>
      <c r="AB330" s="69">
        <f t="shared" si="490"/>
        <v>351297</v>
      </c>
      <c r="AC330" s="69">
        <f t="shared" si="491"/>
        <v>10393</v>
      </c>
      <c r="AD330" s="460">
        <v>0</v>
      </c>
      <c r="AE330" s="460">
        <v>0</v>
      </c>
      <c r="AF330" s="460">
        <f>SUM(AD330:AE330)</f>
        <v>0</v>
      </c>
      <c r="AG330" s="460">
        <f>AA330+AB330+AC330+AF330</f>
        <v>1401031</v>
      </c>
      <c r="AH330" s="461">
        <v>0</v>
      </c>
      <c r="AI330" s="461">
        <v>0</v>
      </c>
      <c r="AJ330" s="461">
        <v>3</v>
      </c>
      <c r="AK330" s="461">
        <v>0</v>
      </c>
      <c r="AL330" s="461">
        <v>0</v>
      </c>
      <c r="AM330" s="461">
        <v>0</v>
      </c>
      <c r="AN330" s="461">
        <v>0</v>
      </c>
      <c r="AO330" s="461">
        <v>0</v>
      </c>
      <c r="AP330" s="461">
        <f t="shared" si="398"/>
        <v>3</v>
      </c>
      <c r="AQ330" s="461">
        <f t="shared" si="399"/>
        <v>0</v>
      </c>
      <c r="AR330" s="737">
        <f t="shared" si="400"/>
        <v>3</v>
      </c>
      <c r="AS330" s="470">
        <f t="shared" si="401"/>
        <v>1401031</v>
      </c>
      <c r="AT330" s="460">
        <f t="shared" si="402"/>
        <v>1039341</v>
      </c>
      <c r="AU330" s="460">
        <f t="shared" si="403"/>
        <v>0</v>
      </c>
      <c r="AV330" s="460">
        <f t="shared" si="404"/>
        <v>351297</v>
      </c>
      <c r="AW330" s="460">
        <f t="shared" si="405"/>
        <v>10393</v>
      </c>
      <c r="AX330" s="460">
        <f t="shared" si="406"/>
        <v>0</v>
      </c>
      <c r="AY330" s="461">
        <f t="shared" si="407"/>
        <v>3</v>
      </c>
      <c r="AZ330" s="461">
        <f t="shared" si="408"/>
        <v>3</v>
      </c>
      <c r="BA330" s="463">
        <f t="shared" si="409"/>
        <v>0</v>
      </c>
    </row>
    <row r="331" spans="1:53" ht="14.1" customHeight="1" x14ac:dyDescent="0.2">
      <c r="A331" s="67">
        <v>67</v>
      </c>
      <c r="B331" s="64">
        <v>2404</v>
      </c>
      <c r="C331" s="65">
        <v>600078957</v>
      </c>
      <c r="D331" s="64">
        <v>70983135</v>
      </c>
      <c r="E331" s="66" t="s">
        <v>690</v>
      </c>
      <c r="F331" s="67">
        <v>3141</v>
      </c>
      <c r="G331" s="66" t="s">
        <v>311</v>
      </c>
      <c r="H331" s="68" t="s">
        <v>278</v>
      </c>
      <c r="I331" s="462">
        <v>815351</v>
      </c>
      <c r="J331" s="728">
        <v>602159</v>
      </c>
      <c r="K331" s="457">
        <v>203530</v>
      </c>
      <c r="L331" s="457">
        <v>6022</v>
      </c>
      <c r="M331" s="728">
        <v>3640</v>
      </c>
      <c r="N331" s="458">
        <v>1.94</v>
      </c>
      <c r="O331" s="459">
        <v>0</v>
      </c>
      <c r="P331" s="646">
        <v>1.94</v>
      </c>
      <c r="Q331" s="469">
        <f t="shared" si="397"/>
        <v>0</v>
      </c>
      <c r="R331" s="469">
        <v>0</v>
      </c>
      <c r="S331" s="460">
        <v>0</v>
      </c>
      <c r="T331" s="460">
        <v>0</v>
      </c>
      <c r="U331" s="460">
        <v>0</v>
      </c>
      <c r="V331" s="460">
        <f>SUM(Q331:U331)</f>
        <v>0</v>
      </c>
      <c r="W331" s="460">
        <v>0</v>
      </c>
      <c r="X331" s="460">
        <v>0</v>
      </c>
      <c r="Y331" s="460">
        <v>0</v>
      </c>
      <c r="Z331" s="460">
        <f t="shared" si="488"/>
        <v>0</v>
      </c>
      <c r="AA331" s="460">
        <f t="shared" si="489"/>
        <v>0</v>
      </c>
      <c r="AB331" s="69">
        <f t="shared" si="490"/>
        <v>0</v>
      </c>
      <c r="AC331" s="69">
        <f t="shared" si="491"/>
        <v>0</v>
      </c>
      <c r="AD331" s="460">
        <v>0</v>
      </c>
      <c r="AE331" s="460">
        <v>0</v>
      </c>
      <c r="AF331" s="460">
        <f>SUM(AD331:AE331)</f>
        <v>0</v>
      </c>
      <c r="AG331" s="460">
        <f>AA331+AB331+AC331+AF331</f>
        <v>0</v>
      </c>
      <c r="AH331" s="461">
        <v>0</v>
      </c>
      <c r="AI331" s="461">
        <v>0</v>
      </c>
      <c r="AJ331" s="461">
        <v>0</v>
      </c>
      <c r="AK331" s="461">
        <v>0</v>
      </c>
      <c r="AL331" s="461">
        <v>0</v>
      </c>
      <c r="AM331" s="461">
        <v>0</v>
      </c>
      <c r="AN331" s="461">
        <v>0</v>
      </c>
      <c r="AO331" s="461">
        <v>0</v>
      </c>
      <c r="AP331" s="461">
        <f t="shared" si="398"/>
        <v>0</v>
      </c>
      <c r="AQ331" s="461">
        <f t="shared" si="399"/>
        <v>0</v>
      </c>
      <c r="AR331" s="737">
        <f t="shared" si="400"/>
        <v>0</v>
      </c>
      <c r="AS331" s="470">
        <f t="shared" si="401"/>
        <v>815351</v>
      </c>
      <c r="AT331" s="460">
        <f t="shared" si="402"/>
        <v>602159</v>
      </c>
      <c r="AU331" s="460">
        <f t="shared" si="403"/>
        <v>0</v>
      </c>
      <c r="AV331" s="460">
        <f t="shared" si="404"/>
        <v>203530</v>
      </c>
      <c r="AW331" s="460">
        <f t="shared" si="405"/>
        <v>6022</v>
      </c>
      <c r="AX331" s="460">
        <f t="shared" si="406"/>
        <v>3640</v>
      </c>
      <c r="AY331" s="461">
        <f t="shared" si="407"/>
        <v>1.94</v>
      </c>
      <c r="AZ331" s="461">
        <f t="shared" si="408"/>
        <v>0</v>
      </c>
      <c r="BA331" s="463">
        <f t="shared" si="409"/>
        <v>1.94</v>
      </c>
    </row>
    <row r="332" spans="1:53" ht="14.1" customHeight="1" x14ac:dyDescent="0.2">
      <c r="A332" s="73">
        <v>67</v>
      </c>
      <c r="B332" s="70">
        <v>2404</v>
      </c>
      <c r="C332" s="71">
        <v>600078957</v>
      </c>
      <c r="D332" s="70">
        <v>70983135</v>
      </c>
      <c r="E332" s="72" t="s">
        <v>691</v>
      </c>
      <c r="F332" s="73"/>
      <c r="G332" s="72"/>
      <c r="H332" s="74"/>
      <c r="I332" s="701">
        <f t="shared" ref="I332:P332" si="492">SUM(I329:I331)</f>
        <v>6034956</v>
      </c>
      <c r="J332" s="75">
        <f t="shared" si="492"/>
        <v>4453795</v>
      </c>
      <c r="K332" s="75">
        <f t="shared" si="492"/>
        <v>1505383</v>
      </c>
      <c r="L332" s="75">
        <f t="shared" si="492"/>
        <v>44538</v>
      </c>
      <c r="M332" s="75">
        <f t="shared" si="492"/>
        <v>31240</v>
      </c>
      <c r="N332" s="76">
        <f t="shared" si="492"/>
        <v>9.74</v>
      </c>
      <c r="O332" s="76">
        <f t="shared" si="492"/>
        <v>6</v>
      </c>
      <c r="P332" s="77">
        <f t="shared" si="492"/>
        <v>3.7399999999999998</v>
      </c>
      <c r="Q332" s="724">
        <f t="shared" ref="Q332:BA332" si="493">SUM(Q329:Q331)</f>
        <v>0</v>
      </c>
      <c r="R332" s="724">
        <f t="shared" si="493"/>
        <v>1039341</v>
      </c>
      <c r="S332" s="75">
        <f t="shared" si="493"/>
        <v>0</v>
      </c>
      <c r="T332" s="75">
        <f t="shared" si="493"/>
        <v>0</v>
      </c>
      <c r="U332" s="75">
        <f t="shared" si="493"/>
        <v>0</v>
      </c>
      <c r="V332" s="75">
        <f t="shared" si="493"/>
        <v>1039341</v>
      </c>
      <c r="W332" s="75">
        <f t="shared" si="493"/>
        <v>0</v>
      </c>
      <c r="X332" s="75">
        <f t="shared" si="493"/>
        <v>0</v>
      </c>
      <c r="Y332" s="75">
        <f t="shared" si="493"/>
        <v>0</v>
      </c>
      <c r="Z332" s="75">
        <f t="shared" si="493"/>
        <v>0</v>
      </c>
      <c r="AA332" s="75">
        <f t="shared" si="493"/>
        <v>1039341</v>
      </c>
      <c r="AB332" s="75">
        <f t="shared" si="493"/>
        <v>351297</v>
      </c>
      <c r="AC332" s="75">
        <f t="shared" si="493"/>
        <v>10393</v>
      </c>
      <c r="AD332" s="75">
        <f t="shared" si="493"/>
        <v>0</v>
      </c>
      <c r="AE332" s="75">
        <f t="shared" si="493"/>
        <v>0</v>
      </c>
      <c r="AF332" s="75">
        <f t="shared" si="493"/>
        <v>0</v>
      </c>
      <c r="AG332" s="75">
        <f t="shared" si="493"/>
        <v>1401031</v>
      </c>
      <c r="AH332" s="76">
        <f t="shared" si="493"/>
        <v>0</v>
      </c>
      <c r="AI332" s="76">
        <f t="shared" si="493"/>
        <v>0</v>
      </c>
      <c r="AJ332" s="76">
        <f t="shared" si="493"/>
        <v>3</v>
      </c>
      <c r="AK332" s="76">
        <f t="shared" si="493"/>
        <v>0</v>
      </c>
      <c r="AL332" s="76">
        <f t="shared" si="493"/>
        <v>0</v>
      </c>
      <c r="AM332" s="76">
        <f t="shared" si="493"/>
        <v>0</v>
      </c>
      <c r="AN332" s="76">
        <f t="shared" si="493"/>
        <v>0</v>
      </c>
      <c r="AO332" s="76">
        <f t="shared" si="493"/>
        <v>0</v>
      </c>
      <c r="AP332" s="76">
        <f t="shared" si="493"/>
        <v>3</v>
      </c>
      <c r="AQ332" s="76">
        <f t="shared" si="493"/>
        <v>0</v>
      </c>
      <c r="AR332" s="720">
        <f t="shared" si="493"/>
        <v>3</v>
      </c>
      <c r="AS332" s="701">
        <f t="shared" si="493"/>
        <v>7435987</v>
      </c>
      <c r="AT332" s="75">
        <f t="shared" si="493"/>
        <v>5493136</v>
      </c>
      <c r="AU332" s="75">
        <f t="shared" si="493"/>
        <v>0</v>
      </c>
      <c r="AV332" s="75">
        <f t="shared" si="493"/>
        <v>1856680</v>
      </c>
      <c r="AW332" s="75">
        <f t="shared" si="493"/>
        <v>54931</v>
      </c>
      <c r="AX332" s="75">
        <f t="shared" si="493"/>
        <v>31240</v>
      </c>
      <c r="AY332" s="76">
        <f t="shared" si="493"/>
        <v>12.74</v>
      </c>
      <c r="AZ332" s="76">
        <f t="shared" si="493"/>
        <v>9</v>
      </c>
      <c r="BA332" s="77">
        <f t="shared" si="493"/>
        <v>3.7399999999999998</v>
      </c>
    </row>
    <row r="333" spans="1:53" ht="14.1" customHeight="1" x14ac:dyDescent="0.2">
      <c r="A333" s="67">
        <v>68</v>
      </c>
      <c r="B333" s="64">
        <v>2439</v>
      </c>
      <c r="C333" s="65">
        <v>600078965</v>
      </c>
      <c r="D333" s="64">
        <v>70983143</v>
      </c>
      <c r="E333" s="66" t="s">
        <v>692</v>
      </c>
      <c r="F333" s="67">
        <v>3111</v>
      </c>
      <c r="G333" s="66" t="s">
        <v>307</v>
      </c>
      <c r="H333" s="68" t="s">
        <v>277</v>
      </c>
      <c r="I333" s="462">
        <v>3089906</v>
      </c>
      <c r="J333" s="16">
        <v>2280346</v>
      </c>
      <c r="K333" s="457">
        <v>770757</v>
      </c>
      <c r="L333" s="457">
        <v>22803</v>
      </c>
      <c r="M333" s="16">
        <v>16000</v>
      </c>
      <c r="N333" s="13">
        <v>4.87</v>
      </c>
      <c r="O333" s="13">
        <v>3.75</v>
      </c>
      <c r="P333" s="17">
        <v>1.1200000000000001</v>
      </c>
      <c r="Q333" s="469">
        <f t="shared" ref="Q333:Q395" si="494">W333*-1</f>
        <v>0</v>
      </c>
      <c r="R333" s="469">
        <v>0</v>
      </c>
      <c r="S333" s="460">
        <v>0</v>
      </c>
      <c r="T333" s="460">
        <v>0</v>
      </c>
      <c r="U333" s="460">
        <v>0</v>
      </c>
      <c r="V333" s="460">
        <f>SUM(Q333:U333)</f>
        <v>0</v>
      </c>
      <c r="W333" s="460">
        <v>0</v>
      </c>
      <c r="X333" s="460">
        <v>0</v>
      </c>
      <c r="Y333" s="460">
        <v>0</v>
      </c>
      <c r="Z333" s="460">
        <f t="shared" ref="Z333:Z334" si="495">SUM(W333:Y333)</f>
        <v>0</v>
      </c>
      <c r="AA333" s="460">
        <f t="shared" ref="AA333:AA334" si="496">V333+Z333</f>
        <v>0</v>
      </c>
      <c r="AB333" s="69">
        <f t="shared" ref="AB333:AB334" si="497">ROUND((V333+W333+X333)*33.8%,0)</f>
        <v>0</v>
      </c>
      <c r="AC333" s="69">
        <f t="shared" ref="AC333:AC334" si="498">ROUND(V333*1%,0)</f>
        <v>0</v>
      </c>
      <c r="AD333" s="460">
        <v>0</v>
      </c>
      <c r="AE333" s="460">
        <v>0</v>
      </c>
      <c r="AF333" s="460">
        <f>SUM(AD333:AE333)</f>
        <v>0</v>
      </c>
      <c r="AG333" s="460">
        <f>AA333+AB333+AC333+AF333</f>
        <v>0</v>
      </c>
      <c r="AH333" s="461">
        <v>0</v>
      </c>
      <c r="AI333" s="461">
        <v>0</v>
      </c>
      <c r="AJ333" s="461">
        <v>0</v>
      </c>
      <c r="AK333" s="461">
        <v>0</v>
      </c>
      <c r="AL333" s="461">
        <v>0</v>
      </c>
      <c r="AM333" s="461">
        <v>0</v>
      </c>
      <c r="AN333" s="461">
        <v>0</v>
      </c>
      <c r="AO333" s="461">
        <v>0</v>
      </c>
      <c r="AP333" s="461">
        <f t="shared" ref="AP333:AP396" si="499">AH333+AJ333+AK333+AM333+AN333</f>
        <v>0</v>
      </c>
      <c r="AQ333" s="461">
        <f t="shared" ref="AQ333:AQ396" si="500">AI333+AL333+AO333</f>
        <v>0</v>
      </c>
      <c r="AR333" s="737">
        <f t="shared" ref="AR333:AR396" si="501">SUM(AP333:AQ333)</f>
        <v>0</v>
      </c>
      <c r="AS333" s="470">
        <f t="shared" ref="AS333:AS396" si="502">I333+AG333</f>
        <v>3089906</v>
      </c>
      <c r="AT333" s="460">
        <f t="shared" ref="AT333:AT396" si="503">J333+V333</f>
        <v>2280346</v>
      </c>
      <c r="AU333" s="460">
        <f t="shared" ref="AU333:AU396" si="504">Z333</f>
        <v>0</v>
      </c>
      <c r="AV333" s="460">
        <f t="shared" ref="AV333:AV396" si="505">K333+AB333</f>
        <v>770757</v>
      </c>
      <c r="AW333" s="460">
        <f t="shared" ref="AW333:AW396" si="506">L333+AC333</f>
        <v>22803</v>
      </c>
      <c r="AX333" s="460">
        <f t="shared" ref="AX333:AX396" si="507">M333+AF333</f>
        <v>16000</v>
      </c>
      <c r="AY333" s="461">
        <f t="shared" ref="AY333:AY396" si="508">N333+AR333</f>
        <v>4.87</v>
      </c>
      <c r="AZ333" s="461">
        <f t="shared" ref="AZ333:AZ396" si="509">O333+AP333</f>
        <v>3.75</v>
      </c>
      <c r="BA333" s="463">
        <f t="shared" ref="BA333:BA396" si="510">P333+AQ333</f>
        <v>1.1200000000000001</v>
      </c>
    </row>
    <row r="334" spans="1:53" ht="14.1" customHeight="1" x14ac:dyDescent="0.2">
      <c r="A334" s="67">
        <v>68</v>
      </c>
      <c r="B334" s="64">
        <v>2439</v>
      </c>
      <c r="C334" s="65">
        <v>600078965</v>
      </c>
      <c r="D334" s="64">
        <v>70983143</v>
      </c>
      <c r="E334" s="66" t="s">
        <v>692</v>
      </c>
      <c r="F334" s="67">
        <v>3141</v>
      </c>
      <c r="G334" s="66" t="s">
        <v>311</v>
      </c>
      <c r="H334" s="68" t="s">
        <v>278</v>
      </c>
      <c r="I334" s="462">
        <v>556374</v>
      </c>
      <c r="J334" s="728">
        <v>411197</v>
      </c>
      <c r="K334" s="457">
        <v>138985</v>
      </c>
      <c r="L334" s="457">
        <v>4112</v>
      </c>
      <c r="M334" s="728">
        <v>2080</v>
      </c>
      <c r="N334" s="458">
        <v>1.32</v>
      </c>
      <c r="O334" s="459">
        <v>0</v>
      </c>
      <c r="P334" s="646">
        <v>1.32</v>
      </c>
      <c r="Q334" s="469">
        <f t="shared" si="494"/>
        <v>-22932</v>
      </c>
      <c r="R334" s="469">
        <v>0</v>
      </c>
      <c r="S334" s="460">
        <v>0</v>
      </c>
      <c r="T334" s="460">
        <v>0</v>
      </c>
      <c r="U334" s="460">
        <v>0</v>
      </c>
      <c r="V334" s="460">
        <f>SUM(Q334:U334)</f>
        <v>-22932</v>
      </c>
      <c r="W334" s="460">
        <v>22932</v>
      </c>
      <c r="X334" s="460">
        <v>0</v>
      </c>
      <c r="Y334" s="460">
        <v>0</v>
      </c>
      <c r="Z334" s="460">
        <f t="shared" si="495"/>
        <v>22932</v>
      </c>
      <c r="AA334" s="460">
        <f t="shared" si="496"/>
        <v>0</v>
      </c>
      <c r="AB334" s="69">
        <f t="shared" si="497"/>
        <v>0</v>
      </c>
      <c r="AC334" s="69">
        <f t="shared" si="498"/>
        <v>-229</v>
      </c>
      <c r="AD334" s="460">
        <v>0</v>
      </c>
      <c r="AE334" s="460">
        <v>0</v>
      </c>
      <c r="AF334" s="460">
        <f>SUM(AD334:AE334)</f>
        <v>0</v>
      </c>
      <c r="AG334" s="460">
        <f>AA334+AB334+AC334+AF334</f>
        <v>-229</v>
      </c>
      <c r="AH334" s="461">
        <v>0</v>
      </c>
      <c r="AI334" s="461">
        <v>-7.0000000000000007E-2</v>
      </c>
      <c r="AJ334" s="461">
        <v>0</v>
      </c>
      <c r="AK334" s="461">
        <v>0</v>
      </c>
      <c r="AL334" s="461">
        <v>0</v>
      </c>
      <c r="AM334" s="461">
        <v>0</v>
      </c>
      <c r="AN334" s="461">
        <v>0</v>
      </c>
      <c r="AO334" s="461">
        <v>0</v>
      </c>
      <c r="AP334" s="461">
        <f t="shared" si="499"/>
        <v>0</v>
      </c>
      <c r="AQ334" s="461">
        <f t="shared" si="500"/>
        <v>-7.0000000000000007E-2</v>
      </c>
      <c r="AR334" s="737">
        <f t="shared" si="501"/>
        <v>-7.0000000000000007E-2</v>
      </c>
      <c r="AS334" s="470">
        <f t="shared" si="502"/>
        <v>556145</v>
      </c>
      <c r="AT334" s="460">
        <f t="shared" si="503"/>
        <v>388265</v>
      </c>
      <c r="AU334" s="460">
        <f t="shared" si="504"/>
        <v>22932</v>
      </c>
      <c r="AV334" s="460">
        <f t="shared" si="505"/>
        <v>138985</v>
      </c>
      <c r="AW334" s="460">
        <f t="shared" si="506"/>
        <v>3883</v>
      </c>
      <c r="AX334" s="460">
        <f t="shared" si="507"/>
        <v>2080</v>
      </c>
      <c r="AY334" s="461">
        <f t="shared" si="508"/>
        <v>1.25</v>
      </c>
      <c r="AZ334" s="461">
        <f t="shared" si="509"/>
        <v>0</v>
      </c>
      <c r="BA334" s="463">
        <f t="shared" si="510"/>
        <v>1.25</v>
      </c>
    </row>
    <row r="335" spans="1:53" ht="14.1" customHeight="1" x14ac:dyDescent="0.2">
      <c r="A335" s="73">
        <v>68</v>
      </c>
      <c r="B335" s="70">
        <v>2439</v>
      </c>
      <c r="C335" s="71">
        <v>600078965</v>
      </c>
      <c r="D335" s="70">
        <v>70983143</v>
      </c>
      <c r="E335" s="72" t="s">
        <v>693</v>
      </c>
      <c r="F335" s="73"/>
      <c r="G335" s="72"/>
      <c r="H335" s="74"/>
      <c r="I335" s="701">
        <f t="shared" ref="I335:P335" si="511">SUM(I333:I334)</f>
        <v>3646280</v>
      </c>
      <c r="J335" s="75">
        <f t="shared" si="511"/>
        <v>2691543</v>
      </c>
      <c r="K335" s="75">
        <f t="shared" si="511"/>
        <v>909742</v>
      </c>
      <c r="L335" s="75">
        <f t="shared" si="511"/>
        <v>26915</v>
      </c>
      <c r="M335" s="75">
        <f t="shared" si="511"/>
        <v>18080</v>
      </c>
      <c r="N335" s="76">
        <f t="shared" si="511"/>
        <v>6.19</v>
      </c>
      <c r="O335" s="76">
        <f t="shared" si="511"/>
        <v>3.75</v>
      </c>
      <c r="P335" s="77">
        <f t="shared" si="511"/>
        <v>2.4400000000000004</v>
      </c>
      <c r="Q335" s="724">
        <f t="shared" ref="Q335:BA335" si="512">SUM(Q333:Q334)</f>
        <v>-22932</v>
      </c>
      <c r="R335" s="724">
        <f t="shared" si="512"/>
        <v>0</v>
      </c>
      <c r="S335" s="75">
        <f t="shared" si="512"/>
        <v>0</v>
      </c>
      <c r="T335" s="75">
        <f t="shared" si="512"/>
        <v>0</v>
      </c>
      <c r="U335" s="75">
        <f t="shared" si="512"/>
        <v>0</v>
      </c>
      <c r="V335" s="75">
        <f t="shared" si="512"/>
        <v>-22932</v>
      </c>
      <c r="W335" s="75">
        <f t="shared" si="512"/>
        <v>22932</v>
      </c>
      <c r="X335" s="75">
        <f t="shared" si="512"/>
        <v>0</v>
      </c>
      <c r="Y335" s="75">
        <f t="shared" si="512"/>
        <v>0</v>
      </c>
      <c r="Z335" s="75">
        <f t="shared" si="512"/>
        <v>22932</v>
      </c>
      <c r="AA335" s="75">
        <f t="shared" si="512"/>
        <v>0</v>
      </c>
      <c r="AB335" s="75">
        <f t="shared" si="512"/>
        <v>0</v>
      </c>
      <c r="AC335" s="75">
        <f t="shared" si="512"/>
        <v>-229</v>
      </c>
      <c r="AD335" s="75">
        <f t="shared" si="512"/>
        <v>0</v>
      </c>
      <c r="AE335" s="75">
        <f t="shared" si="512"/>
        <v>0</v>
      </c>
      <c r="AF335" s="75">
        <f t="shared" si="512"/>
        <v>0</v>
      </c>
      <c r="AG335" s="75">
        <f t="shared" si="512"/>
        <v>-229</v>
      </c>
      <c r="AH335" s="76">
        <f t="shared" si="512"/>
        <v>0</v>
      </c>
      <c r="AI335" s="76">
        <f t="shared" si="512"/>
        <v>-7.0000000000000007E-2</v>
      </c>
      <c r="AJ335" s="76">
        <f t="shared" si="512"/>
        <v>0</v>
      </c>
      <c r="AK335" s="76">
        <f t="shared" si="512"/>
        <v>0</v>
      </c>
      <c r="AL335" s="76">
        <f t="shared" si="512"/>
        <v>0</v>
      </c>
      <c r="AM335" s="76">
        <f t="shared" si="512"/>
        <v>0</v>
      </c>
      <c r="AN335" s="76">
        <f t="shared" si="512"/>
        <v>0</v>
      </c>
      <c r="AO335" s="76">
        <f t="shared" si="512"/>
        <v>0</v>
      </c>
      <c r="AP335" s="76">
        <f t="shared" si="512"/>
        <v>0</v>
      </c>
      <c r="AQ335" s="76">
        <f t="shared" si="512"/>
        <v>-7.0000000000000007E-2</v>
      </c>
      <c r="AR335" s="720">
        <f t="shared" si="512"/>
        <v>-7.0000000000000007E-2</v>
      </c>
      <c r="AS335" s="701">
        <f t="shared" si="512"/>
        <v>3646051</v>
      </c>
      <c r="AT335" s="75">
        <f t="shared" si="512"/>
        <v>2668611</v>
      </c>
      <c r="AU335" s="75">
        <f t="shared" si="512"/>
        <v>22932</v>
      </c>
      <c r="AV335" s="75">
        <f t="shared" si="512"/>
        <v>909742</v>
      </c>
      <c r="AW335" s="75">
        <f t="shared" si="512"/>
        <v>26686</v>
      </c>
      <c r="AX335" s="75">
        <f t="shared" si="512"/>
        <v>18080</v>
      </c>
      <c r="AY335" s="76">
        <f t="shared" si="512"/>
        <v>6.12</v>
      </c>
      <c r="AZ335" s="76">
        <f t="shared" si="512"/>
        <v>3.75</v>
      </c>
      <c r="BA335" s="77">
        <f t="shared" si="512"/>
        <v>2.37</v>
      </c>
    </row>
    <row r="336" spans="1:53" ht="14.1" customHeight="1" x14ac:dyDescent="0.2">
      <c r="A336" s="67">
        <v>69</v>
      </c>
      <c r="B336" s="64">
        <v>2302</v>
      </c>
      <c r="C336" s="65">
        <v>600080366</v>
      </c>
      <c r="D336" s="64">
        <v>70983127</v>
      </c>
      <c r="E336" s="66" t="s">
        <v>694</v>
      </c>
      <c r="F336" s="67">
        <v>3111</v>
      </c>
      <c r="G336" s="66" t="s">
        <v>307</v>
      </c>
      <c r="H336" s="68" t="s">
        <v>277</v>
      </c>
      <c r="I336" s="462">
        <v>6324643</v>
      </c>
      <c r="J336" s="16">
        <v>4664401</v>
      </c>
      <c r="K336" s="457">
        <v>1576568</v>
      </c>
      <c r="L336" s="457">
        <v>46644</v>
      </c>
      <c r="M336" s="16">
        <v>37030</v>
      </c>
      <c r="N336" s="13">
        <v>9.7037000000000013</v>
      </c>
      <c r="O336" s="13">
        <v>8.0737000000000005</v>
      </c>
      <c r="P336" s="17">
        <v>1.63</v>
      </c>
      <c r="Q336" s="469">
        <f t="shared" si="494"/>
        <v>0</v>
      </c>
      <c r="R336" s="469">
        <v>0</v>
      </c>
      <c r="S336" s="460">
        <v>0</v>
      </c>
      <c r="T336" s="460">
        <v>0</v>
      </c>
      <c r="U336" s="460">
        <v>0</v>
      </c>
      <c r="V336" s="460">
        <f t="shared" ref="V336:V343" si="513">SUM(Q336:U336)</f>
        <v>0</v>
      </c>
      <c r="W336" s="460">
        <v>0</v>
      </c>
      <c r="X336" s="460">
        <v>0</v>
      </c>
      <c r="Y336" s="460">
        <v>0</v>
      </c>
      <c r="Z336" s="460">
        <f t="shared" ref="Z336:Z343" si="514">SUM(W336:Y336)</f>
        <v>0</v>
      </c>
      <c r="AA336" s="460">
        <f t="shared" ref="AA336:AA343" si="515">V336+Z336</f>
        <v>0</v>
      </c>
      <c r="AB336" s="69">
        <f t="shared" ref="AB336:AB343" si="516">ROUND((V336+W336+X336)*33.8%,0)</f>
        <v>0</v>
      </c>
      <c r="AC336" s="69">
        <f t="shared" ref="AC336:AC343" si="517">ROUND(V336*1%,0)</f>
        <v>0</v>
      </c>
      <c r="AD336" s="460">
        <v>0</v>
      </c>
      <c r="AE336" s="460">
        <v>0</v>
      </c>
      <c r="AF336" s="460">
        <f t="shared" ref="AF336:AF343" si="518">SUM(AD336:AE336)</f>
        <v>0</v>
      </c>
      <c r="AG336" s="460">
        <f t="shared" ref="AG336:AG343" si="519">AA336+AB336+AC336+AF336</f>
        <v>0</v>
      </c>
      <c r="AH336" s="461">
        <v>0</v>
      </c>
      <c r="AI336" s="461">
        <v>0</v>
      </c>
      <c r="AJ336" s="461">
        <v>0</v>
      </c>
      <c r="AK336" s="461">
        <v>0</v>
      </c>
      <c r="AL336" s="461">
        <v>0</v>
      </c>
      <c r="AM336" s="461">
        <v>0</v>
      </c>
      <c r="AN336" s="461">
        <v>0</v>
      </c>
      <c r="AO336" s="461">
        <v>0</v>
      </c>
      <c r="AP336" s="461">
        <f t="shared" si="499"/>
        <v>0</v>
      </c>
      <c r="AQ336" s="461">
        <f t="shared" si="500"/>
        <v>0</v>
      </c>
      <c r="AR336" s="737">
        <f t="shared" si="501"/>
        <v>0</v>
      </c>
      <c r="AS336" s="470">
        <f t="shared" si="502"/>
        <v>6324643</v>
      </c>
      <c r="AT336" s="460">
        <f t="shared" si="503"/>
        <v>4664401</v>
      </c>
      <c r="AU336" s="460">
        <f t="shared" si="504"/>
        <v>0</v>
      </c>
      <c r="AV336" s="460">
        <f t="shared" si="505"/>
        <v>1576568</v>
      </c>
      <c r="AW336" s="460">
        <f t="shared" si="506"/>
        <v>46644</v>
      </c>
      <c r="AX336" s="460">
        <f t="shared" si="507"/>
        <v>37030</v>
      </c>
      <c r="AY336" s="461">
        <f t="shared" si="508"/>
        <v>9.7037000000000013</v>
      </c>
      <c r="AZ336" s="461">
        <f t="shared" si="509"/>
        <v>8.0737000000000005</v>
      </c>
      <c r="BA336" s="463">
        <f t="shared" si="510"/>
        <v>1.63</v>
      </c>
    </row>
    <row r="337" spans="1:53" ht="14.1" customHeight="1" x14ac:dyDescent="0.2">
      <c r="A337" s="67">
        <v>69</v>
      </c>
      <c r="B337" s="64">
        <v>2302</v>
      </c>
      <c r="C337" s="65">
        <v>600080366</v>
      </c>
      <c r="D337" s="64">
        <v>70983127</v>
      </c>
      <c r="E337" s="66" t="s">
        <v>694</v>
      </c>
      <c r="F337" s="67">
        <v>3111</v>
      </c>
      <c r="G337" s="44" t="s">
        <v>309</v>
      </c>
      <c r="H337" s="68" t="s">
        <v>277</v>
      </c>
      <c r="I337" s="462">
        <v>571611</v>
      </c>
      <c r="J337" s="16">
        <v>424044</v>
      </c>
      <c r="K337" s="457">
        <v>143327</v>
      </c>
      <c r="L337" s="457">
        <v>4240</v>
      </c>
      <c r="M337" s="16">
        <v>0</v>
      </c>
      <c r="N337" s="13">
        <v>1</v>
      </c>
      <c r="O337" s="13">
        <v>1</v>
      </c>
      <c r="P337" s="17">
        <v>0</v>
      </c>
      <c r="Q337" s="469">
        <f t="shared" si="494"/>
        <v>0</v>
      </c>
      <c r="R337" s="469">
        <v>0</v>
      </c>
      <c r="S337" s="460">
        <v>0</v>
      </c>
      <c r="T337" s="460">
        <v>0</v>
      </c>
      <c r="U337" s="460">
        <v>0</v>
      </c>
      <c r="V337" s="460">
        <f t="shared" si="513"/>
        <v>0</v>
      </c>
      <c r="W337" s="460">
        <v>0</v>
      </c>
      <c r="X337" s="460">
        <v>0</v>
      </c>
      <c r="Y337" s="460">
        <v>0</v>
      </c>
      <c r="Z337" s="460">
        <f t="shared" si="514"/>
        <v>0</v>
      </c>
      <c r="AA337" s="460">
        <f t="shared" si="515"/>
        <v>0</v>
      </c>
      <c r="AB337" s="69">
        <f t="shared" si="516"/>
        <v>0</v>
      </c>
      <c r="AC337" s="69">
        <f t="shared" si="517"/>
        <v>0</v>
      </c>
      <c r="AD337" s="460">
        <v>0</v>
      </c>
      <c r="AE337" s="460">
        <v>0</v>
      </c>
      <c r="AF337" s="460">
        <f t="shared" si="518"/>
        <v>0</v>
      </c>
      <c r="AG337" s="460">
        <f t="shared" si="519"/>
        <v>0</v>
      </c>
      <c r="AH337" s="461">
        <v>0</v>
      </c>
      <c r="AI337" s="461">
        <v>0</v>
      </c>
      <c r="AJ337" s="461">
        <v>0</v>
      </c>
      <c r="AK337" s="461">
        <v>0</v>
      </c>
      <c r="AL337" s="461">
        <v>0</v>
      </c>
      <c r="AM337" s="461">
        <v>0</v>
      </c>
      <c r="AN337" s="461">
        <v>0</v>
      </c>
      <c r="AO337" s="461">
        <v>0</v>
      </c>
      <c r="AP337" s="461">
        <f t="shared" si="499"/>
        <v>0</v>
      </c>
      <c r="AQ337" s="461">
        <f t="shared" si="500"/>
        <v>0</v>
      </c>
      <c r="AR337" s="737">
        <f t="shared" si="501"/>
        <v>0</v>
      </c>
      <c r="AS337" s="470">
        <f t="shared" si="502"/>
        <v>571611</v>
      </c>
      <c r="AT337" s="460">
        <f t="shared" si="503"/>
        <v>424044</v>
      </c>
      <c r="AU337" s="460">
        <f t="shared" si="504"/>
        <v>0</v>
      </c>
      <c r="AV337" s="460">
        <f t="shared" si="505"/>
        <v>143327</v>
      </c>
      <c r="AW337" s="460">
        <f t="shared" si="506"/>
        <v>4240</v>
      </c>
      <c r="AX337" s="460">
        <f t="shared" si="507"/>
        <v>0</v>
      </c>
      <c r="AY337" s="461">
        <f t="shared" si="508"/>
        <v>1</v>
      </c>
      <c r="AZ337" s="461">
        <f t="shared" si="509"/>
        <v>1</v>
      </c>
      <c r="BA337" s="463">
        <f t="shared" si="510"/>
        <v>0</v>
      </c>
    </row>
    <row r="338" spans="1:53" ht="14.1" customHeight="1" x14ac:dyDescent="0.2">
      <c r="A338" s="67">
        <v>69</v>
      </c>
      <c r="B338" s="64">
        <v>2302</v>
      </c>
      <c r="C338" s="65">
        <v>600080366</v>
      </c>
      <c r="D338" s="64">
        <v>70983127</v>
      </c>
      <c r="E338" s="66" t="s">
        <v>694</v>
      </c>
      <c r="F338" s="67">
        <v>3114</v>
      </c>
      <c r="G338" s="168" t="s">
        <v>546</v>
      </c>
      <c r="H338" s="68" t="s">
        <v>277</v>
      </c>
      <c r="I338" s="462">
        <v>10760311</v>
      </c>
      <c r="J338" s="16">
        <v>7897460</v>
      </c>
      <c r="K338" s="457">
        <v>2669341</v>
      </c>
      <c r="L338" s="457">
        <v>78975</v>
      </c>
      <c r="M338" s="16">
        <v>114535</v>
      </c>
      <c r="N338" s="13">
        <v>12.6944</v>
      </c>
      <c r="O338" s="13">
        <v>8.9543999999999997</v>
      </c>
      <c r="P338" s="17">
        <v>3.74</v>
      </c>
      <c r="Q338" s="469">
        <f t="shared" si="494"/>
        <v>-52000</v>
      </c>
      <c r="R338" s="469">
        <v>0</v>
      </c>
      <c r="S338" s="460">
        <v>0</v>
      </c>
      <c r="T338" s="460">
        <v>0</v>
      </c>
      <c r="U338" s="460">
        <v>0</v>
      </c>
      <c r="V338" s="460">
        <f t="shared" si="513"/>
        <v>-52000</v>
      </c>
      <c r="W338" s="460">
        <v>52000</v>
      </c>
      <c r="X338" s="460">
        <v>0</v>
      </c>
      <c r="Y338" s="460">
        <v>0</v>
      </c>
      <c r="Z338" s="460">
        <f t="shared" si="514"/>
        <v>52000</v>
      </c>
      <c r="AA338" s="460">
        <f t="shared" si="515"/>
        <v>0</v>
      </c>
      <c r="AB338" s="69">
        <f t="shared" si="516"/>
        <v>0</v>
      </c>
      <c r="AC338" s="69">
        <f t="shared" si="517"/>
        <v>-520</v>
      </c>
      <c r="AD338" s="460">
        <v>0</v>
      </c>
      <c r="AE338" s="460">
        <v>0</v>
      </c>
      <c r="AF338" s="460">
        <f t="shared" si="518"/>
        <v>0</v>
      </c>
      <c r="AG338" s="460">
        <f t="shared" si="519"/>
        <v>-520</v>
      </c>
      <c r="AH338" s="461">
        <v>0</v>
      </c>
      <c r="AI338" s="461">
        <v>-0.16</v>
      </c>
      <c r="AJ338" s="461">
        <v>0</v>
      </c>
      <c r="AK338" s="461">
        <v>0</v>
      </c>
      <c r="AL338" s="461">
        <v>0</v>
      </c>
      <c r="AM338" s="461">
        <v>0</v>
      </c>
      <c r="AN338" s="461">
        <v>0</v>
      </c>
      <c r="AO338" s="461">
        <v>0</v>
      </c>
      <c r="AP338" s="461">
        <f t="shared" si="499"/>
        <v>0</v>
      </c>
      <c r="AQ338" s="461">
        <f t="shared" si="500"/>
        <v>-0.16</v>
      </c>
      <c r="AR338" s="737">
        <f t="shared" si="501"/>
        <v>-0.16</v>
      </c>
      <c r="AS338" s="470">
        <f t="shared" si="502"/>
        <v>10759791</v>
      </c>
      <c r="AT338" s="460">
        <f t="shared" si="503"/>
        <v>7845460</v>
      </c>
      <c r="AU338" s="460">
        <f t="shared" si="504"/>
        <v>52000</v>
      </c>
      <c r="AV338" s="460">
        <f t="shared" si="505"/>
        <v>2669341</v>
      </c>
      <c r="AW338" s="460">
        <f t="shared" si="506"/>
        <v>78455</v>
      </c>
      <c r="AX338" s="460">
        <f t="shared" si="507"/>
        <v>114535</v>
      </c>
      <c r="AY338" s="461">
        <f t="shared" si="508"/>
        <v>12.5344</v>
      </c>
      <c r="AZ338" s="461">
        <f t="shared" si="509"/>
        <v>8.9543999999999997</v>
      </c>
      <c r="BA338" s="463">
        <f t="shared" si="510"/>
        <v>3.58</v>
      </c>
    </row>
    <row r="339" spans="1:53" ht="14.1" customHeight="1" x14ac:dyDescent="0.2">
      <c r="A339" s="67">
        <v>69</v>
      </c>
      <c r="B339" s="64">
        <v>2302</v>
      </c>
      <c r="C339" s="65">
        <v>600080366</v>
      </c>
      <c r="D339" s="64">
        <v>70983127</v>
      </c>
      <c r="E339" s="66" t="s">
        <v>694</v>
      </c>
      <c r="F339" s="67">
        <v>3114</v>
      </c>
      <c r="G339" s="44" t="s">
        <v>309</v>
      </c>
      <c r="H339" s="68" t="s">
        <v>277</v>
      </c>
      <c r="I339" s="462">
        <v>3030832</v>
      </c>
      <c r="J339" s="16">
        <v>2248392</v>
      </c>
      <c r="K339" s="457">
        <v>759956</v>
      </c>
      <c r="L339" s="457">
        <v>22484</v>
      </c>
      <c r="M339" s="16">
        <v>0</v>
      </c>
      <c r="N339" s="13">
        <v>6</v>
      </c>
      <c r="O339" s="13">
        <v>6</v>
      </c>
      <c r="P339" s="17">
        <v>0</v>
      </c>
      <c r="Q339" s="469">
        <f t="shared" si="494"/>
        <v>0</v>
      </c>
      <c r="R339" s="469">
        <v>0</v>
      </c>
      <c r="S339" s="460">
        <v>0</v>
      </c>
      <c r="T339" s="460">
        <v>0</v>
      </c>
      <c r="U339" s="460">
        <v>0</v>
      </c>
      <c r="V339" s="460">
        <f t="shared" si="513"/>
        <v>0</v>
      </c>
      <c r="W339" s="460">
        <v>0</v>
      </c>
      <c r="X339" s="460">
        <v>0</v>
      </c>
      <c r="Y339" s="460">
        <v>0</v>
      </c>
      <c r="Z339" s="460">
        <f t="shared" si="514"/>
        <v>0</v>
      </c>
      <c r="AA339" s="460">
        <f t="shared" si="515"/>
        <v>0</v>
      </c>
      <c r="AB339" s="69">
        <f t="shared" si="516"/>
        <v>0</v>
      </c>
      <c r="AC339" s="69">
        <f t="shared" si="517"/>
        <v>0</v>
      </c>
      <c r="AD339" s="460">
        <v>0</v>
      </c>
      <c r="AE339" s="460">
        <v>0</v>
      </c>
      <c r="AF339" s="460">
        <f t="shared" si="518"/>
        <v>0</v>
      </c>
      <c r="AG339" s="460">
        <f t="shared" si="519"/>
        <v>0</v>
      </c>
      <c r="AH339" s="461">
        <v>0</v>
      </c>
      <c r="AI339" s="461">
        <v>0</v>
      </c>
      <c r="AJ339" s="461">
        <v>0</v>
      </c>
      <c r="AK339" s="461">
        <v>0</v>
      </c>
      <c r="AL339" s="461">
        <v>0</v>
      </c>
      <c r="AM339" s="461">
        <v>0</v>
      </c>
      <c r="AN339" s="461">
        <v>0</v>
      </c>
      <c r="AO339" s="461">
        <v>0</v>
      </c>
      <c r="AP339" s="461">
        <f t="shared" si="499"/>
        <v>0</v>
      </c>
      <c r="AQ339" s="461">
        <f t="shared" si="500"/>
        <v>0</v>
      </c>
      <c r="AR339" s="737">
        <f t="shared" si="501"/>
        <v>0</v>
      </c>
      <c r="AS339" s="470">
        <f t="shared" si="502"/>
        <v>3030832</v>
      </c>
      <c r="AT339" s="460">
        <f t="shared" si="503"/>
        <v>2248392</v>
      </c>
      <c r="AU339" s="460">
        <f t="shared" si="504"/>
        <v>0</v>
      </c>
      <c r="AV339" s="460">
        <f t="shared" si="505"/>
        <v>759956</v>
      </c>
      <c r="AW339" s="460">
        <f t="shared" si="506"/>
        <v>22484</v>
      </c>
      <c r="AX339" s="460">
        <f t="shared" si="507"/>
        <v>0</v>
      </c>
      <c r="AY339" s="461">
        <f t="shared" si="508"/>
        <v>6</v>
      </c>
      <c r="AZ339" s="461">
        <f t="shared" si="509"/>
        <v>6</v>
      </c>
      <c r="BA339" s="463">
        <f t="shared" si="510"/>
        <v>0</v>
      </c>
    </row>
    <row r="340" spans="1:53" ht="14.1" customHeight="1" x14ac:dyDescent="0.2">
      <c r="A340" s="67">
        <v>69</v>
      </c>
      <c r="B340" s="64">
        <v>2302</v>
      </c>
      <c r="C340" s="65">
        <v>600080366</v>
      </c>
      <c r="D340" s="64">
        <v>70983127</v>
      </c>
      <c r="E340" s="66" t="s">
        <v>694</v>
      </c>
      <c r="F340" s="67">
        <v>3114</v>
      </c>
      <c r="G340" s="78" t="s">
        <v>308</v>
      </c>
      <c r="H340" s="68" t="s">
        <v>278</v>
      </c>
      <c r="I340" s="462">
        <v>0</v>
      </c>
      <c r="J340" s="457">
        <v>0</v>
      </c>
      <c r="K340" s="457">
        <v>0</v>
      </c>
      <c r="L340" s="457">
        <v>0</v>
      </c>
      <c r="M340" s="457">
        <v>0</v>
      </c>
      <c r="N340" s="458">
        <v>0</v>
      </c>
      <c r="O340" s="459">
        <v>0</v>
      </c>
      <c r="P340" s="646">
        <v>0</v>
      </c>
      <c r="Q340" s="469">
        <f t="shared" si="494"/>
        <v>0</v>
      </c>
      <c r="R340" s="469">
        <v>923858</v>
      </c>
      <c r="S340" s="460">
        <v>0</v>
      </c>
      <c r="T340" s="460">
        <v>0</v>
      </c>
      <c r="U340" s="460">
        <v>0</v>
      </c>
      <c r="V340" s="460">
        <f t="shared" si="513"/>
        <v>923858</v>
      </c>
      <c r="W340" s="460">
        <v>0</v>
      </c>
      <c r="X340" s="460">
        <v>0</v>
      </c>
      <c r="Y340" s="460">
        <v>0</v>
      </c>
      <c r="Z340" s="460">
        <f t="shared" si="514"/>
        <v>0</v>
      </c>
      <c r="AA340" s="460">
        <f t="shared" si="515"/>
        <v>923858</v>
      </c>
      <c r="AB340" s="69">
        <f t="shared" si="516"/>
        <v>312264</v>
      </c>
      <c r="AC340" s="69">
        <f t="shared" si="517"/>
        <v>9239</v>
      </c>
      <c r="AD340" s="460">
        <v>10700</v>
      </c>
      <c r="AE340" s="460">
        <v>0</v>
      </c>
      <c r="AF340" s="460">
        <f t="shared" si="518"/>
        <v>10700</v>
      </c>
      <c r="AG340" s="460">
        <f t="shared" si="519"/>
        <v>1256061</v>
      </c>
      <c r="AH340" s="461">
        <v>0</v>
      </c>
      <c r="AI340" s="461">
        <v>0</v>
      </c>
      <c r="AJ340" s="461">
        <v>2.67</v>
      </c>
      <c r="AK340" s="461">
        <v>0</v>
      </c>
      <c r="AL340" s="461">
        <v>0</v>
      </c>
      <c r="AM340" s="461">
        <v>0</v>
      </c>
      <c r="AN340" s="461">
        <v>0</v>
      </c>
      <c r="AO340" s="461">
        <v>0</v>
      </c>
      <c r="AP340" s="461">
        <f t="shared" si="499"/>
        <v>2.67</v>
      </c>
      <c r="AQ340" s="461">
        <f t="shared" si="500"/>
        <v>0</v>
      </c>
      <c r="AR340" s="737">
        <f t="shared" si="501"/>
        <v>2.67</v>
      </c>
      <c r="AS340" s="470">
        <f t="shared" si="502"/>
        <v>1256061</v>
      </c>
      <c r="AT340" s="460">
        <f t="shared" si="503"/>
        <v>923858</v>
      </c>
      <c r="AU340" s="460">
        <f t="shared" si="504"/>
        <v>0</v>
      </c>
      <c r="AV340" s="460">
        <f t="shared" si="505"/>
        <v>312264</v>
      </c>
      <c r="AW340" s="460">
        <f t="shared" si="506"/>
        <v>9239</v>
      </c>
      <c r="AX340" s="460">
        <f t="shared" si="507"/>
        <v>10700</v>
      </c>
      <c r="AY340" s="461">
        <f t="shared" si="508"/>
        <v>2.67</v>
      </c>
      <c r="AZ340" s="461">
        <f t="shared" si="509"/>
        <v>2.67</v>
      </c>
      <c r="BA340" s="463">
        <f t="shared" si="510"/>
        <v>0</v>
      </c>
    </row>
    <row r="341" spans="1:53" ht="14.1" customHeight="1" x14ac:dyDescent="0.2">
      <c r="A341" s="67">
        <v>69</v>
      </c>
      <c r="B341" s="64">
        <v>2302</v>
      </c>
      <c r="C341" s="65">
        <v>600080366</v>
      </c>
      <c r="D341" s="64">
        <v>70983127</v>
      </c>
      <c r="E341" s="66" t="s">
        <v>694</v>
      </c>
      <c r="F341" s="67">
        <v>3141</v>
      </c>
      <c r="G341" s="66" t="s">
        <v>311</v>
      </c>
      <c r="H341" s="68" t="s">
        <v>278</v>
      </c>
      <c r="I341" s="462">
        <v>490607</v>
      </c>
      <c r="J341" s="728">
        <v>361228</v>
      </c>
      <c r="K341" s="457">
        <v>122095</v>
      </c>
      <c r="L341" s="457">
        <v>3612</v>
      </c>
      <c r="M341" s="728">
        <v>3672</v>
      </c>
      <c r="N341" s="458">
        <v>1.1599999999999999</v>
      </c>
      <c r="O341" s="459">
        <v>0</v>
      </c>
      <c r="P341" s="646">
        <v>1.1599999999999999</v>
      </c>
      <c r="Q341" s="469">
        <f t="shared" si="494"/>
        <v>0</v>
      </c>
      <c r="R341" s="469">
        <v>0</v>
      </c>
      <c r="S341" s="460">
        <v>0</v>
      </c>
      <c r="T341" s="460">
        <v>0</v>
      </c>
      <c r="U341" s="460">
        <v>0</v>
      </c>
      <c r="V341" s="460">
        <f t="shared" si="513"/>
        <v>0</v>
      </c>
      <c r="W341" s="460">
        <v>0</v>
      </c>
      <c r="X341" s="460">
        <v>0</v>
      </c>
      <c r="Y341" s="460">
        <v>0</v>
      </c>
      <c r="Z341" s="460">
        <f t="shared" si="514"/>
        <v>0</v>
      </c>
      <c r="AA341" s="460">
        <f t="shared" si="515"/>
        <v>0</v>
      </c>
      <c r="AB341" s="69">
        <f t="shared" si="516"/>
        <v>0</v>
      </c>
      <c r="AC341" s="69">
        <f t="shared" si="517"/>
        <v>0</v>
      </c>
      <c r="AD341" s="460">
        <v>0</v>
      </c>
      <c r="AE341" s="460">
        <v>0</v>
      </c>
      <c r="AF341" s="460">
        <f t="shared" si="518"/>
        <v>0</v>
      </c>
      <c r="AG341" s="460">
        <f t="shared" si="519"/>
        <v>0</v>
      </c>
      <c r="AH341" s="461">
        <v>0</v>
      </c>
      <c r="AI341" s="461">
        <v>0</v>
      </c>
      <c r="AJ341" s="461">
        <v>0</v>
      </c>
      <c r="AK341" s="461">
        <v>0</v>
      </c>
      <c r="AL341" s="461">
        <v>0</v>
      </c>
      <c r="AM341" s="461">
        <v>0</v>
      </c>
      <c r="AN341" s="461">
        <v>0</v>
      </c>
      <c r="AO341" s="461">
        <v>0</v>
      </c>
      <c r="AP341" s="461">
        <f t="shared" si="499"/>
        <v>0</v>
      </c>
      <c r="AQ341" s="461">
        <f t="shared" si="500"/>
        <v>0</v>
      </c>
      <c r="AR341" s="737">
        <f t="shared" si="501"/>
        <v>0</v>
      </c>
      <c r="AS341" s="470">
        <f t="shared" si="502"/>
        <v>490607</v>
      </c>
      <c r="AT341" s="460">
        <f t="shared" si="503"/>
        <v>361228</v>
      </c>
      <c r="AU341" s="460">
        <f t="shared" si="504"/>
        <v>0</v>
      </c>
      <c r="AV341" s="460">
        <f t="shared" si="505"/>
        <v>122095</v>
      </c>
      <c r="AW341" s="460">
        <f t="shared" si="506"/>
        <v>3612</v>
      </c>
      <c r="AX341" s="460">
        <f t="shared" si="507"/>
        <v>3672</v>
      </c>
      <c r="AY341" s="461">
        <f t="shared" si="508"/>
        <v>1.1599999999999999</v>
      </c>
      <c r="AZ341" s="461">
        <f t="shared" si="509"/>
        <v>0</v>
      </c>
      <c r="BA341" s="463">
        <f t="shared" si="510"/>
        <v>1.1599999999999999</v>
      </c>
    </row>
    <row r="342" spans="1:53" ht="14.1" customHeight="1" x14ac:dyDescent="0.2">
      <c r="A342" s="67">
        <v>69</v>
      </c>
      <c r="B342" s="64">
        <v>2302</v>
      </c>
      <c r="C342" s="65">
        <v>600080366</v>
      </c>
      <c r="D342" s="64">
        <v>70983127</v>
      </c>
      <c r="E342" s="66" t="s">
        <v>694</v>
      </c>
      <c r="F342" s="67">
        <v>3143</v>
      </c>
      <c r="G342" s="78" t="s">
        <v>616</v>
      </c>
      <c r="H342" s="68" t="s">
        <v>277</v>
      </c>
      <c r="I342" s="462">
        <v>158553</v>
      </c>
      <c r="J342" s="16">
        <v>117621</v>
      </c>
      <c r="K342" s="457">
        <v>39756</v>
      </c>
      <c r="L342" s="457">
        <v>1176</v>
      </c>
      <c r="M342" s="16">
        <v>0</v>
      </c>
      <c r="N342" s="458">
        <v>0.27079999999999999</v>
      </c>
      <c r="O342" s="13">
        <v>0.27079999999999999</v>
      </c>
      <c r="P342" s="17">
        <v>0</v>
      </c>
      <c r="Q342" s="469">
        <f t="shared" si="494"/>
        <v>0</v>
      </c>
      <c r="R342" s="469">
        <v>0</v>
      </c>
      <c r="S342" s="460">
        <v>0</v>
      </c>
      <c r="T342" s="460">
        <v>0</v>
      </c>
      <c r="U342" s="460">
        <v>0</v>
      </c>
      <c r="V342" s="460">
        <f t="shared" si="513"/>
        <v>0</v>
      </c>
      <c r="W342" s="460">
        <v>0</v>
      </c>
      <c r="X342" s="460">
        <v>0</v>
      </c>
      <c r="Y342" s="460">
        <v>0</v>
      </c>
      <c r="Z342" s="460">
        <f t="shared" si="514"/>
        <v>0</v>
      </c>
      <c r="AA342" s="460">
        <f t="shared" si="515"/>
        <v>0</v>
      </c>
      <c r="AB342" s="69">
        <f t="shared" si="516"/>
        <v>0</v>
      </c>
      <c r="AC342" s="69">
        <f t="shared" si="517"/>
        <v>0</v>
      </c>
      <c r="AD342" s="460">
        <v>0</v>
      </c>
      <c r="AE342" s="460">
        <v>0</v>
      </c>
      <c r="AF342" s="460">
        <f t="shared" si="518"/>
        <v>0</v>
      </c>
      <c r="AG342" s="460">
        <f t="shared" si="519"/>
        <v>0</v>
      </c>
      <c r="AH342" s="461">
        <v>0</v>
      </c>
      <c r="AI342" s="461">
        <v>0</v>
      </c>
      <c r="AJ342" s="461">
        <v>0</v>
      </c>
      <c r="AK342" s="461">
        <v>0</v>
      </c>
      <c r="AL342" s="461">
        <v>0</v>
      </c>
      <c r="AM342" s="461">
        <v>0</v>
      </c>
      <c r="AN342" s="461">
        <v>0</v>
      </c>
      <c r="AO342" s="461">
        <v>0</v>
      </c>
      <c r="AP342" s="461">
        <f t="shared" si="499"/>
        <v>0</v>
      </c>
      <c r="AQ342" s="461">
        <f t="shared" si="500"/>
        <v>0</v>
      </c>
      <c r="AR342" s="737">
        <f t="shared" si="501"/>
        <v>0</v>
      </c>
      <c r="AS342" s="470">
        <f t="shared" si="502"/>
        <v>158553</v>
      </c>
      <c r="AT342" s="460">
        <f t="shared" si="503"/>
        <v>117621</v>
      </c>
      <c r="AU342" s="460">
        <f t="shared" si="504"/>
        <v>0</v>
      </c>
      <c r="AV342" s="460">
        <f t="shared" si="505"/>
        <v>39756</v>
      </c>
      <c r="AW342" s="460">
        <f t="shared" si="506"/>
        <v>1176</v>
      </c>
      <c r="AX342" s="460">
        <f t="shared" si="507"/>
        <v>0</v>
      </c>
      <c r="AY342" s="461">
        <f t="shared" si="508"/>
        <v>0.27079999999999999</v>
      </c>
      <c r="AZ342" s="461">
        <f t="shared" si="509"/>
        <v>0.27079999999999999</v>
      </c>
      <c r="BA342" s="463">
        <f t="shared" si="510"/>
        <v>0</v>
      </c>
    </row>
    <row r="343" spans="1:53" ht="14.1" customHeight="1" x14ac:dyDescent="0.2">
      <c r="A343" s="67">
        <v>69</v>
      </c>
      <c r="B343" s="64">
        <v>2302</v>
      </c>
      <c r="C343" s="65">
        <v>600080366</v>
      </c>
      <c r="D343" s="64">
        <v>70983127</v>
      </c>
      <c r="E343" s="66" t="s">
        <v>694</v>
      </c>
      <c r="F343" s="67">
        <v>3143</v>
      </c>
      <c r="G343" s="78" t="s">
        <v>617</v>
      </c>
      <c r="H343" s="68" t="s">
        <v>278</v>
      </c>
      <c r="I343" s="462">
        <v>10995</v>
      </c>
      <c r="J343" s="673">
        <v>7856</v>
      </c>
      <c r="K343" s="457">
        <v>2655</v>
      </c>
      <c r="L343" s="457">
        <v>79</v>
      </c>
      <c r="M343" s="673">
        <v>405</v>
      </c>
      <c r="N343" s="458">
        <v>0.03</v>
      </c>
      <c r="O343" s="459">
        <v>0</v>
      </c>
      <c r="P343" s="717">
        <v>0.03</v>
      </c>
      <c r="Q343" s="469">
        <f t="shared" si="494"/>
        <v>0</v>
      </c>
      <c r="R343" s="469">
        <v>0</v>
      </c>
      <c r="S343" s="460">
        <v>0</v>
      </c>
      <c r="T343" s="460">
        <v>0</v>
      </c>
      <c r="U343" s="460">
        <v>0</v>
      </c>
      <c r="V343" s="460">
        <f t="shared" si="513"/>
        <v>0</v>
      </c>
      <c r="W343" s="460">
        <v>0</v>
      </c>
      <c r="X343" s="460">
        <v>0</v>
      </c>
      <c r="Y343" s="460">
        <v>0</v>
      </c>
      <c r="Z343" s="460">
        <f t="shared" si="514"/>
        <v>0</v>
      </c>
      <c r="AA343" s="460">
        <f t="shared" si="515"/>
        <v>0</v>
      </c>
      <c r="AB343" s="69">
        <f t="shared" si="516"/>
        <v>0</v>
      </c>
      <c r="AC343" s="69">
        <f t="shared" si="517"/>
        <v>0</v>
      </c>
      <c r="AD343" s="460">
        <v>0</v>
      </c>
      <c r="AE343" s="460">
        <v>0</v>
      </c>
      <c r="AF343" s="460">
        <f t="shared" si="518"/>
        <v>0</v>
      </c>
      <c r="AG343" s="460">
        <f t="shared" si="519"/>
        <v>0</v>
      </c>
      <c r="AH343" s="461">
        <v>0</v>
      </c>
      <c r="AI343" s="461">
        <v>0</v>
      </c>
      <c r="AJ343" s="461">
        <v>0</v>
      </c>
      <c r="AK343" s="461">
        <v>0</v>
      </c>
      <c r="AL343" s="461">
        <v>0</v>
      </c>
      <c r="AM343" s="461">
        <v>0</v>
      </c>
      <c r="AN343" s="461">
        <v>0</v>
      </c>
      <c r="AO343" s="461">
        <v>0</v>
      </c>
      <c r="AP343" s="461">
        <f t="shared" si="499"/>
        <v>0</v>
      </c>
      <c r="AQ343" s="461">
        <f t="shared" si="500"/>
        <v>0</v>
      </c>
      <c r="AR343" s="737">
        <f t="shared" si="501"/>
        <v>0</v>
      </c>
      <c r="AS343" s="470">
        <f t="shared" si="502"/>
        <v>10995</v>
      </c>
      <c r="AT343" s="460">
        <f t="shared" si="503"/>
        <v>7856</v>
      </c>
      <c r="AU343" s="460">
        <f t="shared" si="504"/>
        <v>0</v>
      </c>
      <c r="AV343" s="460">
        <f t="shared" si="505"/>
        <v>2655</v>
      </c>
      <c r="AW343" s="460">
        <f t="shared" si="506"/>
        <v>79</v>
      </c>
      <c r="AX343" s="460">
        <f t="shared" si="507"/>
        <v>405</v>
      </c>
      <c r="AY343" s="461">
        <f t="shared" si="508"/>
        <v>0.03</v>
      </c>
      <c r="AZ343" s="461">
        <f t="shared" si="509"/>
        <v>0</v>
      </c>
      <c r="BA343" s="463">
        <f t="shared" si="510"/>
        <v>0.03</v>
      </c>
    </row>
    <row r="344" spans="1:53" ht="14.1" customHeight="1" x14ac:dyDescent="0.2">
      <c r="A344" s="73">
        <v>69</v>
      </c>
      <c r="B344" s="70">
        <v>2302</v>
      </c>
      <c r="C344" s="71">
        <v>600080366</v>
      </c>
      <c r="D344" s="70">
        <v>70983127</v>
      </c>
      <c r="E344" s="72" t="s">
        <v>695</v>
      </c>
      <c r="F344" s="73"/>
      <c r="G344" s="72"/>
      <c r="H344" s="74"/>
      <c r="I344" s="701">
        <f t="shared" ref="I344:P344" si="520">SUM(I336:I343)</f>
        <v>21347552</v>
      </c>
      <c r="J344" s="75">
        <f t="shared" si="520"/>
        <v>15721002</v>
      </c>
      <c r="K344" s="75">
        <f t="shared" si="520"/>
        <v>5313698</v>
      </c>
      <c r="L344" s="75">
        <f t="shared" si="520"/>
        <v>157210</v>
      </c>
      <c r="M344" s="75">
        <f t="shared" si="520"/>
        <v>155642</v>
      </c>
      <c r="N344" s="76">
        <f t="shared" si="520"/>
        <v>30.858900000000002</v>
      </c>
      <c r="O344" s="76">
        <f t="shared" si="520"/>
        <v>24.298900000000003</v>
      </c>
      <c r="P344" s="77">
        <f t="shared" si="520"/>
        <v>6.5600000000000005</v>
      </c>
      <c r="Q344" s="724">
        <f t="shared" ref="Q344:BA344" si="521">SUM(Q336:Q343)</f>
        <v>-52000</v>
      </c>
      <c r="R344" s="724">
        <f t="shared" si="521"/>
        <v>923858</v>
      </c>
      <c r="S344" s="75">
        <f t="shared" si="521"/>
        <v>0</v>
      </c>
      <c r="T344" s="75">
        <f t="shared" si="521"/>
        <v>0</v>
      </c>
      <c r="U344" s="75">
        <f t="shared" si="521"/>
        <v>0</v>
      </c>
      <c r="V344" s="75">
        <f t="shared" si="521"/>
        <v>871858</v>
      </c>
      <c r="W344" s="75">
        <f t="shared" si="521"/>
        <v>52000</v>
      </c>
      <c r="X344" s="75">
        <f t="shared" si="521"/>
        <v>0</v>
      </c>
      <c r="Y344" s="75">
        <f t="shared" si="521"/>
        <v>0</v>
      </c>
      <c r="Z344" s="75">
        <f t="shared" si="521"/>
        <v>52000</v>
      </c>
      <c r="AA344" s="75">
        <f t="shared" si="521"/>
        <v>923858</v>
      </c>
      <c r="AB344" s="75">
        <f t="shared" si="521"/>
        <v>312264</v>
      </c>
      <c r="AC344" s="75">
        <f t="shared" si="521"/>
        <v>8719</v>
      </c>
      <c r="AD344" s="75">
        <f t="shared" si="521"/>
        <v>10700</v>
      </c>
      <c r="AE344" s="75">
        <f t="shared" si="521"/>
        <v>0</v>
      </c>
      <c r="AF344" s="75">
        <f t="shared" si="521"/>
        <v>10700</v>
      </c>
      <c r="AG344" s="75">
        <f t="shared" si="521"/>
        <v>1255541</v>
      </c>
      <c r="AH344" s="76">
        <f t="shared" si="521"/>
        <v>0</v>
      </c>
      <c r="AI344" s="76">
        <f t="shared" si="521"/>
        <v>-0.16</v>
      </c>
      <c r="AJ344" s="76">
        <f t="shared" si="521"/>
        <v>2.67</v>
      </c>
      <c r="AK344" s="76">
        <f t="shared" si="521"/>
        <v>0</v>
      </c>
      <c r="AL344" s="76">
        <f t="shared" si="521"/>
        <v>0</v>
      </c>
      <c r="AM344" s="76">
        <f t="shared" si="521"/>
        <v>0</v>
      </c>
      <c r="AN344" s="76">
        <f t="shared" si="521"/>
        <v>0</v>
      </c>
      <c r="AO344" s="76">
        <f t="shared" si="521"/>
        <v>0</v>
      </c>
      <c r="AP344" s="76">
        <f t="shared" si="521"/>
        <v>2.67</v>
      </c>
      <c r="AQ344" s="76">
        <f t="shared" si="521"/>
        <v>-0.16</v>
      </c>
      <c r="AR344" s="720">
        <f t="shared" si="521"/>
        <v>2.5099999999999998</v>
      </c>
      <c r="AS344" s="701">
        <f t="shared" si="521"/>
        <v>22603093</v>
      </c>
      <c r="AT344" s="75">
        <f t="shared" si="521"/>
        <v>16592860</v>
      </c>
      <c r="AU344" s="75">
        <f t="shared" si="521"/>
        <v>52000</v>
      </c>
      <c r="AV344" s="75">
        <f t="shared" si="521"/>
        <v>5625962</v>
      </c>
      <c r="AW344" s="75">
        <f t="shared" si="521"/>
        <v>165929</v>
      </c>
      <c r="AX344" s="75">
        <f t="shared" si="521"/>
        <v>166342</v>
      </c>
      <c r="AY344" s="76">
        <f t="shared" si="521"/>
        <v>33.368900000000004</v>
      </c>
      <c r="AZ344" s="76">
        <f t="shared" si="521"/>
        <v>26.968900000000005</v>
      </c>
      <c r="BA344" s="77">
        <f t="shared" si="521"/>
        <v>6.4</v>
      </c>
    </row>
    <row r="345" spans="1:53" ht="14.1" customHeight="1" x14ac:dyDescent="0.2">
      <c r="A345" s="67">
        <v>70</v>
      </c>
      <c r="B345" s="64">
        <v>2454</v>
      </c>
      <c r="C345" s="65">
        <v>600079759</v>
      </c>
      <c r="D345" s="64">
        <v>70983119</v>
      </c>
      <c r="E345" s="66" t="s">
        <v>696</v>
      </c>
      <c r="F345" s="67">
        <v>3117</v>
      </c>
      <c r="G345" s="66" t="s">
        <v>310</v>
      </c>
      <c r="H345" s="68" t="s">
        <v>277</v>
      </c>
      <c r="I345" s="462">
        <v>6561662</v>
      </c>
      <c r="J345" s="16">
        <v>4760357</v>
      </c>
      <c r="K345" s="457">
        <v>1609001</v>
      </c>
      <c r="L345" s="457">
        <v>47604</v>
      </c>
      <c r="M345" s="16">
        <v>144700</v>
      </c>
      <c r="N345" s="13">
        <v>8.690900000000001</v>
      </c>
      <c r="O345" s="13">
        <v>6.5909000000000004</v>
      </c>
      <c r="P345" s="17">
        <v>2.1</v>
      </c>
      <c r="Q345" s="469">
        <f t="shared" si="494"/>
        <v>-52000</v>
      </c>
      <c r="R345" s="469">
        <v>0</v>
      </c>
      <c r="S345" s="460">
        <v>0</v>
      </c>
      <c r="T345" s="460">
        <v>0</v>
      </c>
      <c r="U345" s="460">
        <v>0</v>
      </c>
      <c r="V345" s="460">
        <f>SUM(Q345:U345)</f>
        <v>-52000</v>
      </c>
      <c r="W345" s="460">
        <v>52000</v>
      </c>
      <c r="X345" s="460">
        <v>0</v>
      </c>
      <c r="Y345" s="460">
        <v>0</v>
      </c>
      <c r="Z345" s="460">
        <f t="shared" ref="Z345:Z349" si="522">SUM(W345:Y345)</f>
        <v>52000</v>
      </c>
      <c r="AA345" s="460">
        <f t="shared" ref="AA345:AA349" si="523">V345+Z345</f>
        <v>0</v>
      </c>
      <c r="AB345" s="69">
        <f t="shared" ref="AB345:AB349" si="524">ROUND((V345+W345+X345)*33.8%,0)</f>
        <v>0</v>
      </c>
      <c r="AC345" s="69">
        <f t="shared" ref="AC345:AC349" si="525">ROUND(V345*1%,0)</f>
        <v>-520</v>
      </c>
      <c r="AD345" s="460">
        <v>0</v>
      </c>
      <c r="AE345" s="460">
        <v>0</v>
      </c>
      <c r="AF345" s="460">
        <f>SUM(AD345:AE345)</f>
        <v>0</v>
      </c>
      <c r="AG345" s="460">
        <f>AA345+AB345+AC345+AF345</f>
        <v>-520</v>
      </c>
      <c r="AH345" s="461">
        <v>0</v>
      </c>
      <c r="AI345" s="461">
        <v>-0.12</v>
      </c>
      <c r="AJ345" s="461">
        <v>0</v>
      </c>
      <c r="AK345" s="461">
        <v>0</v>
      </c>
      <c r="AL345" s="461">
        <v>0</v>
      </c>
      <c r="AM345" s="461">
        <v>0</v>
      </c>
      <c r="AN345" s="461">
        <v>0</v>
      </c>
      <c r="AO345" s="461">
        <v>0</v>
      </c>
      <c r="AP345" s="461">
        <f t="shared" si="499"/>
        <v>0</v>
      </c>
      <c r="AQ345" s="461">
        <f t="shared" si="500"/>
        <v>-0.12</v>
      </c>
      <c r="AR345" s="737">
        <f t="shared" si="501"/>
        <v>-0.12</v>
      </c>
      <c r="AS345" s="470">
        <f t="shared" si="502"/>
        <v>6561142</v>
      </c>
      <c r="AT345" s="460">
        <f t="shared" si="503"/>
        <v>4708357</v>
      </c>
      <c r="AU345" s="460">
        <f t="shared" si="504"/>
        <v>52000</v>
      </c>
      <c r="AV345" s="460">
        <f t="shared" si="505"/>
        <v>1609001</v>
      </c>
      <c r="AW345" s="460">
        <f t="shared" si="506"/>
        <v>47084</v>
      </c>
      <c r="AX345" s="460">
        <f t="shared" si="507"/>
        <v>144700</v>
      </c>
      <c r="AY345" s="461">
        <f t="shared" si="508"/>
        <v>8.5709000000000017</v>
      </c>
      <c r="AZ345" s="461">
        <f t="shared" si="509"/>
        <v>6.5909000000000004</v>
      </c>
      <c r="BA345" s="463">
        <f t="shared" si="510"/>
        <v>1.98</v>
      </c>
    </row>
    <row r="346" spans="1:53" ht="14.1" customHeight="1" x14ac:dyDescent="0.2">
      <c r="A346" s="67">
        <v>70</v>
      </c>
      <c r="B346" s="64">
        <v>2454</v>
      </c>
      <c r="C346" s="65">
        <v>600079759</v>
      </c>
      <c r="D346" s="64">
        <v>70983119</v>
      </c>
      <c r="E346" s="66" t="s">
        <v>696</v>
      </c>
      <c r="F346" s="67">
        <v>3117</v>
      </c>
      <c r="G346" s="78" t="s">
        <v>308</v>
      </c>
      <c r="H346" s="68" t="s">
        <v>278</v>
      </c>
      <c r="I346" s="462">
        <v>0</v>
      </c>
      <c r="J346" s="457">
        <v>0</v>
      </c>
      <c r="K346" s="457">
        <v>0</v>
      </c>
      <c r="L346" s="457">
        <v>0</v>
      </c>
      <c r="M346" s="457">
        <v>0</v>
      </c>
      <c r="N346" s="458">
        <v>0</v>
      </c>
      <c r="O346" s="459">
        <v>0</v>
      </c>
      <c r="P346" s="646">
        <v>0</v>
      </c>
      <c r="Q346" s="469">
        <f t="shared" si="494"/>
        <v>0</v>
      </c>
      <c r="R346" s="469">
        <v>1228127</v>
      </c>
      <c r="S346" s="460">
        <v>0</v>
      </c>
      <c r="T346" s="460">
        <v>0</v>
      </c>
      <c r="U346" s="460">
        <v>0</v>
      </c>
      <c r="V346" s="460">
        <f>SUM(Q346:U346)</f>
        <v>1228127</v>
      </c>
      <c r="W346" s="460">
        <v>0</v>
      </c>
      <c r="X346" s="460">
        <v>0</v>
      </c>
      <c r="Y346" s="460">
        <v>0</v>
      </c>
      <c r="Z346" s="460">
        <f t="shared" si="522"/>
        <v>0</v>
      </c>
      <c r="AA346" s="460">
        <f t="shared" si="523"/>
        <v>1228127</v>
      </c>
      <c r="AB346" s="69">
        <f t="shared" si="524"/>
        <v>415107</v>
      </c>
      <c r="AC346" s="69">
        <f t="shared" si="525"/>
        <v>12281</v>
      </c>
      <c r="AD346" s="460">
        <v>500</v>
      </c>
      <c r="AE346" s="460">
        <v>0</v>
      </c>
      <c r="AF346" s="460">
        <f>SUM(AD346:AE346)</f>
        <v>500</v>
      </c>
      <c r="AG346" s="460">
        <f>AA346+AB346+AC346+AF346</f>
        <v>1656015</v>
      </c>
      <c r="AH346" s="461">
        <v>0</v>
      </c>
      <c r="AI346" s="461">
        <v>0</v>
      </c>
      <c r="AJ346" s="461">
        <v>3.48</v>
      </c>
      <c r="AK346" s="461">
        <v>0</v>
      </c>
      <c r="AL346" s="461">
        <v>0</v>
      </c>
      <c r="AM346" s="461">
        <v>0</v>
      </c>
      <c r="AN346" s="461">
        <v>0</v>
      </c>
      <c r="AO346" s="461">
        <v>0</v>
      </c>
      <c r="AP346" s="461">
        <f t="shared" si="499"/>
        <v>3.48</v>
      </c>
      <c r="AQ346" s="461">
        <f t="shared" si="500"/>
        <v>0</v>
      </c>
      <c r="AR346" s="737">
        <f t="shared" si="501"/>
        <v>3.48</v>
      </c>
      <c r="AS346" s="470">
        <f t="shared" si="502"/>
        <v>1656015</v>
      </c>
      <c r="AT346" s="460">
        <f t="shared" si="503"/>
        <v>1228127</v>
      </c>
      <c r="AU346" s="460">
        <f t="shared" si="504"/>
        <v>0</v>
      </c>
      <c r="AV346" s="460">
        <f t="shared" si="505"/>
        <v>415107</v>
      </c>
      <c r="AW346" s="460">
        <f t="shared" si="506"/>
        <v>12281</v>
      </c>
      <c r="AX346" s="460">
        <f t="shared" si="507"/>
        <v>500</v>
      </c>
      <c r="AY346" s="461">
        <f t="shared" si="508"/>
        <v>3.48</v>
      </c>
      <c r="AZ346" s="461">
        <f t="shared" si="509"/>
        <v>3.48</v>
      </c>
      <c r="BA346" s="463">
        <f t="shared" si="510"/>
        <v>0</v>
      </c>
    </row>
    <row r="347" spans="1:53" ht="14.1" customHeight="1" x14ac:dyDescent="0.2">
      <c r="A347" s="67">
        <v>70</v>
      </c>
      <c r="B347" s="64">
        <v>2454</v>
      </c>
      <c r="C347" s="65">
        <v>600079759</v>
      </c>
      <c r="D347" s="64">
        <v>70983119</v>
      </c>
      <c r="E347" s="66" t="s">
        <v>696</v>
      </c>
      <c r="F347" s="67">
        <v>3141</v>
      </c>
      <c r="G347" s="66" t="s">
        <v>311</v>
      </c>
      <c r="H347" s="68" t="s">
        <v>278</v>
      </c>
      <c r="I347" s="462">
        <v>282534</v>
      </c>
      <c r="J347" s="728">
        <v>207577</v>
      </c>
      <c r="K347" s="457">
        <v>70161</v>
      </c>
      <c r="L347" s="457">
        <v>2076</v>
      </c>
      <c r="M347" s="728">
        <v>2720</v>
      </c>
      <c r="N347" s="458">
        <v>0.67</v>
      </c>
      <c r="O347" s="459">
        <v>0</v>
      </c>
      <c r="P347" s="646">
        <v>0.67</v>
      </c>
      <c r="Q347" s="469">
        <f t="shared" si="494"/>
        <v>0</v>
      </c>
      <c r="R347" s="469">
        <v>0</v>
      </c>
      <c r="S347" s="460">
        <v>0</v>
      </c>
      <c r="T347" s="460">
        <v>0</v>
      </c>
      <c r="U347" s="460">
        <v>0</v>
      </c>
      <c r="V347" s="460">
        <f>SUM(Q347:U347)</f>
        <v>0</v>
      </c>
      <c r="W347" s="460">
        <v>0</v>
      </c>
      <c r="X347" s="460">
        <v>0</v>
      </c>
      <c r="Y347" s="460">
        <v>0</v>
      </c>
      <c r="Z347" s="460">
        <f t="shared" si="522"/>
        <v>0</v>
      </c>
      <c r="AA347" s="460">
        <f t="shared" si="523"/>
        <v>0</v>
      </c>
      <c r="AB347" s="69">
        <f t="shared" si="524"/>
        <v>0</v>
      </c>
      <c r="AC347" s="69">
        <f t="shared" si="525"/>
        <v>0</v>
      </c>
      <c r="AD347" s="460">
        <v>0</v>
      </c>
      <c r="AE347" s="460">
        <v>0</v>
      </c>
      <c r="AF347" s="460">
        <f>SUM(AD347:AE347)</f>
        <v>0</v>
      </c>
      <c r="AG347" s="460">
        <f>AA347+AB347+AC347+AF347</f>
        <v>0</v>
      </c>
      <c r="AH347" s="461">
        <v>0</v>
      </c>
      <c r="AI347" s="461">
        <v>0</v>
      </c>
      <c r="AJ347" s="461">
        <v>0</v>
      </c>
      <c r="AK347" s="461">
        <v>0</v>
      </c>
      <c r="AL347" s="461">
        <v>0</v>
      </c>
      <c r="AM347" s="461">
        <v>0</v>
      </c>
      <c r="AN347" s="461">
        <v>0</v>
      </c>
      <c r="AO347" s="461">
        <v>0</v>
      </c>
      <c r="AP347" s="461">
        <f t="shared" si="499"/>
        <v>0</v>
      </c>
      <c r="AQ347" s="461">
        <f t="shared" si="500"/>
        <v>0</v>
      </c>
      <c r="AR347" s="737">
        <f t="shared" si="501"/>
        <v>0</v>
      </c>
      <c r="AS347" s="470">
        <f t="shared" si="502"/>
        <v>282534</v>
      </c>
      <c r="AT347" s="460">
        <f t="shared" si="503"/>
        <v>207577</v>
      </c>
      <c r="AU347" s="460">
        <f t="shared" si="504"/>
        <v>0</v>
      </c>
      <c r="AV347" s="460">
        <f t="shared" si="505"/>
        <v>70161</v>
      </c>
      <c r="AW347" s="460">
        <f t="shared" si="506"/>
        <v>2076</v>
      </c>
      <c r="AX347" s="460">
        <f t="shared" si="507"/>
        <v>2720</v>
      </c>
      <c r="AY347" s="461">
        <f t="shared" si="508"/>
        <v>0.67</v>
      </c>
      <c r="AZ347" s="461">
        <f t="shared" si="509"/>
        <v>0</v>
      </c>
      <c r="BA347" s="463">
        <f t="shared" si="510"/>
        <v>0.67</v>
      </c>
    </row>
    <row r="348" spans="1:53" ht="14.1" customHeight="1" x14ac:dyDescent="0.2">
      <c r="A348" s="67">
        <v>70</v>
      </c>
      <c r="B348" s="64">
        <v>2454</v>
      </c>
      <c r="C348" s="65">
        <v>600079759</v>
      </c>
      <c r="D348" s="64">
        <v>70983119</v>
      </c>
      <c r="E348" s="66" t="s">
        <v>696</v>
      </c>
      <c r="F348" s="67">
        <v>3143</v>
      </c>
      <c r="G348" s="78" t="s">
        <v>616</v>
      </c>
      <c r="H348" s="68" t="s">
        <v>277</v>
      </c>
      <c r="I348" s="462">
        <v>917175</v>
      </c>
      <c r="J348" s="16">
        <v>680397</v>
      </c>
      <c r="K348" s="457">
        <v>229974</v>
      </c>
      <c r="L348" s="457">
        <v>6804</v>
      </c>
      <c r="M348" s="16">
        <v>0</v>
      </c>
      <c r="N348" s="458">
        <v>1.45</v>
      </c>
      <c r="O348" s="13">
        <v>1.45</v>
      </c>
      <c r="P348" s="17">
        <v>0</v>
      </c>
      <c r="Q348" s="469">
        <f t="shared" si="494"/>
        <v>0</v>
      </c>
      <c r="R348" s="469">
        <v>0</v>
      </c>
      <c r="S348" s="460">
        <v>0</v>
      </c>
      <c r="T348" s="460">
        <v>0</v>
      </c>
      <c r="U348" s="460">
        <v>0</v>
      </c>
      <c r="V348" s="460">
        <f>SUM(Q348:U348)</f>
        <v>0</v>
      </c>
      <c r="W348" s="460">
        <v>0</v>
      </c>
      <c r="X348" s="460">
        <v>0</v>
      </c>
      <c r="Y348" s="460">
        <v>0</v>
      </c>
      <c r="Z348" s="460">
        <f t="shared" si="522"/>
        <v>0</v>
      </c>
      <c r="AA348" s="460">
        <f t="shared" si="523"/>
        <v>0</v>
      </c>
      <c r="AB348" s="69">
        <f t="shared" si="524"/>
        <v>0</v>
      </c>
      <c r="AC348" s="69">
        <f t="shared" si="525"/>
        <v>0</v>
      </c>
      <c r="AD348" s="460">
        <v>0</v>
      </c>
      <c r="AE348" s="460">
        <v>0</v>
      </c>
      <c r="AF348" s="460">
        <f>SUM(AD348:AE348)</f>
        <v>0</v>
      </c>
      <c r="AG348" s="460">
        <f>AA348+AB348+AC348+AF348</f>
        <v>0</v>
      </c>
      <c r="AH348" s="461">
        <v>0</v>
      </c>
      <c r="AI348" s="461">
        <v>0</v>
      </c>
      <c r="AJ348" s="461">
        <v>0</v>
      </c>
      <c r="AK348" s="461">
        <v>0</v>
      </c>
      <c r="AL348" s="461">
        <v>0</v>
      </c>
      <c r="AM348" s="461">
        <v>0</v>
      </c>
      <c r="AN348" s="461">
        <v>0</v>
      </c>
      <c r="AO348" s="461">
        <v>0</v>
      </c>
      <c r="AP348" s="461">
        <f t="shared" si="499"/>
        <v>0</v>
      </c>
      <c r="AQ348" s="461">
        <f t="shared" si="500"/>
        <v>0</v>
      </c>
      <c r="AR348" s="737">
        <f t="shared" si="501"/>
        <v>0</v>
      </c>
      <c r="AS348" s="470">
        <f t="shared" si="502"/>
        <v>917175</v>
      </c>
      <c r="AT348" s="460">
        <f t="shared" si="503"/>
        <v>680397</v>
      </c>
      <c r="AU348" s="460">
        <f t="shared" si="504"/>
        <v>0</v>
      </c>
      <c r="AV348" s="460">
        <f t="shared" si="505"/>
        <v>229974</v>
      </c>
      <c r="AW348" s="460">
        <f t="shared" si="506"/>
        <v>6804</v>
      </c>
      <c r="AX348" s="460">
        <f t="shared" si="507"/>
        <v>0</v>
      </c>
      <c r="AY348" s="461">
        <f t="shared" si="508"/>
        <v>1.45</v>
      </c>
      <c r="AZ348" s="461">
        <f t="shared" si="509"/>
        <v>1.45</v>
      </c>
      <c r="BA348" s="463">
        <f t="shared" si="510"/>
        <v>0</v>
      </c>
    </row>
    <row r="349" spans="1:53" ht="14.1" customHeight="1" x14ac:dyDescent="0.2">
      <c r="A349" s="67">
        <v>70</v>
      </c>
      <c r="B349" s="64">
        <v>2454</v>
      </c>
      <c r="C349" s="65">
        <v>600079759</v>
      </c>
      <c r="D349" s="64">
        <v>70983119</v>
      </c>
      <c r="E349" s="66" t="s">
        <v>696</v>
      </c>
      <c r="F349" s="67">
        <v>3143</v>
      </c>
      <c r="G349" s="78" t="s">
        <v>617</v>
      </c>
      <c r="H349" s="68" t="s">
        <v>278</v>
      </c>
      <c r="I349" s="462">
        <v>35917</v>
      </c>
      <c r="J349" s="673">
        <v>25663</v>
      </c>
      <c r="K349" s="457">
        <v>8674</v>
      </c>
      <c r="L349" s="457">
        <v>257</v>
      </c>
      <c r="M349" s="673">
        <v>1323</v>
      </c>
      <c r="N349" s="458">
        <v>0.1</v>
      </c>
      <c r="O349" s="459">
        <v>0</v>
      </c>
      <c r="P349" s="717">
        <v>0.1</v>
      </c>
      <c r="Q349" s="469">
        <f t="shared" si="494"/>
        <v>0</v>
      </c>
      <c r="R349" s="469">
        <v>0</v>
      </c>
      <c r="S349" s="460">
        <v>0</v>
      </c>
      <c r="T349" s="460">
        <v>0</v>
      </c>
      <c r="U349" s="460">
        <v>0</v>
      </c>
      <c r="V349" s="460">
        <f>SUM(Q349:U349)</f>
        <v>0</v>
      </c>
      <c r="W349" s="460">
        <v>0</v>
      </c>
      <c r="X349" s="460">
        <v>0</v>
      </c>
      <c r="Y349" s="460">
        <v>0</v>
      </c>
      <c r="Z349" s="460">
        <f t="shared" si="522"/>
        <v>0</v>
      </c>
      <c r="AA349" s="460">
        <f t="shared" si="523"/>
        <v>0</v>
      </c>
      <c r="AB349" s="69">
        <f t="shared" si="524"/>
        <v>0</v>
      </c>
      <c r="AC349" s="69">
        <f t="shared" si="525"/>
        <v>0</v>
      </c>
      <c r="AD349" s="460">
        <v>0</v>
      </c>
      <c r="AE349" s="460">
        <v>0</v>
      </c>
      <c r="AF349" s="460">
        <f>SUM(AD349:AE349)</f>
        <v>0</v>
      </c>
      <c r="AG349" s="460">
        <f>AA349+AB349+AC349+AF349</f>
        <v>0</v>
      </c>
      <c r="AH349" s="461">
        <v>0</v>
      </c>
      <c r="AI349" s="461">
        <v>0</v>
      </c>
      <c r="AJ349" s="461">
        <v>0</v>
      </c>
      <c r="AK349" s="461">
        <v>0</v>
      </c>
      <c r="AL349" s="461">
        <v>0</v>
      </c>
      <c r="AM349" s="461">
        <v>0</v>
      </c>
      <c r="AN349" s="461">
        <v>0</v>
      </c>
      <c r="AO349" s="461">
        <v>0</v>
      </c>
      <c r="AP349" s="461">
        <f t="shared" si="499"/>
        <v>0</v>
      </c>
      <c r="AQ349" s="461">
        <f t="shared" si="500"/>
        <v>0</v>
      </c>
      <c r="AR349" s="737">
        <f t="shared" si="501"/>
        <v>0</v>
      </c>
      <c r="AS349" s="470">
        <f t="shared" si="502"/>
        <v>35917</v>
      </c>
      <c r="AT349" s="460">
        <f t="shared" si="503"/>
        <v>25663</v>
      </c>
      <c r="AU349" s="460">
        <f t="shared" si="504"/>
        <v>0</v>
      </c>
      <c r="AV349" s="460">
        <f t="shared" si="505"/>
        <v>8674</v>
      </c>
      <c r="AW349" s="460">
        <f t="shared" si="506"/>
        <v>257</v>
      </c>
      <c r="AX349" s="460">
        <f t="shared" si="507"/>
        <v>1323</v>
      </c>
      <c r="AY349" s="461">
        <f t="shared" si="508"/>
        <v>0.1</v>
      </c>
      <c r="AZ349" s="461">
        <f t="shared" si="509"/>
        <v>0</v>
      </c>
      <c r="BA349" s="463">
        <f t="shared" si="510"/>
        <v>0.1</v>
      </c>
    </row>
    <row r="350" spans="1:53" ht="14.1" customHeight="1" x14ac:dyDescent="0.2">
      <c r="A350" s="73">
        <v>70</v>
      </c>
      <c r="B350" s="70">
        <v>2454</v>
      </c>
      <c r="C350" s="71">
        <v>600079759</v>
      </c>
      <c r="D350" s="70">
        <v>70983119</v>
      </c>
      <c r="E350" s="72" t="s">
        <v>697</v>
      </c>
      <c r="F350" s="73"/>
      <c r="G350" s="72"/>
      <c r="H350" s="74"/>
      <c r="I350" s="701">
        <f t="shared" ref="I350:P350" si="526">SUM(I345:I349)</f>
        <v>7797288</v>
      </c>
      <c r="J350" s="75">
        <f t="shared" si="526"/>
        <v>5673994</v>
      </c>
      <c r="K350" s="75">
        <f t="shared" si="526"/>
        <v>1917810</v>
      </c>
      <c r="L350" s="75">
        <f t="shared" si="526"/>
        <v>56741</v>
      </c>
      <c r="M350" s="75">
        <f t="shared" si="526"/>
        <v>148743</v>
      </c>
      <c r="N350" s="76">
        <f t="shared" si="526"/>
        <v>10.9109</v>
      </c>
      <c r="O350" s="76">
        <f t="shared" si="526"/>
        <v>8.0409000000000006</v>
      </c>
      <c r="P350" s="77">
        <f t="shared" si="526"/>
        <v>2.87</v>
      </c>
      <c r="Q350" s="724">
        <f t="shared" ref="Q350:BA350" si="527">SUM(Q345:Q349)</f>
        <v>-52000</v>
      </c>
      <c r="R350" s="724">
        <f t="shared" si="527"/>
        <v>1228127</v>
      </c>
      <c r="S350" s="75">
        <f t="shared" si="527"/>
        <v>0</v>
      </c>
      <c r="T350" s="75">
        <f t="shared" si="527"/>
        <v>0</v>
      </c>
      <c r="U350" s="75">
        <f t="shared" si="527"/>
        <v>0</v>
      </c>
      <c r="V350" s="75">
        <f t="shared" si="527"/>
        <v>1176127</v>
      </c>
      <c r="W350" s="75">
        <f t="shared" si="527"/>
        <v>52000</v>
      </c>
      <c r="X350" s="75">
        <f t="shared" si="527"/>
        <v>0</v>
      </c>
      <c r="Y350" s="75">
        <f t="shared" si="527"/>
        <v>0</v>
      </c>
      <c r="Z350" s="75">
        <f t="shared" si="527"/>
        <v>52000</v>
      </c>
      <c r="AA350" s="75">
        <f t="shared" si="527"/>
        <v>1228127</v>
      </c>
      <c r="AB350" s="75">
        <f t="shared" si="527"/>
        <v>415107</v>
      </c>
      <c r="AC350" s="75">
        <f t="shared" si="527"/>
        <v>11761</v>
      </c>
      <c r="AD350" s="75">
        <f t="shared" si="527"/>
        <v>500</v>
      </c>
      <c r="AE350" s="75">
        <f t="shared" si="527"/>
        <v>0</v>
      </c>
      <c r="AF350" s="75">
        <f t="shared" si="527"/>
        <v>500</v>
      </c>
      <c r="AG350" s="75">
        <f t="shared" si="527"/>
        <v>1655495</v>
      </c>
      <c r="AH350" s="76">
        <f t="shared" si="527"/>
        <v>0</v>
      </c>
      <c r="AI350" s="76">
        <f t="shared" si="527"/>
        <v>-0.12</v>
      </c>
      <c r="AJ350" s="76">
        <f t="shared" si="527"/>
        <v>3.48</v>
      </c>
      <c r="AK350" s="76">
        <f t="shared" si="527"/>
        <v>0</v>
      </c>
      <c r="AL350" s="76">
        <f t="shared" si="527"/>
        <v>0</v>
      </c>
      <c r="AM350" s="76">
        <f t="shared" si="527"/>
        <v>0</v>
      </c>
      <c r="AN350" s="76">
        <f t="shared" si="527"/>
        <v>0</v>
      </c>
      <c r="AO350" s="76">
        <f t="shared" si="527"/>
        <v>0</v>
      </c>
      <c r="AP350" s="76">
        <f t="shared" si="527"/>
        <v>3.48</v>
      </c>
      <c r="AQ350" s="76">
        <f t="shared" si="527"/>
        <v>-0.12</v>
      </c>
      <c r="AR350" s="720">
        <f t="shared" si="527"/>
        <v>3.36</v>
      </c>
      <c r="AS350" s="701">
        <f t="shared" si="527"/>
        <v>9452783</v>
      </c>
      <c r="AT350" s="75">
        <f t="shared" si="527"/>
        <v>6850121</v>
      </c>
      <c r="AU350" s="75">
        <f t="shared" si="527"/>
        <v>52000</v>
      </c>
      <c r="AV350" s="75">
        <f t="shared" si="527"/>
        <v>2332917</v>
      </c>
      <c r="AW350" s="75">
        <f t="shared" si="527"/>
        <v>68502</v>
      </c>
      <c r="AX350" s="75">
        <f t="shared" si="527"/>
        <v>149243</v>
      </c>
      <c r="AY350" s="76">
        <f t="shared" si="527"/>
        <v>14.270900000000001</v>
      </c>
      <c r="AZ350" s="76">
        <f t="shared" si="527"/>
        <v>11.520899999999999</v>
      </c>
      <c r="BA350" s="77">
        <f t="shared" si="527"/>
        <v>2.75</v>
      </c>
    </row>
    <row r="351" spans="1:53" ht="14.1" customHeight="1" x14ac:dyDescent="0.2">
      <c r="A351" s="67">
        <v>71</v>
      </c>
      <c r="B351" s="64">
        <v>2492</v>
      </c>
      <c r="C351" s="65">
        <v>600079767</v>
      </c>
      <c r="D351" s="64">
        <v>70983011</v>
      </c>
      <c r="E351" s="66" t="s">
        <v>785</v>
      </c>
      <c r="F351" s="67">
        <v>3113</v>
      </c>
      <c r="G351" s="66" t="s">
        <v>310</v>
      </c>
      <c r="H351" s="68" t="s">
        <v>277</v>
      </c>
      <c r="I351" s="462">
        <v>23720156</v>
      </c>
      <c r="J351" s="16">
        <v>17291310</v>
      </c>
      <c r="K351" s="457">
        <v>5844463</v>
      </c>
      <c r="L351" s="457">
        <v>172913</v>
      </c>
      <c r="M351" s="16">
        <v>411470</v>
      </c>
      <c r="N351" s="13">
        <v>29.8459</v>
      </c>
      <c r="O351" s="13">
        <v>24.0459</v>
      </c>
      <c r="P351" s="17">
        <v>5.8000000000000007</v>
      </c>
      <c r="Q351" s="469">
        <f t="shared" si="494"/>
        <v>0</v>
      </c>
      <c r="R351" s="469">
        <v>0</v>
      </c>
      <c r="S351" s="460">
        <v>0</v>
      </c>
      <c r="T351" s="460">
        <v>0</v>
      </c>
      <c r="U351" s="460">
        <v>0</v>
      </c>
      <c r="V351" s="460">
        <f t="shared" ref="V351:V356" si="528">SUM(Q351:U351)</f>
        <v>0</v>
      </c>
      <c r="W351" s="460">
        <v>0</v>
      </c>
      <c r="X351" s="460">
        <v>0</v>
      </c>
      <c r="Y351" s="460">
        <v>0</v>
      </c>
      <c r="Z351" s="460">
        <f t="shared" ref="Z351:Z356" si="529">SUM(W351:Y351)</f>
        <v>0</v>
      </c>
      <c r="AA351" s="460">
        <f t="shared" ref="AA351:AA356" si="530">V351+Z351</f>
        <v>0</v>
      </c>
      <c r="AB351" s="69">
        <f t="shared" ref="AB351:AB356" si="531">ROUND((V351+W351+X351)*33.8%,0)</f>
        <v>0</v>
      </c>
      <c r="AC351" s="69">
        <f t="shared" ref="AC351:AC356" si="532">ROUND(V351*1%,0)</f>
        <v>0</v>
      </c>
      <c r="AD351" s="460">
        <v>0</v>
      </c>
      <c r="AE351" s="460">
        <v>0</v>
      </c>
      <c r="AF351" s="460">
        <f t="shared" ref="AF351:AF356" si="533">SUM(AD351:AE351)</f>
        <v>0</v>
      </c>
      <c r="AG351" s="460">
        <f t="shared" ref="AG351:AG356" si="534">AA351+AB351+AC351+AF351</f>
        <v>0</v>
      </c>
      <c r="AH351" s="461">
        <v>0</v>
      </c>
      <c r="AI351" s="461">
        <v>0</v>
      </c>
      <c r="AJ351" s="461">
        <v>0</v>
      </c>
      <c r="AK351" s="461">
        <v>0</v>
      </c>
      <c r="AL351" s="461">
        <v>0</v>
      </c>
      <c r="AM351" s="461">
        <v>0</v>
      </c>
      <c r="AN351" s="461">
        <v>0</v>
      </c>
      <c r="AO351" s="461">
        <v>0</v>
      </c>
      <c r="AP351" s="461">
        <f t="shared" si="499"/>
        <v>0</v>
      </c>
      <c r="AQ351" s="461">
        <f t="shared" si="500"/>
        <v>0</v>
      </c>
      <c r="AR351" s="737">
        <f t="shared" si="501"/>
        <v>0</v>
      </c>
      <c r="AS351" s="470">
        <f t="shared" si="502"/>
        <v>23720156</v>
      </c>
      <c r="AT351" s="460">
        <f t="shared" si="503"/>
        <v>17291310</v>
      </c>
      <c r="AU351" s="460">
        <f t="shared" si="504"/>
        <v>0</v>
      </c>
      <c r="AV351" s="460">
        <f t="shared" si="505"/>
        <v>5844463</v>
      </c>
      <c r="AW351" s="460">
        <f t="shared" si="506"/>
        <v>172913</v>
      </c>
      <c r="AX351" s="460">
        <f t="shared" si="507"/>
        <v>411470</v>
      </c>
      <c r="AY351" s="461">
        <f t="shared" si="508"/>
        <v>29.8459</v>
      </c>
      <c r="AZ351" s="461">
        <f t="shared" si="509"/>
        <v>24.0459</v>
      </c>
      <c r="BA351" s="463">
        <f t="shared" si="510"/>
        <v>5.8000000000000007</v>
      </c>
    </row>
    <row r="352" spans="1:53" ht="14.1" customHeight="1" x14ac:dyDescent="0.2">
      <c r="A352" s="67">
        <v>71</v>
      </c>
      <c r="B352" s="64">
        <v>2492</v>
      </c>
      <c r="C352" s="65">
        <v>600079767</v>
      </c>
      <c r="D352" s="64">
        <v>70983011</v>
      </c>
      <c r="E352" s="66" t="s">
        <v>785</v>
      </c>
      <c r="F352" s="67">
        <v>3113</v>
      </c>
      <c r="G352" s="78" t="s">
        <v>308</v>
      </c>
      <c r="H352" s="68" t="s">
        <v>278</v>
      </c>
      <c r="I352" s="462">
        <v>0</v>
      </c>
      <c r="J352" s="457">
        <v>0</v>
      </c>
      <c r="K352" s="457">
        <v>0</v>
      </c>
      <c r="L352" s="457">
        <v>0</v>
      </c>
      <c r="M352" s="457">
        <v>0</v>
      </c>
      <c r="N352" s="458">
        <v>0</v>
      </c>
      <c r="O352" s="459">
        <v>0</v>
      </c>
      <c r="P352" s="646">
        <v>0</v>
      </c>
      <c r="Q352" s="469">
        <f t="shared" si="494"/>
        <v>0</v>
      </c>
      <c r="R352" s="469">
        <v>1564940</v>
      </c>
      <c r="S352" s="460">
        <v>0</v>
      </c>
      <c r="T352" s="460">
        <v>0</v>
      </c>
      <c r="U352" s="460">
        <v>0</v>
      </c>
      <c r="V352" s="460">
        <f t="shared" si="528"/>
        <v>1564940</v>
      </c>
      <c r="W352" s="460">
        <v>0</v>
      </c>
      <c r="X352" s="460">
        <v>0</v>
      </c>
      <c r="Y352" s="460">
        <v>0</v>
      </c>
      <c r="Z352" s="460">
        <f t="shared" si="529"/>
        <v>0</v>
      </c>
      <c r="AA352" s="460">
        <f t="shared" si="530"/>
        <v>1564940</v>
      </c>
      <c r="AB352" s="69">
        <f t="shared" si="531"/>
        <v>528950</v>
      </c>
      <c r="AC352" s="69">
        <f t="shared" si="532"/>
        <v>15649</v>
      </c>
      <c r="AD352" s="460">
        <v>0</v>
      </c>
      <c r="AE352" s="460">
        <v>0</v>
      </c>
      <c r="AF352" s="460">
        <f t="shared" si="533"/>
        <v>0</v>
      </c>
      <c r="AG352" s="460">
        <f t="shared" si="534"/>
        <v>2109539</v>
      </c>
      <c r="AH352" s="461">
        <v>0</v>
      </c>
      <c r="AI352" s="461">
        <v>0</v>
      </c>
      <c r="AJ352" s="461">
        <v>4.45</v>
      </c>
      <c r="AK352" s="461">
        <v>0</v>
      </c>
      <c r="AL352" s="461">
        <v>0</v>
      </c>
      <c r="AM352" s="461">
        <v>0</v>
      </c>
      <c r="AN352" s="461">
        <v>0</v>
      </c>
      <c r="AO352" s="461">
        <v>0</v>
      </c>
      <c r="AP352" s="461">
        <f t="shared" si="499"/>
        <v>4.45</v>
      </c>
      <c r="AQ352" s="461">
        <f t="shared" si="500"/>
        <v>0</v>
      </c>
      <c r="AR352" s="737">
        <f t="shared" si="501"/>
        <v>4.45</v>
      </c>
      <c r="AS352" s="470">
        <f t="shared" si="502"/>
        <v>2109539</v>
      </c>
      <c r="AT352" s="460">
        <f t="shared" si="503"/>
        <v>1564940</v>
      </c>
      <c r="AU352" s="460">
        <f t="shared" si="504"/>
        <v>0</v>
      </c>
      <c r="AV352" s="460">
        <f t="shared" si="505"/>
        <v>528950</v>
      </c>
      <c r="AW352" s="460">
        <f t="shared" si="506"/>
        <v>15649</v>
      </c>
      <c r="AX352" s="460">
        <f t="shared" si="507"/>
        <v>0</v>
      </c>
      <c r="AY352" s="461">
        <f t="shared" si="508"/>
        <v>4.45</v>
      </c>
      <c r="AZ352" s="461">
        <f t="shared" si="509"/>
        <v>4.45</v>
      </c>
      <c r="BA352" s="463">
        <f t="shared" si="510"/>
        <v>0</v>
      </c>
    </row>
    <row r="353" spans="1:53" ht="14.1" customHeight="1" x14ac:dyDescent="0.2">
      <c r="A353" s="67">
        <v>71</v>
      </c>
      <c r="B353" s="64">
        <v>2492</v>
      </c>
      <c r="C353" s="65">
        <v>600079767</v>
      </c>
      <c r="D353" s="64">
        <v>70983011</v>
      </c>
      <c r="E353" s="66" t="s">
        <v>785</v>
      </c>
      <c r="F353" s="67">
        <v>3141</v>
      </c>
      <c r="G353" s="66" t="s">
        <v>311</v>
      </c>
      <c r="H353" s="68" t="s">
        <v>278</v>
      </c>
      <c r="I353" s="462">
        <v>4048138</v>
      </c>
      <c r="J353" s="728">
        <v>2978886</v>
      </c>
      <c r="K353" s="457">
        <v>1006863</v>
      </c>
      <c r="L353" s="457">
        <v>29789</v>
      </c>
      <c r="M353" s="728">
        <v>32600</v>
      </c>
      <c r="N353" s="458">
        <v>9.57</v>
      </c>
      <c r="O353" s="459">
        <v>0</v>
      </c>
      <c r="P353" s="646">
        <v>9.57</v>
      </c>
      <c r="Q353" s="469">
        <f t="shared" si="494"/>
        <v>-2925</v>
      </c>
      <c r="R353" s="469">
        <v>0</v>
      </c>
      <c r="S353" s="460">
        <v>0</v>
      </c>
      <c r="T353" s="460">
        <v>0</v>
      </c>
      <c r="U353" s="460">
        <v>0</v>
      </c>
      <c r="V353" s="460">
        <f t="shared" si="528"/>
        <v>-2925</v>
      </c>
      <c r="W353" s="460">
        <v>2925</v>
      </c>
      <c r="X353" s="460">
        <v>0</v>
      </c>
      <c r="Y353" s="460">
        <v>0</v>
      </c>
      <c r="Z353" s="460">
        <f t="shared" si="529"/>
        <v>2925</v>
      </c>
      <c r="AA353" s="460">
        <f t="shared" si="530"/>
        <v>0</v>
      </c>
      <c r="AB353" s="69">
        <f t="shared" si="531"/>
        <v>0</v>
      </c>
      <c r="AC353" s="69">
        <f t="shared" si="532"/>
        <v>-29</v>
      </c>
      <c r="AD353" s="460">
        <v>0</v>
      </c>
      <c r="AE353" s="460">
        <v>0</v>
      </c>
      <c r="AF353" s="460">
        <f t="shared" si="533"/>
        <v>0</v>
      </c>
      <c r="AG353" s="460">
        <f t="shared" si="534"/>
        <v>-29</v>
      </c>
      <c r="AH353" s="461">
        <v>0</v>
      </c>
      <c r="AI353" s="461">
        <v>-0.01</v>
      </c>
      <c r="AJ353" s="461">
        <v>0</v>
      </c>
      <c r="AK353" s="461">
        <v>0</v>
      </c>
      <c r="AL353" s="461">
        <v>0</v>
      </c>
      <c r="AM353" s="461">
        <v>0</v>
      </c>
      <c r="AN353" s="461">
        <v>0</v>
      </c>
      <c r="AO353" s="461">
        <v>0</v>
      </c>
      <c r="AP353" s="461">
        <f t="shared" si="499"/>
        <v>0</v>
      </c>
      <c r="AQ353" s="461">
        <f t="shared" si="500"/>
        <v>-0.01</v>
      </c>
      <c r="AR353" s="737">
        <f t="shared" si="501"/>
        <v>-0.01</v>
      </c>
      <c r="AS353" s="470">
        <f t="shared" si="502"/>
        <v>4048109</v>
      </c>
      <c r="AT353" s="460">
        <f t="shared" si="503"/>
        <v>2975961</v>
      </c>
      <c r="AU353" s="460">
        <f t="shared" si="504"/>
        <v>2925</v>
      </c>
      <c r="AV353" s="460">
        <f t="shared" si="505"/>
        <v>1006863</v>
      </c>
      <c r="AW353" s="460">
        <f t="shared" si="506"/>
        <v>29760</v>
      </c>
      <c r="AX353" s="460">
        <f t="shared" si="507"/>
        <v>32600</v>
      </c>
      <c r="AY353" s="461">
        <f t="shared" si="508"/>
        <v>9.56</v>
      </c>
      <c r="AZ353" s="461">
        <f t="shared" si="509"/>
        <v>0</v>
      </c>
      <c r="BA353" s="463">
        <f t="shared" si="510"/>
        <v>9.56</v>
      </c>
    </row>
    <row r="354" spans="1:53" ht="14.1" customHeight="1" x14ac:dyDescent="0.2">
      <c r="A354" s="67">
        <v>71</v>
      </c>
      <c r="B354" s="64">
        <v>2492</v>
      </c>
      <c r="C354" s="65">
        <v>600079767</v>
      </c>
      <c r="D354" s="64">
        <v>70983011</v>
      </c>
      <c r="E354" s="66" t="s">
        <v>785</v>
      </c>
      <c r="F354" s="67">
        <v>3143</v>
      </c>
      <c r="G354" s="78" t="s">
        <v>616</v>
      </c>
      <c r="H354" s="68" t="s">
        <v>277</v>
      </c>
      <c r="I354" s="462">
        <v>1644758</v>
      </c>
      <c r="J354" s="16">
        <v>1220147</v>
      </c>
      <c r="K354" s="457">
        <v>412410</v>
      </c>
      <c r="L354" s="457">
        <v>12201</v>
      </c>
      <c r="M354" s="16">
        <v>0</v>
      </c>
      <c r="N354" s="458">
        <v>2.5358000000000001</v>
      </c>
      <c r="O354" s="13">
        <v>2.5358000000000001</v>
      </c>
      <c r="P354" s="17">
        <v>0</v>
      </c>
      <c r="Q354" s="469">
        <f t="shared" si="494"/>
        <v>0</v>
      </c>
      <c r="R354" s="469">
        <v>0</v>
      </c>
      <c r="S354" s="460">
        <v>0</v>
      </c>
      <c r="T354" s="460">
        <v>0</v>
      </c>
      <c r="U354" s="460">
        <v>0</v>
      </c>
      <c r="V354" s="460">
        <f t="shared" si="528"/>
        <v>0</v>
      </c>
      <c r="W354" s="460">
        <v>0</v>
      </c>
      <c r="X354" s="460">
        <v>0</v>
      </c>
      <c r="Y354" s="460">
        <v>0</v>
      </c>
      <c r="Z354" s="460">
        <f t="shared" si="529"/>
        <v>0</v>
      </c>
      <c r="AA354" s="460">
        <f t="shared" si="530"/>
        <v>0</v>
      </c>
      <c r="AB354" s="69">
        <f t="shared" si="531"/>
        <v>0</v>
      </c>
      <c r="AC354" s="69">
        <f t="shared" si="532"/>
        <v>0</v>
      </c>
      <c r="AD354" s="460">
        <v>0</v>
      </c>
      <c r="AE354" s="460">
        <v>0</v>
      </c>
      <c r="AF354" s="460">
        <f t="shared" si="533"/>
        <v>0</v>
      </c>
      <c r="AG354" s="460">
        <f t="shared" si="534"/>
        <v>0</v>
      </c>
      <c r="AH354" s="461">
        <v>0</v>
      </c>
      <c r="AI354" s="461">
        <v>0</v>
      </c>
      <c r="AJ354" s="461">
        <v>0</v>
      </c>
      <c r="AK354" s="461">
        <v>0</v>
      </c>
      <c r="AL354" s="461">
        <v>0</v>
      </c>
      <c r="AM354" s="461">
        <v>0</v>
      </c>
      <c r="AN354" s="461">
        <v>0</v>
      </c>
      <c r="AO354" s="461">
        <v>0</v>
      </c>
      <c r="AP354" s="461">
        <f t="shared" si="499"/>
        <v>0</v>
      </c>
      <c r="AQ354" s="461">
        <f t="shared" si="500"/>
        <v>0</v>
      </c>
      <c r="AR354" s="737">
        <f t="shared" si="501"/>
        <v>0</v>
      </c>
      <c r="AS354" s="470">
        <f t="shared" si="502"/>
        <v>1644758</v>
      </c>
      <c r="AT354" s="460">
        <f t="shared" si="503"/>
        <v>1220147</v>
      </c>
      <c r="AU354" s="460">
        <f t="shared" si="504"/>
        <v>0</v>
      </c>
      <c r="AV354" s="460">
        <f t="shared" si="505"/>
        <v>412410</v>
      </c>
      <c r="AW354" s="460">
        <f t="shared" si="506"/>
        <v>12201</v>
      </c>
      <c r="AX354" s="460">
        <f t="shared" si="507"/>
        <v>0</v>
      </c>
      <c r="AY354" s="461">
        <f t="shared" si="508"/>
        <v>2.5358000000000001</v>
      </c>
      <c r="AZ354" s="461">
        <f t="shared" si="509"/>
        <v>2.5358000000000001</v>
      </c>
      <c r="BA354" s="463">
        <f t="shared" si="510"/>
        <v>0</v>
      </c>
    </row>
    <row r="355" spans="1:53" ht="14.1" customHeight="1" x14ac:dyDescent="0.2">
      <c r="A355" s="67">
        <v>71</v>
      </c>
      <c r="B355" s="64">
        <v>2492</v>
      </c>
      <c r="C355" s="65">
        <v>600079767</v>
      </c>
      <c r="D355" s="64">
        <v>70983011</v>
      </c>
      <c r="E355" s="66" t="s">
        <v>785</v>
      </c>
      <c r="F355" s="67">
        <v>3143</v>
      </c>
      <c r="G355" s="78" t="s">
        <v>617</v>
      </c>
      <c r="H355" s="68" t="s">
        <v>278</v>
      </c>
      <c r="I355" s="462">
        <v>49844</v>
      </c>
      <c r="J355" s="673">
        <v>35614</v>
      </c>
      <c r="K355" s="457">
        <v>12038</v>
      </c>
      <c r="L355" s="457">
        <v>356</v>
      </c>
      <c r="M355" s="673">
        <v>1836</v>
      </c>
      <c r="N355" s="458">
        <v>0.14000000000000001</v>
      </c>
      <c r="O355" s="459">
        <v>0</v>
      </c>
      <c r="P355" s="717">
        <v>0.14000000000000001</v>
      </c>
      <c r="Q355" s="469">
        <f t="shared" si="494"/>
        <v>0</v>
      </c>
      <c r="R355" s="469">
        <v>0</v>
      </c>
      <c r="S355" s="460">
        <v>0</v>
      </c>
      <c r="T355" s="460">
        <v>0</v>
      </c>
      <c r="U355" s="460">
        <v>0</v>
      </c>
      <c r="V355" s="460">
        <f t="shared" si="528"/>
        <v>0</v>
      </c>
      <c r="W355" s="460">
        <v>0</v>
      </c>
      <c r="X355" s="460">
        <v>0</v>
      </c>
      <c r="Y355" s="460">
        <v>0</v>
      </c>
      <c r="Z355" s="460">
        <f t="shared" si="529"/>
        <v>0</v>
      </c>
      <c r="AA355" s="460">
        <f t="shared" si="530"/>
        <v>0</v>
      </c>
      <c r="AB355" s="69">
        <f t="shared" si="531"/>
        <v>0</v>
      </c>
      <c r="AC355" s="69">
        <f t="shared" si="532"/>
        <v>0</v>
      </c>
      <c r="AD355" s="460">
        <v>0</v>
      </c>
      <c r="AE355" s="460">
        <v>0</v>
      </c>
      <c r="AF355" s="460">
        <f t="shared" si="533"/>
        <v>0</v>
      </c>
      <c r="AG355" s="460">
        <f t="shared" si="534"/>
        <v>0</v>
      </c>
      <c r="AH355" s="461">
        <v>0</v>
      </c>
      <c r="AI355" s="461">
        <v>0</v>
      </c>
      <c r="AJ355" s="461">
        <v>0</v>
      </c>
      <c r="AK355" s="461">
        <v>0</v>
      </c>
      <c r="AL355" s="461">
        <v>0</v>
      </c>
      <c r="AM355" s="461">
        <v>0</v>
      </c>
      <c r="AN355" s="461">
        <v>0</v>
      </c>
      <c r="AO355" s="461">
        <v>0</v>
      </c>
      <c r="AP355" s="461">
        <f t="shared" si="499"/>
        <v>0</v>
      </c>
      <c r="AQ355" s="461">
        <f t="shared" si="500"/>
        <v>0</v>
      </c>
      <c r="AR355" s="737">
        <f t="shared" si="501"/>
        <v>0</v>
      </c>
      <c r="AS355" s="470">
        <f t="shared" si="502"/>
        <v>49844</v>
      </c>
      <c r="AT355" s="460">
        <f t="shared" si="503"/>
        <v>35614</v>
      </c>
      <c r="AU355" s="460">
        <f t="shared" si="504"/>
        <v>0</v>
      </c>
      <c r="AV355" s="460">
        <f t="shared" si="505"/>
        <v>12038</v>
      </c>
      <c r="AW355" s="460">
        <f t="shared" si="506"/>
        <v>356</v>
      </c>
      <c r="AX355" s="460">
        <f t="shared" si="507"/>
        <v>1836</v>
      </c>
      <c r="AY355" s="461">
        <f t="shared" si="508"/>
        <v>0.14000000000000001</v>
      </c>
      <c r="AZ355" s="461">
        <f t="shared" si="509"/>
        <v>0</v>
      </c>
      <c r="BA355" s="463">
        <f t="shared" si="510"/>
        <v>0.14000000000000001</v>
      </c>
    </row>
    <row r="356" spans="1:53" ht="14.1" customHeight="1" x14ac:dyDescent="0.2">
      <c r="A356" s="67">
        <v>71</v>
      </c>
      <c r="B356" s="64">
        <v>2492</v>
      </c>
      <c r="C356" s="65">
        <v>600079767</v>
      </c>
      <c r="D356" s="64">
        <v>70983011</v>
      </c>
      <c r="E356" s="66" t="s">
        <v>786</v>
      </c>
      <c r="F356" s="67">
        <v>3231</v>
      </c>
      <c r="G356" s="78" t="s">
        <v>312</v>
      </c>
      <c r="H356" s="68" t="s">
        <v>277</v>
      </c>
      <c r="I356" s="462">
        <v>2967846</v>
      </c>
      <c r="J356" s="16">
        <v>2196089</v>
      </c>
      <c r="K356" s="457">
        <v>742278</v>
      </c>
      <c r="L356" s="457">
        <v>21961</v>
      </c>
      <c r="M356" s="16">
        <v>7518</v>
      </c>
      <c r="N356" s="13">
        <v>3.8500999999999999</v>
      </c>
      <c r="O356" s="13">
        <v>3.4977</v>
      </c>
      <c r="P356" s="17">
        <v>0.35239999999999999</v>
      </c>
      <c r="Q356" s="469">
        <f t="shared" si="494"/>
        <v>0</v>
      </c>
      <c r="R356" s="469">
        <v>0</v>
      </c>
      <c r="S356" s="460">
        <v>0</v>
      </c>
      <c r="T356" s="460">
        <v>0</v>
      </c>
      <c r="U356" s="460">
        <v>0</v>
      </c>
      <c r="V356" s="460">
        <f t="shared" si="528"/>
        <v>0</v>
      </c>
      <c r="W356" s="460">
        <v>0</v>
      </c>
      <c r="X356" s="460">
        <v>0</v>
      </c>
      <c r="Y356" s="460">
        <v>0</v>
      </c>
      <c r="Z356" s="460">
        <f t="shared" si="529"/>
        <v>0</v>
      </c>
      <c r="AA356" s="460">
        <f t="shared" si="530"/>
        <v>0</v>
      </c>
      <c r="AB356" s="69">
        <f t="shared" si="531"/>
        <v>0</v>
      </c>
      <c r="AC356" s="69">
        <f t="shared" si="532"/>
        <v>0</v>
      </c>
      <c r="AD356" s="460">
        <v>0</v>
      </c>
      <c r="AE356" s="460">
        <v>0</v>
      </c>
      <c r="AF356" s="460">
        <f t="shared" si="533"/>
        <v>0</v>
      </c>
      <c r="AG356" s="460">
        <f t="shared" si="534"/>
        <v>0</v>
      </c>
      <c r="AH356" s="461">
        <v>0</v>
      </c>
      <c r="AI356" s="461">
        <v>0</v>
      </c>
      <c r="AJ356" s="461">
        <v>0</v>
      </c>
      <c r="AK356" s="461">
        <v>0</v>
      </c>
      <c r="AL356" s="461">
        <v>0</v>
      </c>
      <c r="AM356" s="461">
        <v>0</v>
      </c>
      <c r="AN356" s="461">
        <v>0</v>
      </c>
      <c r="AO356" s="461">
        <v>0</v>
      </c>
      <c r="AP356" s="461">
        <f t="shared" si="499"/>
        <v>0</v>
      </c>
      <c r="AQ356" s="461">
        <f t="shared" si="500"/>
        <v>0</v>
      </c>
      <c r="AR356" s="737">
        <f t="shared" si="501"/>
        <v>0</v>
      </c>
      <c r="AS356" s="470">
        <f t="shared" si="502"/>
        <v>2967846</v>
      </c>
      <c r="AT356" s="460">
        <f t="shared" si="503"/>
        <v>2196089</v>
      </c>
      <c r="AU356" s="460">
        <f t="shared" si="504"/>
        <v>0</v>
      </c>
      <c r="AV356" s="460">
        <f t="shared" si="505"/>
        <v>742278</v>
      </c>
      <c r="AW356" s="460">
        <f t="shared" si="506"/>
        <v>21961</v>
      </c>
      <c r="AX356" s="460">
        <f t="shared" si="507"/>
        <v>7518</v>
      </c>
      <c r="AY356" s="461">
        <f t="shared" si="508"/>
        <v>3.8500999999999999</v>
      </c>
      <c r="AZ356" s="461">
        <f t="shared" si="509"/>
        <v>3.4977</v>
      </c>
      <c r="BA356" s="463">
        <f t="shared" si="510"/>
        <v>0.35239999999999999</v>
      </c>
    </row>
    <row r="357" spans="1:53" ht="14.1" customHeight="1" x14ac:dyDescent="0.2">
      <c r="A357" s="73">
        <v>71</v>
      </c>
      <c r="B357" s="70">
        <v>2492</v>
      </c>
      <c r="C357" s="71">
        <v>600079767</v>
      </c>
      <c r="D357" s="70">
        <v>70983011</v>
      </c>
      <c r="E357" s="72" t="s">
        <v>787</v>
      </c>
      <c r="F357" s="73"/>
      <c r="G357" s="72"/>
      <c r="H357" s="74"/>
      <c r="I357" s="701">
        <f t="shared" ref="I357:P357" si="535">SUM(I351:I356)</f>
        <v>32430742</v>
      </c>
      <c r="J357" s="75">
        <f t="shared" si="535"/>
        <v>23722046</v>
      </c>
      <c r="K357" s="75">
        <f t="shared" si="535"/>
        <v>8018052</v>
      </c>
      <c r="L357" s="75">
        <f t="shared" si="535"/>
        <v>237220</v>
      </c>
      <c r="M357" s="75">
        <f t="shared" si="535"/>
        <v>453424</v>
      </c>
      <c r="N357" s="76">
        <f t="shared" si="535"/>
        <v>45.941800000000001</v>
      </c>
      <c r="O357" s="76">
        <f t="shared" si="535"/>
        <v>30.0794</v>
      </c>
      <c r="P357" s="77">
        <f t="shared" si="535"/>
        <v>15.862400000000001</v>
      </c>
      <c r="Q357" s="724">
        <f t="shared" ref="Q357:BA357" si="536">SUM(Q351:Q356)</f>
        <v>-2925</v>
      </c>
      <c r="R357" s="724">
        <f t="shared" si="536"/>
        <v>1564940</v>
      </c>
      <c r="S357" s="75">
        <f t="shared" si="536"/>
        <v>0</v>
      </c>
      <c r="T357" s="75">
        <f t="shared" si="536"/>
        <v>0</v>
      </c>
      <c r="U357" s="75">
        <f t="shared" si="536"/>
        <v>0</v>
      </c>
      <c r="V357" s="75">
        <f t="shared" si="536"/>
        <v>1562015</v>
      </c>
      <c r="W357" s="75">
        <f t="shared" si="536"/>
        <v>2925</v>
      </c>
      <c r="X357" s="75">
        <f t="shared" si="536"/>
        <v>0</v>
      </c>
      <c r="Y357" s="75">
        <f t="shared" si="536"/>
        <v>0</v>
      </c>
      <c r="Z357" s="75">
        <f t="shared" si="536"/>
        <v>2925</v>
      </c>
      <c r="AA357" s="75">
        <f t="shared" si="536"/>
        <v>1564940</v>
      </c>
      <c r="AB357" s="75">
        <f t="shared" si="536"/>
        <v>528950</v>
      </c>
      <c r="AC357" s="75">
        <f t="shared" si="536"/>
        <v>15620</v>
      </c>
      <c r="AD357" s="75">
        <f t="shared" si="536"/>
        <v>0</v>
      </c>
      <c r="AE357" s="75">
        <f t="shared" si="536"/>
        <v>0</v>
      </c>
      <c r="AF357" s="75">
        <f t="shared" si="536"/>
        <v>0</v>
      </c>
      <c r="AG357" s="75">
        <f t="shared" si="536"/>
        <v>2109510</v>
      </c>
      <c r="AH357" s="76">
        <f t="shared" si="536"/>
        <v>0</v>
      </c>
      <c r="AI357" s="76">
        <f t="shared" si="536"/>
        <v>-0.01</v>
      </c>
      <c r="AJ357" s="76">
        <f t="shared" si="536"/>
        <v>4.45</v>
      </c>
      <c r="AK357" s="76">
        <f t="shared" si="536"/>
        <v>0</v>
      </c>
      <c r="AL357" s="76">
        <f t="shared" si="536"/>
        <v>0</v>
      </c>
      <c r="AM357" s="76">
        <f t="shared" si="536"/>
        <v>0</v>
      </c>
      <c r="AN357" s="76">
        <f t="shared" si="536"/>
        <v>0</v>
      </c>
      <c r="AO357" s="76">
        <f t="shared" si="536"/>
        <v>0</v>
      </c>
      <c r="AP357" s="76">
        <f t="shared" si="536"/>
        <v>4.45</v>
      </c>
      <c r="AQ357" s="76">
        <f t="shared" si="536"/>
        <v>-0.01</v>
      </c>
      <c r="AR357" s="720">
        <f t="shared" si="536"/>
        <v>4.4400000000000004</v>
      </c>
      <c r="AS357" s="701">
        <f t="shared" si="536"/>
        <v>34540252</v>
      </c>
      <c r="AT357" s="75">
        <f t="shared" si="536"/>
        <v>25284061</v>
      </c>
      <c r="AU357" s="75">
        <f t="shared" si="536"/>
        <v>2925</v>
      </c>
      <c r="AV357" s="75">
        <f t="shared" si="536"/>
        <v>8547002</v>
      </c>
      <c r="AW357" s="75">
        <f t="shared" si="536"/>
        <v>252840</v>
      </c>
      <c r="AX357" s="75">
        <f t="shared" si="536"/>
        <v>453424</v>
      </c>
      <c r="AY357" s="76">
        <f t="shared" si="536"/>
        <v>50.381800000000005</v>
      </c>
      <c r="AZ357" s="76">
        <f t="shared" si="536"/>
        <v>34.529400000000003</v>
      </c>
      <c r="BA357" s="77">
        <f t="shared" si="536"/>
        <v>15.852400000000001</v>
      </c>
    </row>
    <row r="358" spans="1:53" ht="14.1" customHeight="1" x14ac:dyDescent="0.2">
      <c r="A358" s="67">
        <v>72</v>
      </c>
      <c r="B358" s="64">
        <v>2491</v>
      </c>
      <c r="C358" s="65">
        <v>600079775</v>
      </c>
      <c r="D358" s="64">
        <v>70983003</v>
      </c>
      <c r="E358" s="66" t="s">
        <v>698</v>
      </c>
      <c r="F358" s="67">
        <v>3113</v>
      </c>
      <c r="G358" s="66" t="s">
        <v>310</v>
      </c>
      <c r="H358" s="68" t="s">
        <v>277</v>
      </c>
      <c r="I358" s="462">
        <v>27791493</v>
      </c>
      <c r="J358" s="16">
        <v>20280024</v>
      </c>
      <c r="K358" s="457">
        <v>6854648</v>
      </c>
      <c r="L358" s="457">
        <v>202801</v>
      </c>
      <c r="M358" s="16">
        <v>454020</v>
      </c>
      <c r="N358" s="13">
        <v>34.478999999999999</v>
      </c>
      <c r="O358" s="13">
        <v>28.408999999999999</v>
      </c>
      <c r="P358" s="17">
        <v>6.07</v>
      </c>
      <c r="Q358" s="469">
        <f t="shared" si="494"/>
        <v>0</v>
      </c>
      <c r="R358" s="469">
        <v>0</v>
      </c>
      <c r="S358" s="460">
        <v>0</v>
      </c>
      <c r="T358" s="460">
        <v>0</v>
      </c>
      <c r="U358" s="460">
        <v>0</v>
      </c>
      <c r="V358" s="460">
        <f>SUM(Q358:U358)</f>
        <v>0</v>
      </c>
      <c r="W358" s="460">
        <v>0</v>
      </c>
      <c r="X358" s="460">
        <v>0</v>
      </c>
      <c r="Y358" s="460">
        <v>0</v>
      </c>
      <c r="Z358" s="460">
        <f t="shared" ref="Z358:Z361" si="537">SUM(W358:Y358)</f>
        <v>0</v>
      </c>
      <c r="AA358" s="460">
        <f t="shared" ref="AA358:AA361" si="538">V358+Z358</f>
        <v>0</v>
      </c>
      <c r="AB358" s="69">
        <f t="shared" ref="AB358:AB361" si="539">ROUND((V358+W358+X358)*33.8%,0)</f>
        <v>0</v>
      </c>
      <c r="AC358" s="69">
        <f t="shared" ref="AC358:AC361" si="540">ROUND(V358*1%,0)</f>
        <v>0</v>
      </c>
      <c r="AD358" s="460">
        <v>0</v>
      </c>
      <c r="AE358" s="460">
        <v>0</v>
      </c>
      <c r="AF358" s="460">
        <f>SUM(AD358:AE358)</f>
        <v>0</v>
      </c>
      <c r="AG358" s="460">
        <f>AA358+AB358+AC358+AF358</f>
        <v>0</v>
      </c>
      <c r="AH358" s="461">
        <v>0</v>
      </c>
      <c r="AI358" s="461">
        <v>0</v>
      </c>
      <c r="AJ358" s="461">
        <v>0</v>
      </c>
      <c r="AK358" s="461">
        <v>0</v>
      </c>
      <c r="AL358" s="461">
        <v>0</v>
      </c>
      <c r="AM358" s="461">
        <v>0</v>
      </c>
      <c r="AN358" s="461">
        <v>0</v>
      </c>
      <c r="AO358" s="461">
        <v>0</v>
      </c>
      <c r="AP358" s="461">
        <f t="shared" si="499"/>
        <v>0</v>
      </c>
      <c r="AQ358" s="461">
        <f t="shared" si="500"/>
        <v>0</v>
      </c>
      <c r="AR358" s="737">
        <f t="shared" si="501"/>
        <v>0</v>
      </c>
      <c r="AS358" s="470">
        <f t="shared" si="502"/>
        <v>27791493</v>
      </c>
      <c r="AT358" s="460">
        <f t="shared" si="503"/>
        <v>20280024</v>
      </c>
      <c r="AU358" s="460">
        <f t="shared" si="504"/>
        <v>0</v>
      </c>
      <c r="AV358" s="460">
        <f t="shared" si="505"/>
        <v>6854648</v>
      </c>
      <c r="AW358" s="460">
        <f t="shared" si="506"/>
        <v>202801</v>
      </c>
      <c r="AX358" s="460">
        <f t="shared" si="507"/>
        <v>454020</v>
      </c>
      <c r="AY358" s="461">
        <f t="shared" si="508"/>
        <v>34.478999999999999</v>
      </c>
      <c r="AZ358" s="461">
        <f t="shared" si="509"/>
        <v>28.408999999999999</v>
      </c>
      <c r="BA358" s="463">
        <f t="shared" si="510"/>
        <v>6.07</v>
      </c>
    </row>
    <row r="359" spans="1:53" ht="14.1" customHeight="1" x14ac:dyDescent="0.2">
      <c r="A359" s="67">
        <v>72</v>
      </c>
      <c r="B359" s="64">
        <v>2491</v>
      </c>
      <c r="C359" s="65">
        <v>600079775</v>
      </c>
      <c r="D359" s="64">
        <v>70983003</v>
      </c>
      <c r="E359" s="66" t="s">
        <v>698</v>
      </c>
      <c r="F359" s="67">
        <v>3113</v>
      </c>
      <c r="G359" s="78" t="s">
        <v>308</v>
      </c>
      <c r="H359" s="68" t="s">
        <v>278</v>
      </c>
      <c r="I359" s="462">
        <v>0</v>
      </c>
      <c r="J359" s="457">
        <v>0</v>
      </c>
      <c r="K359" s="457">
        <v>0</v>
      </c>
      <c r="L359" s="457">
        <v>0</v>
      </c>
      <c r="M359" s="457">
        <v>0</v>
      </c>
      <c r="N359" s="458">
        <v>0</v>
      </c>
      <c r="O359" s="459">
        <v>0</v>
      </c>
      <c r="P359" s="646">
        <v>0</v>
      </c>
      <c r="Q359" s="469">
        <f t="shared" si="494"/>
        <v>0</v>
      </c>
      <c r="R359" s="469">
        <v>1342573</v>
      </c>
      <c r="S359" s="460">
        <v>0</v>
      </c>
      <c r="T359" s="460">
        <v>0</v>
      </c>
      <c r="U359" s="460">
        <v>0</v>
      </c>
      <c r="V359" s="460">
        <f>SUM(Q359:U359)</f>
        <v>1342573</v>
      </c>
      <c r="W359" s="460">
        <v>0</v>
      </c>
      <c r="X359" s="460">
        <v>0</v>
      </c>
      <c r="Y359" s="460">
        <v>0</v>
      </c>
      <c r="Z359" s="460">
        <f t="shared" si="537"/>
        <v>0</v>
      </c>
      <c r="AA359" s="460">
        <f t="shared" si="538"/>
        <v>1342573</v>
      </c>
      <c r="AB359" s="69">
        <f t="shared" si="539"/>
        <v>453790</v>
      </c>
      <c r="AC359" s="69">
        <f t="shared" si="540"/>
        <v>13426</v>
      </c>
      <c r="AD359" s="460">
        <v>2200</v>
      </c>
      <c r="AE359" s="460">
        <v>0</v>
      </c>
      <c r="AF359" s="460">
        <f>SUM(AD359:AE359)</f>
        <v>2200</v>
      </c>
      <c r="AG359" s="460">
        <f>AA359+AB359+AC359+AF359</f>
        <v>1811989</v>
      </c>
      <c r="AH359" s="461">
        <v>0</v>
      </c>
      <c r="AI359" s="461">
        <v>0</v>
      </c>
      <c r="AJ359" s="461">
        <v>3.78</v>
      </c>
      <c r="AK359" s="461">
        <v>0</v>
      </c>
      <c r="AL359" s="461">
        <v>0</v>
      </c>
      <c r="AM359" s="461">
        <v>0</v>
      </c>
      <c r="AN359" s="461">
        <v>0</v>
      </c>
      <c r="AO359" s="461">
        <v>0</v>
      </c>
      <c r="AP359" s="461">
        <f t="shared" si="499"/>
        <v>3.78</v>
      </c>
      <c r="AQ359" s="461">
        <f t="shared" si="500"/>
        <v>0</v>
      </c>
      <c r="AR359" s="737">
        <f t="shared" si="501"/>
        <v>3.78</v>
      </c>
      <c r="AS359" s="470">
        <f t="shared" si="502"/>
        <v>1811989</v>
      </c>
      <c r="AT359" s="460">
        <f t="shared" si="503"/>
        <v>1342573</v>
      </c>
      <c r="AU359" s="460">
        <f t="shared" si="504"/>
        <v>0</v>
      </c>
      <c r="AV359" s="460">
        <f t="shared" si="505"/>
        <v>453790</v>
      </c>
      <c r="AW359" s="460">
        <f t="shared" si="506"/>
        <v>13426</v>
      </c>
      <c r="AX359" s="460">
        <f t="shared" si="507"/>
        <v>2200</v>
      </c>
      <c r="AY359" s="461">
        <f t="shared" si="508"/>
        <v>3.78</v>
      </c>
      <c r="AZ359" s="461">
        <f t="shared" si="509"/>
        <v>3.78</v>
      </c>
      <c r="BA359" s="463">
        <f t="shared" si="510"/>
        <v>0</v>
      </c>
    </row>
    <row r="360" spans="1:53" ht="14.1" customHeight="1" x14ac:dyDescent="0.2">
      <c r="A360" s="67">
        <v>72</v>
      </c>
      <c r="B360" s="64">
        <v>2491</v>
      </c>
      <c r="C360" s="65">
        <v>600079775</v>
      </c>
      <c r="D360" s="64">
        <v>70983003</v>
      </c>
      <c r="E360" s="66" t="s">
        <v>698</v>
      </c>
      <c r="F360" s="67">
        <v>3143</v>
      </c>
      <c r="G360" s="78" t="s">
        <v>616</v>
      </c>
      <c r="H360" s="68" t="s">
        <v>277</v>
      </c>
      <c r="I360" s="462">
        <v>2320215</v>
      </c>
      <c r="J360" s="16">
        <v>1721228</v>
      </c>
      <c r="K360" s="457">
        <v>581775</v>
      </c>
      <c r="L360" s="457">
        <v>17212</v>
      </c>
      <c r="M360" s="16">
        <v>0</v>
      </c>
      <c r="N360" s="458">
        <v>3.5714000000000001</v>
      </c>
      <c r="O360" s="13">
        <v>3.5714000000000001</v>
      </c>
      <c r="P360" s="17">
        <v>0</v>
      </c>
      <c r="Q360" s="469">
        <f t="shared" si="494"/>
        <v>0</v>
      </c>
      <c r="R360" s="469">
        <v>0</v>
      </c>
      <c r="S360" s="460">
        <v>0</v>
      </c>
      <c r="T360" s="460">
        <v>0</v>
      </c>
      <c r="U360" s="460">
        <v>0</v>
      </c>
      <c r="V360" s="460">
        <f>SUM(Q360:U360)</f>
        <v>0</v>
      </c>
      <c r="W360" s="460">
        <v>0</v>
      </c>
      <c r="X360" s="460">
        <v>0</v>
      </c>
      <c r="Y360" s="460">
        <v>0</v>
      </c>
      <c r="Z360" s="460">
        <f t="shared" si="537"/>
        <v>0</v>
      </c>
      <c r="AA360" s="460">
        <f t="shared" si="538"/>
        <v>0</v>
      </c>
      <c r="AB360" s="69">
        <f t="shared" si="539"/>
        <v>0</v>
      </c>
      <c r="AC360" s="69">
        <f t="shared" si="540"/>
        <v>0</v>
      </c>
      <c r="AD360" s="460">
        <v>0</v>
      </c>
      <c r="AE360" s="460">
        <v>0</v>
      </c>
      <c r="AF360" s="460">
        <f>SUM(AD360:AE360)</f>
        <v>0</v>
      </c>
      <c r="AG360" s="460">
        <f>AA360+AB360+AC360+AF360</f>
        <v>0</v>
      </c>
      <c r="AH360" s="461">
        <v>0</v>
      </c>
      <c r="AI360" s="461">
        <v>0</v>
      </c>
      <c r="AJ360" s="461">
        <v>0</v>
      </c>
      <c r="AK360" s="461">
        <v>0</v>
      </c>
      <c r="AL360" s="461">
        <v>0</v>
      </c>
      <c r="AM360" s="461">
        <v>0</v>
      </c>
      <c r="AN360" s="461">
        <v>0</v>
      </c>
      <c r="AO360" s="461">
        <v>0</v>
      </c>
      <c r="AP360" s="461">
        <f t="shared" si="499"/>
        <v>0</v>
      </c>
      <c r="AQ360" s="461">
        <f t="shared" si="500"/>
        <v>0</v>
      </c>
      <c r="AR360" s="737">
        <f t="shared" si="501"/>
        <v>0</v>
      </c>
      <c r="AS360" s="470">
        <f t="shared" si="502"/>
        <v>2320215</v>
      </c>
      <c r="AT360" s="460">
        <f t="shared" si="503"/>
        <v>1721228</v>
      </c>
      <c r="AU360" s="460">
        <f t="shared" si="504"/>
        <v>0</v>
      </c>
      <c r="AV360" s="460">
        <f t="shared" si="505"/>
        <v>581775</v>
      </c>
      <c r="AW360" s="460">
        <f t="shared" si="506"/>
        <v>17212</v>
      </c>
      <c r="AX360" s="460">
        <f t="shared" si="507"/>
        <v>0</v>
      </c>
      <c r="AY360" s="461">
        <f t="shared" si="508"/>
        <v>3.5714000000000001</v>
      </c>
      <c r="AZ360" s="461">
        <f t="shared" si="509"/>
        <v>3.5714000000000001</v>
      </c>
      <c r="BA360" s="463">
        <f t="shared" si="510"/>
        <v>0</v>
      </c>
    </row>
    <row r="361" spans="1:53" ht="14.1" customHeight="1" x14ac:dyDescent="0.2">
      <c r="A361" s="67">
        <v>72</v>
      </c>
      <c r="B361" s="64">
        <v>2491</v>
      </c>
      <c r="C361" s="65">
        <v>600079775</v>
      </c>
      <c r="D361" s="64">
        <v>70983003</v>
      </c>
      <c r="E361" s="66" t="s">
        <v>698</v>
      </c>
      <c r="F361" s="67">
        <v>3143</v>
      </c>
      <c r="G361" s="78" t="s">
        <v>617</v>
      </c>
      <c r="H361" s="68" t="s">
        <v>278</v>
      </c>
      <c r="I361" s="462">
        <v>65969</v>
      </c>
      <c r="J361" s="673">
        <v>47136</v>
      </c>
      <c r="K361" s="457">
        <v>15932</v>
      </c>
      <c r="L361" s="457">
        <v>471</v>
      </c>
      <c r="M361" s="673">
        <v>2430</v>
      </c>
      <c r="N361" s="458">
        <v>0.19</v>
      </c>
      <c r="O361" s="459">
        <v>0</v>
      </c>
      <c r="P361" s="717">
        <v>0.19</v>
      </c>
      <c r="Q361" s="469">
        <f t="shared" si="494"/>
        <v>0</v>
      </c>
      <c r="R361" s="469">
        <v>0</v>
      </c>
      <c r="S361" s="460">
        <v>0</v>
      </c>
      <c r="T361" s="460">
        <v>0</v>
      </c>
      <c r="U361" s="460">
        <v>0</v>
      </c>
      <c r="V361" s="460">
        <f>SUM(Q361:U361)</f>
        <v>0</v>
      </c>
      <c r="W361" s="460">
        <v>0</v>
      </c>
      <c r="X361" s="460">
        <v>0</v>
      </c>
      <c r="Y361" s="460">
        <v>0</v>
      </c>
      <c r="Z361" s="460">
        <f t="shared" si="537"/>
        <v>0</v>
      </c>
      <c r="AA361" s="460">
        <f t="shared" si="538"/>
        <v>0</v>
      </c>
      <c r="AB361" s="69">
        <f t="shared" si="539"/>
        <v>0</v>
      </c>
      <c r="AC361" s="69">
        <f t="shared" si="540"/>
        <v>0</v>
      </c>
      <c r="AD361" s="460">
        <v>0</v>
      </c>
      <c r="AE361" s="460">
        <v>0</v>
      </c>
      <c r="AF361" s="460">
        <f>SUM(AD361:AE361)</f>
        <v>0</v>
      </c>
      <c r="AG361" s="460">
        <f>AA361+AB361+AC361+AF361</f>
        <v>0</v>
      </c>
      <c r="AH361" s="461">
        <v>0</v>
      </c>
      <c r="AI361" s="461">
        <v>0</v>
      </c>
      <c r="AJ361" s="461">
        <v>0</v>
      </c>
      <c r="AK361" s="461">
        <v>0</v>
      </c>
      <c r="AL361" s="461">
        <v>0</v>
      </c>
      <c r="AM361" s="461">
        <v>0</v>
      </c>
      <c r="AN361" s="461">
        <v>0</v>
      </c>
      <c r="AO361" s="461">
        <v>0</v>
      </c>
      <c r="AP361" s="461">
        <f t="shared" si="499"/>
        <v>0</v>
      </c>
      <c r="AQ361" s="461">
        <f t="shared" si="500"/>
        <v>0</v>
      </c>
      <c r="AR361" s="737">
        <f t="shared" si="501"/>
        <v>0</v>
      </c>
      <c r="AS361" s="470">
        <f t="shared" si="502"/>
        <v>65969</v>
      </c>
      <c r="AT361" s="460">
        <f t="shared" si="503"/>
        <v>47136</v>
      </c>
      <c r="AU361" s="460">
        <f t="shared" si="504"/>
        <v>0</v>
      </c>
      <c r="AV361" s="460">
        <f t="shared" si="505"/>
        <v>15932</v>
      </c>
      <c r="AW361" s="460">
        <f t="shared" si="506"/>
        <v>471</v>
      </c>
      <c r="AX361" s="460">
        <f t="shared" si="507"/>
        <v>2430</v>
      </c>
      <c r="AY361" s="461">
        <f t="shared" si="508"/>
        <v>0.19</v>
      </c>
      <c r="AZ361" s="461">
        <f t="shared" si="509"/>
        <v>0</v>
      </c>
      <c r="BA361" s="463">
        <f t="shared" si="510"/>
        <v>0.19</v>
      </c>
    </row>
    <row r="362" spans="1:53" ht="14.1" customHeight="1" x14ac:dyDescent="0.2">
      <c r="A362" s="73">
        <v>72</v>
      </c>
      <c r="B362" s="70">
        <v>2491</v>
      </c>
      <c r="C362" s="71">
        <v>600079775</v>
      </c>
      <c r="D362" s="70">
        <v>70983003</v>
      </c>
      <c r="E362" s="72" t="s">
        <v>699</v>
      </c>
      <c r="F362" s="73"/>
      <c r="G362" s="72"/>
      <c r="H362" s="74"/>
      <c r="I362" s="701">
        <f t="shared" ref="I362:P362" si="541">SUM(I358:I361)</f>
        <v>30177677</v>
      </c>
      <c r="J362" s="75">
        <f t="shared" si="541"/>
        <v>22048388</v>
      </c>
      <c r="K362" s="75">
        <f t="shared" si="541"/>
        <v>7452355</v>
      </c>
      <c r="L362" s="75">
        <f t="shared" si="541"/>
        <v>220484</v>
      </c>
      <c r="M362" s="75">
        <f t="shared" si="541"/>
        <v>456450</v>
      </c>
      <c r="N362" s="76">
        <f t="shared" si="541"/>
        <v>38.240399999999994</v>
      </c>
      <c r="O362" s="76">
        <f t="shared" si="541"/>
        <v>31.980399999999999</v>
      </c>
      <c r="P362" s="77">
        <f t="shared" si="541"/>
        <v>6.2600000000000007</v>
      </c>
      <c r="Q362" s="724">
        <f t="shared" ref="Q362:BA362" si="542">SUM(Q358:Q361)</f>
        <v>0</v>
      </c>
      <c r="R362" s="724">
        <f t="shared" si="542"/>
        <v>1342573</v>
      </c>
      <c r="S362" s="75">
        <f t="shared" si="542"/>
        <v>0</v>
      </c>
      <c r="T362" s="75">
        <f t="shared" si="542"/>
        <v>0</v>
      </c>
      <c r="U362" s="75">
        <f t="shared" si="542"/>
        <v>0</v>
      </c>
      <c r="V362" s="75">
        <f t="shared" si="542"/>
        <v>1342573</v>
      </c>
      <c r="W362" s="75">
        <f t="shared" si="542"/>
        <v>0</v>
      </c>
      <c r="X362" s="75">
        <f t="shared" si="542"/>
        <v>0</v>
      </c>
      <c r="Y362" s="75">
        <f t="shared" si="542"/>
        <v>0</v>
      </c>
      <c r="Z362" s="75">
        <f t="shared" si="542"/>
        <v>0</v>
      </c>
      <c r="AA362" s="75">
        <f t="shared" si="542"/>
        <v>1342573</v>
      </c>
      <c r="AB362" s="75">
        <f t="shared" si="542"/>
        <v>453790</v>
      </c>
      <c r="AC362" s="75">
        <f t="shared" si="542"/>
        <v>13426</v>
      </c>
      <c r="AD362" s="75">
        <f t="shared" si="542"/>
        <v>2200</v>
      </c>
      <c r="AE362" s="75">
        <f t="shared" si="542"/>
        <v>0</v>
      </c>
      <c r="AF362" s="75">
        <f t="shared" si="542"/>
        <v>2200</v>
      </c>
      <c r="AG362" s="75">
        <f t="shared" si="542"/>
        <v>1811989</v>
      </c>
      <c r="AH362" s="76">
        <f t="shared" si="542"/>
        <v>0</v>
      </c>
      <c r="AI362" s="76">
        <f t="shared" si="542"/>
        <v>0</v>
      </c>
      <c r="AJ362" s="76">
        <f t="shared" si="542"/>
        <v>3.78</v>
      </c>
      <c r="AK362" s="76">
        <f t="shared" si="542"/>
        <v>0</v>
      </c>
      <c r="AL362" s="76">
        <f t="shared" si="542"/>
        <v>0</v>
      </c>
      <c r="AM362" s="76">
        <f t="shared" si="542"/>
        <v>0</v>
      </c>
      <c r="AN362" s="76">
        <f t="shared" si="542"/>
        <v>0</v>
      </c>
      <c r="AO362" s="76">
        <f t="shared" si="542"/>
        <v>0</v>
      </c>
      <c r="AP362" s="76">
        <f t="shared" si="542"/>
        <v>3.78</v>
      </c>
      <c r="AQ362" s="76">
        <f t="shared" si="542"/>
        <v>0</v>
      </c>
      <c r="AR362" s="720">
        <f t="shared" si="542"/>
        <v>3.78</v>
      </c>
      <c r="AS362" s="701">
        <f t="shared" si="542"/>
        <v>31989666</v>
      </c>
      <c r="AT362" s="75">
        <f t="shared" si="542"/>
        <v>23390961</v>
      </c>
      <c r="AU362" s="75">
        <f t="shared" si="542"/>
        <v>0</v>
      </c>
      <c r="AV362" s="75">
        <f t="shared" si="542"/>
        <v>7906145</v>
      </c>
      <c r="AW362" s="75">
        <f t="shared" si="542"/>
        <v>233910</v>
      </c>
      <c r="AX362" s="75">
        <f t="shared" si="542"/>
        <v>458650</v>
      </c>
      <c r="AY362" s="76">
        <f t="shared" si="542"/>
        <v>42.020399999999995</v>
      </c>
      <c r="AZ362" s="76">
        <f t="shared" si="542"/>
        <v>35.760399999999997</v>
      </c>
      <c r="BA362" s="77">
        <f t="shared" si="542"/>
        <v>6.2600000000000007</v>
      </c>
    </row>
    <row r="363" spans="1:53" ht="14.1" customHeight="1" x14ac:dyDescent="0.2">
      <c r="A363" s="67">
        <v>73</v>
      </c>
      <c r="B363" s="64">
        <v>2459</v>
      </c>
      <c r="C363" s="65">
        <v>650030583</v>
      </c>
      <c r="D363" s="64">
        <v>72744707</v>
      </c>
      <c r="E363" s="66" t="s">
        <v>700</v>
      </c>
      <c r="F363" s="67">
        <v>3111</v>
      </c>
      <c r="G363" s="66" t="s">
        <v>307</v>
      </c>
      <c r="H363" s="68" t="s">
        <v>277</v>
      </c>
      <c r="I363" s="462">
        <v>3318776</v>
      </c>
      <c r="J363" s="16">
        <v>2448350</v>
      </c>
      <c r="K363" s="457">
        <v>827542</v>
      </c>
      <c r="L363" s="457">
        <v>24484</v>
      </c>
      <c r="M363" s="16">
        <v>18400</v>
      </c>
      <c r="N363" s="13">
        <v>4.8</v>
      </c>
      <c r="O363" s="13">
        <v>4</v>
      </c>
      <c r="P363" s="17">
        <v>0.8</v>
      </c>
      <c r="Q363" s="469">
        <f t="shared" si="494"/>
        <v>0</v>
      </c>
      <c r="R363" s="469">
        <v>0</v>
      </c>
      <c r="S363" s="460">
        <v>0</v>
      </c>
      <c r="T363" s="460">
        <v>0</v>
      </c>
      <c r="U363" s="460">
        <v>0</v>
      </c>
      <c r="V363" s="460">
        <f t="shared" ref="V363:V368" si="543">SUM(Q363:U363)</f>
        <v>0</v>
      </c>
      <c r="W363" s="460">
        <v>0</v>
      </c>
      <c r="X363" s="460">
        <v>0</v>
      </c>
      <c r="Y363" s="460">
        <v>0</v>
      </c>
      <c r="Z363" s="460">
        <f t="shared" ref="Z363:Z368" si="544">SUM(W363:Y363)</f>
        <v>0</v>
      </c>
      <c r="AA363" s="460">
        <f t="shared" ref="AA363:AA368" si="545">V363+Z363</f>
        <v>0</v>
      </c>
      <c r="AB363" s="69">
        <f t="shared" ref="AB363:AB368" si="546">ROUND((V363+W363+X363)*33.8%,0)</f>
        <v>0</v>
      </c>
      <c r="AC363" s="69">
        <f t="shared" ref="AC363:AC368" si="547">ROUND(V363*1%,0)</f>
        <v>0</v>
      </c>
      <c r="AD363" s="460">
        <v>0</v>
      </c>
      <c r="AE363" s="460">
        <v>0</v>
      </c>
      <c r="AF363" s="460">
        <f t="shared" ref="AF363:AF368" si="548">SUM(AD363:AE363)</f>
        <v>0</v>
      </c>
      <c r="AG363" s="460">
        <f t="shared" ref="AG363:AG368" si="549">AA363+AB363+AC363+AF363</f>
        <v>0</v>
      </c>
      <c r="AH363" s="461">
        <v>0</v>
      </c>
      <c r="AI363" s="461">
        <v>0</v>
      </c>
      <c r="AJ363" s="461">
        <v>0</v>
      </c>
      <c r="AK363" s="461">
        <v>0</v>
      </c>
      <c r="AL363" s="461">
        <v>0</v>
      </c>
      <c r="AM363" s="461">
        <v>0</v>
      </c>
      <c r="AN363" s="461">
        <v>0</v>
      </c>
      <c r="AO363" s="461">
        <v>0</v>
      </c>
      <c r="AP363" s="461">
        <f t="shared" si="499"/>
        <v>0</v>
      </c>
      <c r="AQ363" s="461">
        <f t="shared" si="500"/>
        <v>0</v>
      </c>
      <c r="AR363" s="737">
        <f t="shared" si="501"/>
        <v>0</v>
      </c>
      <c r="AS363" s="470">
        <f t="shared" si="502"/>
        <v>3318776</v>
      </c>
      <c r="AT363" s="460">
        <f t="shared" si="503"/>
        <v>2448350</v>
      </c>
      <c r="AU363" s="460">
        <f t="shared" si="504"/>
        <v>0</v>
      </c>
      <c r="AV363" s="460">
        <f t="shared" si="505"/>
        <v>827542</v>
      </c>
      <c r="AW363" s="460">
        <f t="shared" si="506"/>
        <v>24484</v>
      </c>
      <c r="AX363" s="460">
        <f t="shared" si="507"/>
        <v>18400</v>
      </c>
      <c r="AY363" s="461">
        <f t="shared" si="508"/>
        <v>4.8</v>
      </c>
      <c r="AZ363" s="461">
        <f t="shared" si="509"/>
        <v>4</v>
      </c>
      <c r="BA363" s="463">
        <f t="shared" si="510"/>
        <v>0.8</v>
      </c>
    </row>
    <row r="364" spans="1:53" ht="14.1" customHeight="1" x14ac:dyDescent="0.2">
      <c r="A364" s="67">
        <v>73</v>
      </c>
      <c r="B364" s="64">
        <v>2459</v>
      </c>
      <c r="C364" s="65">
        <v>650030583</v>
      </c>
      <c r="D364" s="64">
        <v>72744707</v>
      </c>
      <c r="E364" s="66" t="s">
        <v>700</v>
      </c>
      <c r="F364" s="67">
        <v>3117</v>
      </c>
      <c r="G364" s="66" t="s">
        <v>310</v>
      </c>
      <c r="H364" s="68" t="s">
        <v>277</v>
      </c>
      <c r="I364" s="462">
        <v>5812122</v>
      </c>
      <c r="J364" s="16">
        <v>4247105</v>
      </c>
      <c r="K364" s="457">
        <v>1435522</v>
      </c>
      <c r="L364" s="457">
        <v>42470</v>
      </c>
      <c r="M364" s="16">
        <v>87025</v>
      </c>
      <c r="N364" s="13">
        <v>7.5612000000000004</v>
      </c>
      <c r="O364" s="13">
        <v>5.4545000000000003</v>
      </c>
      <c r="P364" s="17">
        <v>2.1067</v>
      </c>
      <c r="Q364" s="469">
        <f t="shared" si="494"/>
        <v>-6500</v>
      </c>
      <c r="R364" s="469">
        <v>0</v>
      </c>
      <c r="S364" s="460">
        <v>0</v>
      </c>
      <c r="T364" s="460">
        <v>0</v>
      </c>
      <c r="U364" s="460">
        <v>0</v>
      </c>
      <c r="V364" s="460">
        <f t="shared" si="543"/>
        <v>-6500</v>
      </c>
      <c r="W364" s="460">
        <v>6500</v>
      </c>
      <c r="X364" s="460">
        <v>0</v>
      </c>
      <c r="Y364" s="460">
        <v>90000</v>
      </c>
      <c r="Z364" s="460">
        <f t="shared" si="544"/>
        <v>96500</v>
      </c>
      <c r="AA364" s="460">
        <f t="shared" si="545"/>
        <v>90000</v>
      </c>
      <c r="AB364" s="69">
        <f t="shared" si="546"/>
        <v>0</v>
      </c>
      <c r="AC364" s="69">
        <f t="shared" si="547"/>
        <v>-65</v>
      </c>
      <c r="AD364" s="460">
        <v>0</v>
      </c>
      <c r="AE364" s="460">
        <v>0</v>
      </c>
      <c r="AF364" s="460">
        <f t="shared" si="548"/>
        <v>0</v>
      </c>
      <c r="AG364" s="460">
        <f t="shared" si="549"/>
        <v>89935</v>
      </c>
      <c r="AH364" s="461">
        <v>0</v>
      </c>
      <c r="AI364" s="461">
        <v>-0.01</v>
      </c>
      <c r="AJ364" s="461">
        <v>0</v>
      </c>
      <c r="AK364" s="461">
        <v>0</v>
      </c>
      <c r="AL364" s="461">
        <v>0</v>
      </c>
      <c r="AM364" s="461">
        <v>0</v>
      </c>
      <c r="AN364" s="461">
        <v>0</v>
      </c>
      <c r="AO364" s="461">
        <v>0</v>
      </c>
      <c r="AP364" s="461">
        <f t="shared" si="499"/>
        <v>0</v>
      </c>
      <c r="AQ364" s="461">
        <f t="shared" si="500"/>
        <v>-0.01</v>
      </c>
      <c r="AR364" s="737">
        <f t="shared" si="501"/>
        <v>-0.01</v>
      </c>
      <c r="AS364" s="470">
        <f t="shared" si="502"/>
        <v>5902057</v>
      </c>
      <c r="AT364" s="460">
        <f t="shared" si="503"/>
        <v>4240605</v>
      </c>
      <c r="AU364" s="460">
        <f t="shared" si="504"/>
        <v>96500</v>
      </c>
      <c r="AV364" s="460">
        <f t="shared" si="505"/>
        <v>1435522</v>
      </c>
      <c r="AW364" s="460">
        <f t="shared" si="506"/>
        <v>42405</v>
      </c>
      <c r="AX364" s="460">
        <f t="shared" si="507"/>
        <v>87025</v>
      </c>
      <c r="AY364" s="461">
        <f t="shared" si="508"/>
        <v>7.5512000000000006</v>
      </c>
      <c r="AZ364" s="461">
        <f t="shared" si="509"/>
        <v>5.4545000000000003</v>
      </c>
      <c r="BA364" s="463">
        <f t="shared" si="510"/>
        <v>2.0967000000000002</v>
      </c>
    </row>
    <row r="365" spans="1:53" ht="14.1" customHeight="1" x14ac:dyDescent="0.2">
      <c r="A365" s="67">
        <v>73</v>
      </c>
      <c r="B365" s="64">
        <v>2459</v>
      </c>
      <c r="C365" s="65">
        <v>650030583</v>
      </c>
      <c r="D365" s="64">
        <v>72744707</v>
      </c>
      <c r="E365" s="66" t="s">
        <v>700</v>
      </c>
      <c r="F365" s="67">
        <v>3117</v>
      </c>
      <c r="G365" s="78" t="s">
        <v>308</v>
      </c>
      <c r="H365" s="68" t="s">
        <v>278</v>
      </c>
      <c r="I365" s="462">
        <v>0</v>
      </c>
      <c r="J365" s="457">
        <v>0</v>
      </c>
      <c r="K365" s="457">
        <v>0</v>
      </c>
      <c r="L365" s="457">
        <v>0</v>
      </c>
      <c r="M365" s="457">
        <v>0</v>
      </c>
      <c r="N365" s="458">
        <v>0</v>
      </c>
      <c r="O365" s="459">
        <v>0</v>
      </c>
      <c r="P365" s="646">
        <v>0</v>
      </c>
      <c r="Q365" s="469">
        <f t="shared" si="494"/>
        <v>0</v>
      </c>
      <c r="R365" s="469">
        <v>550588</v>
      </c>
      <c r="S365" s="460">
        <v>0</v>
      </c>
      <c r="T365" s="460">
        <v>0</v>
      </c>
      <c r="U365" s="460">
        <v>0</v>
      </c>
      <c r="V365" s="460">
        <f t="shared" si="543"/>
        <v>550588</v>
      </c>
      <c r="W365" s="460">
        <v>0</v>
      </c>
      <c r="X365" s="460">
        <v>0</v>
      </c>
      <c r="Y365" s="460">
        <v>0</v>
      </c>
      <c r="Z365" s="460">
        <f t="shared" si="544"/>
        <v>0</v>
      </c>
      <c r="AA365" s="460">
        <f t="shared" si="545"/>
        <v>550588</v>
      </c>
      <c r="AB365" s="69">
        <f t="shared" si="546"/>
        <v>186099</v>
      </c>
      <c r="AC365" s="69">
        <f t="shared" si="547"/>
        <v>5506</v>
      </c>
      <c r="AD365" s="460">
        <v>0</v>
      </c>
      <c r="AE365" s="460">
        <v>0</v>
      </c>
      <c r="AF365" s="460">
        <f t="shared" si="548"/>
        <v>0</v>
      </c>
      <c r="AG365" s="460">
        <f t="shared" si="549"/>
        <v>742193</v>
      </c>
      <c r="AH365" s="461">
        <v>0</v>
      </c>
      <c r="AI365" s="461">
        <v>0</v>
      </c>
      <c r="AJ365" s="461">
        <v>1.54</v>
      </c>
      <c r="AK365" s="461">
        <v>0</v>
      </c>
      <c r="AL365" s="461">
        <v>0</v>
      </c>
      <c r="AM365" s="461">
        <v>0</v>
      </c>
      <c r="AN365" s="461">
        <v>0</v>
      </c>
      <c r="AO365" s="461">
        <v>0</v>
      </c>
      <c r="AP365" s="461">
        <f t="shared" si="499"/>
        <v>1.54</v>
      </c>
      <c r="AQ365" s="461">
        <f t="shared" si="500"/>
        <v>0</v>
      </c>
      <c r="AR365" s="737">
        <f t="shared" si="501"/>
        <v>1.54</v>
      </c>
      <c r="AS365" s="470">
        <f t="shared" si="502"/>
        <v>742193</v>
      </c>
      <c r="AT365" s="460">
        <f t="shared" si="503"/>
        <v>550588</v>
      </c>
      <c r="AU365" s="460">
        <f t="shared" si="504"/>
        <v>0</v>
      </c>
      <c r="AV365" s="460">
        <f t="shared" si="505"/>
        <v>186099</v>
      </c>
      <c r="AW365" s="460">
        <f t="shared" si="506"/>
        <v>5506</v>
      </c>
      <c r="AX365" s="460">
        <f t="shared" si="507"/>
        <v>0</v>
      </c>
      <c r="AY365" s="461">
        <f t="shared" si="508"/>
        <v>1.54</v>
      </c>
      <c r="AZ365" s="461">
        <f t="shared" si="509"/>
        <v>1.54</v>
      </c>
      <c r="BA365" s="463">
        <f t="shared" si="510"/>
        <v>0</v>
      </c>
    </row>
    <row r="366" spans="1:53" ht="14.1" customHeight="1" x14ac:dyDescent="0.2">
      <c r="A366" s="67">
        <v>73</v>
      </c>
      <c r="B366" s="64">
        <v>2459</v>
      </c>
      <c r="C366" s="65">
        <v>650030583</v>
      </c>
      <c r="D366" s="64">
        <v>72744707</v>
      </c>
      <c r="E366" s="66" t="s">
        <v>700</v>
      </c>
      <c r="F366" s="67">
        <v>3141</v>
      </c>
      <c r="G366" s="66" t="s">
        <v>311</v>
      </c>
      <c r="H366" s="68" t="s">
        <v>278</v>
      </c>
      <c r="I366" s="462">
        <v>1081096</v>
      </c>
      <c r="J366" s="728">
        <v>798451</v>
      </c>
      <c r="K366" s="457">
        <v>269876</v>
      </c>
      <c r="L366" s="457">
        <v>7985</v>
      </c>
      <c r="M366" s="728">
        <v>4784</v>
      </c>
      <c r="N366" s="458">
        <v>2.57</v>
      </c>
      <c r="O366" s="459">
        <v>0</v>
      </c>
      <c r="P366" s="646">
        <v>2.57</v>
      </c>
      <c r="Q366" s="469">
        <f t="shared" si="494"/>
        <v>0</v>
      </c>
      <c r="R366" s="469">
        <v>0</v>
      </c>
      <c r="S366" s="460">
        <v>0</v>
      </c>
      <c r="T366" s="460">
        <v>0</v>
      </c>
      <c r="U366" s="460">
        <v>0</v>
      </c>
      <c r="V366" s="460">
        <f t="shared" si="543"/>
        <v>0</v>
      </c>
      <c r="W366" s="460">
        <v>0</v>
      </c>
      <c r="X366" s="460">
        <v>0</v>
      </c>
      <c r="Y366" s="460">
        <v>0</v>
      </c>
      <c r="Z366" s="460">
        <f t="shared" si="544"/>
        <v>0</v>
      </c>
      <c r="AA366" s="460">
        <f t="shared" si="545"/>
        <v>0</v>
      </c>
      <c r="AB366" s="69">
        <f t="shared" si="546"/>
        <v>0</v>
      </c>
      <c r="AC366" s="69">
        <f t="shared" si="547"/>
        <v>0</v>
      </c>
      <c r="AD366" s="460">
        <v>0</v>
      </c>
      <c r="AE366" s="460">
        <v>0</v>
      </c>
      <c r="AF366" s="460">
        <f t="shared" si="548"/>
        <v>0</v>
      </c>
      <c r="AG366" s="460">
        <f t="shared" si="549"/>
        <v>0</v>
      </c>
      <c r="AH366" s="461">
        <v>0</v>
      </c>
      <c r="AI366" s="461">
        <v>0</v>
      </c>
      <c r="AJ366" s="461">
        <v>0</v>
      </c>
      <c r="AK366" s="461">
        <v>0</v>
      </c>
      <c r="AL366" s="461">
        <v>0</v>
      </c>
      <c r="AM366" s="461">
        <v>0</v>
      </c>
      <c r="AN366" s="461">
        <v>0</v>
      </c>
      <c r="AO366" s="461">
        <v>0</v>
      </c>
      <c r="AP366" s="461">
        <f t="shared" si="499"/>
        <v>0</v>
      </c>
      <c r="AQ366" s="461">
        <f t="shared" si="500"/>
        <v>0</v>
      </c>
      <c r="AR366" s="737">
        <f t="shared" si="501"/>
        <v>0</v>
      </c>
      <c r="AS366" s="470">
        <f t="shared" si="502"/>
        <v>1081096</v>
      </c>
      <c r="AT366" s="460">
        <f t="shared" si="503"/>
        <v>798451</v>
      </c>
      <c r="AU366" s="460">
        <f t="shared" si="504"/>
        <v>0</v>
      </c>
      <c r="AV366" s="460">
        <f t="shared" si="505"/>
        <v>269876</v>
      </c>
      <c r="AW366" s="460">
        <f t="shared" si="506"/>
        <v>7985</v>
      </c>
      <c r="AX366" s="460">
        <f t="shared" si="507"/>
        <v>4784</v>
      </c>
      <c r="AY366" s="461">
        <f t="shared" si="508"/>
        <v>2.57</v>
      </c>
      <c r="AZ366" s="461">
        <f t="shared" si="509"/>
        <v>0</v>
      </c>
      <c r="BA366" s="463">
        <f t="shared" si="510"/>
        <v>2.57</v>
      </c>
    </row>
    <row r="367" spans="1:53" ht="14.1" customHeight="1" x14ac:dyDescent="0.2">
      <c r="A367" s="67">
        <v>73</v>
      </c>
      <c r="B367" s="64">
        <v>2459</v>
      </c>
      <c r="C367" s="65">
        <v>650030583</v>
      </c>
      <c r="D367" s="64">
        <v>72744707</v>
      </c>
      <c r="E367" s="66" t="s">
        <v>700</v>
      </c>
      <c r="F367" s="67">
        <v>3143</v>
      </c>
      <c r="G367" s="78" t="s">
        <v>616</v>
      </c>
      <c r="H367" s="68" t="s">
        <v>277</v>
      </c>
      <c r="I367" s="462">
        <v>401657</v>
      </c>
      <c r="J367" s="16">
        <v>297965</v>
      </c>
      <c r="K367" s="457">
        <v>100712</v>
      </c>
      <c r="L367" s="457">
        <v>2980</v>
      </c>
      <c r="M367" s="16">
        <v>0</v>
      </c>
      <c r="N367" s="458">
        <v>0.66</v>
      </c>
      <c r="O367" s="13">
        <v>0.66</v>
      </c>
      <c r="P367" s="17">
        <v>0</v>
      </c>
      <c r="Q367" s="469">
        <f t="shared" si="494"/>
        <v>0</v>
      </c>
      <c r="R367" s="469">
        <v>0</v>
      </c>
      <c r="S367" s="460">
        <v>0</v>
      </c>
      <c r="T367" s="460">
        <v>0</v>
      </c>
      <c r="U367" s="460">
        <v>0</v>
      </c>
      <c r="V367" s="460">
        <f t="shared" si="543"/>
        <v>0</v>
      </c>
      <c r="W367" s="460">
        <v>0</v>
      </c>
      <c r="X367" s="460">
        <v>0</v>
      </c>
      <c r="Y367" s="460">
        <v>0</v>
      </c>
      <c r="Z367" s="460">
        <f t="shared" si="544"/>
        <v>0</v>
      </c>
      <c r="AA367" s="460">
        <f t="shared" si="545"/>
        <v>0</v>
      </c>
      <c r="AB367" s="69">
        <f t="shared" si="546"/>
        <v>0</v>
      </c>
      <c r="AC367" s="69">
        <f t="shared" si="547"/>
        <v>0</v>
      </c>
      <c r="AD367" s="460">
        <v>0</v>
      </c>
      <c r="AE367" s="460">
        <v>0</v>
      </c>
      <c r="AF367" s="460">
        <f t="shared" si="548"/>
        <v>0</v>
      </c>
      <c r="AG367" s="460">
        <f t="shared" si="549"/>
        <v>0</v>
      </c>
      <c r="AH367" s="461">
        <v>0</v>
      </c>
      <c r="AI367" s="461">
        <v>0</v>
      </c>
      <c r="AJ367" s="461">
        <v>0</v>
      </c>
      <c r="AK367" s="461">
        <v>0</v>
      </c>
      <c r="AL367" s="461">
        <v>0</v>
      </c>
      <c r="AM367" s="461">
        <v>0</v>
      </c>
      <c r="AN367" s="461">
        <v>0</v>
      </c>
      <c r="AO367" s="461">
        <v>0</v>
      </c>
      <c r="AP367" s="461">
        <f t="shared" si="499"/>
        <v>0</v>
      </c>
      <c r="AQ367" s="461">
        <f t="shared" si="500"/>
        <v>0</v>
      </c>
      <c r="AR367" s="737">
        <f t="shared" si="501"/>
        <v>0</v>
      </c>
      <c r="AS367" s="470">
        <f t="shared" si="502"/>
        <v>401657</v>
      </c>
      <c r="AT367" s="460">
        <f t="shared" si="503"/>
        <v>297965</v>
      </c>
      <c r="AU367" s="460">
        <f t="shared" si="504"/>
        <v>0</v>
      </c>
      <c r="AV367" s="460">
        <f t="shared" si="505"/>
        <v>100712</v>
      </c>
      <c r="AW367" s="460">
        <f t="shared" si="506"/>
        <v>2980</v>
      </c>
      <c r="AX367" s="460">
        <f t="shared" si="507"/>
        <v>0</v>
      </c>
      <c r="AY367" s="461">
        <f t="shared" si="508"/>
        <v>0.66</v>
      </c>
      <c r="AZ367" s="461">
        <f t="shared" si="509"/>
        <v>0.66</v>
      </c>
      <c r="BA367" s="463">
        <f t="shared" si="510"/>
        <v>0</v>
      </c>
    </row>
    <row r="368" spans="1:53" ht="14.1" customHeight="1" x14ac:dyDescent="0.2">
      <c r="A368" s="67">
        <v>73</v>
      </c>
      <c r="B368" s="64">
        <v>2459</v>
      </c>
      <c r="C368" s="65">
        <v>650030583</v>
      </c>
      <c r="D368" s="64">
        <v>72744707</v>
      </c>
      <c r="E368" s="66" t="s">
        <v>700</v>
      </c>
      <c r="F368" s="67">
        <v>3143</v>
      </c>
      <c r="G368" s="78" t="s">
        <v>617</v>
      </c>
      <c r="H368" s="68" t="s">
        <v>278</v>
      </c>
      <c r="I368" s="462">
        <v>16125</v>
      </c>
      <c r="J368" s="673">
        <v>11522</v>
      </c>
      <c r="K368" s="457">
        <v>3894</v>
      </c>
      <c r="L368" s="457">
        <v>115</v>
      </c>
      <c r="M368" s="673">
        <v>594</v>
      </c>
      <c r="N368" s="458">
        <v>0.05</v>
      </c>
      <c r="O368" s="459">
        <v>0</v>
      </c>
      <c r="P368" s="717">
        <v>0.05</v>
      </c>
      <c r="Q368" s="469">
        <f t="shared" si="494"/>
        <v>0</v>
      </c>
      <c r="R368" s="469">
        <v>0</v>
      </c>
      <c r="S368" s="460">
        <v>0</v>
      </c>
      <c r="T368" s="460">
        <v>0</v>
      </c>
      <c r="U368" s="460">
        <v>0</v>
      </c>
      <c r="V368" s="460">
        <f t="shared" si="543"/>
        <v>0</v>
      </c>
      <c r="W368" s="460">
        <v>0</v>
      </c>
      <c r="X368" s="460">
        <v>0</v>
      </c>
      <c r="Y368" s="460">
        <v>0</v>
      </c>
      <c r="Z368" s="460">
        <f t="shared" si="544"/>
        <v>0</v>
      </c>
      <c r="AA368" s="460">
        <f t="shared" si="545"/>
        <v>0</v>
      </c>
      <c r="AB368" s="69">
        <f t="shared" si="546"/>
        <v>0</v>
      </c>
      <c r="AC368" s="69">
        <f t="shared" si="547"/>
        <v>0</v>
      </c>
      <c r="AD368" s="460">
        <v>0</v>
      </c>
      <c r="AE368" s="460">
        <v>0</v>
      </c>
      <c r="AF368" s="460">
        <f t="shared" si="548"/>
        <v>0</v>
      </c>
      <c r="AG368" s="460">
        <f t="shared" si="549"/>
        <v>0</v>
      </c>
      <c r="AH368" s="461">
        <v>0</v>
      </c>
      <c r="AI368" s="461">
        <v>0</v>
      </c>
      <c r="AJ368" s="461">
        <v>0</v>
      </c>
      <c r="AK368" s="461">
        <v>0</v>
      </c>
      <c r="AL368" s="461">
        <v>0</v>
      </c>
      <c r="AM368" s="461">
        <v>0</v>
      </c>
      <c r="AN368" s="461">
        <v>0</v>
      </c>
      <c r="AO368" s="461">
        <v>0</v>
      </c>
      <c r="AP368" s="461">
        <f t="shared" si="499"/>
        <v>0</v>
      </c>
      <c r="AQ368" s="461">
        <f t="shared" si="500"/>
        <v>0</v>
      </c>
      <c r="AR368" s="737">
        <f t="shared" si="501"/>
        <v>0</v>
      </c>
      <c r="AS368" s="470">
        <f t="shared" si="502"/>
        <v>16125</v>
      </c>
      <c r="AT368" s="460">
        <f t="shared" si="503"/>
        <v>11522</v>
      </c>
      <c r="AU368" s="460">
        <f t="shared" si="504"/>
        <v>0</v>
      </c>
      <c r="AV368" s="460">
        <f t="shared" si="505"/>
        <v>3894</v>
      </c>
      <c r="AW368" s="460">
        <f t="shared" si="506"/>
        <v>115</v>
      </c>
      <c r="AX368" s="460">
        <f t="shared" si="507"/>
        <v>594</v>
      </c>
      <c r="AY368" s="461">
        <f t="shared" si="508"/>
        <v>0.05</v>
      </c>
      <c r="AZ368" s="461">
        <f t="shared" si="509"/>
        <v>0</v>
      </c>
      <c r="BA368" s="463">
        <f t="shared" si="510"/>
        <v>0.05</v>
      </c>
    </row>
    <row r="369" spans="1:53" ht="14.1" customHeight="1" x14ac:dyDescent="0.2">
      <c r="A369" s="73">
        <v>73</v>
      </c>
      <c r="B369" s="70">
        <v>2459</v>
      </c>
      <c r="C369" s="71">
        <v>650030583</v>
      </c>
      <c r="D369" s="70">
        <v>72744707</v>
      </c>
      <c r="E369" s="72" t="s">
        <v>701</v>
      </c>
      <c r="F369" s="73"/>
      <c r="G369" s="72"/>
      <c r="H369" s="74"/>
      <c r="I369" s="701">
        <f t="shared" ref="I369:P369" si="550">SUM(I363:I368)</f>
        <v>10629776</v>
      </c>
      <c r="J369" s="75">
        <f t="shared" si="550"/>
        <v>7803393</v>
      </c>
      <c r="K369" s="75">
        <f t="shared" si="550"/>
        <v>2637546</v>
      </c>
      <c r="L369" s="75">
        <f t="shared" si="550"/>
        <v>78034</v>
      </c>
      <c r="M369" s="75">
        <f t="shared" si="550"/>
        <v>110803</v>
      </c>
      <c r="N369" s="76">
        <f t="shared" si="550"/>
        <v>15.641200000000001</v>
      </c>
      <c r="O369" s="76">
        <f t="shared" si="550"/>
        <v>10.1145</v>
      </c>
      <c r="P369" s="77">
        <f t="shared" si="550"/>
        <v>5.5266999999999991</v>
      </c>
      <c r="Q369" s="724">
        <f t="shared" ref="Q369:BA369" si="551">SUM(Q363:Q368)</f>
        <v>-6500</v>
      </c>
      <c r="R369" s="724">
        <f t="shared" si="551"/>
        <v>550588</v>
      </c>
      <c r="S369" s="75">
        <f t="shared" si="551"/>
        <v>0</v>
      </c>
      <c r="T369" s="75">
        <f t="shared" si="551"/>
        <v>0</v>
      </c>
      <c r="U369" s="75">
        <f t="shared" si="551"/>
        <v>0</v>
      </c>
      <c r="V369" s="75">
        <f t="shared" si="551"/>
        <v>544088</v>
      </c>
      <c r="W369" s="75">
        <f t="shared" si="551"/>
        <v>6500</v>
      </c>
      <c r="X369" s="75">
        <f t="shared" si="551"/>
        <v>0</v>
      </c>
      <c r="Y369" s="75">
        <f t="shared" si="551"/>
        <v>90000</v>
      </c>
      <c r="Z369" s="75">
        <f t="shared" si="551"/>
        <v>96500</v>
      </c>
      <c r="AA369" s="75">
        <f t="shared" si="551"/>
        <v>640588</v>
      </c>
      <c r="AB369" s="75">
        <f t="shared" si="551"/>
        <v>186099</v>
      </c>
      <c r="AC369" s="75">
        <f t="shared" si="551"/>
        <v>5441</v>
      </c>
      <c r="AD369" s="75">
        <f t="shared" si="551"/>
        <v>0</v>
      </c>
      <c r="AE369" s="75">
        <f t="shared" si="551"/>
        <v>0</v>
      </c>
      <c r="AF369" s="75">
        <f t="shared" si="551"/>
        <v>0</v>
      </c>
      <c r="AG369" s="75">
        <f t="shared" si="551"/>
        <v>832128</v>
      </c>
      <c r="AH369" s="76">
        <f t="shared" si="551"/>
        <v>0</v>
      </c>
      <c r="AI369" s="76">
        <f t="shared" si="551"/>
        <v>-0.01</v>
      </c>
      <c r="AJ369" s="76">
        <f t="shared" si="551"/>
        <v>1.54</v>
      </c>
      <c r="AK369" s="76">
        <f t="shared" si="551"/>
        <v>0</v>
      </c>
      <c r="AL369" s="76">
        <f t="shared" si="551"/>
        <v>0</v>
      </c>
      <c r="AM369" s="76">
        <f t="shared" si="551"/>
        <v>0</v>
      </c>
      <c r="AN369" s="76">
        <f t="shared" si="551"/>
        <v>0</v>
      </c>
      <c r="AO369" s="76">
        <f t="shared" si="551"/>
        <v>0</v>
      </c>
      <c r="AP369" s="76">
        <f t="shared" si="551"/>
        <v>1.54</v>
      </c>
      <c r="AQ369" s="76">
        <f t="shared" si="551"/>
        <v>-0.01</v>
      </c>
      <c r="AR369" s="720">
        <f t="shared" si="551"/>
        <v>1.53</v>
      </c>
      <c r="AS369" s="701">
        <f t="shared" si="551"/>
        <v>11461904</v>
      </c>
      <c r="AT369" s="75">
        <f t="shared" si="551"/>
        <v>8347481</v>
      </c>
      <c r="AU369" s="75">
        <f t="shared" si="551"/>
        <v>96500</v>
      </c>
      <c r="AV369" s="75">
        <f t="shared" si="551"/>
        <v>2823645</v>
      </c>
      <c r="AW369" s="75">
        <f t="shared" si="551"/>
        <v>83475</v>
      </c>
      <c r="AX369" s="75">
        <f t="shared" si="551"/>
        <v>110803</v>
      </c>
      <c r="AY369" s="76">
        <f t="shared" si="551"/>
        <v>17.171200000000002</v>
      </c>
      <c r="AZ369" s="76">
        <f t="shared" si="551"/>
        <v>11.654499999999999</v>
      </c>
      <c r="BA369" s="77">
        <f t="shared" si="551"/>
        <v>5.5166999999999993</v>
      </c>
    </row>
    <row r="370" spans="1:53" ht="14.1" customHeight="1" x14ac:dyDescent="0.2">
      <c r="A370" s="67">
        <v>74</v>
      </c>
      <c r="B370" s="64">
        <v>2405</v>
      </c>
      <c r="C370" s="65">
        <v>600079023</v>
      </c>
      <c r="D370" s="64">
        <v>72741881</v>
      </c>
      <c r="E370" s="66" t="s">
        <v>702</v>
      </c>
      <c r="F370" s="67">
        <v>3111</v>
      </c>
      <c r="G370" s="66" t="s">
        <v>307</v>
      </c>
      <c r="H370" s="68" t="s">
        <v>277</v>
      </c>
      <c r="I370" s="462">
        <v>14853056</v>
      </c>
      <c r="J370" s="16">
        <v>10963691</v>
      </c>
      <c r="K370" s="457">
        <v>3705728</v>
      </c>
      <c r="L370" s="457">
        <v>109637</v>
      </c>
      <c r="M370" s="16">
        <v>74000</v>
      </c>
      <c r="N370" s="13">
        <v>22.319700000000001</v>
      </c>
      <c r="O370" s="13">
        <v>16.959700000000002</v>
      </c>
      <c r="P370" s="17">
        <v>5.36</v>
      </c>
      <c r="Q370" s="469">
        <f t="shared" si="494"/>
        <v>0</v>
      </c>
      <c r="R370" s="469">
        <v>0</v>
      </c>
      <c r="S370" s="460">
        <v>0</v>
      </c>
      <c r="T370" s="460">
        <v>0</v>
      </c>
      <c r="U370" s="460">
        <v>0</v>
      </c>
      <c r="V370" s="460">
        <f>SUM(Q370:U370)</f>
        <v>0</v>
      </c>
      <c r="W370" s="460">
        <v>0</v>
      </c>
      <c r="X370" s="460">
        <v>0</v>
      </c>
      <c r="Y370" s="460">
        <v>0</v>
      </c>
      <c r="Z370" s="460">
        <f t="shared" ref="Z370:Z372" si="552">SUM(W370:Y370)</f>
        <v>0</v>
      </c>
      <c r="AA370" s="460">
        <f t="shared" ref="AA370:AA372" si="553">V370+Z370</f>
        <v>0</v>
      </c>
      <c r="AB370" s="69">
        <f t="shared" ref="AB370:AB372" si="554">ROUND((V370+W370+X370)*33.8%,0)</f>
        <v>0</v>
      </c>
      <c r="AC370" s="69">
        <f t="shared" ref="AC370:AC372" si="555">ROUND(V370*1%,0)</f>
        <v>0</v>
      </c>
      <c r="AD370" s="460">
        <v>0</v>
      </c>
      <c r="AE370" s="460">
        <v>0</v>
      </c>
      <c r="AF370" s="460">
        <f>SUM(AD370:AE370)</f>
        <v>0</v>
      </c>
      <c r="AG370" s="460">
        <f>AA370+AB370+AC370+AF370</f>
        <v>0</v>
      </c>
      <c r="AH370" s="461">
        <v>0</v>
      </c>
      <c r="AI370" s="461">
        <v>0</v>
      </c>
      <c r="AJ370" s="461">
        <v>0</v>
      </c>
      <c r="AK370" s="461">
        <v>0</v>
      </c>
      <c r="AL370" s="461">
        <v>0</v>
      </c>
      <c r="AM370" s="461">
        <v>0</v>
      </c>
      <c r="AN370" s="461">
        <v>0</v>
      </c>
      <c r="AO370" s="461">
        <v>0</v>
      </c>
      <c r="AP370" s="461">
        <f t="shared" si="499"/>
        <v>0</v>
      </c>
      <c r="AQ370" s="461">
        <f t="shared" si="500"/>
        <v>0</v>
      </c>
      <c r="AR370" s="737">
        <f t="shared" si="501"/>
        <v>0</v>
      </c>
      <c r="AS370" s="470">
        <f t="shared" si="502"/>
        <v>14853056</v>
      </c>
      <c r="AT370" s="460">
        <f t="shared" si="503"/>
        <v>10963691</v>
      </c>
      <c r="AU370" s="460">
        <f t="shared" si="504"/>
        <v>0</v>
      </c>
      <c r="AV370" s="460">
        <f t="shared" si="505"/>
        <v>3705728</v>
      </c>
      <c r="AW370" s="460">
        <f t="shared" si="506"/>
        <v>109637</v>
      </c>
      <c r="AX370" s="460">
        <f t="shared" si="507"/>
        <v>74000</v>
      </c>
      <c r="AY370" s="461">
        <f t="shared" si="508"/>
        <v>22.319700000000001</v>
      </c>
      <c r="AZ370" s="461">
        <f t="shared" si="509"/>
        <v>16.959700000000002</v>
      </c>
      <c r="BA370" s="463">
        <f t="shared" si="510"/>
        <v>5.36</v>
      </c>
    </row>
    <row r="371" spans="1:53" ht="14.1" customHeight="1" x14ac:dyDescent="0.2">
      <c r="A371" s="67">
        <v>74</v>
      </c>
      <c r="B371" s="64">
        <v>2405</v>
      </c>
      <c r="C371" s="65">
        <v>600079023</v>
      </c>
      <c r="D371" s="64">
        <v>72741881</v>
      </c>
      <c r="E371" s="66" t="s">
        <v>702</v>
      </c>
      <c r="F371" s="67">
        <v>3111</v>
      </c>
      <c r="G371" s="78" t="s">
        <v>308</v>
      </c>
      <c r="H371" s="68" t="s">
        <v>278</v>
      </c>
      <c r="I371" s="462">
        <v>0</v>
      </c>
      <c r="J371" s="457">
        <v>0</v>
      </c>
      <c r="K371" s="457">
        <v>0</v>
      </c>
      <c r="L371" s="457">
        <v>0</v>
      </c>
      <c r="M371" s="457">
        <v>0</v>
      </c>
      <c r="N371" s="458">
        <v>0</v>
      </c>
      <c r="O371" s="459">
        <v>0</v>
      </c>
      <c r="P371" s="646">
        <v>0</v>
      </c>
      <c r="Q371" s="469">
        <f t="shared" si="494"/>
        <v>0</v>
      </c>
      <c r="R371" s="469">
        <v>346447</v>
      </c>
      <c r="S371" s="460">
        <v>0</v>
      </c>
      <c r="T371" s="460">
        <v>0</v>
      </c>
      <c r="U371" s="460">
        <v>0</v>
      </c>
      <c r="V371" s="460">
        <f>SUM(Q371:U371)</f>
        <v>346447</v>
      </c>
      <c r="W371" s="460">
        <v>0</v>
      </c>
      <c r="X371" s="460">
        <v>0</v>
      </c>
      <c r="Y371" s="460">
        <v>0</v>
      </c>
      <c r="Z371" s="460">
        <f t="shared" si="552"/>
        <v>0</v>
      </c>
      <c r="AA371" s="460">
        <f t="shared" si="553"/>
        <v>346447</v>
      </c>
      <c r="AB371" s="69">
        <f t="shared" si="554"/>
        <v>117099</v>
      </c>
      <c r="AC371" s="69">
        <f t="shared" si="555"/>
        <v>3464</v>
      </c>
      <c r="AD371" s="460">
        <v>0</v>
      </c>
      <c r="AE371" s="460">
        <v>0</v>
      </c>
      <c r="AF371" s="460">
        <f>SUM(AD371:AE371)</f>
        <v>0</v>
      </c>
      <c r="AG371" s="460">
        <f>AA371+AB371+AC371+AF371</f>
        <v>467010</v>
      </c>
      <c r="AH371" s="461">
        <v>0</v>
      </c>
      <c r="AI371" s="461">
        <v>0</v>
      </c>
      <c r="AJ371" s="461">
        <v>1</v>
      </c>
      <c r="AK371" s="461">
        <v>0</v>
      </c>
      <c r="AL371" s="461">
        <v>0</v>
      </c>
      <c r="AM371" s="461">
        <v>0</v>
      </c>
      <c r="AN371" s="461">
        <v>0</v>
      </c>
      <c r="AO371" s="461">
        <v>0</v>
      </c>
      <c r="AP371" s="461">
        <f t="shared" si="499"/>
        <v>1</v>
      </c>
      <c r="AQ371" s="461">
        <f t="shared" si="500"/>
        <v>0</v>
      </c>
      <c r="AR371" s="737">
        <f t="shared" si="501"/>
        <v>1</v>
      </c>
      <c r="AS371" s="470">
        <f t="shared" si="502"/>
        <v>467010</v>
      </c>
      <c r="AT371" s="460">
        <f t="shared" si="503"/>
        <v>346447</v>
      </c>
      <c r="AU371" s="460">
        <f t="shared" si="504"/>
        <v>0</v>
      </c>
      <c r="AV371" s="460">
        <f t="shared" si="505"/>
        <v>117099</v>
      </c>
      <c r="AW371" s="460">
        <f t="shared" si="506"/>
        <v>3464</v>
      </c>
      <c r="AX371" s="460">
        <f t="shared" si="507"/>
        <v>0</v>
      </c>
      <c r="AY371" s="461">
        <f t="shared" si="508"/>
        <v>1</v>
      </c>
      <c r="AZ371" s="461">
        <f t="shared" si="509"/>
        <v>1</v>
      </c>
      <c r="BA371" s="463">
        <f t="shared" si="510"/>
        <v>0</v>
      </c>
    </row>
    <row r="372" spans="1:53" ht="14.1" customHeight="1" x14ac:dyDescent="0.2">
      <c r="A372" s="67">
        <v>74</v>
      </c>
      <c r="B372" s="64">
        <v>2405</v>
      </c>
      <c r="C372" s="65">
        <v>600079023</v>
      </c>
      <c r="D372" s="64">
        <v>72741881</v>
      </c>
      <c r="E372" s="66" t="s">
        <v>702</v>
      </c>
      <c r="F372" s="67">
        <v>3141</v>
      </c>
      <c r="G372" s="66" t="s">
        <v>311</v>
      </c>
      <c r="H372" s="68" t="s">
        <v>278</v>
      </c>
      <c r="I372" s="462">
        <v>1276094</v>
      </c>
      <c r="J372" s="457">
        <v>941350</v>
      </c>
      <c r="K372" s="457">
        <v>318176</v>
      </c>
      <c r="L372" s="457">
        <v>9414</v>
      </c>
      <c r="M372" s="457">
        <v>7154</v>
      </c>
      <c r="N372" s="458">
        <v>3.03</v>
      </c>
      <c r="O372" s="459">
        <v>0</v>
      </c>
      <c r="P372" s="646">
        <v>3.03</v>
      </c>
      <c r="Q372" s="469">
        <f t="shared" si="494"/>
        <v>0</v>
      </c>
      <c r="R372" s="469">
        <v>0</v>
      </c>
      <c r="S372" s="460">
        <v>0</v>
      </c>
      <c r="T372" s="460">
        <v>0</v>
      </c>
      <c r="U372" s="460">
        <v>0</v>
      </c>
      <c r="V372" s="460">
        <f>SUM(Q372:U372)</f>
        <v>0</v>
      </c>
      <c r="W372" s="460">
        <v>0</v>
      </c>
      <c r="X372" s="460">
        <v>0</v>
      </c>
      <c r="Y372" s="460">
        <v>0</v>
      </c>
      <c r="Z372" s="460">
        <f t="shared" si="552"/>
        <v>0</v>
      </c>
      <c r="AA372" s="460">
        <f t="shared" si="553"/>
        <v>0</v>
      </c>
      <c r="AB372" s="69">
        <f t="shared" si="554"/>
        <v>0</v>
      </c>
      <c r="AC372" s="69">
        <f t="shared" si="555"/>
        <v>0</v>
      </c>
      <c r="AD372" s="460">
        <v>0</v>
      </c>
      <c r="AE372" s="460">
        <v>0</v>
      </c>
      <c r="AF372" s="460">
        <f>SUM(AD372:AE372)</f>
        <v>0</v>
      </c>
      <c r="AG372" s="460">
        <f>AA372+AB372+AC372+AF372</f>
        <v>0</v>
      </c>
      <c r="AH372" s="461">
        <v>0</v>
      </c>
      <c r="AI372" s="461">
        <v>0</v>
      </c>
      <c r="AJ372" s="461">
        <v>0</v>
      </c>
      <c r="AK372" s="461">
        <v>0</v>
      </c>
      <c r="AL372" s="461">
        <v>0</v>
      </c>
      <c r="AM372" s="461">
        <v>0</v>
      </c>
      <c r="AN372" s="461">
        <v>0</v>
      </c>
      <c r="AO372" s="461">
        <v>0</v>
      </c>
      <c r="AP372" s="461">
        <f t="shared" si="499"/>
        <v>0</v>
      </c>
      <c r="AQ372" s="461">
        <f t="shared" si="500"/>
        <v>0</v>
      </c>
      <c r="AR372" s="737">
        <f t="shared" si="501"/>
        <v>0</v>
      </c>
      <c r="AS372" s="470">
        <f t="shared" si="502"/>
        <v>1276094</v>
      </c>
      <c r="AT372" s="460">
        <f t="shared" si="503"/>
        <v>941350</v>
      </c>
      <c r="AU372" s="460">
        <f t="shared" si="504"/>
        <v>0</v>
      </c>
      <c r="AV372" s="460">
        <f t="shared" si="505"/>
        <v>318176</v>
      </c>
      <c r="AW372" s="460">
        <f t="shared" si="506"/>
        <v>9414</v>
      </c>
      <c r="AX372" s="460">
        <f t="shared" si="507"/>
        <v>7154</v>
      </c>
      <c r="AY372" s="461">
        <f t="shared" si="508"/>
        <v>3.03</v>
      </c>
      <c r="AZ372" s="461">
        <f t="shared" si="509"/>
        <v>0</v>
      </c>
      <c r="BA372" s="463">
        <f t="shared" si="510"/>
        <v>3.03</v>
      </c>
    </row>
    <row r="373" spans="1:53" ht="14.1" customHeight="1" x14ac:dyDescent="0.2">
      <c r="A373" s="73">
        <v>74</v>
      </c>
      <c r="B373" s="70">
        <v>2405</v>
      </c>
      <c r="C373" s="71">
        <v>600079023</v>
      </c>
      <c r="D373" s="70">
        <v>72741881</v>
      </c>
      <c r="E373" s="72" t="s">
        <v>703</v>
      </c>
      <c r="F373" s="73"/>
      <c r="G373" s="72"/>
      <c r="H373" s="74"/>
      <c r="I373" s="701">
        <f t="shared" ref="I373:P373" si="556">SUM(I370:I372)</f>
        <v>16129150</v>
      </c>
      <c r="J373" s="75">
        <f t="shared" si="556"/>
        <v>11905041</v>
      </c>
      <c r="K373" s="75">
        <f t="shared" si="556"/>
        <v>4023904</v>
      </c>
      <c r="L373" s="75">
        <f t="shared" si="556"/>
        <v>119051</v>
      </c>
      <c r="M373" s="75">
        <f t="shared" si="556"/>
        <v>81154</v>
      </c>
      <c r="N373" s="76">
        <f t="shared" si="556"/>
        <v>25.349700000000002</v>
      </c>
      <c r="O373" s="76">
        <f t="shared" si="556"/>
        <v>16.959700000000002</v>
      </c>
      <c r="P373" s="77">
        <f t="shared" si="556"/>
        <v>8.39</v>
      </c>
      <c r="Q373" s="724">
        <f t="shared" ref="Q373:BA373" si="557">SUM(Q370:Q372)</f>
        <v>0</v>
      </c>
      <c r="R373" s="724">
        <f t="shared" si="557"/>
        <v>346447</v>
      </c>
      <c r="S373" s="75">
        <f t="shared" si="557"/>
        <v>0</v>
      </c>
      <c r="T373" s="75">
        <f t="shared" si="557"/>
        <v>0</v>
      </c>
      <c r="U373" s="75">
        <f t="shared" si="557"/>
        <v>0</v>
      </c>
      <c r="V373" s="75">
        <f t="shared" si="557"/>
        <v>346447</v>
      </c>
      <c r="W373" s="75">
        <f t="shared" si="557"/>
        <v>0</v>
      </c>
      <c r="X373" s="75">
        <f t="shared" si="557"/>
        <v>0</v>
      </c>
      <c r="Y373" s="75">
        <f t="shared" si="557"/>
        <v>0</v>
      </c>
      <c r="Z373" s="75">
        <f t="shared" si="557"/>
        <v>0</v>
      </c>
      <c r="AA373" s="75">
        <f t="shared" si="557"/>
        <v>346447</v>
      </c>
      <c r="AB373" s="75">
        <f t="shared" si="557"/>
        <v>117099</v>
      </c>
      <c r="AC373" s="75">
        <f t="shared" si="557"/>
        <v>3464</v>
      </c>
      <c r="AD373" s="75">
        <f t="shared" si="557"/>
        <v>0</v>
      </c>
      <c r="AE373" s="75">
        <f t="shared" si="557"/>
        <v>0</v>
      </c>
      <c r="AF373" s="75">
        <f t="shared" si="557"/>
        <v>0</v>
      </c>
      <c r="AG373" s="75">
        <f t="shared" si="557"/>
        <v>467010</v>
      </c>
      <c r="AH373" s="76">
        <f t="shared" si="557"/>
        <v>0</v>
      </c>
      <c r="AI373" s="76">
        <f t="shared" si="557"/>
        <v>0</v>
      </c>
      <c r="AJ373" s="76">
        <f t="shared" si="557"/>
        <v>1</v>
      </c>
      <c r="AK373" s="76">
        <f t="shared" si="557"/>
        <v>0</v>
      </c>
      <c r="AL373" s="76">
        <f t="shared" si="557"/>
        <v>0</v>
      </c>
      <c r="AM373" s="76">
        <f t="shared" si="557"/>
        <v>0</v>
      </c>
      <c r="AN373" s="76">
        <f t="shared" si="557"/>
        <v>0</v>
      </c>
      <c r="AO373" s="76">
        <f t="shared" si="557"/>
        <v>0</v>
      </c>
      <c r="AP373" s="76">
        <f t="shared" si="557"/>
        <v>1</v>
      </c>
      <c r="AQ373" s="76">
        <f t="shared" si="557"/>
        <v>0</v>
      </c>
      <c r="AR373" s="720">
        <f t="shared" si="557"/>
        <v>1</v>
      </c>
      <c r="AS373" s="701">
        <f t="shared" si="557"/>
        <v>16596160</v>
      </c>
      <c r="AT373" s="75">
        <f t="shared" si="557"/>
        <v>12251488</v>
      </c>
      <c r="AU373" s="75">
        <f t="shared" si="557"/>
        <v>0</v>
      </c>
      <c r="AV373" s="75">
        <f t="shared" si="557"/>
        <v>4141003</v>
      </c>
      <c r="AW373" s="75">
        <f t="shared" si="557"/>
        <v>122515</v>
      </c>
      <c r="AX373" s="75">
        <f t="shared" si="557"/>
        <v>81154</v>
      </c>
      <c r="AY373" s="76">
        <f t="shared" si="557"/>
        <v>26.349700000000002</v>
      </c>
      <c r="AZ373" s="76">
        <f t="shared" si="557"/>
        <v>17.959700000000002</v>
      </c>
      <c r="BA373" s="77">
        <f t="shared" si="557"/>
        <v>8.39</v>
      </c>
    </row>
    <row r="374" spans="1:53" ht="14.1" customHeight="1" x14ac:dyDescent="0.2">
      <c r="A374" s="67">
        <v>75</v>
      </c>
      <c r="B374" s="64">
        <v>2317</v>
      </c>
      <c r="C374" s="65">
        <v>600080501</v>
      </c>
      <c r="D374" s="64">
        <v>69411123</v>
      </c>
      <c r="E374" s="66" t="s">
        <v>704</v>
      </c>
      <c r="F374" s="67">
        <v>3141</v>
      </c>
      <c r="G374" s="66" t="s">
        <v>311</v>
      </c>
      <c r="H374" s="68" t="s">
        <v>278</v>
      </c>
      <c r="I374" s="462">
        <v>3951506</v>
      </c>
      <c r="J374" s="728">
        <v>2907214</v>
      </c>
      <c r="K374" s="457">
        <v>982638</v>
      </c>
      <c r="L374" s="457">
        <v>29072</v>
      </c>
      <c r="M374" s="728">
        <v>32582</v>
      </c>
      <c r="N374" s="458">
        <v>9.34</v>
      </c>
      <c r="O374" s="459">
        <v>0</v>
      </c>
      <c r="P374" s="646">
        <v>9.34</v>
      </c>
      <c r="Q374" s="469">
        <f t="shared" si="494"/>
        <v>0</v>
      </c>
      <c r="R374" s="469">
        <v>0</v>
      </c>
      <c r="S374" s="460">
        <v>0</v>
      </c>
      <c r="T374" s="460">
        <v>0</v>
      </c>
      <c r="U374" s="460">
        <v>0</v>
      </c>
      <c r="V374" s="460">
        <f>SUM(Q374:U374)</f>
        <v>0</v>
      </c>
      <c r="W374" s="460">
        <v>0</v>
      </c>
      <c r="X374" s="460">
        <v>0</v>
      </c>
      <c r="Y374" s="460">
        <v>0</v>
      </c>
      <c r="Z374" s="460">
        <f t="shared" ref="Z374" si="558">SUM(W374:Y374)</f>
        <v>0</v>
      </c>
      <c r="AA374" s="460">
        <f t="shared" ref="AA374" si="559">V374+Z374</f>
        <v>0</v>
      </c>
      <c r="AB374" s="69">
        <f t="shared" ref="AB374" si="560">ROUND((V374+W374+X374)*33.8%,0)</f>
        <v>0</v>
      </c>
      <c r="AC374" s="69">
        <f>ROUND(V374*1%,0)</f>
        <v>0</v>
      </c>
      <c r="AD374" s="460">
        <v>0</v>
      </c>
      <c r="AE374" s="460">
        <v>0</v>
      </c>
      <c r="AF374" s="460">
        <f>SUM(AD374:AE374)</f>
        <v>0</v>
      </c>
      <c r="AG374" s="460">
        <f>AA374+AB374+AC374+AF374</f>
        <v>0</v>
      </c>
      <c r="AH374" s="461">
        <v>0</v>
      </c>
      <c r="AI374" s="461">
        <v>0</v>
      </c>
      <c r="AJ374" s="461">
        <v>0</v>
      </c>
      <c r="AK374" s="461">
        <v>0</v>
      </c>
      <c r="AL374" s="461">
        <v>0</v>
      </c>
      <c r="AM374" s="461">
        <v>0</v>
      </c>
      <c r="AN374" s="461">
        <v>0</v>
      </c>
      <c r="AO374" s="461">
        <v>1.19</v>
      </c>
      <c r="AP374" s="461">
        <f t="shared" si="499"/>
        <v>0</v>
      </c>
      <c r="AQ374" s="461">
        <f t="shared" si="500"/>
        <v>1.19</v>
      </c>
      <c r="AR374" s="737">
        <f t="shared" si="501"/>
        <v>1.19</v>
      </c>
      <c r="AS374" s="470">
        <f t="shared" si="502"/>
        <v>3951506</v>
      </c>
      <c r="AT374" s="460">
        <f t="shared" si="503"/>
        <v>2907214</v>
      </c>
      <c r="AU374" s="460">
        <f t="shared" si="504"/>
        <v>0</v>
      </c>
      <c r="AV374" s="460">
        <f t="shared" si="505"/>
        <v>982638</v>
      </c>
      <c r="AW374" s="460">
        <f t="shared" si="506"/>
        <v>29072</v>
      </c>
      <c r="AX374" s="460">
        <f t="shared" si="507"/>
        <v>32582</v>
      </c>
      <c r="AY374" s="461">
        <f t="shared" si="508"/>
        <v>10.53</v>
      </c>
      <c r="AZ374" s="461">
        <f t="shared" si="509"/>
        <v>0</v>
      </c>
      <c r="BA374" s="463">
        <f t="shared" si="510"/>
        <v>10.53</v>
      </c>
    </row>
    <row r="375" spans="1:53" ht="14.1" customHeight="1" x14ac:dyDescent="0.2">
      <c r="A375" s="73">
        <v>75</v>
      </c>
      <c r="B375" s="70">
        <v>2317</v>
      </c>
      <c r="C375" s="71">
        <v>600080501</v>
      </c>
      <c r="D375" s="70">
        <v>69411123</v>
      </c>
      <c r="E375" s="72" t="s">
        <v>705</v>
      </c>
      <c r="F375" s="73"/>
      <c r="G375" s="72"/>
      <c r="H375" s="74"/>
      <c r="I375" s="707">
        <f t="shared" ref="I375:P375" si="561">SUM(I374)</f>
        <v>3951506</v>
      </c>
      <c r="J375" s="83">
        <f t="shared" si="561"/>
        <v>2907214</v>
      </c>
      <c r="K375" s="83">
        <f t="shared" si="561"/>
        <v>982638</v>
      </c>
      <c r="L375" s="83">
        <f t="shared" si="561"/>
        <v>29072</v>
      </c>
      <c r="M375" s="83">
        <f t="shared" si="561"/>
        <v>32582</v>
      </c>
      <c r="N375" s="84">
        <f t="shared" si="561"/>
        <v>9.34</v>
      </c>
      <c r="O375" s="84">
        <f t="shared" si="561"/>
        <v>0</v>
      </c>
      <c r="P375" s="85">
        <f t="shared" si="561"/>
        <v>9.34</v>
      </c>
      <c r="Q375" s="726">
        <f t="shared" ref="Q375:BA375" si="562">SUM(Q374)</f>
        <v>0</v>
      </c>
      <c r="R375" s="726">
        <f t="shared" si="562"/>
        <v>0</v>
      </c>
      <c r="S375" s="83">
        <f t="shared" si="562"/>
        <v>0</v>
      </c>
      <c r="T375" s="83">
        <f t="shared" si="562"/>
        <v>0</v>
      </c>
      <c r="U375" s="83">
        <f t="shared" si="562"/>
        <v>0</v>
      </c>
      <c r="V375" s="83">
        <f t="shared" si="562"/>
        <v>0</v>
      </c>
      <c r="W375" s="83">
        <f t="shared" si="562"/>
        <v>0</v>
      </c>
      <c r="X375" s="83">
        <f t="shared" si="562"/>
        <v>0</v>
      </c>
      <c r="Y375" s="83">
        <f t="shared" si="562"/>
        <v>0</v>
      </c>
      <c r="Z375" s="83">
        <f t="shared" si="562"/>
        <v>0</v>
      </c>
      <c r="AA375" s="83">
        <f t="shared" si="562"/>
        <v>0</v>
      </c>
      <c r="AB375" s="83">
        <f t="shared" si="562"/>
        <v>0</v>
      </c>
      <c r="AC375" s="83">
        <f t="shared" si="562"/>
        <v>0</v>
      </c>
      <c r="AD375" s="83">
        <f t="shared" si="562"/>
        <v>0</v>
      </c>
      <c r="AE375" s="83">
        <f t="shared" si="562"/>
        <v>0</v>
      </c>
      <c r="AF375" s="83">
        <f t="shared" si="562"/>
        <v>0</v>
      </c>
      <c r="AG375" s="83">
        <f t="shared" si="562"/>
        <v>0</v>
      </c>
      <c r="AH375" s="84">
        <f t="shared" si="562"/>
        <v>0</v>
      </c>
      <c r="AI375" s="84">
        <f t="shared" si="562"/>
        <v>0</v>
      </c>
      <c r="AJ375" s="84">
        <f t="shared" si="562"/>
        <v>0</v>
      </c>
      <c r="AK375" s="84">
        <f t="shared" si="562"/>
        <v>0</v>
      </c>
      <c r="AL375" s="84">
        <f t="shared" si="562"/>
        <v>0</v>
      </c>
      <c r="AM375" s="84">
        <f t="shared" si="562"/>
        <v>0</v>
      </c>
      <c r="AN375" s="84">
        <f t="shared" si="562"/>
        <v>0</v>
      </c>
      <c r="AO375" s="84">
        <f t="shared" si="562"/>
        <v>1.19</v>
      </c>
      <c r="AP375" s="84">
        <f t="shared" si="562"/>
        <v>0</v>
      </c>
      <c r="AQ375" s="84">
        <f t="shared" si="562"/>
        <v>1.19</v>
      </c>
      <c r="AR375" s="722">
        <f t="shared" si="562"/>
        <v>1.19</v>
      </c>
      <c r="AS375" s="707">
        <f t="shared" si="562"/>
        <v>3951506</v>
      </c>
      <c r="AT375" s="83">
        <f t="shared" si="562"/>
        <v>2907214</v>
      </c>
      <c r="AU375" s="83">
        <f t="shared" si="562"/>
        <v>0</v>
      </c>
      <c r="AV375" s="83">
        <f t="shared" si="562"/>
        <v>982638</v>
      </c>
      <c r="AW375" s="83">
        <f t="shared" si="562"/>
        <v>29072</v>
      </c>
      <c r="AX375" s="83">
        <f t="shared" si="562"/>
        <v>32582</v>
      </c>
      <c r="AY375" s="84">
        <f t="shared" si="562"/>
        <v>10.53</v>
      </c>
      <c r="AZ375" s="84">
        <f t="shared" si="562"/>
        <v>0</v>
      </c>
      <c r="BA375" s="85">
        <f t="shared" si="562"/>
        <v>10.53</v>
      </c>
    </row>
    <row r="376" spans="1:53" ht="14.1" customHeight="1" x14ac:dyDescent="0.2">
      <c r="A376" s="67">
        <v>76</v>
      </c>
      <c r="B376" s="64">
        <v>2461</v>
      </c>
      <c r="C376" s="65">
        <v>600079805</v>
      </c>
      <c r="D376" s="64">
        <v>72741724</v>
      </c>
      <c r="E376" s="66" t="s">
        <v>706</v>
      </c>
      <c r="F376" s="67">
        <v>3111</v>
      </c>
      <c r="G376" s="66" t="s">
        <v>307</v>
      </c>
      <c r="H376" s="68" t="s">
        <v>277</v>
      </c>
      <c r="I376" s="462">
        <v>1520626</v>
      </c>
      <c r="J376" s="16">
        <v>1122126</v>
      </c>
      <c r="K376" s="457">
        <v>379279</v>
      </c>
      <c r="L376" s="457">
        <v>11221</v>
      </c>
      <c r="M376" s="16">
        <v>8000</v>
      </c>
      <c r="N376" s="13">
        <v>2.3760999999999997</v>
      </c>
      <c r="O376" s="13">
        <v>2.0160999999999998</v>
      </c>
      <c r="P376" s="17">
        <v>0.36</v>
      </c>
      <c r="Q376" s="469">
        <f t="shared" si="494"/>
        <v>0</v>
      </c>
      <c r="R376" s="469">
        <v>0</v>
      </c>
      <c r="S376" s="460">
        <v>0</v>
      </c>
      <c r="T376" s="460">
        <v>0</v>
      </c>
      <c r="U376" s="460">
        <v>0</v>
      </c>
      <c r="V376" s="460">
        <f t="shared" ref="V376:V381" si="563">SUM(Q376:U376)</f>
        <v>0</v>
      </c>
      <c r="W376" s="460">
        <v>0</v>
      </c>
      <c r="X376" s="460">
        <v>0</v>
      </c>
      <c r="Y376" s="460">
        <v>0</v>
      </c>
      <c r="Z376" s="460">
        <f t="shared" ref="Z376:Z381" si="564">SUM(W376:Y376)</f>
        <v>0</v>
      </c>
      <c r="AA376" s="460">
        <f t="shared" ref="AA376:AA381" si="565">V376+Z376</f>
        <v>0</v>
      </c>
      <c r="AB376" s="69">
        <f t="shared" ref="AB376:AB381" si="566">ROUND((V376+W376+X376)*33.8%,0)</f>
        <v>0</v>
      </c>
      <c r="AC376" s="69">
        <f t="shared" ref="AC376:AC381" si="567">ROUND(V376*1%,0)</f>
        <v>0</v>
      </c>
      <c r="AD376" s="460">
        <v>0</v>
      </c>
      <c r="AE376" s="460">
        <v>0</v>
      </c>
      <c r="AF376" s="460">
        <f t="shared" ref="AF376:AF381" si="568">SUM(AD376:AE376)</f>
        <v>0</v>
      </c>
      <c r="AG376" s="460">
        <f t="shared" ref="AG376:AG381" si="569">AA376+AB376+AC376+AF376</f>
        <v>0</v>
      </c>
      <c r="AH376" s="461">
        <v>0</v>
      </c>
      <c r="AI376" s="461">
        <v>0</v>
      </c>
      <c r="AJ376" s="461">
        <v>0</v>
      </c>
      <c r="AK376" s="461">
        <v>0</v>
      </c>
      <c r="AL376" s="461">
        <v>0</v>
      </c>
      <c r="AM376" s="461">
        <v>0</v>
      </c>
      <c r="AN376" s="461">
        <v>0</v>
      </c>
      <c r="AO376" s="461">
        <v>0</v>
      </c>
      <c r="AP376" s="461">
        <f t="shared" si="499"/>
        <v>0</v>
      </c>
      <c r="AQ376" s="461">
        <f t="shared" si="500"/>
        <v>0</v>
      </c>
      <c r="AR376" s="737">
        <f t="shared" si="501"/>
        <v>0</v>
      </c>
      <c r="AS376" s="470">
        <f t="shared" si="502"/>
        <v>1520626</v>
      </c>
      <c r="AT376" s="460">
        <f t="shared" si="503"/>
        <v>1122126</v>
      </c>
      <c r="AU376" s="460">
        <f t="shared" si="504"/>
        <v>0</v>
      </c>
      <c r="AV376" s="460">
        <f t="shared" si="505"/>
        <v>379279</v>
      </c>
      <c r="AW376" s="460">
        <f t="shared" si="506"/>
        <v>11221</v>
      </c>
      <c r="AX376" s="460">
        <f t="shared" si="507"/>
        <v>8000</v>
      </c>
      <c r="AY376" s="461">
        <f t="shared" si="508"/>
        <v>2.3760999999999997</v>
      </c>
      <c r="AZ376" s="461">
        <f t="shared" si="509"/>
        <v>2.0160999999999998</v>
      </c>
      <c r="BA376" s="463">
        <f t="shared" si="510"/>
        <v>0.36</v>
      </c>
    </row>
    <row r="377" spans="1:53" ht="14.1" customHeight="1" x14ac:dyDescent="0.2">
      <c r="A377" s="67">
        <v>76</v>
      </c>
      <c r="B377" s="64">
        <v>2461</v>
      </c>
      <c r="C377" s="65">
        <v>600079805</v>
      </c>
      <c r="D377" s="64">
        <v>72741724</v>
      </c>
      <c r="E377" s="66" t="s">
        <v>706</v>
      </c>
      <c r="F377" s="67">
        <v>3117</v>
      </c>
      <c r="G377" s="66" t="s">
        <v>310</v>
      </c>
      <c r="H377" s="68" t="s">
        <v>277</v>
      </c>
      <c r="I377" s="462">
        <v>2492924</v>
      </c>
      <c r="J377" s="16">
        <v>1824184</v>
      </c>
      <c r="K377" s="457">
        <v>616573</v>
      </c>
      <c r="L377" s="457">
        <v>18242</v>
      </c>
      <c r="M377" s="16">
        <v>33925</v>
      </c>
      <c r="N377" s="13">
        <v>3.3412999999999999</v>
      </c>
      <c r="O377" s="13">
        <v>2.5455000000000001</v>
      </c>
      <c r="P377" s="17">
        <v>0.79579999999999995</v>
      </c>
      <c r="Q377" s="469">
        <f t="shared" si="494"/>
        <v>-89700</v>
      </c>
      <c r="R377" s="469">
        <v>0</v>
      </c>
      <c r="S377" s="460">
        <v>0</v>
      </c>
      <c r="T377" s="460">
        <v>0</v>
      </c>
      <c r="U377" s="460">
        <v>0</v>
      </c>
      <c r="V377" s="460">
        <f t="shared" si="563"/>
        <v>-89700</v>
      </c>
      <c r="W377" s="460">
        <v>89700</v>
      </c>
      <c r="X377" s="460">
        <v>0</v>
      </c>
      <c r="Y377" s="460">
        <v>0</v>
      </c>
      <c r="Z377" s="460">
        <f t="shared" si="564"/>
        <v>89700</v>
      </c>
      <c r="AA377" s="460">
        <f t="shared" si="565"/>
        <v>0</v>
      </c>
      <c r="AB377" s="69">
        <f t="shared" si="566"/>
        <v>0</v>
      </c>
      <c r="AC377" s="69">
        <f t="shared" si="567"/>
        <v>-897</v>
      </c>
      <c r="AD377" s="460">
        <v>0</v>
      </c>
      <c r="AE377" s="460">
        <v>0</v>
      </c>
      <c r="AF377" s="460">
        <f t="shared" si="568"/>
        <v>0</v>
      </c>
      <c r="AG377" s="460">
        <f t="shared" si="569"/>
        <v>-897</v>
      </c>
      <c r="AH377" s="461">
        <v>-0.14000000000000001</v>
      </c>
      <c r="AI377" s="461">
        <v>0</v>
      </c>
      <c r="AJ377" s="461">
        <v>0</v>
      </c>
      <c r="AK377" s="461">
        <v>0</v>
      </c>
      <c r="AL377" s="461">
        <v>0</v>
      </c>
      <c r="AM377" s="461">
        <v>0</v>
      </c>
      <c r="AN377" s="461">
        <v>0</v>
      </c>
      <c r="AO377" s="461">
        <v>0</v>
      </c>
      <c r="AP377" s="461">
        <f t="shared" si="499"/>
        <v>-0.14000000000000001</v>
      </c>
      <c r="AQ377" s="461">
        <f t="shared" si="500"/>
        <v>0</v>
      </c>
      <c r="AR377" s="737">
        <f t="shared" si="501"/>
        <v>-0.14000000000000001</v>
      </c>
      <c r="AS377" s="470">
        <f t="shared" si="502"/>
        <v>2492027</v>
      </c>
      <c r="AT377" s="460">
        <f t="shared" si="503"/>
        <v>1734484</v>
      </c>
      <c r="AU377" s="460">
        <f t="shared" si="504"/>
        <v>89700</v>
      </c>
      <c r="AV377" s="460">
        <f t="shared" si="505"/>
        <v>616573</v>
      </c>
      <c r="AW377" s="460">
        <f t="shared" si="506"/>
        <v>17345</v>
      </c>
      <c r="AX377" s="460">
        <f t="shared" si="507"/>
        <v>33925</v>
      </c>
      <c r="AY377" s="461">
        <f t="shared" si="508"/>
        <v>3.2012999999999998</v>
      </c>
      <c r="AZ377" s="461">
        <f t="shared" si="509"/>
        <v>2.4055</v>
      </c>
      <c r="BA377" s="463">
        <f t="shared" si="510"/>
        <v>0.79579999999999995</v>
      </c>
    </row>
    <row r="378" spans="1:53" ht="14.1" customHeight="1" x14ac:dyDescent="0.2">
      <c r="A378" s="67">
        <v>76</v>
      </c>
      <c r="B378" s="64">
        <v>2461</v>
      </c>
      <c r="C378" s="65">
        <v>600079805</v>
      </c>
      <c r="D378" s="64">
        <v>72741724</v>
      </c>
      <c r="E378" s="66" t="s">
        <v>706</v>
      </c>
      <c r="F378" s="67">
        <v>3117</v>
      </c>
      <c r="G378" s="78" t="s">
        <v>308</v>
      </c>
      <c r="H378" s="68" t="s">
        <v>278</v>
      </c>
      <c r="I378" s="462">
        <v>0</v>
      </c>
      <c r="J378" s="457">
        <v>0</v>
      </c>
      <c r="K378" s="457">
        <v>0</v>
      </c>
      <c r="L378" s="457">
        <v>0</v>
      </c>
      <c r="M378" s="457">
        <v>0</v>
      </c>
      <c r="N378" s="458">
        <v>0</v>
      </c>
      <c r="O378" s="459">
        <v>0</v>
      </c>
      <c r="P378" s="646">
        <v>0</v>
      </c>
      <c r="Q378" s="469">
        <f t="shared" si="494"/>
        <v>0</v>
      </c>
      <c r="R378" s="469">
        <v>814427</v>
      </c>
      <c r="S378" s="460">
        <v>0</v>
      </c>
      <c r="T378" s="460">
        <v>0</v>
      </c>
      <c r="U378" s="460">
        <v>0</v>
      </c>
      <c r="V378" s="460">
        <f t="shared" si="563"/>
        <v>814427</v>
      </c>
      <c r="W378" s="460">
        <v>0</v>
      </c>
      <c r="X378" s="460">
        <v>0</v>
      </c>
      <c r="Y378" s="460">
        <v>0</v>
      </c>
      <c r="Z378" s="460">
        <f t="shared" si="564"/>
        <v>0</v>
      </c>
      <c r="AA378" s="460">
        <f t="shared" si="565"/>
        <v>814427</v>
      </c>
      <c r="AB378" s="69">
        <f t="shared" si="566"/>
        <v>275276</v>
      </c>
      <c r="AC378" s="69">
        <f t="shared" si="567"/>
        <v>8144</v>
      </c>
      <c r="AD378" s="460">
        <v>0</v>
      </c>
      <c r="AE378" s="460">
        <v>0</v>
      </c>
      <c r="AF378" s="460">
        <f t="shared" si="568"/>
        <v>0</v>
      </c>
      <c r="AG378" s="460">
        <f t="shared" si="569"/>
        <v>1097847</v>
      </c>
      <c r="AH378" s="461">
        <v>0</v>
      </c>
      <c r="AI378" s="461">
        <v>0</v>
      </c>
      <c r="AJ378" s="461">
        <v>2.2399999999999998</v>
      </c>
      <c r="AK378" s="461">
        <v>0</v>
      </c>
      <c r="AL378" s="461">
        <v>0</v>
      </c>
      <c r="AM378" s="461">
        <v>0</v>
      </c>
      <c r="AN378" s="461">
        <v>0</v>
      </c>
      <c r="AO378" s="461">
        <v>0</v>
      </c>
      <c r="AP378" s="461">
        <f t="shared" si="499"/>
        <v>2.2399999999999998</v>
      </c>
      <c r="AQ378" s="461">
        <f t="shared" si="500"/>
        <v>0</v>
      </c>
      <c r="AR378" s="737">
        <f t="shared" si="501"/>
        <v>2.2399999999999998</v>
      </c>
      <c r="AS378" s="470">
        <f t="shared" si="502"/>
        <v>1097847</v>
      </c>
      <c r="AT378" s="460">
        <f t="shared" si="503"/>
        <v>814427</v>
      </c>
      <c r="AU378" s="460">
        <f t="shared" si="504"/>
        <v>0</v>
      </c>
      <c r="AV378" s="460">
        <f t="shared" si="505"/>
        <v>275276</v>
      </c>
      <c r="AW378" s="460">
        <f t="shared" si="506"/>
        <v>8144</v>
      </c>
      <c r="AX378" s="460">
        <f t="shared" si="507"/>
        <v>0</v>
      </c>
      <c r="AY378" s="461">
        <f t="shared" si="508"/>
        <v>2.2399999999999998</v>
      </c>
      <c r="AZ378" s="461">
        <f t="shared" si="509"/>
        <v>2.2399999999999998</v>
      </c>
      <c r="BA378" s="463">
        <f t="shared" si="510"/>
        <v>0</v>
      </c>
    </row>
    <row r="379" spans="1:53" ht="14.1" customHeight="1" x14ac:dyDescent="0.2">
      <c r="A379" s="67">
        <v>76</v>
      </c>
      <c r="B379" s="64">
        <v>2461</v>
      </c>
      <c r="C379" s="65">
        <v>600079805</v>
      </c>
      <c r="D379" s="64">
        <v>72741724</v>
      </c>
      <c r="E379" s="66" t="s">
        <v>706</v>
      </c>
      <c r="F379" s="67">
        <v>3141</v>
      </c>
      <c r="G379" s="66" t="s">
        <v>311</v>
      </c>
      <c r="H379" s="68" t="s">
        <v>278</v>
      </c>
      <c r="I379" s="462">
        <v>581143</v>
      </c>
      <c r="J379" s="728">
        <v>429495</v>
      </c>
      <c r="K379" s="457">
        <v>145169</v>
      </c>
      <c r="L379" s="457">
        <v>4295</v>
      </c>
      <c r="M379" s="728">
        <v>2184</v>
      </c>
      <c r="N379" s="458">
        <v>1.38</v>
      </c>
      <c r="O379" s="459">
        <v>0</v>
      </c>
      <c r="P379" s="646">
        <v>1.38</v>
      </c>
      <c r="Q379" s="469">
        <f t="shared" si="494"/>
        <v>0</v>
      </c>
      <c r="R379" s="469">
        <v>0</v>
      </c>
      <c r="S379" s="460">
        <v>0</v>
      </c>
      <c r="T379" s="460">
        <v>0</v>
      </c>
      <c r="U379" s="460">
        <v>0</v>
      </c>
      <c r="V379" s="460">
        <f t="shared" si="563"/>
        <v>0</v>
      </c>
      <c r="W379" s="460">
        <v>0</v>
      </c>
      <c r="X379" s="460">
        <v>0</v>
      </c>
      <c r="Y379" s="460">
        <v>0</v>
      </c>
      <c r="Z379" s="460">
        <f t="shared" si="564"/>
        <v>0</v>
      </c>
      <c r="AA379" s="460">
        <f t="shared" si="565"/>
        <v>0</v>
      </c>
      <c r="AB379" s="69">
        <f t="shared" si="566"/>
        <v>0</v>
      </c>
      <c r="AC379" s="69">
        <f t="shared" si="567"/>
        <v>0</v>
      </c>
      <c r="AD379" s="460">
        <v>0</v>
      </c>
      <c r="AE379" s="460">
        <v>0</v>
      </c>
      <c r="AF379" s="460">
        <f t="shared" si="568"/>
        <v>0</v>
      </c>
      <c r="AG379" s="460">
        <f t="shared" si="569"/>
        <v>0</v>
      </c>
      <c r="AH379" s="461">
        <v>0</v>
      </c>
      <c r="AI379" s="461">
        <v>0</v>
      </c>
      <c r="AJ379" s="461">
        <v>0</v>
      </c>
      <c r="AK379" s="461">
        <v>0</v>
      </c>
      <c r="AL379" s="461">
        <v>0</v>
      </c>
      <c r="AM379" s="461">
        <v>0</v>
      </c>
      <c r="AN379" s="461">
        <v>0</v>
      </c>
      <c r="AO379" s="461">
        <v>0</v>
      </c>
      <c r="AP379" s="461">
        <f t="shared" si="499"/>
        <v>0</v>
      </c>
      <c r="AQ379" s="461">
        <f t="shared" si="500"/>
        <v>0</v>
      </c>
      <c r="AR379" s="737">
        <f t="shared" si="501"/>
        <v>0</v>
      </c>
      <c r="AS379" s="470">
        <f t="shared" si="502"/>
        <v>581143</v>
      </c>
      <c r="AT379" s="460">
        <f t="shared" si="503"/>
        <v>429495</v>
      </c>
      <c r="AU379" s="460">
        <f t="shared" si="504"/>
        <v>0</v>
      </c>
      <c r="AV379" s="460">
        <f t="shared" si="505"/>
        <v>145169</v>
      </c>
      <c r="AW379" s="460">
        <f t="shared" si="506"/>
        <v>4295</v>
      </c>
      <c r="AX379" s="460">
        <f t="shared" si="507"/>
        <v>2184</v>
      </c>
      <c r="AY379" s="461">
        <f t="shared" si="508"/>
        <v>1.38</v>
      </c>
      <c r="AZ379" s="461">
        <f t="shared" si="509"/>
        <v>0</v>
      </c>
      <c r="BA379" s="463">
        <f t="shared" si="510"/>
        <v>1.38</v>
      </c>
    </row>
    <row r="380" spans="1:53" ht="14.1" customHeight="1" x14ac:dyDescent="0.2">
      <c r="A380" s="67">
        <v>76</v>
      </c>
      <c r="B380" s="64">
        <v>2461</v>
      </c>
      <c r="C380" s="65">
        <v>600079805</v>
      </c>
      <c r="D380" s="64">
        <v>72741724</v>
      </c>
      <c r="E380" s="66" t="s">
        <v>706</v>
      </c>
      <c r="F380" s="67">
        <v>3143</v>
      </c>
      <c r="G380" s="78" t="s">
        <v>616</v>
      </c>
      <c r="H380" s="68" t="s">
        <v>277</v>
      </c>
      <c r="I380" s="462">
        <v>611875</v>
      </c>
      <c r="J380" s="16">
        <v>453913</v>
      </c>
      <c r="K380" s="457">
        <v>153423</v>
      </c>
      <c r="L380" s="457">
        <v>4539</v>
      </c>
      <c r="M380" s="16">
        <v>0</v>
      </c>
      <c r="N380" s="458">
        <v>1</v>
      </c>
      <c r="O380" s="13">
        <v>1</v>
      </c>
      <c r="P380" s="17">
        <v>0</v>
      </c>
      <c r="Q380" s="469">
        <f t="shared" si="494"/>
        <v>0</v>
      </c>
      <c r="R380" s="469">
        <v>0</v>
      </c>
      <c r="S380" s="460">
        <v>0</v>
      </c>
      <c r="T380" s="460">
        <v>0</v>
      </c>
      <c r="U380" s="460">
        <v>0</v>
      </c>
      <c r="V380" s="460">
        <f t="shared" si="563"/>
        <v>0</v>
      </c>
      <c r="W380" s="460">
        <v>0</v>
      </c>
      <c r="X380" s="460">
        <v>0</v>
      </c>
      <c r="Y380" s="460">
        <v>0</v>
      </c>
      <c r="Z380" s="460">
        <f t="shared" si="564"/>
        <v>0</v>
      </c>
      <c r="AA380" s="460">
        <f t="shared" si="565"/>
        <v>0</v>
      </c>
      <c r="AB380" s="69">
        <f t="shared" si="566"/>
        <v>0</v>
      </c>
      <c r="AC380" s="69">
        <f t="shared" si="567"/>
        <v>0</v>
      </c>
      <c r="AD380" s="460">
        <v>0</v>
      </c>
      <c r="AE380" s="460">
        <v>0</v>
      </c>
      <c r="AF380" s="460">
        <f t="shared" si="568"/>
        <v>0</v>
      </c>
      <c r="AG380" s="460">
        <f t="shared" si="569"/>
        <v>0</v>
      </c>
      <c r="AH380" s="461">
        <v>0</v>
      </c>
      <c r="AI380" s="461">
        <v>0</v>
      </c>
      <c r="AJ380" s="461">
        <v>0</v>
      </c>
      <c r="AK380" s="461">
        <v>0</v>
      </c>
      <c r="AL380" s="461">
        <v>0</v>
      </c>
      <c r="AM380" s="461">
        <v>0</v>
      </c>
      <c r="AN380" s="461">
        <v>0</v>
      </c>
      <c r="AO380" s="461">
        <v>0</v>
      </c>
      <c r="AP380" s="461">
        <f t="shared" si="499"/>
        <v>0</v>
      </c>
      <c r="AQ380" s="461">
        <f t="shared" si="500"/>
        <v>0</v>
      </c>
      <c r="AR380" s="737">
        <f t="shared" si="501"/>
        <v>0</v>
      </c>
      <c r="AS380" s="470">
        <f t="shared" si="502"/>
        <v>611875</v>
      </c>
      <c r="AT380" s="460">
        <f t="shared" si="503"/>
        <v>453913</v>
      </c>
      <c r="AU380" s="460">
        <f t="shared" si="504"/>
        <v>0</v>
      </c>
      <c r="AV380" s="460">
        <f t="shared" si="505"/>
        <v>153423</v>
      </c>
      <c r="AW380" s="460">
        <f t="shared" si="506"/>
        <v>4539</v>
      </c>
      <c r="AX380" s="460">
        <f t="shared" si="507"/>
        <v>0</v>
      </c>
      <c r="AY380" s="461">
        <f t="shared" si="508"/>
        <v>1</v>
      </c>
      <c r="AZ380" s="461">
        <f t="shared" si="509"/>
        <v>1</v>
      </c>
      <c r="BA380" s="463">
        <f t="shared" si="510"/>
        <v>0</v>
      </c>
    </row>
    <row r="381" spans="1:53" ht="14.1" customHeight="1" x14ac:dyDescent="0.2">
      <c r="A381" s="67">
        <v>76</v>
      </c>
      <c r="B381" s="64">
        <v>2461</v>
      </c>
      <c r="C381" s="65">
        <v>600079805</v>
      </c>
      <c r="D381" s="64">
        <v>72741724</v>
      </c>
      <c r="E381" s="66" t="s">
        <v>706</v>
      </c>
      <c r="F381" s="67">
        <v>3143</v>
      </c>
      <c r="G381" s="78" t="s">
        <v>617</v>
      </c>
      <c r="H381" s="68" t="s">
        <v>278</v>
      </c>
      <c r="I381" s="462">
        <v>18324</v>
      </c>
      <c r="J381" s="673">
        <v>13093</v>
      </c>
      <c r="K381" s="457">
        <v>4425</v>
      </c>
      <c r="L381" s="457">
        <v>131</v>
      </c>
      <c r="M381" s="673">
        <v>675</v>
      </c>
      <c r="N381" s="458">
        <v>0.05</v>
      </c>
      <c r="O381" s="459">
        <v>0</v>
      </c>
      <c r="P381" s="717">
        <v>0.05</v>
      </c>
      <c r="Q381" s="469">
        <f t="shared" si="494"/>
        <v>0</v>
      </c>
      <c r="R381" s="469">
        <v>0</v>
      </c>
      <c r="S381" s="460">
        <v>0</v>
      </c>
      <c r="T381" s="460">
        <v>0</v>
      </c>
      <c r="U381" s="460">
        <v>0</v>
      </c>
      <c r="V381" s="460">
        <f t="shared" si="563"/>
        <v>0</v>
      </c>
      <c r="W381" s="460">
        <v>0</v>
      </c>
      <c r="X381" s="460">
        <v>0</v>
      </c>
      <c r="Y381" s="460">
        <v>0</v>
      </c>
      <c r="Z381" s="460">
        <f t="shared" si="564"/>
        <v>0</v>
      </c>
      <c r="AA381" s="460">
        <f t="shared" si="565"/>
        <v>0</v>
      </c>
      <c r="AB381" s="69">
        <f t="shared" si="566"/>
        <v>0</v>
      </c>
      <c r="AC381" s="69">
        <f t="shared" si="567"/>
        <v>0</v>
      </c>
      <c r="AD381" s="460">
        <v>0</v>
      </c>
      <c r="AE381" s="460">
        <v>0</v>
      </c>
      <c r="AF381" s="460">
        <f t="shared" si="568"/>
        <v>0</v>
      </c>
      <c r="AG381" s="460">
        <f t="shared" si="569"/>
        <v>0</v>
      </c>
      <c r="AH381" s="461">
        <v>0</v>
      </c>
      <c r="AI381" s="461">
        <v>0</v>
      </c>
      <c r="AJ381" s="461">
        <v>0</v>
      </c>
      <c r="AK381" s="461">
        <v>0</v>
      </c>
      <c r="AL381" s="461">
        <v>0</v>
      </c>
      <c r="AM381" s="461">
        <v>0</v>
      </c>
      <c r="AN381" s="461">
        <v>0</v>
      </c>
      <c r="AO381" s="461">
        <v>0</v>
      </c>
      <c r="AP381" s="461">
        <f t="shared" si="499"/>
        <v>0</v>
      </c>
      <c r="AQ381" s="461">
        <f t="shared" si="500"/>
        <v>0</v>
      </c>
      <c r="AR381" s="737">
        <f t="shared" si="501"/>
        <v>0</v>
      </c>
      <c r="AS381" s="470">
        <f t="shared" si="502"/>
        <v>18324</v>
      </c>
      <c r="AT381" s="460">
        <f t="shared" si="503"/>
        <v>13093</v>
      </c>
      <c r="AU381" s="460">
        <f t="shared" si="504"/>
        <v>0</v>
      </c>
      <c r="AV381" s="460">
        <f t="shared" si="505"/>
        <v>4425</v>
      </c>
      <c r="AW381" s="460">
        <f t="shared" si="506"/>
        <v>131</v>
      </c>
      <c r="AX381" s="460">
        <f t="shared" si="507"/>
        <v>675</v>
      </c>
      <c r="AY381" s="461">
        <f t="shared" si="508"/>
        <v>0.05</v>
      </c>
      <c r="AZ381" s="461">
        <f t="shared" si="509"/>
        <v>0</v>
      </c>
      <c r="BA381" s="463">
        <f t="shared" si="510"/>
        <v>0.05</v>
      </c>
    </row>
    <row r="382" spans="1:53" ht="14.1" customHeight="1" x14ac:dyDescent="0.2">
      <c r="A382" s="73">
        <v>76</v>
      </c>
      <c r="B382" s="70">
        <v>2461</v>
      </c>
      <c r="C382" s="71">
        <v>600079805</v>
      </c>
      <c r="D382" s="70">
        <v>72741724</v>
      </c>
      <c r="E382" s="72" t="s">
        <v>707</v>
      </c>
      <c r="F382" s="73"/>
      <c r="G382" s="72"/>
      <c r="H382" s="74"/>
      <c r="I382" s="701">
        <f t="shared" ref="I382:P382" si="570">SUM(I376:I381)</f>
        <v>5224892</v>
      </c>
      <c r="J382" s="75">
        <f t="shared" si="570"/>
        <v>3842811</v>
      </c>
      <c r="K382" s="75">
        <f t="shared" si="570"/>
        <v>1298869</v>
      </c>
      <c r="L382" s="75">
        <f t="shared" si="570"/>
        <v>38428</v>
      </c>
      <c r="M382" s="75">
        <f t="shared" si="570"/>
        <v>44784</v>
      </c>
      <c r="N382" s="76">
        <f t="shared" si="570"/>
        <v>8.1474000000000011</v>
      </c>
      <c r="O382" s="76">
        <f t="shared" si="570"/>
        <v>5.5616000000000003</v>
      </c>
      <c r="P382" s="77">
        <f t="shared" si="570"/>
        <v>2.5857999999999999</v>
      </c>
      <c r="Q382" s="724">
        <f t="shared" ref="Q382:BA382" si="571">SUM(Q376:Q381)</f>
        <v>-89700</v>
      </c>
      <c r="R382" s="724">
        <f t="shared" si="571"/>
        <v>814427</v>
      </c>
      <c r="S382" s="75">
        <f t="shared" si="571"/>
        <v>0</v>
      </c>
      <c r="T382" s="75">
        <f t="shared" si="571"/>
        <v>0</v>
      </c>
      <c r="U382" s="75">
        <f t="shared" si="571"/>
        <v>0</v>
      </c>
      <c r="V382" s="75">
        <f t="shared" si="571"/>
        <v>724727</v>
      </c>
      <c r="W382" s="75">
        <f t="shared" si="571"/>
        <v>89700</v>
      </c>
      <c r="X382" s="75">
        <f t="shared" si="571"/>
        <v>0</v>
      </c>
      <c r="Y382" s="75">
        <f t="shared" si="571"/>
        <v>0</v>
      </c>
      <c r="Z382" s="75">
        <f t="shared" si="571"/>
        <v>89700</v>
      </c>
      <c r="AA382" s="75">
        <f t="shared" si="571"/>
        <v>814427</v>
      </c>
      <c r="AB382" s="75">
        <f t="shared" si="571"/>
        <v>275276</v>
      </c>
      <c r="AC382" s="75">
        <f t="shared" si="571"/>
        <v>7247</v>
      </c>
      <c r="AD382" s="75">
        <f t="shared" si="571"/>
        <v>0</v>
      </c>
      <c r="AE382" s="75">
        <f t="shared" si="571"/>
        <v>0</v>
      </c>
      <c r="AF382" s="75">
        <f t="shared" si="571"/>
        <v>0</v>
      </c>
      <c r="AG382" s="75">
        <f t="shared" si="571"/>
        <v>1096950</v>
      </c>
      <c r="AH382" s="76">
        <f t="shared" si="571"/>
        <v>-0.14000000000000001</v>
      </c>
      <c r="AI382" s="76">
        <f t="shared" si="571"/>
        <v>0</v>
      </c>
      <c r="AJ382" s="76">
        <f t="shared" si="571"/>
        <v>2.2399999999999998</v>
      </c>
      <c r="AK382" s="76">
        <f t="shared" si="571"/>
        <v>0</v>
      </c>
      <c r="AL382" s="76">
        <f t="shared" si="571"/>
        <v>0</v>
      </c>
      <c r="AM382" s="76">
        <f t="shared" si="571"/>
        <v>0</v>
      </c>
      <c r="AN382" s="76">
        <f t="shared" si="571"/>
        <v>0</v>
      </c>
      <c r="AO382" s="76">
        <f t="shared" si="571"/>
        <v>0</v>
      </c>
      <c r="AP382" s="76">
        <f t="shared" si="571"/>
        <v>2.0999999999999996</v>
      </c>
      <c r="AQ382" s="76">
        <f t="shared" si="571"/>
        <v>0</v>
      </c>
      <c r="AR382" s="720">
        <f t="shared" si="571"/>
        <v>2.0999999999999996</v>
      </c>
      <c r="AS382" s="701">
        <f t="shared" si="571"/>
        <v>6321842</v>
      </c>
      <c r="AT382" s="75">
        <f t="shared" si="571"/>
        <v>4567538</v>
      </c>
      <c r="AU382" s="75">
        <f t="shared" si="571"/>
        <v>89700</v>
      </c>
      <c r="AV382" s="75">
        <f t="shared" si="571"/>
        <v>1574145</v>
      </c>
      <c r="AW382" s="75">
        <f t="shared" si="571"/>
        <v>45675</v>
      </c>
      <c r="AX382" s="75">
        <f t="shared" si="571"/>
        <v>44784</v>
      </c>
      <c r="AY382" s="76">
        <f t="shared" si="571"/>
        <v>10.247399999999999</v>
      </c>
      <c r="AZ382" s="76">
        <f t="shared" si="571"/>
        <v>7.6616</v>
      </c>
      <c r="BA382" s="77">
        <f t="shared" si="571"/>
        <v>2.5857999999999999</v>
      </c>
    </row>
    <row r="383" spans="1:53" ht="14.1" customHeight="1" x14ac:dyDescent="0.2">
      <c r="A383" s="67">
        <v>77</v>
      </c>
      <c r="B383" s="64">
        <v>2460</v>
      </c>
      <c r="C383" s="65">
        <v>600079783</v>
      </c>
      <c r="D383" s="64">
        <v>72741643</v>
      </c>
      <c r="E383" s="66" t="s">
        <v>708</v>
      </c>
      <c r="F383" s="67">
        <v>3113</v>
      </c>
      <c r="G383" s="66" t="s">
        <v>310</v>
      </c>
      <c r="H383" s="68" t="s">
        <v>277</v>
      </c>
      <c r="I383" s="462">
        <v>44294403</v>
      </c>
      <c r="J383" s="16">
        <v>32236401</v>
      </c>
      <c r="K383" s="457">
        <v>10895903</v>
      </c>
      <c r="L383" s="457">
        <v>322364</v>
      </c>
      <c r="M383" s="16">
        <v>839735</v>
      </c>
      <c r="N383" s="13">
        <v>54.122399999999999</v>
      </c>
      <c r="O383" s="13">
        <v>43.772399999999998</v>
      </c>
      <c r="P383" s="17">
        <v>10.35</v>
      </c>
      <c r="Q383" s="469">
        <f t="shared" si="494"/>
        <v>0</v>
      </c>
      <c r="R383" s="469">
        <v>0</v>
      </c>
      <c r="S383" s="460">
        <v>0</v>
      </c>
      <c r="T383" s="460">
        <v>0</v>
      </c>
      <c r="U383" s="460">
        <v>0</v>
      </c>
      <c r="V383" s="460">
        <f>SUM(Q383:U383)</f>
        <v>0</v>
      </c>
      <c r="W383" s="460">
        <v>0</v>
      </c>
      <c r="X383" s="460">
        <v>0</v>
      </c>
      <c r="Y383" s="460">
        <v>0</v>
      </c>
      <c r="Z383" s="460">
        <f t="shared" ref="Z383:Z387" si="572">SUM(W383:Y383)</f>
        <v>0</v>
      </c>
      <c r="AA383" s="460">
        <f t="shared" ref="AA383:AA387" si="573">V383+Z383</f>
        <v>0</v>
      </c>
      <c r="AB383" s="69">
        <f t="shared" ref="AB383:AB387" si="574">ROUND((V383+W383+X383)*33.8%,0)</f>
        <v>0</v>
      </c>
      <c r="AC383" s="69">
        <f t="shared" ref="AC383:AC387" si="575">ROUND(V383*1%,0)</f>
        <v>0</v>
      </c>
      <c r="AD383" s="460">
        <v>0</v>
      </c>
      <c r="AE383" s="460">
        <v>0</v>
      </c>
      <c r="AF383" s="460">
        <f>SUM(AD383:AE383)</f>
        <v>0</v>
      </c>
      <c r="AG383" s="460">
        <f>AA383+AB383+AC383+AF383</f>
        <v>0</v>
      </c>
      <c r="AH383" s="461">
        <v>0</v>
      </c>
      <c r="AI383" s="461">
        <v>0</v>
      </c>
      <c r="AJ383" s="461">
        <v>0</v>
      </c>
      <c r="AK383" s="461">
        <v>0</v>
      </c>
      <c r="AL383" s="461">
        <v>0</v>
      </c>
      <c r="AM383" s="461">
        <v>0</v>
      </c>
      <c r="AN383" s="461">
        <v>0</v>
      </c>
      <c r="AO383" s="461">
        <v>0</v>
      </c>
      <c r="AP383" s="461">
        <f t="shared" si="499"/>
        <v>0</v>
      </c>
      <c r="AQ383" s="461">
        <f t="shared" si="500"/>
        <v>0</v>
      </c>
      <c r="AR383" s="737">
        <f t="shared" si="501"/>
        <v>0</v>
      </c>
      <c r="AS383" s="470">
        <f t="shared" si="502"/>
        <v>44294403</v>
      </c>
      <c r="AT383" s="460">
        <f t="shared" si="503"/>
        <v>32236401</v>
      </c>
      <c r="AU383" s="460">
        <f t="shared" si="504"/>
        <v>0</v>
      </c>
      <c r="AV383" s="460">
        <f t="shared" si="505"/>
        <v>10895903</v>
      </c>
      <c r="AW383" s="460">
        <f t="shared" si="506"/>
        <v>322364</v>
      </c>
      <c r="AX383" s="460">
        <f t="shared" si="507"/>
        <v>839735</v>
      </c>
      <c r="AY383" s="461">
        <f t="shared" si="508"/>
        <v>54.122399999999999</v>
      </c>
      <c r="AZ383" s="461">
        <f t="shared" si="509"/>
        <v>43.772399999999998</v>
      </c>
      <c r="BA383" s="463">
        <f t="shared" si="510"/>
        <v>10.35</v>
      </c>
    </row>
    <row r="384" spans="1:53" ht="14.1" customHeight="1" x14ac:dyDescent="0.2">
      <c r="A384" s="67">
        <v>77</v>
      </c>
      <c r="B384" s="64">
        <v>2460</v>
      </c>
      <c r="C384" s="65">
        <v>600079783</v>
      </c>
      <c r="D384" s="64">
        <v>72741643</v>
      </c>
      <c r="E384" s="66" t="s">
        <v>708</v>
      </c>
      <c r="F384" s="67">
        <v>3113</v>
      </c>
      <c r="G384" s="44" t="s">
        <v>309</v>
      </c>
      <c r="H384" s="68" t="s">
        <v>277</v>
      </c>
      <c r="I384" s="462">
        <v>260280</v>
      </c>
      <c r="J384" s="16">
        <v>193086</v>
      </c>
      <c r="K384" s="457">
        <v>65263</v>
      </c>
      <c r="L384" s="457">
        <v>1931</v>
      </c>
      <c r="M384" s="16">
        <v>0</v>
      </c>
      <c r="N384" s="13">
        <v>0.5</v>
      </c>
      <c r="O384" s="13">
        <v>0.5</v>
      </c>
      <c r="P384" s="17">
        <v>0</v>
      </c>
      <c r="Q384" s="469">
        <f t="shared" si="494"/>
        <v>0</v>
      </c>
      <c r="R384" s="469">
        <v>0</v>
      </c>
      <c r="S384" s="460">
        <v>0</v>
      </c>
      <c r="T384" s="460">
        <v>0</v>
      </c>
      <c r="U384" s="460">
        <v>0</v>
      </c>
      <c r="V384" s="460">
        <f>SUM(Q384:U384)</f>
        <v>0</v>
      </c>
      <c r="W384" s="460">
        <v>0</v>
      </c>
      <c r="X384" s="460">
        <v>0</v>
      </c>
      <c r="Y384" s="460">
        <v>0</v>
      </c>
      <c r="Z384" s="460">
        <f t="shared" si="572"/>
        <v>0</v>
      </c>
      <c r="AA384" s="460">
        <f t="shared" si="573"/>
        <v>0</v>
      </c>
      <c r="AB384" s="69">
        <f t="shared" si="574"/>
        <v>0</v>
      </c>
      <c r="AC384" s="69">
        <f t="shared" si="575"/>
        <v>0</v>
      </c>
      <c r="AD384" s="460">
        <v>0</v>
      </c>
      <c r="AE384" s="460">
        <v>0</v>
      </c>
      <c r="AF384" s="460">
        <f>SUM(AD384:AE384)</f>
        <v>0</v>
      </c>
      <c r="AG384" s="460">
        <f>AA384+AB384+AC384+AF384</f>
        <v>0</v>
      </c>
      <c r="AH384" s="461">
        <v>0</v>
      </c>
      <c r="AI384" s="461">
        <v>0</v>
      </c>
      <c r="AJ384" s="461">
        <v>0</v>
      </c>
      <c r="AK384" s="461">
        <v>0</v>
      </c>
      <c r="AL384" s="461">
        <v>0</v>
      </c>
      <c r="AM384" s="461">
        <v>0</v>
      </c>
      <c r="AN384" s="461">
        <v>0</v>
      </c>
      <c r="AO384" s="461">
        <v>0</v>
      </c>
      <c r="AP384" s="461">
        <f t="shared" si="499"/>
        <v>0</v>
      </c>
      <c r="AQ384" s="461">
        <f t="shared" si="500"/>
        <v>0</v>
      </c>
      <c r="AR384" s="737">
        <f t="shared" si="501"/>
        <v>0</v>
      </c>
      <c r="AS384" s="470">
        <f t="shared" si="502"/>
        <v>260280</v>
      </c>
      <c r="AT384" s="460">
        <f t="shared" si="503"/>
        <v>193086</v>
      </c>
      <c r="AU384" s="460">
        <f t="shared" si="504"/>
        <v>0</v>
      </c>
      <c r="AV384" s="460">
        <f t="shared" si="505"/>
        <v>65263</v>
      </c>
      <c r="AW384" s="460">
        <f t="shared" si="506"/>
        <v>1931</v>
      </c>
      <c r="AX384" s="460">
        <f t="shared" si="507"/>
        <v>0</v>
      </c>
      <c r="AY384" s="461">
        <f t="shared" si="508"/>
        <v>0.5</v>
      </c>
      <c r="AZ384" s="461">
        <f t="shared" si="509"/>
        <v>0.5</v>
      </c>
      <c r="BA384" s="463">
        <f t="shared" si="510"/>
        <v>0</v>
      </c>
    </row>
    <row r="385" spans="1:53" ht="14.1" customHeight="1" x14ac:dyDescent="0.2">
      <c r="A385" s="67">
        <v>77</v>
      </c>
      <c r="B385" s="64">
        <v>2460</v>
      </c>
      <c r="C385" s="65">
        <v>600079783</v>
      </c>
      <c r="D385" s="64">
        <v>72741643</v>
      </c>
      <c r="E385" s="66" t="s">
        <v>708</v>
      </c>
      <c r="F385" s="67">
        <v>3113</v>
      </c>
      <c r="G385" s="78" t="s">
        <v>308</v>
      </c>
      <c r="H385" s="68" t="s">
        <v>278</v>
      </c>
      <c r="I385" s="462">
        <v>0</v>
      </c>
      <c r="J385" s="457">
        <v>0</v>
      </c>
      <c r="K385" s="457">
        <v>0</v>
      </c>
      <c r="L385" s="457">
        <v>0</v>
      </c>
      <c r="M385" s="457">
        <v>0</v>
      </c>
      <c r="N385" s="458">
        <v>0</v>
      </c>
      <c r="O385" s="459">
        <v>0</v>
      </c>
      <c r="P385" s="646">
        <v>0</v>
      </c>
      <c r="Q385" s="469">
        <f t="shared" si="494"/>
        <v>0</v>
      </c>
      <c r="R385" s="469">
        <v>521598</v>
      </c>
      <c r="S385" s="460">
        <v>0</v>
      </c>
      <c r="T385" s="460">
        <v>0</v>
      </c>
      <c r="U385" s="460">
        <v>0</v>
      </c>
      <c r="V385" s="460">
        <f>SUM(Q385:U385)</f>
        <v>521598</v>
      </c>
      <c r="W385" s="460">
        <v>0</v>
      </c>
      <c r="X385" s="460">
        <v>0</v>
      </c>
      <c r="Y385" s="460">
        <v>0</v>
      </c>
      <c r="Z385" s="460">
        <f t="shared" si="572"/>
        <v>0</v>
      </c>
      <c r="AA385" s="460">
        <f t="shared" si="573"/>
        <v>521598</v>
      </c>
      <c r="AB385" s="69">
        <f t="shared" si="574"/>
        <v>176300</v>
      </c>
      <c r="AC385" s="69">
        <f t="shared" si="575"/>
        <v>5216</v>
      </c>
      <c r="AD385" s="460">
        <v>0</v>
      </c>
      <c r="AE385" s="460">
        <v>0</v>
      </c>
      <c r="AF385" s="460">
        <f>SUM(AD385:AE385)</f>
        <v>0</v>
      </c>
      <c r="AG385" s="460">
        <f>AA385+AB385+AC385+AF385</f>
        <v>703114</v>
      </c>
      <c r="AH385" s="461">
        <v>0</v>
      </c>
      <c r="AI385" s="461">
        <v>0</v>
      </c>
      <c r="AJ385" s="461">
        <v>1.5</v>
      </c>
      <c r="AK385" s="461">
        <v>0</v>
      </c>
      <c r="AL385" s="461">
        <v>0</v>
      </c>
      <c r="AM385" s="461">
        <v>0</v>
      </c>
      <c r="AN385" s="461">
        <v>0</v>
      </c>
      <c r="AO385" s="461">
        <v>0</v>
      </c>
      <c r="AP385" s="461">
        <f t="shared" si="499"/>
        <v>1.5</v>
      </c>
      <c r="AQ385" s="461">
        <f t="shared" si="500"/>
        <v>0</v>
      </c>
      <c r="AR385" s="737">
        <f t="shared" si="501"/>
        <v>1.5</v>
      </c>
      <c r="AS385" s="470">
        <f t="shared" si="502"/>
        <v>703114</v>
      </c>
      <c r="AT385" s="460">
        <f t="shared" si="503"/>
        <v>521598</v>
      </c>
      <c r="AU385" s="460">
        <f t="shared" si="504"/>
        <v>0</v>
      </c>
      <c r="AV385" s="460">
        <f t="shared" si="505"/>
        <v>176300</v>
      </c>
      <c r="AW385" s="460">
        <f t="shared" si="506"/>
        <v>5216</v>
      </c>
      <c r="AX385" s="460">
        <f t="shared" si="507"/>
        <v>0</v>
      </c>
      <c r="AY385" s="461">
        <f t="shared" si="508"/>
        <v>1.5</v>
      </c>
      <c r="AZ385" s="461">
        <f t="shared" si="509"/>
        <v>1.5</v>
      </c>
      <c r="BA385" s="463">
        <f t="shared" si="510"/>
        <v>0</v>
      </c>
    </row>
    <row r="386" spans="1:53" ht="14.1" customHeight="1" x14ac:dyDescent="0.2">
      <c r="A386" s="67">
        <v>77</v>
      </c>
      <c r="B386" s="64">
        <v>2460</v>
      </c>
      <c r="C386" s="65">
        <v>600079783</v>
      </c>
      <c r="D386" s="64">
        <v>72741643</v>
      </c>
      <c r="E386" s="66" t="s">
        <v>708</v>
      </c>
      <c r="F386" s="67">
        <v>3143</v>
      </c>
      <c r="G386" s="78" t="s">
        <v>616</v>
      </c>
      <c r="H386" s="68" t="s">
        <v>277</v>
      </c>
      <c r="I386" s="462">
        <v>2828618</v>
      </c>
      <c r="J386" s="16">
        <v>2098381</v>
      </c>
      <c r="K386" s="457">
        <v>709253</v>
      </c>
      <c r="L386" s="457">
        <v>20984</v>
      </c>
      <c r="M386" s="16">
        <v>0</v>
      </c>
      <c r="N386" s="458">
        <v>4.3213999999999997</v>
      </c>
      <c r="O386" s="13">
        <v>4.3213999999999997</v>
      </c>
      <c r="P386" s="17">
        <v>0</v>
      </c>
      <c r="Q386" s="469">
        <f t="shared" si="494"/>
        <v>0</v>
      </c>
      <c r="R386" s="469">
        <v>0</v>
      </c>
      <c r="S386" s="460">
        <v>0</v>
      </c>
      <c r="T386" s="460">
        <v>0</v>
      </c>
      <c r="U386" s="460">
        <v>0</v>
      </c>
      <c r="V386" s="460">
        <f>SUM(Q386:U386)</f>
        <v>0</v>
      </c>
      <c r="W386" s="460">
        <v>0</v>
      </c>
      <c r="X386" s="460">
        <v>0</v>
      </c>
      <c r="Y386" s="460">
        <v>0</v>
      </c>
      <c r="Z386" s="460">
        <f t="shared" si="572"/>
        <v>0</v>
      </c>
      <c r="AA386" s="460">
        <f t="shared" si="573"/>
        <v>0</v>
      </c>
      <c r="AB386" s="69">
        <f t="shared" si="574"/>
        <v>0</v>
      </c>
      <c r="AC386" s="69">
        <f t="shared" si="575"/>
        <v>0</v>
      </c>
      <c r="AD386" s="460">
        <v>0</v>
      </c>
      <c r="AE386" s="460">
        <v>0</v>
      </c>
      <c r="AF386" s="460">
        <f>SUM(AD386:AE386)</f>
        <v>0</v>
      </c>
      <c r="AG386" s="460">
        <f>AA386+AB386+AC386+AF386</f>
        <v>0</v>
      </c>
      <c r="AH386" s="461">
        <v>0</v>
      </c>
      <c r="AI386" s="461">
        <v>0</v>
      </c>
      <c r="AJ386" s="461">
        <v>0</v>
      </c>
      <c r="AK386" s="461">
        <v>0</v>
      </c>
      <c r="AL386" s="461">
        <v>0</v>
      </c>
      <c r="AM386" s="461">
        <v>0</v>
      </c>
      <c r="AN386" s="461">
        <v>0</v>
      </c>
      <c r="AO386" s="461">
        <v>0</v>
      </c>
      <c r="AP386" s="461">
        <f t="shared" si="499"/>
        <v>0</v>
      </c>
      <c r="AQ386" s="461">
        <f t="shared" si="500"/>
        <v>0</v>
      </c>
      <c r="AR386" s="737">
        <f t="shared" si="501"/>
        <v>0</v>
      </c>
      <c r="AS386" s="470">
        <f t="shared" si="502"/>
        <v>2828618</v>
      </c>
      <c r="AT386" s="460">
        <f t="shared" si="503"/>
        <v>2098381</v>
      </c>
      <c r="AU386" s="460">
        <f t="shared" si="504"/>
        <v>0</v>
      </c>
      <c r="AV386" s="460">
        <f t="shared" si="505"/>
        <v>709253</v>
      </c>
      <c r="AW386" s="460">
        <f t="shared" si="506"/>
        <v>20984</v>
      </c>
      <c r="AX386" s="460">
        <f t="shared" si="507"/>
        <v>0</v>
      </c>
      <c r="AY386" s="461">
        <f t="shared" si="508"/>
        <v>4.3213999999999997</v>
      </c>
      <c r="AZ386" s="461">
        <f t="shared" si="509"/>
        <v>4.3213999999999997</v>
      </c>
      <c r="BA386" s="463">
        <f t="shared" si="510"/>
        <v>0</v>
      </c>
    </row>
    <row r="387" spans="1:53" ht="14.1" customHeight="1" x14ac:dyDescent="0.2">
      <c r="A387" s="67">
        <v>77</v>
      </c>
      <c r="B387" s="64">
        <v>2460</v>
      </c>
      <c r="C387" s="65">
        <v>600079783</v>
      </c>
      <c r="D387" s="64">
        <v>72741643</v>
      </c>
      <c r="E387" s="66" t="s">
        <v>708</v>
      </c>
      <c r="F387" s="67">
        <v>3143</v>
      </c>
      <c r="G387" s="78" t="s">
        <v>617</v>
      </c>
      <c r="H387" s="68" t="s">
        <v>278</v>
      </c>
      <c r="I387" s="462">
        <v>101154</v>
      </c>
      <c r="J387" s="673">
        <v>72276</v>
      </c>
      <c r="K387" s="457">
        <v>24429</v>
      </c>
      <c r="L387" s="457">
        <v>723</v>
      </c>
      <c r="M387" s="673">
        <v>3726</v>
      </c>
      <c r="N387" s="458">
        <v>0.28999999999999998</v>
      </c>
      <c r="O387" s="459">
        <v>0</v>
      </c>
      <c r="P387" s="717">
        <v>0.28999999999999998</v>
      </c>
      <c r="Q387" s="469">
        <f t="shared" si="494"/>
        <v>0</v>
      </c>
      <c r="R387" s="469">
        <v>0</v>
      </c>
      <c r="S387" s="460">
        <v>0</v>
      </c>
      <c r="T387" s="460">
        <v>0</v>
      </c>
      <c r="U387" s="460">
        <v>0</v>
      </c>
      <c r="V387" s="460">
        <f>SUM(Q387:U387)</f>
        <v>0</v>
      </c>
      <c r="W387" s="460">
        <v>0</v>
      </c>
      <c r="X387" s="460">
        <v>0</v>
      </c>
      <c r="Y387" s="460">
        <v>0</v>
      </c>
      <c r="Z387" s="460">
        <f t="shared" si="572"/>
        <v>0</v>
      </c>
      <c r="AA387" s="460">
        <f t="shared" si="573"/>
        <v>0</v>
      </c>
      <c r="AB387" s="69">
        <f t="shared" si="574"/>
        <v>0</v>
      </c>
      <c r="AC387" s="69">
        <f t="shared" si="575"/>
        <v>0</v>
      </c>
      <c r="AD387" s="460">
        <v>0</v>
      </c>
      <c r="AE387" s="460">
        <v>0</v>
      </c>
      <c r="AF387" s="460">
        <f>SUM(AD387:AE387)</f>
        <v>0</v>
      </c>
      <c r="AG387" s="460">
        <f>AA387+AB387+AC387+AF387</f>
        <v>0</v>
      </c>
      <c r="AH387" s="461">
        <v>0</v>
      </c>
      <c r="AI387" s="461">
        <v>0</v>
      </c>
      <c r="AJ387" s="461">
        <v>0</v>
      </c>
      <c r="AK387" s="461">
        <v>0</v>
      </c>
      <c r="AL387" s="461">
        <v>0</v>
      </c>
      <c r="AM387" s="461">
        <v>0</v>
      </c>
      <c r="AN387" s="461">
        <v>0</v>
      </c>
      <c r="AO387" s="461">
        <v>0</v>
      </c>
      <c r="AP387" s="461">
        <f t="shared" si="499"/>
        <v>0</v>
      </c>
      <c r="AQ387" s="461">
        <f t="shared" si="500"/>
        <v>0</v>
      </c>
      <c r="AR387" s="737">
        <f t="shared" si="501"/>
        <v>0</v>
      </c>
      <c r="AS387" s="470">
        <f t="shared" si="502"/>
        <v>101154</v>
      </c>
      <c r="AT387" s="460">
        <f t="shared" si="503"/>
        <v>72276</v>
      </c>
      <c r="AU387" s="460">
        <f t="shared" si="504"/>
        <v>0</v>
      </c>
      <c r="AV387" s="460">
        <f t="shared" si="505"/>
        <v>24429</v>
      </c>
      <c r="AW387" s="460">
        <f t="shared" si="506"/>
        <v>723</v>
      </c>
      <c r="AX387" s="460">
        <f t="shared" si="507"/>
        <v>3726</v>
      </c>
      <c r="AY387" s="461">
        <f t="shared" si="508"/>
        <v>0.28999999999999998</v>
      </c>
      <c r="AZ387" s="461">
        <f t="shared" si="509"/>
        <v>0</v>
      </c>
      <c r="BA387" s="463">
        <f t="shared" si="510"/>
        <v>0.28999999999999998</v>
      </c>
    </row>
    <row r="388" spans="1:53" ht="14.1" customHeight="1" x14ac:dyDescent="0.2">
      <c r="A388" s="73">
        <v>77</v>
      </c>
      <c r="B388" s="70">
        <v>2460</v>
      </c>
      <c r="C388" s="71">
        <v>600079783</v>
      </c>
      <c r="D388" s="70">
        <v>72741643</v>
      </c>
      <c r="E388" s="72" t="s">
        <v>709</v>
      </c>
      <c r="F388" s="73"/>
      <c r="G388" s="72"/>
      <c r="H388" s="74"/>
      <c r="I388" s="701">
        <f t="shared" ref="I388:P388" si="576">SUM(I383:I387)</f>
        <v>47484455</v>
      </c>
      <c r="J388" s="75">
        <f t="shared" si="576"/>
        <v>34600144</v>
      </c>
      <c r="K388" s="75">
        <f t="shared" si="576"/>
        <v>11694848</v>
      </c>
      <c r="L388" s="75">
        <f t="shared" si="576"/>
        <v>346002</v>
      </c>
      <c r="M388" s="75">
        <f t="shared" si="576"/>
        <v>843461</v>
      </c>
      <c r="N388" s="76">
        <f t="shared" si="576"/>
        <v>59.233799999999995</v>
      </c>
      <c r="O388" s="76">
        <f t="shared" si="576"/>
        <v>48.593799999999995</v>
      </c>
      <c r="P388" s="77">
        <f t="shared" si="576"/>
        <v>10.639999999999999</v>
      </c>
      <c r="Q388" s="724">
        <f t="shared" ref="Q388:BA388" si="577">SUM(Q383:Q387)</f>
        <v>0</v>
      </c>
      <c r="R388" s="724">
        <f t="shared" si="577"/>
        <v>521598</v>
      </c>
      <c r="S388" s="75">
        <f t="shared" si="577"/>
        <v>0</v>
      </c>
      <c r="T388" s="75">
        <f t="shared" si="577"/>
        <v>0</v>
      </c>
      <c r="U388" s="75">
        <f t="shared" si="577"/>
        <v>0</v>
      </c>
      <c r="V388" s="75">
        <f t="shared" si="577"/>
        <v>521598</v>
      </c>
      <c r="W388" s="75">
        <f t="shared" si="577"/>
        <v>0</v>
      </c>
      <c r="X388" s="75">
        <f t="shared" si="577"/>
        <v>0</v>
      </c>
      <c r="Y388" s="75">
        <f t="shared" si="577"/>
        <v>0</v>
      </c>
      <c r="Z388" s="75">
        <f t="shared" si="577"/>
        <v>0</v>
      </c>
      <c r="AA388" s="75">
        <f t="shared" si="577"/>
        <v>521598</v>
      </c>
      <c r="AB388" s="75">
        <f t="shared" si="577"/>
        <v>176300</v>
      </c>
      <c r="AC388" s="75">
        <f t="shared" si="577"/>
        <v>5216</v>
      </c>
      <c r="AD388" s="75">
        <f t="shared" si="577"/>
        <v>0</v>
      </c>
      <c r="AE388" s="75">
        <f t="shared" si="577"/>
        <v>0</v>
      </c>
      <c r="AF388" s="75">
        <f t="shared" si="577"/>
        <v>0</v>
      </c>
      <c r="AG388" s="75">
        <f t="shared" si="577"/>
        <v>703114</v>
      </c>
      <c r="AH388" s="76">
        <f t="shared" si="577"/>
        <v>0</v>
      </c>
      <c r="AI388" s="76">
        <f t="shared" si="577"/>
        <v>0</v>
      </c>
      <c r="AJ388" s="76">
        <f t="shared" si="577"/>
        <v>1.5</v>
      </c>
      <c r="AK388" s="76">
        <f t="shared" si="577"/>
        <v>0</v>
      </c>
      <c r="AL388" s="76">
        <f t="shared" si="577"/>
        <v>0</v>
      </c>
      <c r="AM388" s="76">
        <f t="shared" si="577"/>
        <v>0</v>
      </c>
      <c r="AN388" s="76">
        <f t="shared" si="577"/>
        <v>0</v>
      </c>
      <c r="AO388" s="76">
        <f t="shared" si="577"/>
        <v>0</v>
      </c>
      <c r="AP388" s="76">
        <f t="shared" si="577"/>
        <v>1.5</v>
      </c>
      <c r="AQ388" s="76">
        <f t="shared" si="577"/>
        <v>0</v>
      </c>
      <c r="AR388" s="720">
        <f t="shared" si="577"/>
        <v>1.5</v>
      </c>
      <c r="AS388" s="701">
        <f t="shared" si="577"/>
        <v>48187569</v>
      </c>
      <c r="AT388" s="75">
        <f t="shared" si="577"/>
        <v>35121742</v>
      </c>
      <c r="AU388" s="75">
        <f t="shared" si="577"/>
        <v>0</v>
      </c>
      <c r="AV388" s="75">
        <f t="shared" si="577"/>
        <v>11871148</v>
      </c>
      <c r="AW388" s="75">
        <f t="shared" si="577"/>
        <v>351218</v>
      </c>
      <c r="AX388" s="75">
        <f t="shared" si="577"/>
        <v>843461</v>
      </c>
      <c r="AY388" s="76">
        <f t="shared" si="577"/>
        <v>60.733799999999995</v>
      </c>
      <c r="AZ388" s="76">
        <f t="shared" si="577"/>
        <v>50.093799999999995</v>
      </c>
      <c r="BA388" s="77">
        <f t="shared" si="577"/>
        <v>10.639999999999999</v>
      </c>
    </row>
    <row r="389" spans="1:53" ht="14.1" customHeight="1" x14ac:dyDescent="0.2">
      <c r="A389" s="67">
        <v>78</v>
      </c>
      <c r="B389" s="64">
        <v>2324</v>
      </c>
      <c r="C389" s="65">
        <v>600074030</v>
      </c>
      <c r="D389" s="64">
        <v>71013083</v>
      </c>
      <c r="E389" s="66" t="s">
        <v>710</v>
      </c>
      <c r="F389" s="67">
        <v>3111</v>
      </c>
      <c r="G389" s="66" t="s">
        <v>307</v>
      </c>
      <c r="H389" s="68" t="s">
        <v>277</v>
      </c>
      <c r="I389" s="462">
        <v>11332418</v>
      </c>
      <c r="J389" s="16">
        <v>8361438</v>
      </c>
      <c r="K389" s="457">
        <v>2826166</v>
      </c>
      <c r="L389" s="457">
        <v>83614</v>
      </c>
      <c r="M389" s="16">
        <v>61200</v>
      </c>
      <c r="N389" s="13">
        <v>17.45</v>
      </c>
      <c r="O389" s="13">
        <v>13</v>
      </c>
      <c r="P389" s="17">
        <v>4.4499999999999993</v>
      </c>
      <c r="Q389" s="469">
        <f t="shared" si="494"/>
        <v>-15275</v>
      </c>
      <c r="R389" s="469">
        <v>0</v>
      </c>
      <c r="S389" s="460">
        <v>0</v>
      </c>
      <c r="T389" s="460">
        <v>0</v>
      </c>
      <c r="U389" s="460">
        <v>0</v>
      </c>
      <c r="V389" s="460">
        <f>SUM(Q389:U389)</f>
        <v>-15275</v>
      </c>
      <c r="W389" s="460">
        <v>15275</v>
      </c>
      <c r="X389" s="460">
        <v>0</v>
      </c>
      <c r="Y389" s="460">
        <v>0</v>
      </c>
      <c r="Z389" s="460">
        <f t="shared" ref="Z389:Z391" si="578">SUM(W389:Y389)</f>
        <v>15275</v>
      </c>
      <c r="AA389" s="460">
        <f t="shared" ref="AA389:AA391" si="579">V389+Z389</f>
        <v>0</v>
      </c>
      <c r="AB389" s="69">
        <f t="shared" ref="AB389:AB391" si="580">ROUND((V389+W389+X389)*33.8%,0)</f>
        <v>0</v>
      </c>
      <c r="AC389" s="69">
        <f t="shared" ref="AC389:AC391" si="581">ROUND(V389*1%,0)</f>
        <v>-153</v>
      </c>
      <c r="AD389" s="460">
        <v>0</v>
      </c>
      <c r="AE389" s="460">
        <v>0</v>
      </c>
      <c r="AF389" s="460">
        <f>SUM(AD389:AE389)</f>
        <v>0</v>
      </c>
      <c r="AG389" s="460">
        <f>AA389+AB389+AC389+AF389</f>
        <v>-153</v>
      </c>
      <c r="AH389" s="461">
        <v>0</v>
      </c>
      <c r="AI389" s="461">
        <v>0</v>
      </c>
      <c r="AJ389" s="461">
        <v>0</v>
      </c>
      <c r="AK389" s="461">
        <v>0</v>
      </c>
      <c r="AL389" s="461">
        <v>0</v>
      </c>
      <c r="AM389" s="461">
        <v>0</v>
      </c>
      <c r="AN389" s="461">
        <v>0</v>
      </c>
      <c r="AO389" s="461">
        <v>0</v>
      </c>
      <c r="AP389" s="461">
        <f t="shared" si="499"/>
        <v>0</v>
      </c>
      <c r="AQ389" s="461">
        <f t="shared" si="500"/>
        <v>0</v>
      </c>
      <c r="AR389" s="737">
        <f t="shared" si="501"/>
        <v>0</v>
      </c>
      <c r="AS389" s="470">
        <f t="shared" si="502"/>
        <v>11332265</v>
      </c>
      <c r="AT389" s="460">
        <f t="shared" si="503"/>
        <v>8346163</v>
      </c>
      <c r="AU389" s="460">
        <f t="shared" si="504"/>
        <v>15275</v>
      </c>
      <c r="AV389" s="460">
        <f t="shared" si="505"/>
        <v>2826166</v>
      </c>
      <c r="AW389" s="460">
        <f t="shared" si="506"/>
        <v>83461</v>
      </c>
      <c r="AX389" s="460">
        <f t="shared" si="507"/>
        <v>61200</v>
      </c>
      <c r="AY389" s="461">
        <f t="shared" si="508"/>
        <v>17.45</v>
      </c>
      <c r="AZ389" s="461">
        <f t="shared" si="509"/>
        <v>13</v>
      </c>
      <c r="BA389" s="463">
        <f t="shared" si="510"/>
        <v>4.4499999999999993</v>
      </c>
    </row>
    <row r="390" spans="1:53" ht="14.1" customHeight="1" x14ac:dyDescent="0.2">
      <c r="A390" s="67">
        <v>78</v>
      </c>
      <c r="B390" s="64">
        <v>2324</v>
      </c>
      <c r="C390" s="65">
        <v>600074030</v>
      </c>
      <c r="D390" s="64">
        <v>71013083</v>
      </c>
      <c r="E390" s="66" t="s">
        <v>710</v>
      </c>
      <c r="F390" s="67">
        <v>3111</v>
      </c>
      <c r="G390" s="78" t="s">
        <v>308</v>
      </c>
      <c r="H390" s="68" t="s">
        <v>278</v>
      </c>
      <c r="I390" s="462">
        <v>0</v>
      </c>
      <c r="J390" s="457">
        <v>0</v>
      </c>
      <c r="K390" s="457">
        <v>0</v>
      </c>
      <c r="L390" s="457">
        <v>0</v>
      </c>
      <c r="M390" s="457">
        <v>0</v>
      </c>
      <c r="N390" s="458">
        <v>0</v>
      </c>
      <c r="O390" s="459">
        <v>0</v>
      </c>
      <c r="P390" s="646">
        <v>0</v>
      </c>
      <c r="Q390" s="469">
        <f t="shared" si="494"/>
        <v>0</v>
      </c>
      <c r="R390" s="469">
        <v>1299176</v>
      </c>
      <c r="S390" s="460">
        <v>0</v>
      </c>
      <c r="T390" s="460">
        <v>0</v>
      </c>
      <c r="U390" s="460">
        <v>0</v>
      </c>
      <c r="V390" s="460">
        <f>SUM(Q390:U390)</f>
        <v>1299176</v>
      </c>
      <c r="W390" s="460">
        <v>0</v>
      </c>
      <c r="X390" s="460">
        <v>0</v>
      </c>
      <c r="Y390" s="460">
        <v>0</v>
      </c>
      <c r="Z390" s="460">
        <f t="shared" si="578"/>
        <v>0</v>
      </c>
      <c r="AA390" s="460">
        <f t="shared" si="579"/>
        <v>1299176</v>
      </c>
      <c r="AB390" s="69">
        <f t="shared" si="580"/>
        <v>439121</v>
      </c>
      <c r="AC390" s="69">
        <f t="shared" si="581"/>
        <v>12992</v>
      </c>
      <c r="AD390" s="460">
        <v>0</v>
      </c>
      <c r="AE390" s="460">
        <v>0</v>
      </c>
      <c r="AF390" s="460">
        <f>SUM(AD390:AE390)</f>
        <v>0</v>
      </c>
      <c r="AG390" s="460">
        <f>AA390+AB390+AC390+AF390</f>
        <v>1751289</v>
      </c>
      <c r="AH390" s="461">
        <v>0</v>
      </c>
      <c r="AI390" s="461">
        <v>0</v>
      </c>
      <c r="AJ390" s="461">
        <v>3.75</v>
      </c>
      <c r="AK390" s="461">
        <v>0</v>
      </c>
      <c r="AL390" s="461">
        <v>0</v>
      </c>
      <c r="AM390" s="461">
        <v>0</v>
      </c>
      <c r="AN390" s="461">
        <v>0</v>
      </c>
      <c r="AO390" s="461">
        <v>0</v>
      </c>
      <c r="AP390" s="461">
        <f t="shared" si="499"/>
        <v>3.75</v>
      </c>
      <c r="AQ390" s="461">
        <f t="shared" si="500"/>
        <v>0</v>
      </c>
      <c r="AR390" s="737">
        <f t="shared" si="501"/>
        <v>3.75</v>
      </c>
      <c r="AS390" s="470">
        <f t="shared" si="502"/>
        <v>1751289</v>
      </c>
      <c r="AT390" s="460">
        <f t="shared" si="503"/>
        <v>1299176</v>
      </c>
      <c r="AU390" s="460">
        <f t="shared" si="504"/>
        <v>0</v>
      </c>
      <c r="AV390" s="460">
        <f t="shared" si="505"/>
        <v>439121</v>
      </c>
      <c r="AW390" s="460">
        <f t="shared" si="506"/>
        <v>12992</v>
      </c>
      <c r="AX390" s="460">
        <f t="shared" si="507"/>
        <v>0</v>
      </c>
      <c r="AY390" s="461">
        <f t="shared" si="508"/>
        <v>3.75</v>
      </c>
      <c r="AZ390" s="461">
        <f t="shared" si="509"/>
        <v>3.75</v>
      </c>
      <c r="BA390" s="463">
        <f t="shared" si="510"/>
        <v>0</v>
      </c>
    </row>
    <row r="391" spans="1:53" ht="14.1" customHeight="1" x14ac:dyDescent="0.2">
      <c r="A391" s="67">
        <v>78</v>
      </c>
      <c r="B391" s="64">
        <v>2324</v>
      </c>
      <c r="C391" s="65">
        <v>600074030</v>
      </c>
      <c r="D391" s="64">
        <v>71013083</v>
      </c>
      <c r="E391" s="66" t="s">
        <v>710</v>
      </c>
      <c r="F391" s="67">
        <v>3141</v>
      </c>
      <c r="G391" s="66" t="s">
        <v>311</v>
      </c>
      <c r="H391" s="68" t="s">
        <v>278</v>
      </c>
      <c r="I391" s="462">
        <v>1116660</v>
      </c>
      <c r="J391" s="457">
        <v>823762</v>
      </c>
      <c r="K391" s="457">
        <v>278432</v>
      </c>
      <c r="L391" s="457">
        <v>8238</v>
      </c>
      <c r="M391" s="457">
        <v>6228</v>
      </c>
      <c r="N391" s="458">
        <v>2.65</v>
      </c>
      <c r="O391" s="459">
        <v>0</v>
      </c>
      <c r="P391" s="646">
        <v>2.65</v>
      </c>
      <c r="Q391" s="469">
        <f t="shared" si="494"/>
        <v>0</v>
      </c>
      <c r="R391" s="469">
        <v>0</v>
      </c>
      <c r="S391" s="460">
        <v>0</v>
      </c>
      <c r="T391" s="460">
        <v>0</v>
      </c>
      <c r="U391" s="460">
        <v>0</v>
      </c>
      <c r="V391" s="460">
        <f>SUM(Q391:U391)</f>
        <v>0</v>
      </c>
      <c r="W391" s="460">
        <v>0</v>
      </c>
      <c r="X391" s="460">
        <v>0</v>
      </c>
      <c r="Y391" s="460">
        <v>0</v>
      </c>
      <c r="Z391" s="460">
        <f t="shared" si="578"/>
        <v>0</v>
      </c>
      <c r="AA391" s="460">
        <f t="shared" si="579"/>
        <v>0</v>
      </c>
      <c r="AB391" s="69">
        <f t="shared" si="580"/>
        <v>0</v>
      </c>
      <c r="AC391" s="69">
        <f t="shared" si="581"/>
        <v>0</v>
      </c>
      <c r="AD391" s="460">
        <v>0</v>
      </c>
      <c r="AE391" s="460">
        <v>0</v>
      </c>
      <c r="AF391" s="460">
        <f>SUM(AD391:AE391)</f>
        <v>0</v>
      </c>
      <c r="AG391" s="460">
        <f>AA391+AB391+AC391+AF391</f>
        <v>0</v>
      </c>
      <c r="AH391" s="461">
        <v>0</v>
      </c>
      <c r="AI391" s="461">
        <v>0</v>
      </c>
      <c r="AJ391" s="461">
        <v>0</v>
      </c>
      <c r="AK391" s="461">
        <v>0</v>
      </c>
      <c r="AL391" s="461">
        <v>0</v>
      </c>
      <c r="AM391" s="461">
        <v>0</v>
      </c>
      <c r="AN391" s="461">
        <v>0</v>
      </c>
      <c r="AO391" s="461">
        <v>0</v>
      </c>
      <c r="AP391" s="461">
        <f t="shared" si="499"/>
        <v>0</v>
      </c>
      <c r="AQ391" s="461">
        <f t="shared" si="500"/>
        <v>0</v>
      </c>
      <c r="AR391" s="737">
        <f t="shared" si="501"/>
        <v>0</v>
      </c>
      <c r="AS391" s="470">
        <f t="shared" si="502"/>
        <v>1116660</v>
      </c>
      <c r="AT391" s="460">
        <f t="shared" si="503"/>
        <v>823762</v>
      </c>
      <c r="AU391" s="460">
        <f t="shared" si="504"/>
        <v>0</v>
      </c>
      <c r="AV391" s="460">
        <f t="shared" si="505"/>
        <v>278432</v>
      </c>
      <c r="AW391" s="460">
        <f t="shared" si="506"/>
        <v>8238</v>
      </c>
      <c r="AX391" s="460">
        <f t="shared" si="507"/>
        <v>6228</v>
      </c>
      <c r="AY391" s="461">
        <f t="shared" si="508"/>
        <v>2.65</v>
      </c>
      <c r="AZ391" s="461">
        <f t="shared" si="509"/>
        <v>0</v>
      </c>
      <c r="BA391" s="463">
        <f t="shared" si="510"/>
        <v>2.65</v>
      </c>
    </row>
    <row r="392" spans="1:53" ht="14.1" customHeight="1" x14ac:dyDescent="0.2">
      <c r="A392" s="73">
        <v>78</v>
      </c>
      <c r="B392" s="70">
        <v>2324</v>
      </c>
      <c r="C392" s="71">
        <v>600074030</v>
      </c>
      <c r="D392" s="70">
        <v>71013083</v>
      </c>
      <c r="E392" s="72" t="s">
        <v>711</v>
      </c>
      <c r="F392" s="73"/>
      <c r="G392" s="72"/>
      <c r="H392" s="74"/>
      <c r="I392" s="701">
        <f t="shared" ref="I392:P392" si="582">SUM(I389:I391)</f>
        <v>12449078</v>
      </c>
      <c r="J392" s="75">
        <f t="shared" si="582"/>
        <v>9185200</v>
      </c>
      <c r="K392" s="75">
        <f t="shared" si="582"/>
        <v>3104598</v>
      </c>
      <c r="L392" s="75">
        <f t="shared" si="582"/>
        <v>91852</v>
      </c>
      <c r="M392" s="75">
        <f t="shared" si="582"/>
        <v>67428</v>
      </c>
      <c r="N392" s="76">
        <f t="shared" si="582"/>
        <v>20.099999999999998</v>
      </c>
      <c r="O392" s="76">
        <f t="shared" si="582"/>
        <v>13</v>
      </c>
      <c r="P392" s="77">
        <f t="shared" si="582"/>
        <v>7.1</v>
      </c>
      <c r="Q392" s="724">
        <f t="shared" ref="Q392:BA392" si="583">SUM(Q389:Q391)</f>
        <v>-15275</v>
      </c>
      <c r="R392" s="724">
        <f t="shared" si="583"/>
        <v>1299176</v>
      </c>
      <c r="S392" s="75">
        <f t="shared" si="583"/>
        <v>0</v>
      </c>
      <c r="T392" s="75">
        <f t="shared" si="583"/>
        <v>0</v>
      </c>
      <c r="U392" s="75">
        <f t="shared" si="583"/>
        <v>0</v>
      </c>
      <c r="V392" s="75">
        <f t="shared" si="583"/>
        <v>1283901</v>
      </c>
      <c r="W392" s="75">
        <f t="shared" si="583"/>
        <v>15275</v>
      </c>
      <c r="X392" s="75">
        <f t="shared" si="583"/>
        <v>0</v>
      </c>
      <c r="Y392" s="75">
        <f t="shared" si="583"/>
        <v>0</v>
      </c>
      <c r="Z392" s="75">
        <f t="shared" si="583"/>
        <v>15275</v>
      </c>
      <c r="AA392" s="75">
        <f t="shared" si="583"/>
        <v>1299176</v>
      </c>
      <c r="AB392" s="75">
        <f t="shared" si="583"/>
        <v>439121</v>
      </c>
      <c r="AC392" s="75">
        <f t="shared" si="583"/>
        <v>12839</v>
      </c>
      <c r="AD392" s="75">
        <f t="shared" si="583"/>
        <v>0</v>
      </c>
      <c r="AE392" s="75">
        <f t="shared" si="583"/>
        <v>0</v>
      </c>
      <c r="AF392" s="75">
        <f t="shared" si="583"/>
        <v>0</v>
      </c>
      <c r="AG392" s="75">
        <f t="shared" si="583"/>
        <v>1751136</v>
      </c>
      <c r="AH392" s="76">
        <f t="shared" si="583"/>
        <v>0</v>
      </c>
      <c r="AI392" s="76">
        <f t="shared" si="583"/>
        <v>0</v>
      </c>
      <c r="AJ392" s="76">
        <f t="shared" si="583"/>
        <v>3.75</v>
      </c>
      <c r="AK392" s="76">
        <f t="shared" si="583"/>
        <v>0</v>
      </c>
      <c r="AL392" s="76">
        <f t="shared" si="583"/>
        <v>0</v>
      </c>
      <c r="AM392" s="76">
        <f t="shared" si="583"/>
        <v>0</v>
      </c>
      <c r="AN392" s="76">
        <f t="shared" si="583"/>
        <v>0</v>
      </c>
      <c r="AO392" s="76">
        <f t="shared" si="583"/>
        <v>0</v>
      </c>
      <c r="AP392" s="76">
        <f t="shared" si="583"/>
        <v>3.75</v>
      </c>
      <c r="AQ392" s="76">
        <f t="shared" si="583"/>
        <v>0</v>
      </c>
      <c r="AR392" s="720">
        <f t="shared" si="583"/>
        <v>3.75</v>
      </c>
      <c r="AS392" s="701">
        <f t="shared" si="583"/>
        <v>14200214</v>
      </c>
      <c r="AT392" s="75">
        <f t="shared" si="583"/>
        <v>10469101</v>
      </c>
      <c r="AU392" s="75">
        <f t="shared" si="583"/>
        <v>15275</v>
      </c>
      <c r="AV392" s="75">
        <f t="shared" si="583"/>
        <v>3543719</v>
      </c>
      <c r="AW392" s="75">
        <f t="shared" si="583"/>
        <v>104691</v>
      </c>
      <c r="AX392" s="75">
        <f t="shared" si="583"/>
        <v>67428</v>
      </c>
      <c r="AY392" s="76">
        <f t="shared" si="583"/>
        <v>23.849999999999998</v>
      </c>
      <c r="AZ392" s="76">
        <f t="shared" si="583"/>
        <v>16.75</v>
      </c>
      <c r="BA392" s="77">
        <f t="shared" si="583"/>
        <v>7.1</v>
      </c>
    </row>
    <row r="393" spans="1:53" ht="14.1" customHeight="1" x14ac:dyDescent="0.2">
      <c r="A393" s="67">
        <v>79</v>
      </c>
      <c r="B393" s="64">
        <v>2325</v>
      </c>
      <c r="C393" s="65">
        <v>600074561</v>
      </c>
      <c r="D393" s="64">
        <v>46750321</v>
      </c>
      <c r="E393" s="66" t="s">
        <v>712</v>
      </c>
      <c r="F393" s="67">
        <v>3113</v>
      </c>
      <c r="G393" s="66" t="s">
        <v>310</v>
      </c>
      <c r="H393" s="68" t="s">
        <v>277</v>
      </c>
      <c r="I393" s="462">
        <v>29946755</v>
      </c>
      <c r="J393" s="16">
        <v>21821658</v>
      </c>
      <c r="K393" s="457">
        <v>7375721</v>
      </c>
      <c r="L393" s="457">
        <v>218216</v>
      </c>
      <c r="M393" s="16">
        <v>531160</v>
      </c>
      <c r="N393" s="13">
        <v>36.686199999999999</v>
      </c>
      <c r="O393" s="13">
        <v>29.636199999999999</v>
      </c>
      <c r="P393" s="17">
        <v>7.05</v>
      </c>
      <c r="Q393" s="469">
        <f t="shared" si="494"/>
        <v>-11310</v>
      </c>
      <c r="R393" s="469">
        <v>0</v>
      </c>
      <c r="S393" s="460">
        <v>0</v>
      </c>
      <c r="T393" s="460">
        <v>35902</v>
      </c>
      <c r="U393" s="460">
        <v>0</v>
      </c>
      <c r="V393" s="460">
        <f t="shared" ref="V393:V398" si="584">SUM(Q393:U393)</f>
        <v>24592</v>
      </c>
      <c r="W393" s="460">
        <v>11310</v>
      </c>
      <c r="X393" s="460">
        <v>0</v>
      </c>
      <c r="Y393" s="460">
        <v>0</v>
      </c>
      <c r="Z393" s="460">
        <f t="shared" ref="Z393:Z398" si="585">SUM(W393:Y393)</f>
        <v>11310</v>
      </c>
      <c r="AA393" s="460">
        <f t="shared" ref="AA393:AA398" si="586">V393+Z393</f>
        <v>35902</v>
      </c>
      <c r="AB393" s="69">
        <f t="shared" ref="AB393:AB398" si="587">ROUND((V393+W393+X393)*33.8%,0)</f>
        <v>12135</v>
      </c>
      <c r="AC393" s="69">
        <f t="shared" ref="AC393:AC398" si="588">ROUND(V393*1%,0)</f>
        <v>246</v>
      </c>
      <c r="AD393" s="460">
        <v>0</v>
      </c>
      <c r="AE393" s="460">
        <v>0</v>
      </c>
      <c r="AF393" s="460">
        <f t="shared" ref="AF393:AF398" si="589">SUM(AD393:AE393)</f>
        <v>0</v>
      </c>
      <c r="AG393" s="460">
        <f t="shared" ref="AG393:AG398" si="590">AA393+AB393+AC393+AF393</f>
        <v>48283</v>
      </c>
      <c r="AH393" s="461">
        <v>-0.02</v>
      </c>
      <c r="AI393" s="461">
        <v>0</v>
      </c>
      <c r="AJ393" s="461">
        <v>0</v>
      </c>
      <c r="AK393" s="461">
        <v>0</v>
      </c>
      <c r="AL393" s="461">
        <v>0</v>
      </c>
      <c r="AM393" s="461">
        <v>0.06</v>
      </c>
      <c r="AN393" s="461">
        <v>0</v>
      </c>
      <c r="AO393" s="461">
        <v>0</v>
      </c>
      <c r="AP393" s="461">
        <f t="shared" si="499"/>
        <v>3.9999999999999994E-2</v>
      </c>
      <c r="AQ393" s="461">
        <f t="shared" si="500"/>
        <v>0</v>
      </c>
      <c r="AR393" s="737">
        <f t="shared" si="501"/>
        <v>3.9999999999999994E-2</v>
      </c>
      <c r="AS393" s="470">
        <f t="shared" si="502"/>
        <v>29995038</v>
      </c>
      <c r="AT393" s="460">
        <f t="shared" si="503"/>
        <v>21846250</v>
      </c>
      <c r="AU393" s="460">
        <f t="shared" si="504"/>
        <v>11310</v>
      </c>
      <c r="AV393" s="460">
        <f t="shared" si="505"/>
        <v>7387856</v>
      </c>
      <c r="AW393" s="460">
        <f t="shared" si="506"/>
        <v>218462</v>
      </c>
      <c r="AX393" s="460">
        <f t="shared" si="507"/>
        <v>531160</v>
      </c>
      <c r="AY393" s="461">
        <f t="shared" si="508"/>
        <v>36.726199999999999</v>
      </c>
      <c r="AZ393" s="461">
        <f t="shared" si="509"/>
        <v>29.676199999999998</v>
      </c>
      <c r="BA393" s="463">
        <f t="shared" si="510"/>
        <v>7.05</v>
      </c>
    </row>
    <row r="394" spans="1:53" ht="14.1" customHeight="1" x14ac:dyDescent="0.2">
      <c r="A394" s="67">
        <v>79</v>
      </c>
      <c r="B394" s="64">
        <v>2325</v>
      </c>
      <c r="C394" s="65">
        <v>600074561</v>
      </c>
      <c r="D394" s="64">
        <v>46750321</v>
      </c>
      <c r="E394" s="66" t="s">
        <v>712</v>
      </c>
      <c r="F394" s="67">
        <v>3113</v>
      </c>
      <c r="G394" s="78" t="s">
        <v>308</v>
      </c>
      <c r="H394" s="68" t="s">
        <v>278</v>
      </c>
      <c r="I394" s="462">
        <v>0</v>
      </c>
      <c r="J394" s="457">
        <v>0</v>
      </c>
      <c r="K394" s="457">
        <v>0</v>
      </c>
      <c r="L394" s="457">
        <v>0</v>
      </c>
      <c r="M394" s="457">
        <v>0</v>
      </c>
      <c r="N394" s="458">
        <v>0</v>
      </c>
      <c r="O394" s="459">
        <v>0</v>
      </c>
      <c r="P394" s="646">
        <v>0</v>
      </c>
      <c r="Q394" s="469">
        <f t="shared" si="494"/>
        <v>0</v>
      </c>
      <c r="R394" s="469">
        <v>3393418</v>
      </c>
      <c r="S394" s="460">
        <v>0</v>
      </c>
      <c r="T394" s="460">
        <v>0</v>
      </c>
      <c r="U394" s="460">
        <v>0</v>
      </c>
      <c r="V394" s="460">
        <f t="shared" si="584"/>
        <v>3393418</v>
      </c>
      <c r="W394" s="460">
        <v>0</v>
      </c>
      <c r="X394" s="460">
        <v>0</v>
      </c>
      <c r="Y394" s="460">
        <v>0</v>
      </c>
      <c r="Z394" s="460">
        <f t="shared" si="585"/>
        <v>0</v>
      </c>
      <c r="AA394" s="460">
        <f t="shared" si="586"/>
        <v>3393418</v>
      </c>
      <c r="AB394" s="69">
        <f t="shared" si="587"/>
        <v>1146975</v>
      </c>
      <c r="AC394" s="69">
        <f t="shared" si="588"/>
        <v>33934</v>
      </c>
      <c r="AD394" s="460">
        <v>0</v>
      </c>
      <c r="AE394" s="460">
        <v>0</v>
      </c>
      <c r="AF394" s="460">
        <f t="shared" si="589"/>
        <v>0</v>
      </c>
      <c r="AG394" s="460">
        <f t="shared" si="590"/>
        <v>4574327</v>
      </c>
      <c r="AH394" s="461">
        <v>0</v>
      </c>
      <c r="AI394" s="461">
        <v>0</v>
      </c>
      <c r="AJ394" s="461">
        <v>9.73</v>
      </c>
      <c r="AK394" s="461">
        <v>0</v>
      </c>
      <c r="AL394" s="461">
        <v>0</v>
      </c>
      <c r="AM394" s="461">
        <v>0</v>
      </c>
      <c r="AN394" s="461">
        <v>0</v>
      </c>
      <c r="AO394" s="461">
        <v>0</v>
      </c>
      <c r="AP394" s="461">
        <f t="shared" si="499"/>
        <v>9.73</v>
      </c>
      <c r="AQ394" s="461">
        <f t="shared" si="500"/>
        <v>0</v>
      </c>
      <c r="AR394" s="737">
        <f t="shared" si="501"/>
        <v>9.73</v>
      </c>
      <c r="AS394" s="470">
        <f t="shared" si="502"/>
        <v>4574327</v>
      </c>
      <c r="AT394" s="460">
        <f t="shared" si="503"/>
        <v>3393418</v>
      </c>
      <c r="AU394" s="460">
        <f t="shared" si="504"/>
        <v>0</v>
      </c>
      <c r="AV394" s="460">
        <f t="shared" si="505"/>
        <v>1146975</v>
      </c>
      <c r="AW394" s="460">
        <f t="shared" si="506"/>
        <v>33934</v>
      </c>
      <c r="AX394" s="460">
        <f t="shared" si="507"/>
        <v>0</v>
      </c>
      <c r="AY394" s="461">
        <f t="shared" si="508"/>
        <v>9.73</v>
      </c>
      <c r="AZ394" s="461">
        <f t="shared" si="509"/>
        <v>9.73</v>
      </c>
      <c r="BA394" s="463">
        <f t="shared" si="510"/>
        <v>0</v>
      </c>
    </row>
    <row r="395" spans="1:53" ht="14.1" customHeight="1" x14ac:dyDescent="0.2">
      <c r="A395" s="67">
        <v>79</v>
      </c>
      <c r="B395" s="64">
        <v>2325</v>
      </c>
      <c r="C395" s="65">
        <v>600074561</v>
      </c>
      <c r="D395" s="64">
        <v>46750321</v>
      </c>
      <c r="E395" s="66" t="s">
        <v>712</v>
      </c>
      <c r="F395" s="67">
        <v>3141</v>
      </c>
      <c r="G395" s="66" t="s">
        <v>311</v>
      </c>
      <c r="H395" s="68" t="s">
        <v>278</v>
      </c>
      <c r="I395" s="462">
        <v>2629635</v>
      </c>
      <c r="J395" s="728">
        <v>1936427</v>
      </c>
      <c r="K395" s="457">
        <v>654512</v>
      </c>
      <c r="L395" s="457">
        <v>19364</v>
      </c>
      <c r="M395" s="728">
        <v>19332</v>
      </c>
      <c r="N395" s="458">
        <v>6.22</v>
      </c>
      <c r="O395" s="459">
        <v>0</v>
      </c>
      <c r="P395" s="646">
        <v>6.22</v>
      </c>
      <c r="Q395" s="469">
        <f t="shared" si="494"/>
        <v>0</v>
      </c>
      <c r="R395" s="469">
        <v>0</v>
      </c>
      <c r="S395" s="460">
        <v>0</v>
      </c>
      <c r="T395" s="460">
        <v>0</v>
      </c>
      <c r="U395" s="460">
        <v>0</v>
      </c>
      <c r="V395" s="460">
        <f t="shared" si="584"/>
        <v>0</v>
      </c>
      <c r="W395" s="460">
        <v>0</v>
      </c>
      <c r="X395" s="460">
        <v>0</v>
      </c>
      <c r="Y395" s="460">
        <v>0</v>
      </c>
      <c r="Z395" s="460">
        <f t="shared" si="585"/>
        <v>0</v>
      </c>
      <c r="AA395" s="460">
        <f t="shared" si="586"/>
        <v>0</v>
      </c>
      <c r="AB395" s="69">
        <f t="shared" si="587"/>
        <v>0</v>
      </c>
      <c r="AC395" s="69">
        <f t="shared" si="588"/>
        <v>0</v>
      </c>
      <c r="AD395" s="460">
        <v>0</v>
      </c>
      <c r="AE395" s="460">
        <v>0</v>
      </c>
      <c r="AF395" s="460">
        <f t="shared" si="589"/>
        <v>0</v>
      </c>
      <c r="AG395" s="460">
        <f t="shared" si="590"/>
        <v>0</v>
      </c>
      <c r="AH395" s="461">
        <v>0</v>
      </c>
      <c r="AI395" s="461">
        <v>0</v>
      </c>
      <c r="AJ395" s="461">
        <v>0</v>
      </c>
      <c r="AK395" s="461">
        <v>0</v>
      </c>
      <c r="AL395" s="461">
        <v>0</v>
      </c>
      <c r="AM395" s="461">
        <v>0</v>
      </c>
      <c r="AN395" s="461">
        <v>0</v>
      </c>
      <c r="AO395" s="461">
        <v>0</v>
      </c>
      <c r="AP395" s="461">
        <f t="shared" si="499"/>
        <v>0</v>
      </c>
      <c r="AQ395" s="461">
        <f t="shared" si="500"/>
        <v>0</v>
      </c>
      <c r="AR395" s="737">
        <f t="shared" si="501"/>
        <v>0</v>
      </c>
      <c r="AS395" s="470">
        <f t="shared" si="502"/>
        <v>2629635</v>
      </c>
      <c r="AT395" s="460">
        <f t="shared" si="503"/>
        <v>1936427</v>
      </c>
      <c r="AU395" s="460">
        <f t="shared" si="504"/>
        <v>0</v>
      </c>
      <c r="AV395" s="460">
        <f t="shared" si="505"/>
        <v>654512</v>
      </c>
      <c r="AW395" s="460">
        <f t="shared" si="506"/>
        <v>19364</v>
      </c>
      <c r="AX395" s="460">
        <f t="shared" si="507"/>
        <v>19332</v>
      </c>
      <c r="AY395" s="461">
        <f t="shared" si="508"/>
        <v>6.22</v>
      </c>
      <c r="AZ395" s="461">
        <f t="shared" si="509"/>
        <v>0</v>
      </c>
      <c r="BA395" s="463">
        <f t="shared" si="510"/>
        <v>6.22</v>
      </c>
    </row>
    <row r="396" spans="1:53" ht="14.1" customHeight="1" x14ac:dyDescent="0.2">
      <c r="A396" s="67">
        <v>79</v>
      </c>
      <c r="B396" s="64">
        <v>2325</v>
      </c>
      <c r="C396" s="65">
        <v>600074561</v>
      </c>
      <c r="D396" s="64">
        <v>46750321</v>
      </c>
      <c r="E396" s="66" t="s">
        <v>712</v>
      </c>
      <c r="F396" s="67">
        <v>3143</v>
      </c>
      <c r="G396" s="78" t="s">
        <v>616</v>
      </c>
      <c r="H396" s="68" t="s">
        <v>277</v>
      </c>
      <c r="I396" s="462">
        <v>2157913</v>
      </c>
      <c r="J396" s="16">
        <v>1600826</v>
      </c>
      <c r="K396" s="457">
        <v>541079</v>
      </c>
      <c r="L396" s="457">
        <v>16008</v>
      </c>
      <c r="M396" s="16">
        <v>0</v>
      </c>
      <c r="N396" s="458">
        <v>3.5</v>
      </c>
      <c r="O396" s="13">
        <v>3.5</v>
      </c>
      <c r="P396" s="17">
        <v>0</v>
      </c>
      <c r="Q396" s="469">
        <f t="shared" ref="Q396:Q459" si="591">W396*-1</f>
        <v>-13000</v>
      </c>
      <c r="R396" s="469">
        <v>0</v>
      </c>
      <c r="S396" s="460">
        <v>0</v>
      </c>
      <c r="T396" s="460">
        <v>0</v>
      </c>
      <c r="U396" s="460">
        <v>0</v>
      </c>
      <c r="V396" s="460">
        <f t="shared" si="584"/>
        <v>-13000</v>
      </c>
      <c r="W396" s="460">
        <v>13000</v>
      </c>
      <c r="X396" s="460">
        <v>0</v>
      </c>
      <c r="Y396" s="460">
        <v>0</v>
      </c>
      <c r="Z396" s="460">
        <f t="shared" si="585"/>
        <v>13000</v>
      </c>
      <c r="AA396" s="460">
        <f t="shared" si="586"/>
        <v>0</v>
      </c>
      <c r="AB396" s="69">
        <f t="shared" si="587"/>
        <v>0</v>
      </c>
      <c r="AC396" s="69">
        <f t="shared" si="588"/>
        <v>-130</v>
      </c>
      <c r="AD396" s="460">
        <v>0</v>
      </c>
      <c r="AE396" s="460">
        <v>0</v>
      </c>
      <c r="AF396" s="460">
        <f t="shared" si="589"/>
        <v>0</v>
      </c>
      <c r="AG396" s="460">
        <f t="shared" si="590"/>
        <v>-130</v>
      </c>
      <c r="AH396" s="461">
        <v>0</v>
      </c>
      <c r="AI396" s="461">
        <v>0</v>
      </c>
      <c r="AJ396" s="461">
        <v>0</v>
      </c>
      <c r="AK396" s="461">
        <v>0</v>
      </c>
      <c r="AL396" s="461">
        <v>0</v>
      </c>
      <c r="AM396" s="461">
        <v>0</v>
      </c>
      <c r="AN396" s="461">
        <v>0</v>
      </c>
      <c r="AO396" s="461">
        <v>0</v>
      </c>
      <c r="AP396" s="461">
        <f t="shared" si="499"/>
        <v>0</v>
      </c>
      <c r="AQ396" s="461">
        <f t="shared" si="500"/>
        <v>0</v>
      </c>
      <c r="AR396" s="737">
        <f t="shared" si="501"/>
        <v>0</v>
      </c>
      <c r="AS396" s="470">
        <f t="shared" si="502"/>
        <v>2157783</v>
      </c>
      <c r="AT396" s="460">
        <f t="shared" si="503"/>
        <v>1587826</v>
      </c>
      <c r="AU396" s="460">
        <f t="shared" si="504"/>
        <v>13000</v>
      </c>
      <c r="AV396" s="460">
        <f t="shared" si="505"/>
        <v>541079</v>
      </c>
      <c r="AW396" s="460">
        <f t="shared" si="506"/>
        <v>15878</v>
      </c>
      <c r="AX396" s="460">
        <f t="shared" si="507"/>
        <v>0</v>
      </c>
      <c r="AY396" s="461">
        <f t="shared" si="508"/>
        <v>3.5</v>
      </c>
      <c r="AZ396" s="461">
        <f t="shared" si="509"/>
        <v>3.5</v>
      </c>
      <c r="BA396" s="463">
        <f t="shared" si="510"/>
        <v>0</v>
      </c>
    </row>
    <row r="397" spans="1:53" ht="14.1" customHeight="1" x14ac:dyDescent="0.2">
      <c r="A397" s="67">
        <v>79</v>
      </c>
      <c r="B397" s="64">
        <v>2325</v>
      </c>
      <c r="C397" s="65">
        <v>600074561</v>
      </c>
      <c r="D397" s="64">
        <v>46750321</v>
      </c>
      <c r="E397" s="66" t="s">
        <v>712</v>
      </c>
      <c r="F397" s="67">
        <v>3143</v>
      </c>
      <c r="G397" s="78" t="s">
        <v>617</v>
      </c>
      <c r="H397" s="68" t="s">
        <v>278</v>
      </c>
      <c r="I397" s="462">
        <v>87960</v>
      </c>
      <c r="J397" s="673">
        <v>62849</v>
      </c>
      <c r="K397" s="457">
        <v>21243</v>
      </c>
      <c r="L397" s="457">
        <v>628</v>
      </c>
      <c r="M397" s="673">
        <v>3240</v>
      </c>
      <c r="N397" s="458">
        <v>0.25</v>
      </c>
      <c r="O397" s="459">
        <v>0</v>
      </c>
      <c r="P397" s="717">
        <v>0.25</v>
      </c>
      <c r="Q397" s="469">
        <f t="shared" si="591"/>
        <v>0</v>
      </c>
      <c r="R397" s="469">
        <v>0</v>
      </c>
      <c r="S397" s="460">
        <v>0</v>
      </c>
      <c r="T397" s="460">
        <v>0</v>
      </c>
      <c r="U397" s="460">
        <v>0</v>
      </c>
      <c r="V397" s="460">
        <f t="shared" si="584"/>
        <v>0</v>
      </c>
      <c r="W397" s="460">
        <v>0</v>
      </c>
      <c r="X397" s="460">
        <v>0</v>
      </c>
      <c r="Y397" s="460">
        <v>0</v>
      </c>
      <c r="Z397" s="460">
        <f t="shared" si="585"/>
        <v>0</v>
      </c>
      <c r="AA397" s="460">
        <f t="shared" si="586"/>
        <v>0</v>
      </c>
      <c r="AB397" s="69">
        <f t="shared" si="587"/>
        <v>0</v>
      </c>
      <c r="AC397" s="69">
        <f t="shared" si="588"/>
        <v>0</v>
      </c>
      <c r="AD397" s="460">
        <v>0</v>
      </c>
      <c r="AE397" s="460">
        <v>0</v>
      </c>
      <c r="AF397" s="460">
        <f t="shared" si="589"/>
        <v>0</v>
      </c>
      <c r="AG397" s="460">
        <f t="shared" si="590"/>
        <v>0</v>
      </c>
      <c r="AH397" s="461">
        <v>0</v>
      </c>
      <c r="AI397" s="461">
        <v>0</v>
      </c>
      <c r="AJ397" s="461">
        <v>0</v>
      </c>
      <c r="AK397" s="461">
        <v>0</v>
      </c>
      <c r="AL397" s="461">
        <v>0</v>
      </c>
      <c r="AM397" s="461">
        <v>0</v>
      </c>
      <c r="AN397" s="461">
        <v>0</v>
      </c>
      <c r="AO397" s="461">
        <v>0</v>
      </c>
      <c r="AP397" s="461">
        <f t="shared" ref="AP397:AP460" si="592">AH397+AJ397+AK397+AM397+AN397</f>
        <v>0</v>
      </c>
      <c r="AQ397" s="461">
        <f t="shared" ref="AQ397:AQ460" si="593">AI397+AL397+AO397</f>
        <v>0</v>
      </c>
      <c r="AR397" s="737">
        <f t="shared" ref="AR397:AR460" si="594">SUM(AP397:AQ397)</f>
        <v>0</v>
      </c>
      <c r="AS397" s="470">
        <f t="shared" ref="AS397:AS460" si="595">I397+AG397</f>
        <v>87960</v>
      </c>
      <c r="AT397" s="460">
        <f t="shared" ref="AT397:AT460" si="596">J397+V397</f>
        <v>62849</v>
      </c>
      <c r="AU397" s="460">
        <f t="shared" ref="AU397:AU460" si="597">Z397</f>
        <v>0</v>
      </c>
      <c r="AV397" s="460">
        <f t="shared" ref="AV397:AV460" si="598">K397+AB397</f>
        <v>21243</v>
      </c>
      <c r="AW397" s="460">
        <f t="shared" ref="AW397:AW460" si="599">L397+AC397</f>
        <v>628</v>
      </c>
      <c r="AX397" s="460">
        <f t="shared" ref="AX397:AX460" si="600">M397+AF397</f>
        <v>3240</v>
      </c>
      <c r="AY397" s="461">
        <f t="shared" ref="AY397:AY460" si="601">N397+AR397</f>
        <v>0.25</v>
      </c>
      <c r="AZ397" s="461">
        <f t="shared" ref="AZ397:AZ460" si="602">O397+AP397</f>
        <v>0</v>
      </c>
      <c r="BA397" s="463">
        <f t="shared" ref="BA397:BA460" si="603">P397+AQ397</f>
        <v>0.25</v>
      </c>
    </row>
    <row r="398" spans="1:53" ht="14.1" customHeight="1" x14ac:dyDescent="0.2">
      <c r="A398" s="67">
        <v>79</v>
      </c>
      <c r="B398" s="64">
        <v>2325</v>
      </c>
      <c r="C398" s="65">
        <v>600074561</v>
      </c>
      <c r="D398" s="64">
        <v>46750321</v>
      </c>
      <c r="E398" s="66" t="s">
        <v>712</v>
      </c>
      <c r="F398" s="67">
        <v>3231</v>
      </c>
      <c r="G398" s="66" t="s">
        <v>312</v>
      </c>
      <c r="H398" s="68" t="s">
        <v>277</v>
      </c>
      <c r="I398" s="462">
        <v>3539320</v>
      </c>
      <c r="J398" s="16">
        <v>2617559</v>
      </c>
      <c r="K398" s="457">
        <v>884735</v>
      </c>
      <c r="L398" s="457">
        <v>26176</v>
      </c>
      <c r="M398" s="16">
        <v>10850</v>
      </c>
      <c r="N398" s="13">
        <v>4.5729000000000006</v>
      </c>
      <c r="O398" s="13">
        <v>4.1519000000000004</v>
      </c>
      <c r="P398" s="17">
        <v>0.42099999999999999</v>
      </c>
      <c r="Q398" s="469">
        <f t="shared" si="591"/>
        <v>0</v>
      </c>
      <c r="R398" s="469">
        <v>0</v>
      </c>
      <c r="S398" s="460">
        <v>0</v>
      </c>
      <c r="T398" s="460">
        <v>0</v>
      </c>
      <c r="U398" s="460">
        <v>0</v>
      </c>
      <c r="V398" s="460">
        <f t="shared" si="584"/>
        <v>0</v>
      </c>
      <c r="W398" s="460">
        <v>0</v>
      </c>
      <c r="X398" s="460">
        <v>0</v>
      </c>
      <c r="Y398" s="460">
        <v>0</v>
      </c>
      <c r="Z398" s="460">
        <f t="shared" si="585"/>
        <v>0</v>
      </c>
      <c r="AA398" s="460">
        <f t="shared" si="586"/>
        <v>0</v>
      </c>
      <c r="AB398" s="69">
        <f t="shared" si="587"/>
        <v>0</v>
      </c>
      <c r="AC398" s="69">
        <f t="shared" si="588"/>
        <v>0</v>
      </c>
      <c r="AD398" s="460">
        <v>0</v>
      </c>
      <c r="AE398" s="460">
        <v>0</v>
      </c>
      <c r="AF398" s="460">
        <f t="shared" si="589"/>
        <v>0</v>
      </c>
      <c r="AG398" s="460">
        <f t="shared" si="590"/>
        <v>0</v>
      </c>
      <c r="AH398" s="461">
        <v>0</v>
      </c>
      <c r="AI398" s="461">
        <v>0</v>
      </c>
      <c r="AJ398" s="461">
        <v>0</v>
      </c>
      <c r="AK398" s="461">
        <v>0</v>
      </c>
      <c r="AL398" s="461">
        <v>0</v>
      </c>
      <c r="AM398" s="461">
        <v>0</v>
      </c>
      <c r="AN398" s="461">
        <v>0</v>
      </c>
      <c r="AO398" s="461">
        <v>0</v>
      </c>
      <c r="AP398" s="461">
        <f t="shared" si="592"/>
        <v>0</v>
      </c>
      <c r="AQ398" s="461">
        <f t="shared" si="593"/>
        <v>0</v>
      </c>
      <c r="AR398" s="737">
        <f t="shared" si="594"/>
        <v>0</v>
      </c>
      <c r="AS398" s="470">
        <f t="shared" si="595"/>
        <v>3539320</v>
      </c>
      <c r="AT398" s="460">
        <f t="shared" si="596"/>
        <v>2617559</v>
      </c>
      <c r="AU398" s="460">
        <f t="shared" si="597"/>
        <v>0</v>
      </c>
      <c r="AV398" s="460">
        <f t="shared" si="598"/>
        <v>884735</v>
      </c>
      <c r="AW398" s="460">
        <f t="shared" si="599"/>
        <v>26176</v>
      </c>
      <c r="AX398" s="460">
        <f t="shared" si="600"/>
        <v>10850</v>
      </c>
      <c r="AY398" s="461">
        <f t="shared" si="601"/>
        <v>4.5729000000000006</v>
      </c>
      <c r="AZ398" s="461">
        <f t="shared" si="602"/>
        <v>4.1519000000000004</v>
      </c>
      <c r="BA398" s="463">
        <f t="shared" si="603"/>
        <v>0.42099999999999999</v>
      </c>
    </row>
    <row r="399" spans="1:53" ht="14.1" customHeight="1" x14ac:dyDescent="0.2">
      <c r="A399" s="73">
        <v>79</v>
      </c>
      <c r="B399" s="70">
        <v>2325</v>
      </c>
      <c r="C399" s="71">
        <v>600074561</v>
      </c>
      <c r="D399" s="70">
        <v>46750321</v>
      </c>
      <c r="E399" s="72" t="s">
        <v>713</v>
      </c>
      <c r="F399" s="73"/>
      <c r="G399" s="72"/>
      <c r="H399" s="74"/>
      <c r="I399" s="706">
        <f t="shared" ref="I399:P399" si="604">SUM(I393:I398)</f>
        <v>38361583</v>
      </c>
      <c r="J399" s="79">
        <f t="shared" si="604"/>
        <v>28039319</v>
      </c>
      <c r="K399" s="79">
        <f t="shared" si="604"/>
        <v>9477290</v>
      </c>
      <c r="L399" s="79">
        <f t="shared" si="604"/>
        <v>280392</v>
      </c>
      <c r="M399" s="79">
        <f t="shared" si="604"/>
        <v>564582</v>
      </c>
      <c r="N399" s="80">
        <f t="shared" si="604"/>
        <v>51.229100000000003</v>
      </c>
      <c r="O399" s="80">
        <f t="shared" si="604"/>
        <v>37.2881</v>
      </c>
      <c r="P399" s="81">
        <f t="shared" si="604"/>
        <v>13.940999999999999</v>
      </c>
      <c r="Q399" s="725">
        <f t="shared" ref="Q399:BA399" si="605">SUM(Q393:Q398)</f>
        <v>-24310</v>
      </c>
      <c r="R399" s="725">
        <f t="shared" si="605"/>
        <v>3393418</v>
      </c>
      <c r="S399" s="79">
        <f t="shared" si="605"/>
        <v>0</v>
      </c>
      <c r="T399" s="79">
        <f t="shared" si="605"/>
        <v>35902</v>
      </c>
      <c r="U399" s="79">
        <f t="shared" si="605"/>
        <v>0</v>
      </c>
      <c r="V399" s="79">
        <f t="shared" si="605"/>
        <v>3405010</v>
      </c>
      <c r="W399" s="79">
        <f t="shared" si="605"/>
        <v>24310</v>
      </c>
      <c r="X399" s="79">
        <f t="shared" si="605"/>
        <v>0</v>
      </c>
      <c r="Y399" s="79">
        <f t="shared" si="605"/>
        <v>0</v>
      </c>
      <c r="Z399" s="79">
        <f t="shared" si="605"/>
        <v>24310</v>
      </c>
      <c r="AA399" s="79">
        <f t="shared" si="605"/>
        <v>3429320</v>
      </c>
      <c r="AB399" s="79">
        <f t="shared" si="605"/>
        <v>1159110</v>
      </c>
      <c r="AC399" s="79">
        <f t="shared" si="605"/>
        <v>34050</v>
      </c>
      <c r="AD399" s="79">
        <f t="shared" si="605"/>
        <v>0</v>
      </c>
      <c r="AE399" s="79">
        <f t="shared" si="605"/>
        <v>0</v>
      </c>
      <c r="AF399" s="79">
        <f t="shared" si="605"/>
        <v>0</v>
      </c>
      <c r="AG399" s="79">
        <f t="shared" si="605"/>
        <v>4622480</v>
      </c>
      <c r="AH399" s="80">
        <f t="shared" si="605"/>
        <v>-0.02</v>
      </c>
      <c r="AI399" s="80">
        <f t="shared" si="605"/>
        <v>0</v>
      </c>
      <c r="AJ399" s="80">
        <f t="shared" si="605"/>
        <v>9.73</v>
      </c>
      <c r="AK399" s="80">
        <f t="shared" si="605"/>
        <v>0</v>
      </c>
      <c r="AL399" s="80">
        <f t="shared" si="605"/>
        <v>0</v>
      </c>
      <c r="AM399" s="80">
        <f t="shared" si="605"/>
        <v>0.06</v>
      </c>
      <c r="AN399" s="80">
        <f t="shared" si="605"/>
        <v>0</v>
      </c>
      <c r="AO399" s="80">
        <f t="shared" si="605"/>
        <v>0</v>
      </c>
      <c r="AP399" s="80">
        <f t="shared" si="605"/>
        <v>9.77</v>
      </c>
      <c r="AQ399" s="80">
        <f t="shared" si="605"/>
        <v>0</v>
      </c>
      <c r="AR399" s="721">
        <f t="shared" si="605"/>
        <v>9.77</v>
      </c>
      <c r="AS399" s="706">
        <f t="shared" si="605"/>
        <v>42984063</v>
      </c>
      <c r="AT399" s="79">
        <f t="shared" si="605"/>
        <v>31444329</v>
      </c>
      <c r="AU399" s="79">
        <f t="shared" si="605"/>
        <v>24310</v>
      </c>
      <c r="AV399" s="79">
        <f t="shared" si="605"/>
        <v>10636400</v>
      </c>
      <c r="AW399" s="79">
        <f t="shared" si="605"/>
        <v>314442</v>
      </c>
      <c r="AX399" s="79">
        <f t="shared" si="605"/>
        <v>564582</v>
      </c>
      <c r="AY399" s="80">
        <f t="shared" si="605"/>
        <v>60.999099999999999</v>
      </c>
      <c r="AZ399" s="80">
        <f t="shared" si="605"/>
        <v>47.058099999999996</v>
      </c>
      <c r="BA399" s="81">
        <f t="shared" si="605"/>
        <v>13.940999999999999</v>
      </c>
    </row>
    <row r="400" spans="1:53" ht="14.1" customHeight="1" x14ac:dyDescent="0.2">
      <c r="A400" s="67">
        <v>80</v>
      </c>
      <c r="B400" s="64">
        <v>2329</v>
      </c>
      <c r="C400" s="65">
        <v>691007331</v>
      </c>
      <c r="D400" s="64">
        <v>71294171</v>
      </c>
      <c r="E400" s="66" t="s">
        <v>783</v>
      </c>
      <c r="F400" s="67">
        <v>3114</v>
      </c>
      <c r="G400" s="168" t="s">
        <v>546</v>
      </c>
      <c r="H400" s="68" t="s">
        <v>277</v>
      </c>
      <c r="I400" s="462">
        <v>7254181</v>
      </c>
      <c r="J400" s="16">
        <v>5334801</v>
      </c>
      <c r="K400" s="457">
        <v>1803162</v>
      </c>
      <c r="L400" s="457">
        <v>53348</v>
      </c>
      <c r="M400" s="16">
        <v>62870</v>
      </c>
      <c r="N400" s="13">
        <v>8.9225999999999992</v>
      </c>
      <c r="O400" s="13">
        <v>6.7725999999999997</v>
      </c>
      <c r="P400" s="17">
        <v>2.15</v>
      </c>
      <c r="Q400" s="469">
        <f t="shared" si="591"/>
        <v>0</v>
      </c>
      <c r="R400" s="469">
        <v>0</v>
      </c>
      <c r="S400" s="460">
        <v>0</v>
      </c>
      <c r="T400" s="460">
        <v>0</v>
      </c>
      <c r="U400" s="460">
        <v>0</v>
      </c>
      <c r="V400" s="460">
        <f t="shared" ref="V400:V405" si="606">SUM(Q400:U400)</f>
        <v>0</v>
      </c>
      <c r="W400" s="460">
        <v>0</v>
      </c>
      <c r="X400" s="460">
        <v>0</v>
      </c>
      <c r="Y400" s="460">
        <v>0</v>
      </c>
      <c r="Z400" s="460">
        <f t="shared" ref="Z400:Z405" si="607">SUM(W400:Y400)</f>
        <v>0</v>
      </c>
      <c r="AA400" s="460">
        <f t="shared" ref="AA400:AA405" si="608">V400+Z400</f>
        <v>0</v>
      </c>
      <c r="AB400" s="69">
        <f t="shared" ref="AB400:AB405" si="609">ROUND((V400+W400+X400)*33.8%,0)</f>
        <v>0</v>
      </c>
      <c r="AC400" s="69">
        <f t="shared" ref="AC400:AC405" si="610">ROUND(V400*1%,0)</f>
        <v>0</v>
      </c>
      <c r="AD400" s="460">
        <v>0</v>
      </c>
      <c r="AE400" s="460">
        <v>0</v>
      </c>
      <c r="AF400" s="460">
        <f t="shared" ref="AF400:AF405" si="611">SUM(AD400:AE400)</f>
        <v>0</v>
      </c>
      <c r="AG400" s="460">
        <f t="shared" ref="AG400:AG405" si="612">AA400+AB400+AC400+AF400</f>
        <v>0</v>
      </c>
      <c r="AH400" s="461">
        <v>0</v>
      </c>
      <c r="AI400" s="461">
        <v>0</v>
      </c>
      <c r="AJ400" s="461">
        <v>0</v>
      </c>
      <c r="AK400" s="461">
        <v>0</v>
      </c>
      <c r="AL400" s="461">
        <v>0</v>
      </c>
      <c r="AM400" s="461">
        <v>0</v>
      </c>
      <c r="AN400" s="461">
        <v>0</v>
      </c>
      <c r="AO400" s="461">
        <v>0</v>
      </c>
      <c r="AP400" s="461">
        <f t="shared" si="592"/>
        <v>0</v>
      </c>
      <c r="AQ400" s="461">
        <f t="shared" si="593"/>
        <v>0</v>
      </c>
      <c r="AR400" s="737">
        <f t="shared" si="594"/>
        <v>0</v>
      </c>
      <c r="AS400" s="470">
        <f t="shared" si="595"/>
        <v>7254181</v>
      </c>
      <c r="AT400" s="460">
        <f t="shared" si="596"/>
        <v>5334801</v>
      </c>
      <c r="AU400" s="460">
        <f t="shared" si="597"/>
        <v>0</v>
      </c>
      <c r="AV400" s="460">
        <f t="shared" si="598"/>
        <v>1803162</v>
      </c>
      <c r="AW400" s="460">
        <f t="shared" si="599"/>
        <v>53348</v>
      </c>
      <c r="AX400" s="460">
        <f t="shared" si="600"/>
        <v>62870</v>
      </c>
      <c r="AY400" s="461">
        <f t="shared" si="601"/>
        <v>8.9225999999999992</v>
      </c>
      <c r="AZ400" s="461">
        <f t="shared" si="602"/>
        <v>6.7725999999999997</v>
      </c>
      <c r="BA400" s="463">
        <f t="shared" si="603"/>
        <v>2.15</v>
      </c>
    </row>
    <row r="401" spans="1:53" ht="14.1" customHeight="1" x14ac:dyDescent="0.2">
      <c r="A401" s="67">
        <v>80</v>
      </c>
      <c r="B401" s="64">
        <v>2329</v>
      </c>
      <c r="C401" s="65">
        <v>691007331</v>
      </c>
      <c r="D401" s="64">
        <v>71294171</v>
      </c>
      <c r="E401" s="66" t="s">
        <v>783</v>
      </c>
      <c r="F401" s="67">
        <v>3114</v>
      </c>
      <c r="G401" s="44" t="s">
        <v>309</v>
      </c>
      <c r="H401" s="68" t="s">
        <v>277</v>
      </c>
      <c r="I401" s="462">
        <v>1540097</v>
      </c>
      <c r="J401" s="16">
        <v>1142505</v>
      </c>
      <c r="K401" s="457">
        <v>386167</v>
      </c>
      <c r="L401" s="457">
        <v>11425</v>
      </c>
      <c r="M401" s="16">
        <v>0</v>
      </c>
      <c r="N401" s="13">
        <v>2.9167000000000001</v>
      </c>
      <c r="O401" s="13">
        <v>2.9167000000000001</v>
      </c>
      <c r="P401" s="17">
        <v>0</v>
      </c>
      <c r="Q401" s="469">
        <f t="shared" si="591"/>
        <v>0</v>
      </c>
      <c r="R401" s="469">
        <v>0</v>
      </c>
      <c r="S401" s="460">
        <v>0</v>
      </c>
      <c r="T401" s="460">
        <v>0</v>
      </c>
      <c r="U401" s="460">
        <v>0</v>
      </c>
      <c r="V401" s="460">
        <f t="shared" si="606"/>
        <v>0</v>
      </c>
      <c r="W401" s="460">
        <v>0</v>
      </c>
      <c r="X401" s="460">
        <v>0</v>
      </c>
      <c r="Y401" s="460">
        <v>0</v>
      </c>
      <c r="Z401" s="460">
        <f t="shared" si="607"/>
        <v>0</v>
      </c>
      <c r="AA401" s="460">
        <f t="shared" si="608"/>
        <v>0</v>
      </c>
      <c r="AB401" s="69">
        <f t="shared" si="609"/>
        <v>0</v>
      </c>
      <c r="AC401" s="69">
        <f t="shared" si="610"/>
        <v>0</v>
      </c>
      <c r="AD401" s="460">
        <v>0</v>
      </c>
      <c r="AE401" s="460">
        <v>0</v>
      </c>
      <c r="AF401" s="460">
        <f t="shared" si="611"/>
        <v>0</v>
      </c>
      <c r="AG401" s="460">
        <f t="shared" si="612"/>
        <v>0</v>
      </c>
      <c r="AH401" s="461">
        <v>0</v>
      </c>
      <c r="AI401" s="461">
        <v>0</v>
      </c>
      <c r="AJ401" s="461">
        <v>0</v>
      </c>
      <c r="AK401" s="461">
        <v>0</v>
      </c>
      <c r="AL401" s="461">
        <v>0</v>
      </c>
      <c r="AM401" s="461">
        <v>0</v>
      </c>
      <c r="AN401" s="461">
        <v>0</v>
      </c>
      <c r="AO401" s="461">
        <v>0</v>
      </c>
      <c r="AP401" s="461">
        <f t="shared" si="592"/>
        <v>0</v>
      </c>
      <c r="AQ401" s="461">
        <f t="shared" si="593"/>
        <v>0</v>
      </c>
      <c r="AR401" s="737">
        <f t="shared" si="594"/>
        <v>0</v>
      </c>
      <c r="AS401" s="470">
        <f t="shared" si="595"/>
        <v>1540097</v>
      </c>
      <c r="AT401" s="460">
        <f t="shared" si="596"/>
        <v>1142505</v>
      </c>
      <c r="AU401" s="460">
        <f t="shared" si="597"/>
        <v>0</v>
      </c>
      <c r="AV401" s="460">
        <f t="shared" si="598"/>
        <v>386167</v>
      </c>
      <c r="AW401" s="460">
        <f t="shared" si="599"/>
        <v>11425</v>
      </c>
      <c r="AX401" s="460">
        <f t="shared" si="600"/>
        <v>0</v>
      </c>
      <c r="AY401" s="461">
        <f t="shared" si="601"/>
        <v>2.9167000000000001</v>
      </c>
      <c r="AZ401" s="461">
        <f t="shared" si="602"/>
        <v>2.9167000000000001</v>
      </c>
      <c r="BA401" s="463">
        <f t="shared" si="603"/>
        <v>0</v>
      </c>
    </row>
    <row r="402" spans="1:53" ht="14.1" customHeight="1" x14ac:dyDescent="0.2">
      <c r="A402" s="67">
        <v>80</v>
      </c>
      <c r="B402" s="64">
        <v>2329</v>
      </c>
      <c r="C402" s="65">
        <v>691007331</v>
      </c>
      <c r="D402" s="64">
        <v>71294171</v>
      </c>
      <c r="E402" s="66" t="s">
        <v>783</v>
      </c>
      <c r="F402" s="67">
        <v>3114</v>
      </c>
      <c r="G402" s="78" t="s">
        <v>308</v>
      </c>
      <c r="H402" s="68" t="s">
        <v>278</v>
      </c>
      <c r="I402" s="462">
        <v>0</v>
      </c>
      <c r="J402" s="457">
        <v>0</v>
      </c>
      <c r="K402" s="457">
        <v>0</v>
      </c>
      <c r="L402" s="457">
        <v>0</v>
      </c>
      <c r="M402" s="457">
        <v>0</v>
      </c>
      <c r="N402" s="458">
        <v>0</v>
      </c>
      <c r="O402" s="459">
        <v>0</v>
      </c>
      <c r="P402" s="646">
        <v>0</v>
      </c>
      <c r="Q402" s="469">
        <f t="shared" si="591"/>
        <v>0</v>
      </c>
      <c r="R402" s="469">
        <v>0</v>
      </c>
      <c r="S402" s="460">
        <v>0</v>
      </c>
      <c r="T402" s="460">
        <v>0</v>
      </c>
      <c r="U402" s="460">
        <v>0</v>
      </c>
      <c r="V402" s="460">
        <f t="shared" si="606"/>
        <v>0</v>
      </c>
      <c r="W402" s="460">
        <v>0</v>
      </c>
      <c r="X402" s="460">
        <v>0</v>
      </c>
      <c r="Y402" s="460">
        <v>0</v>
      </c>
      <c r="Z402" s="460">
        <f t="shared" si="607"/>
        <v>0</v>
      </c>
      <c r="AA402" s="460">
        <f t="shared" si="608"/>
        <v>0</v>
      </c>
      <c r="AB402" s="69">
        <f t="shared" si="609"/>
        <v>0</v>
      </c>
      <c r="AC402" s="69">
        <f t="shared" si="610"/>
        <v>0</v>
      </c>
      <c r="AD402" s="460">
        <v>0</v>
      </c>
      <c r="AE402" s="460">
        <v>0</v>
      </c>
      <c r="AF402" s="460">
        <f t="shared" si="611"/>
        <v>0</v>
      </c>
      <c r="AG402" s="460">
        <f t="shared" si="612"/>
        <v>0</v>
      </c>
      <c r="AH402" s="461">
        <v>0</v>
      </c>
      <c r="AI402" s="461">
        <v>0</v>
      </c>
      <c r="AJ402" s="461">
        <v>0</v>
      </c>
      <c r="AK402" s="461">
        <v>0</v>
      </c>
      <c r="AL402" s="461">
        <v>0</v>
      </c>
      <c r="AM402" s="461">
        <v>0</v>
      </c>
      <c r="AN402" s="461">
        <v>0</v>
      </c>
      <c r="AO402" s="461">
        <v>0</v>
      </c>
      <c r="AP402" s="461">
        <f t="shared" si="592"/>
        <v>0</v>
      </c>
      <c r="AQ402" s="461">
        <f t="shared" si="593"/>
        <v>0</v>
      </c>
      <c r="AR402" s="737">
        <f t="shared" si="594"/>
        <v>0</v>
      </c>
      <c r="AS402" s="470">
        <f t="shared" si="595"/>
        <v>0</v>
      </c>
      <c r="AT402" s="460">
        <f t="shared" si="596"/>
        <v>0</v>
      </c>
      <c r="AU402" s="460">
        <f t="shared" si="597"/>
        <v>0</v>
      </c>
      <c r="AV402" s="460">
        <f t="shared" si="598"/>
        <v>0</v>
      </c>
      <c r="AW402" s="460">
        <f t="shared" si="599"/>
        <v>0</v>
      </c>
      <c r="AX402" s="460">
        <f t="shared" si="600"/>
        <v>0</v>
      </c>
      <c r="AY402" s="461">
        <f t="shared" si="601"/>
        <v>0</v>
      </c>
      <c r="AZ402" s="461">
        <f t="shared" si="602"/>
        <v>0</v>
      </c>
      <c r="BA402" s="463">
        <f t="shared" si="603"/>
        <v>0</v>
      </c>
    </row>
    <row r="403" spans="1:53" ht="14.1" customHeight="1" x14ac:dyDescent="0.2">
      <c r="A403" s="67">
        <v>80</v>
      </c>
      <c r="B403" s="64">
        <v>2329</v>
      </c>
      <c r="C403" s="65">
        <v>691007331</v>
      </c>
      <c r="D403" s="64">
        <v>71294171</v>
      </c>
      <c r="E403" s="66" t="s">
        <v>783</v>
      </c>
      <c r="F403" s="67">
        <v>3141</v>
      </c>
      <c r="G403" s="66" t="s">
        <v>311</v>
      </c>
      <c r="H403" s="68" t="s">
        <v>278</v>
      </c>
      <c r="I403" s="462">
        <v>68795</v>
      </c>
      <c r="J403" s="728">
        <v>50656</v>
      </c>
      <c r="K403" s="457">
        <v>17122</v>
      </c>
      <c r="L403" s="457">
        <v>507</v>
      </c>
      <c r="M403" s="728">
        <v>510</v>
      </c>
      <c r="N403" s="458">
        <v>0.16</v>
      </c>
      <c r="O403" s="459">
        <v>0</v>
      </c>
      <c r="P403" s="646">
        <v>0.16</v>
      </c>
      <c r="Q403" s="469">
        <f t="shared" si="591"/>
        <v>0</v>
      </c>
      <c r="R403" s="469">
        <v>0</v>
      </c>
      <c r="S403" s="460">
        <v>0</v>
      </c>
      <c r="T403" s="460">
        <v>0</v>
      </c>
      <c r="U403" s="460">
        <v>0</v>
      </c>
      <c r="V403" s="460">
        <f t="shared" si="606"/>
        <v>0</v>
      </c>
      <c r="W403" s="460">
        <v>0</v>
      </c>
      <c r="X403" s="460">
        <v>0</v>
      </c>
      <c r="Y403" s="460">
        <v>0</v>
      </c>
      <c r="Z403" s="460">
        <f t="shared" si="607"/>
        <v>0</v>
      </c>
      <c r="AA403" s="460">
        <f t="shared" si="608"/>
        <v>0</v>
      </c>
      <c r="AB403" s="69">
        <f t="shared" si="609"/>
        <v>0</v>
      </c>
      <c r="AC403" s="69">
        <f t="shared" si="610"/>
        <v>0</v>
      </c>
      <c r="AD403" s="460">
        <v>0</v>
      </c>
      <c r="AE403" s="460">
        <v>0</v>
      </c>
      <c r="AF403" s="460">
        <f t="shared" si="611"/>
        <v>0</v>
      </c>
      <c r="AG403" s="460">
        <f t="shared" si="612"/>
        <v>0</v>
      </c>
      <c r="AH403" s="461">
        <v>0</v>
      </c>
      <c r="AI403" s="461">
        <v>0</v>
      </c>
      <c r="AJ403" s="461">
        <v>0</v>
      </c>
      <c r="AK403" s="461">
        <v>0</v>
      </c>
      <c r="AL403" s="461">
        <v>0</v>
      </c>
      <c r="AM403" s="461">
        <v>0</v>
      </c>
      <c r="AN403" s="461">
        <v>0</v>
      </c>
      <c r="AO403" s="461">
        <v>0</v>
      </c>
      <c r="AP403" s="461">
        <f t="shared" si="592"/>
        <v>0</v>
      </c>
      <c r="AQ403" s="461">
        <f t="shared" si="593"/>
        <v>0</v>
      </c>
      <c r="AR403" s="737">
        <f t="shared" si="594"/>
        <v>0</v>
      </c>
      <c r="AS403" s="470">
        <f t="shared" si="595"/>
        <v>68795</v>
      </c>
      <c r="AT403" s="460">
        <f t="shared" si="596"/>
        <v>50656</v>
      </c>
      <c r="AU403" s="460">
        <f t="shared" si="597"/>
        <v>0</v>
      </c>
      <c r="AV403" s="460">
        <f t="shared" si="598"/>
        <v>17122</v>
      </c>
      <c r="AW403" s="460">
        <f t="shared" si="599"/>
        <v>507</v>
      </c>
      <c r="AX403" s="460">
        <f t="shared" si="600"/>
        <v>510</v>
      </c>
      <c r="AY403" s="461">
        <f t="shared" si="601"/>
        <v>0.16</v>
      </c>
      <c r="AZ403" s="461">
        <f t="shared" si="602"/>
        <v>0</v>
      </c>
      <c r="BA403" s="463">
        <f t="shared" si="603"/>
        <v>0.16</v>
      </c>
    </row>
    <row r="404" spans="1:53" ht="14.1" customHeight="1" x14ac:dyDescent="0.2">
      <c r="A404" s="67">
        <v>80</v>
      </c>
      <c r="B404" s="64">
        <v>2329</v>
      </c>
      <c r="C404" s="65">
        <v>691007331</v>
      </c>
      <c r="D404" s="64">
        <v>71294171</v>
      </c>
      <c r="E404" s="66" t="s">
        <v>783</v>
      </c>
      <c r="F404" s="67">
        <v>3143</v>
      </c>
      <c r="G404" s="78" t="s">
        <v>616</v>
      </c>
      <c r="H404" s="68" t="s">
        <v>277</v>
      </c>
      <c r="I404" s="462">
        <v>510357</v>
      </c>
      <c r="J404" s="16">
        <v>378603</v>
      </c>
      <c r="K404" s="457">
        <v>127968</v>
      </c>
      <c r="L404" s="457">
        <v>3786</v>
      </c>
      <c r="M404" s="16">
        <v>0</v>
      </c>
      <c r="N404" s="458">
        <v>0.75</v>
      </c>
      <c r="O404" s="13">
        <v>0.75</v>
      </c>
      <c r="P404" s="17">
        <v>0</v>
      </c>
      <c r="Q404" s="469">
        <f t="shared" si="591"/>
        <v>0</v>
      </c>
      <c r="R404" s="469">
        <v>0</v>
      </c>
      <c r="S404" s="460">
        <v>0</v>
      </c>
      <c r="T404" s="460">
        <v>0</v>
      </c>
      <c r="U404" s="460">
        <v>0</v>
      </c>
      <c r="V404" s="460">
        <f t="shared" si="606"/>
        <v>0</v>
      </c>
      <c r="W404" s="460">
        <v>0</v>
      </c>
      <c r="X404" s="460">
        <v>0</v>
      </c>
      <c r="Y404" s="460">
        <v>0</v>
      </c>
      <c r="Z404" s="460">
        <f t="shared" si="607"/>
        <v>0</v>
      </c>
      <c r="AA404" s="460">
        <f t="shared" si="608"/>
        <v>0</v>
      </c>
      <c r="AB404" s="69">
        <f t="shared" si="609"/>
        <v>0</v>
      </c>
      <c r="AC404" s="69">
        <f t="shared" si="610"/>
        <v>0</v>
      </c>
      <c r="AD404" s="460">
        <v>0</v>
      </c>
      <c r="AE404" s="460">
        <v>0</v>
      </c>
      <c r="AF404" s="460">
        <f t="shared" si="611"/>
        <v>0</v>
      </c>
      <c r="AG404" s="460">
        <f t="shared" si="612"/>
        <v>0</v>
      </c>
      <c r="AH404" s="461">
        <v>0</v>
      </c>
      <c r="AI404" s="461">
        <v>0</v>
      </c>
      <c r="AJ404" s="461">
        <v>0</v>
      </c>
      <c r="AK404" s="461">
        <v>0</v>
      </c>
      <c r="AL404" s="461">
        <v>0</v>
      </c>
      <c r="AM404" s="461">
        <v>0</v>
      </c>
      <c r="AN404" s="461">
        <v>0</v>
      </c>
      <c r="AO404" s="461">
        <v>0</v>
      </c>
      <c r="AP404" s="461">
        <f t="shared" si="592"/>
        <v>0</v>
      </c>
      <c r="AQ404" s="461">
        <f t="shared" si="593"/>
        <v>0</v>
      </c>
      <c r="AR404" s="737">
        <f t="shared" si="594"/>
        <v>0</v>
      </c>
      <c r="AS404" s="470">
        <f t="shared" si="595"/>
        <v>510357</v>
      </c>
      <c r="AT404" s="460">
        <f t="shared" si="596"/>
        <v>378603</v>
      </c>
      <c r="AU404" s="460">
        <f t="shared" si="597"/>
        <v>0</v>
      </c>
      <c r="AV404" s="460">
        <f t="shared" si="598"/>
        <v>127968</v>
      </c>
      <c r="AW404" s="460">
        <f t="shared" si="599"/>
        <v>3786</v>
      </c>
      <c r="AX404" s="460">
        <f t="shared" si="600"/>
        <v>0</v>
      </c>
      <c r="AY404" s="461">
        <f t="shared" si="601"/>
        <v>0.75</v>
      </c>
      <c r="AZ404" s="461">
        <f t="shared" si="602"/>
        <v>0.75</v>
      </c>
      <c r="BA404" s="463">
        <f t="shared" si="603"/>
        <v>0</v>
      </c>
    </row>
    <row r="405" spans="1:53" ht="14.1" customHeight="1" x14ac:dyDescent="0.2">
      <c r="A405" s="67">
        <v>80</v>
      </c>
      <c r="B405" s="64">
        <v>2329</v>
      </c>
      <c r="C405" s="65">
        <v>691007331</v>
      </c>
      <c r="D405" s="64">
        <v>71294171</v>
      </c>
      <c r="E405" s="66" t="s">
        <v>783</v>
      </c>
      <c r="F405" s="67">
        <v>3143</v>
      </c>
      <c r="G405" s="78" t="s">
        <v>617</v>
      </c>
      <c r="H405" s="68" t="s">
        <v>278</v>
      </c>
      <c r="I405" s="462">
        <v>10261</v>
      </c>
      <c r="J405" s="673">
        <v>7332</v>
      </c>
      <c r="K405" s="457">
        <v>2478</v>
      </c>
      <c r="L405" s="457">
        <v>73</v>
      </c>
      <c r="M405" s="673">
        <v>378</v>
      </c>
      <c r="N405" s="458">
        <v>0.03</v>
      </c>
      <c r="O405" s="459">
        <v>0</v>
      </c>
      <c r="P405" s="646">
        <v>0.03</v>
      </c>
      <c r="Q405" s="469">
        <f t="shared" si="591"/>
        <v>0</v>
      </c>
      <c r="R405" s="469">
        <v>0</v>
      </c>
      <c r="S405" s="460">
        <v>0</v>
      </c>
      <c r="T405" s="460">
        <v>0</v>
      </c>
      <c r="U405" s="460">
        <v>0</v>
      </c>
      <c r="V405" s="460">
        <f t="shared" si="606"/>
        <v>0</v>
      </c>
      <c r="W405" s="460">
        <v>0</v>
      </c>
      <c r="X405" s="460">
        <v>0</v>
      </c>
      <c r="Y405" s="460">
        <v>0</v>
      </c>
      <c r="Z405" s="460">
        <f t="shared" si="607"/>
        <v>0</v>
      </c>
      <c r="AA405" s="460">
        <f t="shared" si="608"/>
        <v>0</v>
      </c>
      <c r="AB405" s="69">
        <f t="shared" si="609"/>
        <v>0</v>
      </c>
      <c r="AC405" s="69">
        <f t="shared" si="610"/>
        <v>0</v>
      </c>
      <c r="AD405" s="460">
        <v>0</v>
      </c>
      <c r="AE405" s="460">
        <v>0</v>
      </c>
      <c r="AF405" s="460">
        <f t="shared" si="611"/>
        <v>0</v>
      </c>
      <c r="AG405" s="460">
        <f t="shared" si="612"/>
        <v>0</v>
      </c>
      <c r="AH405" s="461">
        <v>0</v>
      </c>
      <c r="AI405" s="461">
        <v>0</v>
      </c>
      <c r="AJ405" s="461">
        <v>0</v>
      </c>
      <c r="AK405" s="461">
        <v>0</v>
      </c>
      <c r="AL405" s="461">
        <v>0</v>
      </c>
      <c r="AM405" s="461">
        <v>0</v>
      </c>
      <c r="AN405" s="461">
        <v>0</v>
      </c>
      <c r="AO405" s="461">
        <v>0</v>
      </c>
      <c r="AP405" s="461">
        <f t="shared" si="592"/>
        <v>0</v>
      </c>
      <c r="AQ405" s="461">
        <f t="shared" si="593"/>
        <v>0</v>
      </c>
      <c r="AR405" s="737">
        <f t="shared" si="594"/>
        <v>0</v>
      </c>
      <c r="AS405" s="470">
        <f t="shared" si="595"/>
        <v>10261</v>
      </c>
      <c r="AT405" s="460">
        <f t="shared" si="596"/>
        <v>7332</v>
      </c>
      <c r="AU405" s="460">
        <f t="shared" si="597"/>
        <v>0</v>
      </c>
      <c r="AV405" s="460">
        <f t="shared" si="598"/>
        <v>2478</v>
      </c>
      <c r="AW405" s="460">
        <f t="shared" si="599"/>
        <v>73</v>
      </c>
      <c r="AX405" s="460">
        <f t="shared" si="600"/>
        <v>378</v>
      </c>
      <c r="AY405" s="461">
        <f t="shared" si="601"/>
        <v>0.03</v>
      </c>
      <c r="AZ405" s="461">
        <f t="shared" si="602"/>
        <v>0</v>
      </c>
      <c r="BA405" s="463">
        <f t="shared" si="603"/>
        <v>0.03</v>
      </c>
    </row>
    <row r="406" spans="1:53" ht="14.1" customHeight="1" x14ac:dyDescent="0.2">
      <c r="A406" s="73">
        <v>80</v>
      </c>
      <c r="B406" s="70">
        <v>2329</v>
      </c>
      <c r="C406" s="71">
        <v>691007331</v>
      </c>
      <c r="D406" s="70">
        <v>71294171</v>
      </c>
      <c r="E406" s="72" t="s">
        <v>807</v>
      </c>
      <c r="F406" s="73"/>
      <c r="G406" s="72"/>
      <c r="H406" s="74"/>
      <c r="I406" s="707">
        <f t="shared" ref="I406:P406" si="613">SUM(I400:I405)</f>
        <v>9383691</v>
      </c>
      <c r="J406" s="83">
        <f t="shared" si="613"/>
        <v>6913897</v>
      </c>
      <c r="K406" s="83">
        <f t="shared" si="613"/>
        <v>2336897</v>
      </c>
      <c r="L406" s="83">
        <f t="shared" si="613"/>
        <v>69139</v>
      </c>
      <c r="M406" s="83">
        <f t="shared" si="613"/>
        <v>63758</v>
      </c>
      <c r="N406" s="84">
        <f t="shared" si="613"/>
        <v>12.779299999999999</v>
      </c>
      <c r="O406" s="84">
        <f t="shared" si="613"/>
        <v>10.439299999999999</v>
      </c>
      <c r="P406" s="85">
        <f t="shared" si="613"/>
        <v>2.34</v>
      </c>
      <c r="Q406" s="726">
        <f t="shared" ref="Q406:BA406" si="614">SUM(Q400:Q405)</f>
        <v>0</v>
      </c>
      <c r="R406" s="726">
        <f t="shared" si="614"/>
        <v>0</v>
      </c>
      <c r="S406" s="83">
        <f t="shared" si="614"/>
        <v>0</v>
      </c>
      <c r="T406" s="83">
        <f t="shared" si="614"/>
        <v>0</v>
      </c>
      <c r="U406" s="83">
        <f t="shared" si="614"/>
        <v>0</v>
      </c>
      <c r="V406" s="83">
        <f t="shared" si="614"/>
        <v>0</v>
      </c>
      <c r="W406" s="83">
        <f t="shared" si="614"/>
        <v>0</v>
      </c>
      <c r="X406" s="83">
        <f t="shared" si="614"/>
        <v>0</v>
      </c>
      <c r="Y406" s="83">
        <f t="shared" si="614"/>
        <v>0</v>
      </c>
      <c r="Z406" s="83">
        <f t="shared" si="614"/>
        <v>0</v>
      </c>
      <c r="AA406" s="83">
        <f t="shared" si="614"/>
        <v>0</v>
      </c>
      <c r="AB406" s="83">
        <f t="shared" si="614"/>
        <v>0</v>
      </c>
      <c r="AC406" s="83">
        <f t="shared" si="614"/>
        <v>0</v>
      </c>
      <c r="AD406" s="83">
        <f t="shared" si="614"/>
        <v>0</v>
      </c>
      <c r="AE406" s="83">
        <f t="shared" si="614"/>
        <v>0</v>
      </c>
      <c r="AF406" s="83">
        <f t="shared" si="614"/>
        <v>0</v>
      </c>
      <c r="AG406" s="83">
        <f t="shared" si="614"/>
        <v>0</v>
      </c>
      <c r="AH406" s="84">
        <f t="shared" si="614"/>
        <v>0</v>
      </c>
      <c r="AI406" s="84">
        <f t="shared" si="614"/>
        <v>0</v>
      </c>
      <c r="AJ406" s="84">
        <f t="shared" si="614"/>
        <v>0</v>
      </c>
      <c r="AK406" s="84">
        <f t="shared" si="614"/>
        <v>0</v>
      </c>
      <c r="AL406" s="84">
        <f t="shared" si="614"/>
        <v>0</v>
      </c>
      <c r="AM406" s="84">
        <f t="shared" si="614"/>
        <v>0</v>
      </c>
      <c r="AN406" s="84">
        <f t="shared" si="614"/>
        <v>0</v>
      </c>
      <c r="AO406" s="84">
        <f t="shared" si="614"/>
        <v>0</v>
      </c>
      <c r="AP406" s="84">
        <f t="shared" si="614"/>
        <v>0</v>
      </c>
      <c r="AQ406" s="84">
        <f t="shared" si="614"/>
        <v>0</v>
      </c>
      <c r="AR406" s="722">
        <f t="shared" si="614"/>
        <v>0</v>
      </c>
      <c r="AS406" s="707">
        <f t="shared" si="614"/>
        <v>9383691</v>
      </c>
      <c r="AT406" s="83">
        <f t="shared" si="614"/>
        <v>6913897</v>
      </c>
      <c r="AU406" s="83">
        <f t="shared" si="614"/>
        <v>0</v>
      </c>
      <c r="AV406" s="83">
        <f t="shared" si="614"/>
        <v>2336897</v>
      </c>
      <c r="AW406" s="83">
        <f t="shared" si="614"/>
        <v>69139</v>
      </c>
      <c r="AX406" s="83">
        <f t="shared" si="614"/>
        <v>63758</v>
      </c>
      <c r="AY406" s="84">
        <f t="shared" si="614"/>
        <v>12.779299999999999</v>
      </c>
      <c r="AZ406" s="84">
        <f t="shared" si="614"/>
        <v>10.439299999999999</v>
      </c>
      <c r="BA406" s="85">
        <f t="shared" si="614"/>
        <v>2.34</v>
      </c>
    </row>
    <row r="407" spans="1:53" ht="14.1" customHeight="1" x14ac:dyDescent="0.2">
      <c r="A407" s="67">
        <v>81</v>
      </c>
      <c r="B407" s="64">
        <v>2466</v>
      </c>
      <c r="C407" s="65">
        <v>600079821</v>
      </c>
      <c r="D407" s="64">
        <v>70695083</v>
      </c>
      <c r="E407" s="66" t="s">
        <v>838</v>
      </c>
      <c r="F407" s="67">
        <v>3111</v>
      </c>
      <c r="G407" s="66" t="s">
        <v>307</v>
      </c>
      <c r="H407" s="68" t="s">
        <v>277</v>
      </c>
      <c r="I407" s="462">
        <v>3426229</v>
      </c>
      <c r="J407" s="457">
        <v>2526802</v>
      </c>
      <c r="K407" s="457">
        <v>854059</v>
      </c>
      <c r="L407" s="457">
        <v>25268</v>
      </c>
      <c r="M407" s="457">
        <v>20100</v>
      </c>
      <c r="N407" s="13">
        <v>5.5998999999999999</v>
      </c>
      <c r="O407" s="459">
        <v>4.0799000000000003</v>
      </c>
      <c r="P407" s="646">
        <v>1.52</v>
      </c>
      <c r="Q407" s="469">
        <f t="shared" si="591"/>
        <v>-9750</v>
      </c>
      <c r="R407" s="469">
        <v>0</v>
      </c>
      <c r="S407" s="460">
        <v>0</v>
      </c>
      <c r="T407" s="460">
        <v>0</v>
      </c>
      <c r="U407" s="460">
        <v>0</v>
      </c>
      <c r="V407" s="460">
        <f t="shared" ref="V407:V412" si="615">SUM(Q407:U407)</f>
        <v>-9750</v>
      </c>
      <c r="W407" s="460">
        <v>9750</v>
      </c>
      <c r="X407" s="460">
        <v>0</v>
      </c>
      <c r="Y407" s="460">
        <v>0</v>
      </c>
      <c r="Z407" s="460">
        <f t="shared" ref="Z407" si="616">SUM(W407:Y407)</f>
        <v>9750</v>
      </c>
      <c r="AA407" s="460">
        <f t="shared" ref="AA407" si="617">V407+Z407</f>
        <v>0</v>
      </c>
      <c r="AB407" s="69">
        <f t="shared" ref="AB407" si="618">ROUND((V407+W407+X407)*33.8%,0)</f>
        <v>0</v>
      </c>
      <c r="AC407" s="69">
        <f t="shared" ref="AC407" si="619">ROUND(V407*1%,0)</f>
        <v>-98</v>
      </c>
      <c r="AD407" s="460">
        <v>0</v>
      </c>
      <c r="AE407" s="460">
        <v>0</v>
      </c>
      <c r="AF407" s="460">
        <f t="shared" ref="AF407:AF412" si="620">SUM(AD407:AE407)</f>
        <v>0</v>
      </c>
      <c r="AG407" s="460">
        <f t="shared" ref="AG407:AG412" si="621">AA407+AB407+AC407+AF407</f>
        <v>-98</v>
      </c>
      <c r="AH407" s="461">
        <v>0</v>
      </c>
      <c r="AI407" s="461">
        <v>0</v>
      </c>
      <c r="AJ407" s="461">
        <v>0</v>
      </c>
      <c r="AK407" s="461">
        <v>0</v>
      </c>
      <c r="AL407" s="461">
        <v>0</v>
      </c>
      <c r="AM407" s="461">
        <v>0</v>
      </c>
      <c r="AN407" s="461">
        <v>0</v>
      </c>
      <c r="AO407" s="461">
        <v>0</v>
      </c>
      <c r="AP407" s="461">
        <f t="shared" si="592"/>
        <v>0</v>
      </c>
      <c r="AQ407" s="461">
        <f t="shared" si="593"/>
        <v>0</v>
      </c>
      <c r="AR407" s="737">
        <f t="shared" si="594"/>
        <v>0</v>
      </c>
      <c r="AS407" s="470">
        <f t="shared" si="595"/>
        <v>3426131</v>
      </c>
      <c r="AT407" s="460">
        <f t="shared" si="596"/>
        <v>2517052</v>
      </c>
      <c r="AU407" s="460">
        <f t="shared" si="597"/>
        <v>9750</v>
      </c>
      <c r="AV407" s="460">
        <f t="shared" si="598"/>
        <v>854059</v>
      </c>
      <c r="AW407" s="460">
        <f t="shared" si="599"/>
        <v>25170</v>
      </c>
      <c r="AX407" s="460">
        <f t="shared" si="600"/>
        <v>20100</v>
      </c>
      <c r="AY407" s="461">
        <f t="shared" si="601"/>
        <v>5.5998999999999999</v>
      </c>
      <c r="AZ407" s="461">
        <f t="shared" si="602"/>
        <v>4.0799000000000003</v>
      </c>
      <c r="BA407" s="463">
        <f t="shared" si="603"/>
        <v>1.52</v>
      </c>
    </row>
    <row r="408" spans="1:53" ht="14.1" customHeight="1" x14ac:dyDescent="0.2">
      <c r="A408" s="67">
        <v>81</v>
      </c>
      <c r="B408" s="64">
        <v>2466</v>
      </c>
      <c r="C408" s="65">
        <v>600079821</v>
      </c>
      <c r="D408" s="64">
        <v>70695083</v>
      </c>
      <c r="E408" s="66" t="s">
        <v>836</v>
      </c>
      <c r="F408" s="67">
        <v>3113</v>
      </c>
      <c r="G408" s="66" t="s">
        <v>310</v>
      </c>
      <c r="H408" s="68" t="s">
        <v>277</v>
      </c>
      <c r="I408" s="462">
        <v>9416779</v>
      </c>
      <c r="J408" s="16">
        <v>6886067</v>
      </c>
      <c r="K408" s="457">
        <v>2327491</v>
      </c>
      <c r="L408" s="457">
        <v>68861</v>
      </c>
      <c r="M408" s="16">
        <v>134360</v>
      </c>
      <c r="N408" s="13">
        <v>12.9697</v>
      </c>
      <c r="O408" s="13">
        <v>10.6364</v>
      </c>
      <c r="P408" s="17">
        <v>2.3332999999999999</v>
      </c>
      <c r="Q408" s="469">
        <f t="shared" si="591"/>
        <v>-58500</v>
      </c>
      <c r="R408" s="469">
        <v>0</v>
      </c>
      <c r="S408" s="460">
        <v>0</v>
      </c>
      <c r="T408" s="460">
        <v>0</v>
      </c>
      <c r="U408" s="460">
        <v>22120</v>
      </c>
      <c r="V408" s="460">
        <f t="shared" si="615"/>
        <v>-36380</v>
      </c>
      <c r="W408" s="460">
        <v>58500</v>
      </c>
      <c r="X408" s="460">
        <v>0</v>
      </c>
      <c r="Y408" s="460">
        <v>0</v>
      </c>
      <c r="Z408" s="460">
        <f t="shared" ref="Z408:Z412" si="622">SUM(W408:Y408)</f>
        <v>58500</v>
      </c>
      <c r="AA408" s="460">
        <f t="shared" ref="AA408:AA412" si="623">V408+Z408</f>
        <v>22120</v>
      </c>
      <c r="AB408" s="69">
        <f t="shared" ref="AB408:AB412" si="624">ROUND((V408+W408+X408)*33.8%,0)</f>
        <v>7477</v>
      </c>
      <c r="AC408" s="69">
        <f t="shared" ref="AC408:AC412" si="625">ROUND(V408*1%,0)</f>
        <v>-364</v>
      </c>
      <c r="AD408" s="460">
        <v>0</v>
      </c>
      <c r="AE408" s="460">
        <v>0</v>
      </c>
      <c r="AF408" s="460">
        <f t="shared" si="620"/>
        <v>0</v>
      </c>
      <c r="AG408" s="460">
        <f t="shared" si="621"/>
        <v>29233</v>
      </c>
      <c r="AH408" s="461">
        <v>0</v>
      </c>
      <c r="AI408" s="461">
        <v>-0.05</v>
      </c>
      <c r="AJ408" s="461">
        <v>0</v>
      </c>
      <c r="AK408" s="461">
        <v>0</v>
      </c>
      <c r="AL408" s="461">
        <v>0</v>
      </c>
      <c r="AM408" s="461">
        <v>0</v>
      </c>
      <c r="AN408" s="461">
        <v>0.17</v>
      </c>
      <c r="AO408" s="461">
        <v>0</v>
      </c>
      <c r="AP408" s="461">
        <f t="shared" si="592"/>
        <v>0.17</v>
      </c>
      <c r="AQ408" s="461">
        <f t="shared" si="593"/>
        <v>-0.05</v>
      </c>
      <c r="AR408" s="737">
        <f t="shared" si="594"/>
        <v>0.12000000000000001</v>
      </c>
      <c r="AS408" s="470">
        <f t="shared" si="595"/>
        <v>9446012</v>
      </c>
      <c r="AT408" s="460">
        <f t="shared" si="596"/>
        <v>6849687</v>
      </c>
      <c r="AU408" s="460">
        <f t="shared" si="597"/>
        <v>58500</v>
      </c>
      <c r="AV408" s="460">
        <f t="shared" si="598"/>
        <v>2334968</v>
      </c>
      <c r="AW408" s="460">
        <f t="shared" si="599"/>
        <v>68497</v>
      </c>
      <c r="AX408" s="460">
        <f t="shared" si="600"/>
        <v>134360</v>
      </c>
      <c r="AY408" s="461">
        <f t="shared" si="601"/>
        <v>13.089699999999999</v>
      </c>
      <c r="AZ408" s="461">
        <f t="shared" si="602"/>
        <v>10.8064</v>
      </c>
      <c r="BA408" s="463">
        <f t="shared" si="603"/>
        <v>2.2833000000000001</v>
      </c>
    </row>
    <row r="409" spans="1:53" ht="14.1" customHeight="1" x14ac:dyDescent="0.2">
      <c r="A409" s="67">
        <v>81</v>
      </c>
      <c r="B409" s="64">
        <v>2466</v>
      </c>
      <c r="C409" s="65">
        <v>600079821</v>
      </c>
      <c r="D409" s="64">
        <v>70695083</v>
      </c>
      <c r="E409" s="66" t="s">
        <v>836</v>
      </c>
      <c r="F409" s="67">
        <v>3113</v>
      </c>
      <c r="G409" s="78" t="s">
        <v>308</v>
      </c>
      <c r="H409" s="68" t="s">
        <v>278</v>
      </c>
      <c r="I409" s="462">
        <v>0</v>
      </c>
      <c r="J409" s="457">
        <v>0</v>
      </c>
      <c r="K409" s="457">
        <v>0</v>
      </c>
      <c r="L409" s="457">
        <v>0</v>
      </c>
      <c r="M409" s="457">
        <v>0</v>
      </c>
      <c r="N409" s="458">
        <v>0</v>
      </c>
      <c r="O409" s="459">
        <v>0</v>
      </c>
      <c r="P409" s="646">
        <v>0</v>
      </c>
      <c r="Q409" s="469">
        <f t="shared" si="591"/>
        <v>0</v>
      </c>
      <c r="R409" s="469">
        <v>1511632</v>
      </c>
      <c r="S409" s="460">
        <v>0</v>
      </c>
      <c r="T409" s="460">
        <v>0</v>
      </c>
      <c r="U409" s="460">
        <v>0</v>
      </c>
      <c r="V409" s="460">
        <f t="shared" si="615"/>
        <v>1511632</v>
      </c>
      <c r="W409" s="460">
        <v>0</v>
      </c>
      <c r="X409" s="460">
        <v>0</v>
      </c>
      <c r="Y409" s="460">
        <v>0</v>
      </c>
      <c r="Z409" s="460">
        <f t="shared" si="622"/>
        <v>0</v>
      </c>
      <c r="AA409" s="460">
        <f t="shared" si="623"/>
        <v>1511632</v>
      </c>
      <c r="AB409" s="69">
        <f t="shared" si="624"/>
        <v>510932</v>
      </c>
      <c r="AC409" s="69">
        <f t="shared" si="625"/>
        <v>15116</v>
      </c>
      <c r="AD409" s="460">
        <v>0</v>
      </c>
      <c r="AE409" s="460">
        <v>0</v>
      </c>
      <c r="AF409" s="460">
        <f t="shared" si="620"/>
        <v>0</v>
      </c>
      <c r="AG409" s="460">
        <f t="shared" si="621"/>
        <v>2037680</v>
      </c>
      <c r="AH409" s="461">
        <v>0</v>
      </c>
      <c r="AI409" s="461">
        <v>0</v>
      </c>
      <c r="AJ409" s="461">
        <v>4.74</v>
      </c>
      <c r="AK409" s="461">
        <v>0</v>
      </c>
      <c r="AL409" s="461">
        <v>0</v>
      </c>
      <c r="AM409" s="461">
        <v>0</v>
      </c>
      <c r="AN409" s="461">
        <v>0</v>
      </c>
      <c r="AO409" s="461">
        <v>0</v>
      </c>
      <c r="AP409" s="461">
        <f t="shared" si="592"/>
        <v>4.74</v>
      </c>
      <c r="AQ409" s="461">
        <f t="shared" si="593"/>
        <v>0</v>
      </c>
      <c r="AR409" s="737">
        <f t="shared" si="594"/>
        <v>4.74</v>
      </c>
      <c r="AS409" s="470">
        <f t="shared" si="595"/>
        <v>2037680</v>
      </c>
      <c r="AT409" s="460">
        <f t="shared" si="596"/>
        <v>1511632</v>
      </c>
      <c r="AU409" s="460">
        <f t="shared" si="597"/>
        <v>0</v>
      </c>
      <c r="AV409" s="460">
        <f t="shared" si="598"/>
        <v>510932</v>
      </c>
      <c r="AW409" s="460">
        <f t="shared" si="599"/>
        <v>15116</v>
      </c>
      <c r="AX409" s="460">
        <f t="shared" si="600"/>
        <v>0</v>
      </c>
      <c r="AY409" s="461">
        <f t="shared" si="601"/>
        <v>4.74</v>
      </c>
      <c r="AZ409" s="461">
        <f t="shared" si="602"/>
        <v>4.74</v>
      </c>
      <c r="BA409" s="463">
        <f t="shared" si="603"/>
        <v>0</v>
      </c>
    </row>
    <row r="410" spans="1:53" ht="14.1" customHeight="1" x14ac:dyDescent="0.2">
      <c r="A410" s="67">
        <v>81</v>
      </c>
      <c r="B410" s="64">
        <v>2466</v>
      </c>
      <c r="C410" s="65">
        <v>600079821</v>
      </c>
      <c r="D410" s="64">
        <v>70695083</v>
      </c>
      <c r="E410" s="66" t="s">
        <v>836</v>
      </c>
      <c r="F410" s="67">
        <v>3141</v>
      </c>
      <c r="G410" s="66" t="s">
        <v>311</v>
      </c>
      <c r="H410" s="68" t="s">
        <v>278</v>
      </c>
      <c r="I410" s="462">
        <v>1340919</v>
      </c>
      <c r="J410" s="457">
        <v>990156</v>
      </c>
      <c r="K410" s="457">
        <v>334673</v>
      </c>
      <c r="L410" s="457">
        <v>9902</v>
      </c>
      <c r="M410" s="457">
        <v>6188</v>
      </c>
      <c r="N410" s="458">
        <v>3.18</v>
      </c>
      <c r="O410" s="459">
        <v>0</v>
      </c>
      <c r="P410" s="646">
        <v>3.18</v>
      </c>
      <c r="Q410" s="469">
        <f t="shared" si="591"/>
        <v>-16250</v>
      </c>
      <c r="R410" s="469">
        <v>0</v>
      </c>
      <c r="S410" s="460">
        <v>0</v>
      </c>
      <c r="T410" s="460">
        <v>0</v>
      </c>
      <c r="U410" s="460">
        <v>0</v>
      </c>
      <c r="V410" s="460">
        <f t="shared" si="615"/>
        <v>-16250</v>
      </c>
      <c r="W410" s="460">
        <v>16250</v>
      </c>
      <c r="X410" s="460">
        <v>0</v>
      </c>
      <c r="Y410" s="460">
        <v>0</v>
      </c>
      <c r="Z410" s="460">
        <f t="shared" si="622"/>
        <v>16250</v>
      </c>
      <c r="AA410" s="460">
        <f t="shared" si="623"/>
        <v>0</v>
      </c>
      <c r="AB410" s="69">
        <f t="shared" si="624"/>
        <v>0</v>
      </c>
      <c r="AC410" s="69">
        <f t="shared" si="625"/>
        <v>-163</v>
      </c>
      <c r="AD410" s="460">
        <v>0</v>
      </c>
      <c r="AE410" s="460">
        <v>0</v>
      </c>
      <c r="AF410" s="460">
        <f t="shared" si="620"/>
        <v>0</v>
      </c>
      <c r="AG410" s="460">
        <f t="shared" si="621"/>
        <v>-163</v>
      </c>
      <c r="AH410" s="461">
        <v>0</v>
      </c>
      <c r="AI410" s="461">
        <v>0</v>
      </c>
      <c r="AJ410" s="461">
        <v>0</v>
      </c>
      <c r="AK410" s="461">
        <v>0</v>
      </c>
      <c r="AL410" s="461">
        <v>0</v>
      </c>
      <c r="AM410" s="461">
        <v>0</v>
      </c>
      <c r="AN410" s="461">
        <v>0</v>
      </c>
      <c r="AO410" s="461">
        <v>0</v>
      </c>
      <c r="AP410" s="461">
        <f t="shared" si="592"/>
        <v>0</v>
      </c>
      <c r="AQ410" s="461">
        <f t="shared" si="593"/>
        <v>0</v>
      </c>
      <c r="AR410" s="737">
        <f t="shared" si="594"/>
        <v>0</v>
      </c>
      <c r="AS410" s="470">
        <f t="shared" si="595"/>
        <v>1340756</v>
      </c>
      <c r="AT410" s="460">
        <f t="shared" si="596"/>
        <v>973906</v>
      </c>
      <c r="AU410" s="460">
        <f t="shared" si="597"/>
        <v>16250</v>
      </c>
      <c r="AV410" s="460">
        <f t="shared" si="598"/>
        <v>334673</v>
      </c>
      <c r="AW410" s="460">
        <f t="shared" si="599"/>
        <v>9739</v>
      </c>
      <c r="AX410" s="460">
        <f t="shared" si="600"/>
        <v>6188</v>
      </c>
      <c r="AY410" s="461">
        <f t="shared" si="601"/>
        <v>3.18</v>
      </c>
      <c r="AZ410" s="461">
        <f t="shared" si="602"/>
        <v>0</v>
      </c>
      <c r="BA410" s="463">
        <f t="shared" si="603"/>
        <v>3.18</v>
      </c>
    </row>
    <row r="411" spans="1:53" ht="14.1" customHeight="1" x14ac:dyDescent="0.2">
      <c r="A411" s="67">
        <v>81</v>
      </c>
      <c r="B411" s="64">
        <v>2466</v>
      </c>
      <c r="C411" s="65">
        <v>600079821</v>
      </c>
      <c r="D411" s="64">
        <v>70695083</v>
      </c>
      <c r="E411" s="66" t="s">
        <v>836</v>
      </c>
      <c r="F411" s="67">
        <v>3143</v>
      </c>
      <c r="G411" s="78" t="s">
        <v>616</v>
      </c>
      <c r="H411" s="68" t="s">
        <v>277</v>
      </c>
      <c r="I411" s="462">
        <v>761377</v>
      </c>
      <c r="J411" s="16">
        <v>564820</v>
      </c>
      <c r="K411" s="457">
        <v>190909</v>
      </c>
      <c r="L411" s="457">
        <v>5648</v>
      </c>
      <c r="M411" s="16">
        <v>0</v>
      </c>
      <c r="N411" s="458">
        <v>1.1606000000000001</v>
      </c>
      <c r="O411" s="13">
        <v>1.1606000000000001</v>
      </c>
      <c r="P411" s="17">
        <v>0</v>
      </c>
      <c r="Q411" s="469">
        <f t="shared" si="591"/>
        <v>-6500</v>
      </c>
      <c r="R411" s="469">
        <v>0</v>
      </c>
      <c r="S411" s="460">
        <v>0</v>
      </c>
      <c r="T411" s="460">
        <v>0</v>
      </c>
      <c r="U411" s="460">
        <v>0</v>
      </c>
      <c r="V411" s="460">
        <f t="shared" si="615"/>
        <v>-6500</v>
      </c>
      <c r="W411" s="460">
        <v>6500</v>
      </c>
      <c r="X411" s="460">
        <v>0</v>
      </c>
      <c r="Y411" s="460">
        <v>0</v>
      </c>
      <c r="Z411" s="460">
        <f t="shared" si="622"/>
        <v>6500</v>
      </c>
      <c r="AA411" s="460">
        <f t="shared" si="623"/>
        <v>0</v>
      </c>
      <c r="AB411" s="69">
        <f t="shared" si="624"/>
        <v>0</v>
      </c>
      <c r="AC411" s="69">
        <f t="shared" si="625"/>
        <v>-65</v>
      </c>
      <c r="AD411" s="460">
        <v>0</v>
      </c>
      <c r="AE411" s="460">
        <v>0</v>
      </c>
      <c r="AF411" s="460">
        <f t="shared" si="620"/>
        <v>0</v>
      </c>
      <c r="AG411" s="460">
        <f t="shared" si="621"/>
        <v>-65</v>
      </c>
      <c r="AH411" s="461">
        <v>0</v>
      </c>
      <c r="AI411" s="461">
        <v>0</v>
      </c>
      <c r="AJ411" s="461">
        <v>0</v>
      </c>
      <c r="AK411" s="461">
        <v>0</v>
      </c>
      <c r="AL411" s="461">
        <v>0</v>
      </c>
      <c r="AM411" s="461">
        <v>0</v>
      </c>
      <c r="AN411" s="461">
        <v>0</v>
      </c>
      <c r="AO411" s="461">
        <v>0</v>
      </c>
      <c r="AP411" s="461">
        <f t="shared" si="592"/>
        <v>0</v>
      </c>
      <c r="AQ411" s="461">
        <f t="shared" si="593"/>
        <v>0</v>
      </c>
      <c r="AR411" s="737">
        <f t="shared" si="594"/>
        <v>0</v>
      </c>
      <c r="AS411" s="470">
        <f t="shared" si="595"/>
        <v>761312</v>
      </c>
      <c r="AT411" s="460">
        <f t="shared" si="596"/>
        <v>558320</v>
      </c>
      <c r="AU411" s="460">
        <f t="shared" si="597"/>
        <v>6500</v>
      </c>
      <c r="AV411" s="460">
        <f t="shared" si="598"/>
        <v>190909</v>
      </c>
      <c r="AW411" s="460">
        <f t="shared" si="599"/>
        <v>5583</v>
      </c>
      <c r="AX411" s="460">
        <f t="shared" si="600"/>
        <v>0</v>
      </c>
      <c r="AY411" s="461">
        <f t="shared" si="601"/>
        <v>1.1606000000000001</v>
      </c>
      <c r="AZ411" s="461">
        <f t="shared" si="602"/>
        <v>1.1606000000000001</v>
      </c>
      <c r="BA411" s="463">
        <f t="shared" si="603"/>
        <v>0</v>
      </c>
    </row>
    <row r="412" spans="1:53" ht="14.1" customHeight="1" x14ac:dyDescent="0.2">
      <c r="A412" s="67">
        <v>81</v>
      </c>
      <c r="B412" s="64">
        <v>2466</v>
      </c>
      <c r="C412" s="65">
        <v>600079821</v>
      </c>
      <c r="D412" s="64">
        <v>70695083</v>
      </c>
      <c r="E412" s="66" t="s">
        <v>836</v>
      </c>
      <c r="F412" s="67">
        <v>3143</v>
      </c>
      <c r="G412" s="78" t="s">
        <v>617</v>
      </c>
      <c r="H412" s="68" t="s">
        <v>278</v>
      </c>
      <c r="I412" s="462">
        <v>25655</v>
      </c>
      <c r="J412" s="673">
        <v>18331</v>
      </c>
      <c r="K412" s="457">
        <v>6196</v>
      </c>
      <c r="L412" s="457">
        <v>183</v>
      </c>
      <c r="M412" s="673">
        <v>945</v>
      </c>
      <c r="N412" s="458">
        <v>7.0000000000000007E-2</v>
      </c>
      <c r="O412" s="459">
        <v>0</v>
      </c>
      <c r="P412" s="717">
        <v>7.0000000000000007E-2</v>
      </c>
      <c r="Q412" s="469">
        <f t="shared" si="591"/>
        <v>0</v>
      </c>
      <c r="R412" s="469">
        <v>0</v>
      </c>
      <c r="S412" s="460">
        <v>0</v>
      </c>
      <c r="T412" s="460">
        <v>0</v>
      </c>
      <c r="U412" s="460">
        <v>0</v>
      </c>
      <c r="V412" s="460">
        <f t="shared" si="615"/>
        <v>0</v>
      </c>
      <c r="W412" s="460">
        <v>0</v>
      </c>
      <c r="X412" s="460">
        <v>0</v>
      </c>
      <c r="Y412" s="460">
        <v>0</v>
      </c>
      <c r="Z412" s="460">
        <f t="shared" si="622"/>
        <v>0</v>
      </c>
      <c r="AA412" s="460">
        <f t="shared" si="623"/>
        <v>0</v>
      </c>
      <c r="AB412" s="69">
        <f t="shared" si="624"/>
        <v>0</v>
      </c>
      <c r="AC412" s="69">
        <f t="shared" si="625"/>
        <v>0</v>
      </c>
      <c r="AD412" s="460">
        <v>0</v>
      </c>
      <c r="AE412" s="460">
        <v>0</v>
      </c>
      <c r="AF412" s="460">
        <f t="shared" si="620"/>
        <v>0</v>
      </c>
      <c r="AG412" s="460">
        <f t="shared" si="621"/>
        <v>0</v>
      </c>
      <c r="AH412" s="461">
        <v>0</v>
      </c>
      <c r="AI412" s="461">
        <v>0</v>
      </c>
      <c r="AJ412" s="461">
        <v>0</v>
      </c>
      <c r="AK412" s="461">
        <v>0</v>
      </c>
      <c r="AL412" s="461">
        <v>0</v>
      </c>
      <c r="AM412" s="461">
        <v>0</v>
      </c>
      <c r="AN412" s="461">
        <v>0</v>
      </c>
      <c r="AO412" s="461">
        <v>0</v>
      </c>
      <c r="AP412" s="461">
        <f t="shared" si="592"/>
        <v>0</v>
      </c>
      <c r="AQ412" s="461">
        <f t="shared" si="593"/>
        <v>0</v>
      </c>
      <c r="AR412" s="737">
        <f t="shared" si="594"/>
        <v>0</v>
      </c>
      <c r="AS412" s="470">
        <f t="shared" si="595"/>
        <v>25655</v>
      </c>
      <c r="AT412" s="460">
        <f t="shared" si="596"/>
        <v>18331</v>
      </c>
      <c r="AU412" s="460">
        <f t="shared" si="597"/>
        <v>0</v>
      </c>
      <c r="AV412" s="460">
        <f t="shared" si="598"/>
        <v>6196</v>
      </c>
      <c r="AW412" s="460">
        <f t="shared" si="599"/>
        <v>183</v>
      </c>
      <c r="AX412" s="460">
        <f t="shared" si="600"/>
        <v>945</v>
      </c>
      <c r="AY412" s="461">
        <f t="shared" si="601"/>
        <v>7.0000000000000007E-2</v>
      </c>
      <c r="AZ412" s="461">
        <f t="shared" si="602"/>
        <v>0</v>
      </c>
      <c r="BA412" s="463">
        <f t="shared" si="603"/>
        <v>7.0000000000000007E-2</v>
      </c>
    </row>
    <row r="413" spans="1:53" ht="14.1" customHeight="1" x14ac:dyDescent="0.2">
      <c r="A413" s="73">
        <v>81</v>
      </c>
      <c r="B413" s="70">
        <v>2466</v>
      </c>
      <c r="C413" s="71">
        <v>600079821</v>
      </c>
      <c r="D413" s="70">
        <v>70695083</v>
      </c>
      <c r="E413" s="72" t="s">
        <v>837</v>
      </c>
      <c r="F413" s="73"/>
      <c r="G413" s="72"/>
      <c r="H413" s="74"/>
      <c r="I413" s="701">
        <f t="shared" ref="I413:P413" si="626">SUM(I407:I412)</f>
        <v>14970959</v>
      </c>
      <c r="J413" s="75">
        <f t="shared" si="626"/>
        <v>10986176</v>
      </c>
      <c r="K413" s="75">
        <f t="shared" si="626"/>
        <v>3713328</v>
      </c>
      <c r="L413" s="75">
        <f t="shared" si="626"/>
        <v>109862</v>
      </c>
      <c r="M413" s="75">
        <f t="shared" si="626"/>
        <v>161593</v>
      </c>
      <c r="N413" s="76">
        <f t="shared" si="626"/>
        <v>22.9802</v>
      </c>
      <c r="O413" s="76">
        <f t="shared" si="626"/>
        <v>15.876900000000001</v>
      </c>
      <c r="P413" s="77">
        <f t="shared" si="626"/>
        <v>7.1033000000000008</v>
      </c>
      <c r="Q413" s="724">
        <f t="shared" ref="Q413:R413" si="627">SUM(Q407:Q412)</f>
        <v>-91000</v>
      </c>
      <c r="R413" s="724">
        <f t="shared" si="627"/>
        <v>1511632</v>
      </c>
      <c r="S413" s="75">
        <f t="shared" ref="S413:BA413" si="628">SUM(S407:S412)</f>
        <v>0</v>
      </c>
      <c r="T413" s="75">
        <f t="shared" si="628"/>
        <v>0</v>
      </c>
      <c r="U413" s="75">
        <f t="shared" si="628"/>
        <v>22120</v>
      </c>
      <c r="V413" s="75">
        <f t="shared" si="628"/>
        <v>1442752</v>
      </c>
      <c r="W413" s="75">
        <f t="shared" si="628"/>
        <v>91000</v>
      </c>
      <c r="X413" s="75">
        <f t="shared" si="628"/>
        <v>0</v>
      </c>
      <c r="Y413" s="75">
        <f t="shared" si="628"/>
        <v>0</v>
      </c>
      <c r="Z413" s="75">
        <f t="shared" si="628"/>
        <v>91000</v>
      </c>
      <c r="AA413" s="75">
        <f t="shared" si="628"/>
        <v>1533752</v>
      </c>
      <c r="AB413" s="75">
        <f t="shared" si="628"/>
        <v>518409</v>
      </c>
      <c r="AC413" s="75">
        <f t="shared" si="628"/>
        <v>14426</v>
      </c>
      <c r="AD413" s="75">
        <f t="shared" si="628"/>
        <v>0</v>
      </c>
      <c r="AE413" s="75">
        <f t="shared" si="628"/>
        <v>0</v>
      </c>
      <c r="AF413" s="75">
        <f t="shared" si="628"/>
        <v>0</v>
      </c>
      <c r="AG413" s="75">
        <f t="shared" si="628"/>
        <v>2066587</v>
      </c>
      <c r="AH413" s="76">
        <f t="shared" si="628"/>
        <v>0</v>
      </c>
      <c r="AI413" s="76">
        <f t="shared" si="628"/>
        <v>-0.05</v>
      </c>
      <c r="AJ413" s="76">
        <f t="shared" si="628"/>
        <v>4.74</v>
      </c>
      <c r="AK413" s="76">
        <f t="shared" si="628"/>
        <v>0</v>
      </c>
      <c r="AL413" s="76">
        <f t="shared" si="628"/>
        <v>0</v>
      </c>
      <c r="AM413" s="76">
        <f t="shared" si="628"/>
        <v>0</v>
      </c>
      <c r="AN413" s="76">
        <f t="shared" si="628"/>
        <v>0.17</v>
      </c>
      <c r="AO413" s="76">
        <f t="shared" si="628"/>
        <v>0</v>
      </c>
      <c r="AP413" s="76">
        <f t="shared" si="628"/>
        <v>4.91</v>
      </c>
      <c r="AQ413" s="76">
        <f t="shared" si="628"/>
        <v>-0.05</v>
      </c>
      <c r="AR413" s="720">
        <f t="shared" si="628"/>
        <v>4.8600000000000003</v>
      </c>
      <c r="AS413" s="701">
        <f t="shared" si="628"/>
        <v>17037546</v>
      </c>
      <c r="AT413" s="75">
        <f t="shared" si="628"/>
        <v>12428928</v>
      </c>
      <c r="AU413" s="75">
        <f t="shared" si="628"/>
        <v>91000</v>
      </c>
      <c r="AV413" s="75">
        <f t="shared" si="628"/>
        <v>4231737</v>
      </c>
      <c r="AW413" s="75">
        <f t="shared" si="628"/>
        <v>124288</v>
      </c>
      <c r="AX413" s="75">
        <f t="shared" si="628"/>
        <v>161593</v>
      </c>
      <c r="AY413" s="76">
        <f t="shared" si="628"/>
        <v>27.840199999999999</v>
      </c>
      <c r="AZ413" s="76">
        <f t="shared" si="628"/>
        <v>20.786899999999999</v>
      </c>
      <c r="BA413" s="77">
        <f t="shared" si="628"/>
        <v>7.0533000000000001</v>
      </c>
    </row>
    <row r="414" spans="1:53" ht="14.1" customHeight="1" x14ac:dyDescent="0.2">
      <c r="A414" s="67">
        <v>82</v>
      </c>
      <c r="B414" s="64">
        <v>2493</v>
      </c>
      <c r="C414" s="65">
        <v>600080021</v>
      </c>
      <c r="D414" s="64">
        <v>72742399</v>
      </c>
      <c r="E414" s="66" t="s">
        <v>714</v>
      </c>
      <c r="F414" s="67">
        <v>3111</v>
      </c>
      <c r="G414" s="66" t="s">
        <v>307</v>
      </c>
      <c r="H414" s="68" t="s">
        <v>277</v>
      </c>
      <c r="I414" s="462">
        <v>7485535</v>
      </c>
      <c r="J414" s="16">
        <v>5523987</v>
      </c>
      <c r="K414" s="457">
        <v>1867108</v>
      </c>
      <c r="L414" s="457">
        <v>55240</v>
      </c>
      <c r="M414" s="16">
        <v>39200</v>
      </c>
      <c r="N414" s="13">
        <v>11.590300000000001</v>
      </c>
      <c r="O414" s="13">
        <v>9.7903000000000002</v>
      </c>
      <c r="P414" s="17">
        <v>1.8</v>
      </c>
      <c r="Q414" s="469">
        <f t="shared" si="591"/>
        <v>0</v>
      </c>
      <c r="R414" s="469">
        <v>0</v>
      </c>
      <c r="S414" s="460">
        <v>0</v>
      </c>
      <c r="T414" s="460">
        <v>0</v>
      </c>
      <c r="U414" s="460">
        <v>0</v>
      </c>
      <c r="V414" s="460">
        <f t="shared" ref="V414:V419" si="629">SUM(Q414:U414)</f>
        <v>0</v>
      </c>
      <c r="W414" s="460">
        <v>0</v>
      </c>
      <c r="X414" s="460">
        <v>0</v>
      </c>
      <c r="Y414" s="460">
        <v>0</v>
      </c>
      <c r="Z414" s="460">
        <f t="shared" ref="Z414:Z419" si="630">SUM(W414:Y414)</f>
        <v>0</v>
      </c>
      <c r="AA414" s="460">
        <f t="shared" ref="AA414:AA419" si="631">V414+Z414</f>
        <v>0</v>
      </c>
      <c r="AB414" s="69">
        <f t="shared" ref="AB414:AB419" si="632">ROUND((V414+W414+X414)*33.8%,0)</f>
        <v>0</v>
      </c>
      <c r="AC414" s="69">
        <f t="shared" ref="AC414:AC419" si="633">ROUND(V414*1%,0)</f>
        <v>0</v>
      </c>
      <c r="AD414" s="460">
        <v>0</v>
      </c>
      <c r="AE414" s="460">
        <v>0</v>
      </c>
      <c r="AF414" s="460">
        <f t="shared" ref="AF414:AF419" si="634">SUM(AD414:AE414)</f>
        <v>0</v>
      </c>
      <c r="AG414" s="460">
        <f t="shared" ref="AG414:AG419" si="635">AA414+AB414+AC414+AF414</f>
        <v>0</v>
      </c>
      <c r="AH414" s="461">
        <v>0</v>
      </c>
      <c r="AI414" s="461">
        <v>0</v>
      </c>
      <c r="AJ414" s="461">
        <v>0</v>
      </c>
      <c r="AK414" s="461">
        <v>0</v>
      </c>
      <c r="AL414" s="461">
        <v>0</v>
      </c>
      <c r="AM414" s="461">
        <v>0</v>
      </c>
      <c r="AN414" s="461">
        <v>0</v>
      </c>
      <c r="AO414" s="461">
        <v>0</v>
      </c>
      <c r="AP414" s="461">
        <f t="shared" si="592"/>
        <v>0</v>
      </c>
      <c r="AQ414" s="461">
        <f t="shared" si="593"/>
        <v>0</v>
      </c>
      <c r="AR414" s="737">
        <f t="shared" si="594"/>
        <v>0</v>
      </c>
      <c r="AS414" s="470">
        <f t="shared" si="595"/>
        <v>7485535</v>
      </c>
      <c r="AT414" s="460">
        <f t="shared" si="596"/>
        <v>5523987</v>
      </c>
      <c r="AU414" s="460">
        <f t="shared" si="597"/>
        <v>0</v>
      </c>
      <c r="AV414" s="460">
        <f t="shared" si="598"/>
        <v>1867108</v>
      </c>
      <c r="AW414" s="460">
        <f t="shared" si="599"/>
        <v>55240</v>
      </c>
      <c r="AX414" s="460">
        <f t="shared" si="600"/>
        <v>39200</v>
      </c>
      <c r="AY414" s="461">
        <f t="shared" si="601"/>
        <v>11.590300000000001</v>
      </c>
      <c r="AZ414" s="461">
        <f t="shared" si="602"/>
        <v>9.7903000000000002</v>
      </c>
      <c r="BA414" s="463">
        <f t="shared" si="603"/>
        <v>1.8</v>
      </c>
    </row>
    <row r="415" spans="1:53" ht="14.1" customHeight="1" x14ac:dyDescent="0.2">
      <c r="A415" s="67">
        <v>82</v>
      </c>
      <c r="B415" s="64">
        <v>2493</v>
      </c>
      <c r="C415" s="65">
        <v>600080021</v>
      </c>
      <c r="D415" s="64">
        <v>72742399</v>
      </c>
      <c r="E415" s="66" t="s">
        <v>714</v>
      </c>
      <c r="F415" s="67">
        <v>3113</v>
      </c>
      <c r="G415" s="66" t="s">
        <v>310</v>
      </c>
      <c r="H415" s="68" t="s">
        <v>277</v>
      </c>
      <c r="I415" s="462">
        <v>17943105</v>
      </c>
      <c r="J415" s="16">
        <v>13063346</v>
      </c>
      <c r="K415" s="457">
        <v>4415410</v>
      </c>
      <c r="L415" s="457">
        <v>130634</v>
      </c>
      <c r="M415" s="16">
        <v>333715</v>
      </c>
      <c r="N415" s="13">
        <v>21.15</v>
      </c>
      <c r="O415" s="13">
        <v>16</v>
      </c>
      <c r="P415" s="17">
        <v>5.15</v>
      </c>
      <c r="Q415" s="469">
        <f t="shared" si="591"/>
        <v>-55250</v>
      </c>
      <c r="R415" s="469">
        <v>0</v>
      </c>
      <c r="S415" s="460">
        <v>0</v>
      </c>
      <c r="T415" s="460">
        <v>38378</v>
      </c>
      <c r="U415" s="460">
        <v>0</v>
      </c>
      <c r="V415" s="460">
        <f t="shared" si="629"/>
        <v>-16872</v>
      </c>
      <c r="W415" s="460">
        <v>55250</v>
      </c>
      <c r="X415" s="460">
        <v>0</v>
      </c>
      <c r="Y415" s="460">
        <v>0</v>
      </c>
      <c r="Z415" s="460">
        <f t="shared" si="630"/>
        <v>55250</v>
      </c>
      <c r="AA415" s="460">
        <f t="shared" si="631"/>
        <v>38378</v>
      </c>
      <c r="AB415" s="69">
        <f t="shared" si="632"/>
        <v>12972</v>
      </c>
      <c r="AC415" s="69">
        <f t="shared" si="633"/>
        <v>-169</v>
      </c>
      <c r="AD415" s="460">
        <v>0</v>
      </c>
      <c r="AE415" s="460">
        <v>0</v>
      </c>
      <c r="AF415" s="460">
        <f t="shared" si="634"/>
        <v>0</v>
      </c>
      <c r="AG415" s="460">
        <f t="shared" si="635"/>
        <v>51181</v>
      </c>
      <c r="AH415" s="461">
        <v>-0.03</v>
      </c>
      <c r="AI415" s="461">
        <v>-0.04</v>
      </c>
      <c r="AJ415" s="461">
        <v>0</v>
      </c>
      <c r="AK415" s="461">
        <v>0</v>
      </c>
      <c r="AL415" s="461">
        <v>0</v>
      </c>
      <c r="AM415" s="461">
        <v>0.06</v>
      </c>
      <c r="AN415" s="461">
        <v>0</v>
      </c>
      <c r="AO415" s="461">
        <v>0</v>
      </c>
      <c r="AP415" s="461">
        <f t="shared" si="592"/>
        <v>0.03</v>
      </c>
      <c r="AQ415" s="461">
        <f t="shared" si="593"/>
        <v>-0.04</v>
      </c>
      <c r="AR415" s="737">
        <f t="shared" si="594"/>
        <v>-1.0000000000000002E-2</v>
      </c>
      <c r="AS415" s="470">
        <f t="shared" si="595"/>
        <v>17994286</v>
      </c>
      <c r="AT415" s="460">
        <f t="shared" si="596"/>
        <v>13046474</v>
      </c>
      <c r="AU415" s="460">
        <f t="shared" si="597"/>
        <v>55250</v>
      </c>
      <c r="AV415" s="460">
        <f t="shared" si="598"/>
        <v>4428382</v>
      </c>
      <c r="AW415" s="460">
        <f t="shared" si="599"/>
        <v>130465</v>
      </c>
      <c r="AX415" s="460">
        <f t="shared" si="600"/>
        <v>333715</v>
      </c>
      <c r="AY415" s="461">
        <f t="shared" si="601"/>
        <v>21.139999999999997</v>
      </c>
      <c r="AZ415" s="461">
        <f t="shared" si="602"/>
        <v>16.03</v>
      </c>
      <c r="BA415" s="463">
        <f t="shared" si="603"/>
        <v>5.1100000000000003</v>
      </c>
    </row>
    <row r="416" spans="1:53" ht="14.1" customHeight="1" x14ac:dyDescent="0.2">
      <c r="A416" s="67">
        <v>82</v>
      </c>
      <c r="B416" s="64">
        <v>2493</v>
      </c>
      <c r="C416" s="65">
        <v>600080021</v>
      </c>
      <c r="D416" s="64">
        <v>72742399</v>
      </c>
      <c r="E416" s="66" t="s">
        <v>714</v>
      </c>
      <c r="F416" s="67">
        <v>3113</v>
      </c>
      <c r="G416" s="78" t="s">
        <v>308</v>
      </c>
      <c r="H416" s="68" t="s">
        <v>278</v>
      </c>
      <c r="I416" s="462">
        <v>0</v>
      </c>
      <c r="J416" s="457">
        <v>0</v>
      </c>
      <c r="K416" s="457">
        <v>0</v>
      </c>
      <c r="L416" s="457">
        <v>0</v>
      </c>
      <c r="M416" s="457">
        <v>0</v>
      </c>
      <c r="N416" s="458">
        <v>0</v>
      </c>
      <c r="O416" s="459">
        <v>0</v>
      </c>
      <c r="P416" s="646">
        <v>0</v>
      </c>
      <c r="Q416" s="469">
        <f t="shared" si="591"/>
        <v>0</v>
      </c>
      <c r="R416" s="469">
        <v>1829079</v>
      </c>
      <c r="S416" s="460">
        <v>0</v>
      </c>
      <c r="T416" s="460">
        <v>0</v>
      </c>
      <c r="U416" s="460">
        <v>0</v>
      </c>
      <c r="V416" s="460">
        <f t="shared" si="629"/>
        <v>1829079</v>
      </c>
      <c r="W416" s="460">
        <v>0</v>
      </c>
      <c r="X416" s="460">
        <v>0</v>
      </c>
      <c r="Y416" s="460">
        <v>0</v>
      </c>
      <c r="Z416" s="460">
        <f t="shared" si="630"/>
        <v>0</v>
      </c>
      <c r="AA416" s="460">
        <f t="shared" si="631"/>
        <v>1829079</v>
      </c>
      <c r="AB416" s="69">
        <f t="shared" si="632"/>
        <v>618229</v>
      </c>
      <c r="AC416" s="69">
        <f t="shared" si="633"/>
        <v>18291</v>
      </c>
      <c r="AD416" s="460">
        <v>500</v>
      </c>
      <c r="AE416" s="460">
        <v>0</v>
      </c>
      <c r="AF416" s="460">
        <f t="shared" si="634"/>
        <v>500</v>
      </c>
      <c r="AG416" s="460">
        <f t="shared" si="635"/>
        <v>2466099</v>
      </c>
      <c r="AH416" s="461">
        <v>0</v>
      </c>
      <c r="AI416" s="461">
        <v>0</v>
      </c>
      <c r="AJ416" s="461">
        <v>5.92</v>
      </c>
      <c r="AK416" s="461">
        <v>0</v>
      </c>
      <c r="AL416" s="461">
        <v>0</v>
      </c>
      <c r="AM416" s="461">
        <v>0</v>
      </c>
      <c r="AN416" s="461">
        <v>0</v>
      </c>
      <c r="AO416" s="461">
        <v>0</v>
      </c>
      <c r="AP416" s="461">
        <f t="shared" si="592"/>
        <v>5.92</v>
      </c>
      <c r="AQ416" s="461">
        <f t="shared" si="593"/>
        <v>0</v>
      </c>
      <c r="AR416" s="737">
        <f t="shared" si="594"/>
        <v>5.92</v>
      </c>
      <c r="AS416" s="470">
        <f t="shared" si="595"/>
        <v>2466099</v>
      </c>
      <c r="AT416" s="460">
        <f t="shared" si="596"/>
        <v>1829079</v>
      </c>
      <c r="AU416" s="460">
        <f t="shared" si="597"/>
        <v>0</v>
      </c>
      <c r="AV416" s="460">
        <f t="shared" si="598"/>
        <v>618229</v>
      </c>
      <c r="AW416" s="460">
        <f t="shared" si="599"/>
        <v>18291</v>
      </c>
      <c r="AX416" s="460">
        <f t="shared" si="600"/>
        <v>500</v>
      </c>
      <c r="AY416" s="461">
        <f t="shared" si="601"/>
        <v>5.92</v>
      </c>
      <c r="AZ416" s="461">
        <f t="shared" si="602"/>
        <v>5.92</v>
      </c>
      <c r="BA416" s="463">
        <f t="shared" si="603"/>
        <v>0</v>
      </c>
    </row>
    <row r="417" spans="1:53" ht="14.1" customHeight="1" x14ac:dyDescent="0.2">
      <c r="A417" s="67">
        <v>82</v>
      </c>
      <c r="B417" s="64">
        <v>2493</v>
      </c>
      <c r="C417" s="65">
        <v>600080021</v>
      </c>
      <c r="D417" s="64">
        <v>72742399</v>
      </c>
      <c r="E417" s="66" t="s">
        <v>714</v>
      </c>
      <c r="F417" s="67">
        <v>3141</v>
      </c>
      <c r="G417" s="66" t="s">
        <v>311</v>
      </c>
      <c r="H417" s="68" t="s">
        <v>278</v>
      </c>
      <c r="I417" s="462">
        <v>2611897</v>
      </c>
      <c r="J417" s="457">
        <v>1925072</v>
      </c>
      <c r="K417" s="457">
        <v>650674</v>
      </c>
      <c r="L417" s="457">
        <v>19251</v>
      </c>
      <c r="M417" s="457">
        <v>16900</v>
      </c>
      <c r="N417" s="458">
        <v>6.19</v>
      </c>
      <c r="O417" s="459">
        <v>0</v>
      </c>
      <c r="P417" s="646">
        <v>6.19</v>
      </c>
      <c r="Q417" s="469">
        <f t="shared" si="591"/>
        <v>0</v>
      </c>
      <c r="R417" s="469">
        <v>0</v>
      </c>
      <c r="S417" s="460">
        <v>0</v>
      </c>
      <c r="T417" s="460">
        <v>0</v>
      </c>
      <c r="U417" s="460">
        <v>0</v>
      </c>
      <c r="V417" s="460">
        <f t="shared" si="629"/>
        <v>0</v>
      </c>
      <c r="W417" s="460">
        <v>0</v>
      </c>
      <c r="X417" s="460">
        <v>0</v>
      </c>
      <c r="Y417" s="460">
        <v>0</v>
      </c>
      <c r="Z417" s="460">
        <f t="shared" si="630"/>
        <v>0</v>
      </c>
      <c r="AA417" s="460">
        <f t="shared" si="631"/>
        <v>0</v>
      </c>
      <c r="AB417" s="69">
        <f t="shared" si="632"/>
        <v>0</v>
      </c>
      <c r="AC417" s="69">
        <f t="shared" si="633"/>
        <v>0</v>
      </c>
      <c r="AD417" s="460">
        <v>0</v>
      </c>
      <c r="AE417" s="460">
        <v>0</v>
      </c>
      <c r="AF417" s="460">
        <f t="shared" si="634"/>
        <v>0</v>
      </c>
      <c r="AG417" s="460">
        <f t="shared" si="635"/>
        <v>0</v>
      </c>
      <c r="AH417" s="461">
        <v>0</v>
      </c>
      <c r="AI417" s="461">
        <v>0</v>
      </c>
      <c r="AJ417" s="461">
        <v>0</v>
      </c>
      <c r="AK417" s="461">
        <v>0</v>
      </c>
      <c r="AL417" s="461">
        <v>0</v>
      </c>
      <c r="AM417" s="461">
        <v>0</v>
      </c>
      <c r="AN417" s="461">
        <v>0</v>
      </c>
      <c r="AO417" s="461">
        <v>0</v>
      </c>
      <c r="AP417" s="461">
        <f t="shared" si="592"/>
        <v>0</v>
      </c>
      <c r="AQ417" s="461">
        <f t="shared" si="593"/>
        <v>0</v>
      </c>
      <c r="AR417" s="737">
        <f t="shared" si="594"/>
        <v>0</v>
      </c>
      <c r="AS417" s="470">
        <f t="shared" si="595"/>
        <v>2611897</v>
      </c>
      <c r="AT417" s="460">
        <f t="shared" si="596"/>
        <v>1925072</v>
      </c>
      <c r="AU417" s="460">
        <f t="shared" si="597"/>
        <v>0</v>
      </c>
      <c r="AV417" s="460">
        <f t="shared" si="598"/>
        <v>650674</v>
      </c>
      <c r="AW417" s="460">
        <f t="shared" si="599"/>
        <v>19251</v>
      </c>
      <c r="AX417" s="460">
        <f t="shared" si="600"/>
        <v>16900</v>
      </c>
      <c r="AY417" s="461">
        <f t="shared" si="601"/>
        <v>6.19</v>
      </c>
      <c r="AZ417" s="461">
        <f t="shared" si="602"/>
        <v>0</v>
      </c>
      <c r="BA417" s="463">
        <f t="shared" si="603"/>
        <v>6.19</v>
      </c>
    </row>
    <row r="418" spans="1:53" ht="14.1" customHeight="1" x14ac:dyDescent="0.2">
      <c r="A418" s="67">
        <v>82</v>
      </c>
      <c r="B418" s="64">
        <v>2493</v>
      </c>
      <c r="C418" s="65">
        <v>600080021</v>
      </c>
      <c r="D418" s="64">
        <v>72742399</v>
      </c>
      <c r="E418" s="66" t="s">
        <v>714</v>
      </c>
      <c r="F418" s="67">
        <v>3143</v>
      </c>
      <c r="G418" s="78" t="s">
        <v>616</v>
      </c>
      <c r="H418" s="68" t="s">
        <v>277</v>
      </c>
      <c r="I418" s="462">
        <v>1922163</v>
      </c>
      <c r="J418" s="16">
        <v>1425937</v>
      </c>
      <c r="K418" s="457">
        <v>481967</v>
      </c>
      <c r="L418" s="457">
        <v>14259</v>
      </c>
      <c r="M418" s="16">
        <v>0</v>
      </c>
      <c r="N418" s="458">
        <v>2.9641999999999999</v>
      </c>
      <c r="O418" s="13">
        <v>2.9641999999999999</v>
      </c>
      <c r="P418" s="17">
        <v>0</v>
      </c>
      <c r="Q418" s="469">
        <f t="shared" si="591"/>
        <v>0</v>
      </c>
      <c r="R418" s="469">
        <v>0</v>
      </c>
      <c r="S418" s="460">
        <v>0</v>
      </c>
      <c r="T418" s="460">
        <v>0</v>
      </c>
      <c r="U418" s="460">
        <v>0</v>
      </c>
      <c r="V418" s="460">
        <f t="shared" si="629"/>
        <v>0</v>
      </c>
      <c r="W418" s="460">
        <v>0</v>
      </c>
      <c r="X418" s="460">
        <v>0</v>
      </c>
      <c r="Y418" s="460">
        <v>0</v>
      </c>
      <c r="Z418" s="460">
        <f t="shared" si="630"/>
        <v>0</v>
      </c>
      <c r="AA418" s="460">
        <f t="shared" si="631"/>
        <v>0</v>
      </c>
      <c r="AB418" s="69">
        <f t="shared" si="632"/>
        <v>0</v>
      </c>
      <c r="AC418" s="69">
        <f t="shared" si="633"/>
        <v>0</v>
      </c>
      <c r="AD418" s="460">
        <v>0</v>
      </c>
      <c r="AE418" s="460">
        <v>0</v>
      </c>
      <c r="AF418" s="460">
        <f t="shared" si="634"/>
        <v>0</v>
      </c>
      <c r="AG418" s="460">
        <f t="shared" si="635"/>
        <v>0</v>
      </c>
      <c r="AH418" s="461">
        <v>0</v>
      </c>
      <c r="AI418" s="461">
        <v>0</v>
      </c>
      <c r="AJ418" s="461">
        <v>0</v>
      </c>
      <c r="AK418" s="461">
        <v>0</v>
      </c>
      <c r="AL418" s="461">
        <v>0</v>
      </c>
      <c r="AM418" s="461">
        <v>0</v>
      </c>
      <c r="AN418" s="461">
        <v>0</v>
      </c>
      <c r="AO418" s="461">
        <v>0</v>
      </c>
      <c r="AP418" s="461">
        <f t="shared" si="592"/>
        <v>0</v>
      </c>
      <c r="AQ418" s="461">
        <f t="shared" si="593"/>
        <v>0</v>
      </c>
      <c r="AR418" s="737">
        <f t="shared" si="594"/>
        <v>0</v>
      </c>
      <c r="AS418" s="470">
        <f t="shared" si="595"/>
        <v>1922163</v>
      </c>
      <c r="AT418" s="460">
        <f t="shared" si="596"/>
        <v>1425937</v>
      </c>
      <c r="AU418" s="460">
        <f t="shared" si="597"/>
        <v>0</v>
      </c>
      <c r="AV418" s="460">
        <f t="shared" si="598"/>
        <v>481967</v>
      </c>
      <c r="AW418" s="460">
        <f t="shared" si="599"/>
        <v>14259</v>
      </c>
      <c r="AX418" s="460">
        <f t="shared" si="600"/>
        <v>0</v>
      </c>
      <c r="AY418" s="461">
        <f t="shared" si="601"/>
        <v>2.9641999999999999</v>
      </c>
      <c r="AZ418" s="461">
        <f t="shared" si="602"/>
        <v>2.9641999999999999</v>
      </c>
      <c r="BA418" s="463">
        <f t="shared" si="603"/>
        <v>0</v>
      </c>
    </row>
    <row r="419" spans="1:53" ht="14.1" customHeight="1" x14ac:dyDescent="0.2">
      <c r="A419" s="67">
        <v>82</v>
      </c>
      <c r="B419" s="64">
        <v>2493</v>
      </c>
      <c r="C419" s="65">
        <v>600080021</v>
      </c>
      <c r="D419" s="64">
        <v>72742399</v>
      </c>
      <c r="E419" s="66" t="s">
        <v>714</v>
      </c>
      <c r="F419" s="67">
        <v>3143</v>
      </c>
      <c r="G419" s="78" t="s">
        <v>617</v>
      </c>
      <c r="H419" s="68" t="s">
        <v>278</v>
      </c>
      <c r="I419" s="462">
        <v>54243</v>
      </c>
      <c r="J419" s="673">
        <v>38757</v>
      </c>
      <c r="K419" s="457">
        <v>13100</v>
      </c>
      <c r="L419" s="457">
        <v>388</v>
      </c>
      <c r="M419" s="673">
        <v>1998</v>
      </c>
      <c r="N419" s="458">
        <v>0.15</v>
      </c>
      <c r="O419" s="459">
        <v>0</v>
      </c>
      <c r="P419" s="717">
        <v>0.15</v>
      </c>
      <c r="Q419" s="469">
        <f t="shared" si="591"/>
        <v>0</v>
      </c>
      <c r="R419" s="469">
        <v>0</v>
      </c>
      <c r="S419" s="460">
        <v>0</v>
      </c>
      <c r="T419" s="460">
        <v>0</v>
      </c>
      <c r="U419" s="460">
        <v>0</v>
      </c>
      <c r="V419" s="460">
        <f t="shared" si="629"/>
        <v>0</v>
      </c>
      <c r="W419" s="460">
        <v>0</v>
      </c>
      <c r="X419" s="460">
        <v>0</v>
      </c>
      <c r="Y419" s="460">
        <v>0</v>
      </c>
      <c r="Z419" s="460">
        <f t="shared" si="630"/>
        <v>0</v>
      </c>
      <c r="AA419" s="460">
        <f t="shared" si="631"/>
        <v>0</v>
      </c>
      <c r="AB419" s="69">
        <f t="shared" si="632"/>
        <v>0</v>
      </c>
      <c r="AC419" s="69">
        <f t="shared" si="633"/>
        <v>0</v>
      </c>
      <c r="AD419" s="460">
        <v>0</v>
      </c>
      <c r="AE419" s="460">
        <v>0</v>
      </c>
      <c r="AF419" s="460">
        <f t="shared" si="634"/>
        <v>0</v>
      </c>
      <c r="AG419" s="460">
        <f t="shared" si="635"/>
        <v>0</v>
      </c>
      <c r="AH419" s="461">
        <v>0</v>
      </c>
      <c r="AI419" s="461">
        <v>0</v>
      </c>
      <c r="AJ419" s="461">
        <v>0</v>
      </c>
      <c r="AK419" s="461">
        <v>0</v>
      </c>
      <c r="AL419" s="461">
        <v>0</v>
      </c>
      <c r="AM419" s="461">
        <v>0</v>
      </c>
      <c r="AN419" s="461">
        <v>0</v>
      </c>
      <c r="AO419" s="461">
        <v>0</v>
      </c>
      <c r="AP419" s="461">
        <f t="shared" si="592"/>
        <v>0</v>
      </c>
      <c r="AQ419" s="461">
        <f t="shared" si="593"/>
        <v>0</v>
      </c>
      <c r="AR419" s="737">
        <f t="shared" si="594"/>
        <v>0</v>
      </c>
      <c r="AS419" s="470">
        <f t="shared" si="595"/>
        <v>54243</v>
      </c>
      <c r="AT419" s="460">
        <f t="shared" si="596"/>
        <v>38757</v>
      </c>
      <c r="AU419" s="460">
        <f t="shared" si="597"/>
        <v>0</v>
      </c>
      <c r="AV419" s="460">
        <f t="shared" si="598"/>
        <v>13100</v>
      </c>
      <c r="AW419" s="460">
        <f t="shared" si="599"/>
        <v>388</v>
      </c>
      <c r="AX419" s="460">
        <f t="shared" si="600"/>
        <v>1998</v>
      </c>
      <c r="AY419" s="461">
        <f t="shared" si="601"/>
        <v>0.15</v>
      </c>
      <c r="AZ419" s="461">
        <f t="shared" si="602"/>
        <v>0</v>
      </c>
      <c r="BA419" s="463">
        <f t="shared" si="603"/>
        <v>0.15</v>
      </c>
    </row>
    <row r="420" spans="1:53" ht="14.1" customHeight="1" x14ac:dyDescent="0.2">
      <c r="A420" s="73">
        <v>82</v>
      </c>
      <c r="B420" s="70">
        <v>2493</v>
      </c>
      <c r="C420" s="71">
        <v>600080021</v>
      </c>
      <c r="D420" s="70">
        <v>72742399</v>
      </c>
      <c r="E420" s="72" t="s">
        <v>715</v>
      </c>
      <c r="F420" s="73"/>
      <c r="G420" s="72"/>
      <c r="H420" s="74"/>
      <c r="I420" s="701">
        <f t="shared" ref="I420:P420" si="636">SUM(I414:I419)</f>
        <v>30016943</v>
      </c>
      <c r="J420" s="75">
        <f t="shared" si="636"/>
        <v>21977099</v>
      </c>
      <c r="K420" s="75">
        <f t="shared" si="636"/>
        <v>7428259</v>
      </c>
      <c r="L420" s="75">
        <f t="shared" si="636"/>
        <v>219772</v>
      </c>
      <c r="M420" s="75">
        <f t="shared" si="636"/>
        <v>391813</v>
      </c>
      <c r="N420" s="76">
        <f t="shared" si="636"/>
        <v>42.044499999999992</v>
      </c>
      <c r="O420" s="76">
        <f t="shared" si="636"/>
        <v>28.7545</v>
      </c>
      <c r="P420" s="77">
        <f t="shared" si="636"/>
        <v>13.290000000000001</v>
      </c>
      <c r="Q420" s="724">
        <f t="shared" ref="Q420:BA420" si="637">SUM(Q414:Q419)</f>
        <v>-55250</v>
      </c>
      <c r="R420" s="724">
        <f t="shared" si="637"/>
        <v>1829079</v>
      </c>
      <c r="S420" s="75">
        <f t="shared" si="637"/>
        <v>0</v>
      </c>
      <c r="T420" s="75">
        <f t="shared" si="637"/>
        <v>38378</v>
      </c>
      <c r="U420" s="75">
        <f t="shared" si="637"/>
        <v>0</v>
      </c>
      <c r="V420" s="75">
        <f t="shared" si="637"/>
        <v>1812207</v>
      </c>
      <c r="W420" s="75">
        <f t="shared" si="637"/>
        <v>55250</v>
      </c>
      <c r="X420" s="75">
        <f t="shared" si="637"/>
        <v>0</v>
      </c>
      <c r="Y420" s="75">
        <f t="shared" si="637"/>
        <v>0</v>
      </c>
      <c r="Z420" s="75">
        <f t="shared" si="637"/>
        <v>55250</v>
      </c>
      <c r="AA420" s="75">
        <f t="shared" si="637"/>
        <v>1867457</v>
      </c>
      <c r="AB420" s="75">
        <f t="shared" si="637"/>
        <v>631201</v>
      </c>
      <c r="AC420" s="75">
        <f t="shared" si="637"/>
        <v>18122</v>
      </c>
      <c r="AD420" s="75">
        <f t="shared" si="637"/>
        <v>500</v>
      </c>
      <c r="AE420" s="75">
        <f t="shared" si="637"/>
        <v>0</v>
      </c>
      <c r="AF420" s="75">
        <f t="shared" si="637"/>
        <v>500</v>
      </c>
      <c r="AG420" s="75">
        <f t="shared" si="637"/>
        <v>2517280</v>
      </c>
      <c r="AH420" s="76">
        <f t="shared" si="637"/>
        <v>-0.03</v>
      </c>
      <c r="AI420" s="76">
        <f t="shared" si="637"/>
        <v>-0.04</v>
      </c>
      <c r="AJ420" s="76">
        <f t="shared" si="637"/>
        <v>5.92</v>
      </c>
      <c r="AK420" s="76">
        <f t="shared" si="637"/>
        <v>0</v>
      </c>
      <c r="AL420" s="76">
        <f t="shared" si="637"/>
        <v>0</v>
      </c>
      <c r="AM420" s="76">
        <f t="shared" si="637"/>
        <v>0.06</v>
      </c>
      <c r="AN420" s="76">
        <f t="shared" si="637"/>
        <v>0</v>
      </c>
      <c r="AO420" s="76">
        <f t="shared" si="637"/>
        <v>0</v>
      </c>
      <c r="AP420" s="76">
        <f t="shared" si="637"/>
        <v>5.95</v>
      </c>
      <c r="AQ420" s="76">
        <f t="shared" si="637"/>
        <v>-0.04</v>
      </c>
      <c r="AR420" s="720">
        <f t="shared" si="637"/>
        <v>5.91</v>
      </c>
      <c r="AS420" s="701">
        <f t="shared" si="637"/>
        <v>32534223</v>
      </c>
      <c r="AT420" s="75">
        <f t="shared" si="637"/>
        <v>23789306</v>
      </c>
      <c r="AU420" s="75">
        <f t="shared" si="637"/>
        <v>55250</v>
      </c>
      <c r="AV420" s="75">
        <f t="shared" si="637"/>
        <v>8059460</v>
      </c>
      <c r="AW420" s="75">
        <f t="shared" si="637"/>
        <v>237894</v>
      </c>
      <c r="AX420" s="75">
        <f t="shared" si="637"/>
        <v>392313</v>
      </c>
      <c r="AY420" s="76">
        <f t="shared" si="637"/>
        <v>47.954499999999996</v>
      </c>
      <c r="AZ420" s="76">
        <f t="shared" si="637"/>
        <v>34.704500000000003</v>
      </c>
      <c r="BA420" s="77">
        <f t="shared" si="637"/>
        <v>13.250000000000002</v>
      </c>
    </row>
    <row r="421" spans="1:53" ht="14.1" customHeight="1" x14ac:dyDescent="0.2">
      <c r="A421" s="67">
        <v>83</v>
      </c>
      <c r="B421" s="64">
        <v>2445</v>
      </c>
      <c r="C421" s="65">
        <v>600080030</v>
      </c>
      <c r="D421" s="64">
        <v>70695997</v>
      </c>
      <c r="E421" s="66" t="s">
        <v>716</v>
      </c>
      <c r="F421" s="67">
        <v>3111</v>
      </c>
      <c r="G421" s="66" t="s">
        <v>307</v>
      </c>
      <c r="H421" s="68" t="s">
        <v>277</v>
      </c>
      <c r="I421" s="462">
        <v>3209463</v>
      </c>
      <c r="J421" s="16">
        <v>2367554</v>
      </c>
      <c r="K421" s="457">
        <v>800233</v>
      </c>
      <c r="L421" s="457">
        <v>23676</v>
      </c>
      <c r="M421" s="16">
        <v>18000</v>
      </c>
      <c r="N421" s="13">
        <v>4.8</v>
      </c>
      <c r="O421" s="13">
        <v>4</v>
      </c>
      <c r="P421" s="17">
        <v>0.8</v>
      </c>
      <c r="Q421" s="469">
        <f t="shared" si="591"/>
        <v>0</v>
      </c>
      <c r="R421" s="469">
        <v>0</v>
      </c>
      <c r="S421" s="460">
        <v>0</v>
      </c>
      <c r="T421" s="460">
        <v>0</v>
      </c>
      <c r="U421" s="460">
        <v>0</v>
      </c>
      <c r="V421" s="460">
        <f t="shared" ref="V421:V426" si="638">SUM(Q421:U421)</f>
        <v>0</v>
      </c>
      <c r="W421" s="460">
        <v>0</v>
      </c>
      <c r="X421" s="460">
        <v>0</v>
      </c>
      <c r="Y421" s="460">
        <v>0</v>
      </c>
      <c r="Z421" s="460">
        <f t="shared" ref="Z421:Z426" si="639">SUM(W421:Y421)</f>
        <v>0</v>
      </c>
      <c r="AA421" s="460">
        <f t="shared" ref="AA421:AA426" si="640">V421+Z421</f>
        <v>0</v>
      </c>
      <c r="AB421" s="69">
        <f t="shared" ref="AB421:AB426" si="641">ROUND((V421+W421+X421)*33.8%,0)</f>
        <v>0</v>
      </c>
      <c r="AC421" s="69">
        <f t="shared" ref="AC421:AC426" si="642">ROUND(V421*1%,0)</f>
        <v>0</v>
      </c>
      <c r="AD421" s="460">
        <v>0</v>
      </c>
      <c r="AE421" s="460">
        <v>0</v>
      </c>
      <c r="AF421" s="460">
        <f t="shared" ref="AF421:AF426" si="643">SUM(AD421:AE421)</f>
        <v>0</v>
      </c>
      <c r="AG421" s="460">
        <f t="shared" ref="AG421:AG426" si="644">AA421+AB421+AC421+AF421</f>
        <v>0</v>
      </c>
      <c r="AH421" s="461">
        <v>0</v>
      </c>
      <c r="AI421" s="461">
        <v>0</v>
      </c>
      <c r="AJ421" s="461">
        <v>0</v>
      </c>
      <c r="AK421" s="461">
        <v>0</v>
      </c>
      <c r="AL421" s="461">
        <v>0</v>
      </c>
      <c r="AM421" s="461">
        <v>0</v>
      </c>
      <c r="AN421" s="461">
        <v>0</v>
      </c>
      <c r="AO421" s="461">
        <v>0</v>
      </c>
      <c r="AP421" s="461">
        <f t="shared" si="592"/>
        <v>0</v>
      </c>
      <c r="AQ421" s="461">
        <f t="shared" si="593"/>
        <v>0</v>
      </c>
      <c r="AR421" s="737">
        <f t="shared" si="594"/>
        <v>0</v>
      </c>
      <c r="AS421" s="470">
        <f t="shared" si="595"/>
        <v>3209463</v>
      </c>
      <c r="AT421" s="460">
        <f t="shared" si="596"/>
        <v>2367554</v>
      </c>
      <c r="AU421" s="460">
        <f t="shared" si="597"/>
        <v>0</v>
      </c>
      <c r="AV421" s="460">
        <f t="shared" si="598"/>
        <v>800233</v>
      </c>
      <c r="AW421" s="460">
        <f t="shared" si="599"/>
        <v>23676</v>
      </c>
      <c r="AX421" s="460">
        <f t="shared" si="600"/>
        <v>18000</v>
      </c>
      <c r="AY421" s="461">
        <f t="shared" si="601"/>
        <v>4.8</v>
      </c>
      <c r="AZ421" s="461">
        <f t="shared" si="602"/>
        <v>4</v>
      </c>
      <c r="BA421" s="463">
        <f t="shared" si="603"/>
        <v>0.8</v>
      </c>
    </row>
    <row r="422" spans="1:53" ht="14.1" customHeight="1" x14ac:dyDescent="0.2">
      <c r="A422" s="67">
        <v>83</v>
      </c>
      <c r="B422" s="64">
        <v>2445</v>
      </c>
      <c r="C422" s="65">
        <v>600080030</v>
      </c>
      <c r="D422" s="64">
        <v>70695997</v>
      </c>
      <c r="E422" s="66" t="s">
        <v>716</v>
      </c>
      <c r="F422" s="67">
        <v>3117</v>
      </c>
      <c r="G422" s="66" t="s">
        <v>310</v>
      </c>
      <c r="H422" s="68" t="s">
        <v>277</v>
      </c>
      <c r="I422" s="462">
        <v>4648004</v>
      </c>
      <c r="J422" s="16">
        <v>3394458</v>
      </c>
      <c r="K422" s="457">
        <v>1147327</v>
      </c>
      <c r="L422" s="457">
        <v>33944</v>
      </c>
      <c r="M422" s="16">
        <v>72275</v>
      </c>
      <c r="N422" s="13">
        <v>6.3567999999999998</v>
      </c>
      <c r="O422" s="13">
        <v>4.8635000000000002</v>
      </c>
      <c r="P422" s="17">
        <v>1.4933000000000001</v>
      </c>
      <c r="Q422" s="469">
        <f t="shared" si="591"/>
        <v>-16250</v>
      </c>
      <c r="R422" s="469">
        <v>0</v>
      </c>
      <c r="S422" s="460">
        <v>0</v>
      </c>
      <c r="T422" s="460">
        <v>0</v>
      </c>
      <c r="U422" s="460">
        <v>0</v>
      </c>
      <c r="V422" s="460">
        <f t="shared" si="638"/>
        <v>-16250</v>
      </c>
      <c r="W422" s="460">
        <v>16250</v>
      </c>
      <c r="X422" s="460">
        <v>0</v>
      </c>
      <c r="Y422" s="460">
        <v>0</v>
      </c>
      <c r="Z422" s="460">
        <f t="shared" si="639"/>
        <v>16250</v>
      </c>
      <c r="AA422" s="460">
        <f t="shared" si="640"/>
        <v>0</v>
      </c>
      <c r="AB422" s="69">
        <f t="shared" si="641"/>
        <v>0</v>
      </c>
      <c r="AC422" s="69">
        <f t="shared" si="642"/>
        <v>-163</v>
      </c>
      <c r="AD422" s="460">
        <v>0</v>
      </c>
      <c r="AE422" s="460">
        <v>0</v>
      </c>
      <c r="AF422" s="460">
        <f t="shared" si="643"/>
        <v>0</v>
      </c>
      <c r="AG422" s="460">
        <f t="shared" si="644"/>
        <v>-163</v>
      </c>
      <c r="AH422" s="461">
        <v>-0.02</v>
      </c>
      <c r="AI422" s="461">
        <v>0</v>
      </c>
      <c r="AJ422" s="461">
        <v>0</v>
      </c>
      <c r="AK422" s="461">
        <v>0</v>
      </c>
      <c r="AL422" s="461">
        <v>0</v>
      </c>
      <c r="AM422" s="461">
        <v>0</v>
      </c>
      <c r="AN422" s="461">
        <v>0</v>
      </c>
      <c r="AO422" s="461">
        <v>0</v>
      </c>
      <c r="AP422" s="461">
        <f t="shared" si="592"/>
        <v>-0.02</v>
      </c>
      <c r="AQ422" s="461">
        <f t="shared" si="593"/>
        <v>0</v>
      </c>
      <c r="AR422" s="737">
        <f t="shared" si="594"/>
        <v>-0.02</v>
      </c>
      <c r="AS422" s="470">
        <f t="shared" si="595"/>
        <v>4647841</v>
      </c>
      <c r="AT422" s="460">
        <f t="shared" si="596"/>
        <v>3378208</v>
      </c>
      <c r="AU422" s="460">
        <f t="shared" si="597"/>
        <v>16250</v>
      </c>
      <c r="AV422" s="460">
        <f t="shared" si="598"/>
        <v>1147327</v>
      </c>
      <c r="AW422" s="460">
        <f t="shared" si="599"/>
        <v>33781</v>
      </c>
      <c r="AX422" s="460">
        <f t="shared" si="600"/>
        <v>72275</v>
      </c>
      <c r="AY422" s="461">
        <f t="shared" si="601"/>
        <v>6.3368000000000002</v>
      </c>
      <c r="AZ422" s="461">
        <f t="shared" si="602"/>
        <v>4.8435000000000006</v>
      </c>
      <c r="BA422" s="463">
        <f t="shared" si="603"/>
        <v>1.4933000000000001</v>
      </c>
    </row>
    <row r="423" spans="1:53" ht="14.1" customHeight="1" x14ac:dyDescent="0.2">
      <c r="A423" s="67">
        <v>83</v>
      </c>
      <c r="B423" s="64">
        <v>2445</v>
      </c>
      <c r="C423" s="65">
        <v>600080030</v>
      </c>
      <c r="D423" s="64">
        <v>70695997</v>
      </c>
      <c r="E423" s="66" t="s">
        <v>716</v>
      </c>
      <c r="F423" s="67">
        <v>3117</v>
      </c>
      <c r="G423" s="78" t="s">
        <v>308</v>
      </c>
      <c r="H423" s="68" t="s">
        <v>278</v>
      </c>
      <c r="I423" s="462">
        <v>0</v>
      </c>
      <c r="J423" s="457">
        <v>0</v>
      </c>
      <c r="K423" s="457">
        <v>0</v>
      </c>
      <c r="L423" s="457">
        <v>0</v>
      </c>
      <c r="M423" s="457">
        <v>0</v>
      </c>
      <c r="N423" s="458">
        <v>0</v>
      </c>
      <c r="O423" s="459">
        <v>0</v>
      </c>
      <c r="P423" s="646">
        <v>0</v>
      </c>
      <c r="Q423" s="469">
        <f t="shared" si="591"/>
        <v>0</v>
      </c>
      <c r="R423" s="469">
        <v>1447504</v>
      </c>
      <c r="S423" s="460">
        <v>0</v>
      </c>
      <c r="T423" s="460">
        <v>0</v>
      </c>
      <c r="U423" s="460">
        <v>0</v>
      </c>
      <c r="V423" s="460">
        <f t="shared" si="638"/>
        <v>1447504</v>
      </c>
      <c r="W423" s="460">
        <v>0</v>
      </c>
      <c r="X423" s="460">
        <v>0</v>
      </c>
      <c r="Y423" s="460">
        <v>0</v>
      </c>
      <c r="Z423" s="460">
        <f t="shared" si="639"/>
        <v>0</v>
      </c>
      <c r="AA423" s="460">
        <f t="shared" si="640"/>
        <v>1447504</v>
      </c>
      <c r="AB423" s="69">
        <f t="shared" si="641"/>
        <v>489256</v>
      </c>
      <c r="AC423" s="69">
        <f t="shared" si="642"/>
        <v>14475</v>
      </c>
      <c r="AD423" s="460">
        <v>500</v>
      </c>
      <c r="AE423" s="460">
        <v>0</v>
      </c>
      <c r="AF423" s="460">
        <f t="shared" si="643"/>
        <v>500</v>
      </c>
      <c r="AG423" s="460">
        <f t="shared" si="644"/>
        <v>1951735</v>
      </c>
      <c r="AH423" s="461">
        <v>0</v>
      </c>
      <c r="AI423" s="461">
        <v>0</v>
      </c>
      <c r="AJ423" s="461">
        <v>4.1399999999999997</v>
      </c>
      <c r="AK423" s="461">
        <v>0</v>
      </c>
      <c r="AL423" s="461">
        <v>0</v>
      </c>
      <c r="AM423" s="461">
        <v>0</v>
      </c>
      <c r="AN423" s="461">
        <v>0</v>
      </c>
      <c r="AO423" s="461">
        <v>0</v>
      </c>
      <c r="AP423" s="461">
        <f t="shared" si="592"/>
        <v>4.1399999999999997</v>
      </c>
      <c r="AQ423" s="461">
        <f t="shared" si="593"/>
        <v>0</v>
      </c>
      <c r="AR423" s="737">
        <f t="shared" si="594"/>
        <v>4.1399999999999997</v>
      </c>
      <c r="AS423" s="470">
        <f t="shared" si="595"/>
        <v>1951735</v>
      </c>
      <c r="AT423" s="460">
        <f t="shared" si="596"/>
        <v>1447504</v>
      </c>
      <c r="AU423" s="460">
        <f t="shared" si="597"/>
        <v>0</v>
      </c>
      <c r="AV423" s="460">
        <f t="shared" si="598"/>
        <v>489256</v>
      </c>
      <c r="AW423" s="460">
        <f t="shared" si="599"/>
        <v>14475</v>
      </c>
      <c r="AX423" s="460">
        <f t="shared" si="600"/>
        <v>500</v>
      </c>
      <c r="AY423" s="461">
        <f t="shared" si="601"/>
        <v>4.1399999999999997</v>
      </c>
      <c r="AZ423" s="461">
        <f t="shared" si="602"/>
        <v>4.1399999999999997</v>
      </c>
      <c r="BA423" s="463">
        <f t="shared" si="603"/>
        <v>0</v>
      </c>
    </row>
    <row r="424" spans="1:53" ht="14.1" customHeight="1" x14ac:dyDescent="0.2">
      <c r="A424" s="67">
        <v>83</v>
      </c>
      <c r="B424" s="64">
        <v>2445</v>
      </c>
      <c r="C424" s="65">
        <v>600080030</v>
      </c>
      <c r="D424" s="64">
        <v>70695997</v>
      </c>
      <c r="E424" s="66" t="s">
        <v>716</v>
      </c>
      <c r="F424" s="67">
        <v>3141</v>
      </c>
      <c r="G424" s="66" t="s">
        <v>311</v>
      </c>
      <c r="H424" s="68" t="s">
        <v>278</v>
      </c>
      <c r="I424" s="462">
        <v>1102921</v>
      </c>
      <c r="J424" s="728">
        <v>814526</v>
      </c>
      <c r="K424" s="457">
        <v>275310</v>
      </c>
      <c r="L424" s="457">
        <v>8145</v>
      </c>
      <c r="M424" s="728">
        <v>4940</v>
      </c>
      <c r="N424" s="458">
        <v>2.62</v>
      </c>
      <c r="O424" s="459">
        <v>0</v>
      </c>
      <c r="P424" s="646">
        <v>2.62</v>
      </c>
      <c r="Q424" s="469">
        <f t="shared" si="591"/>
        <v>0</v>
      </c>
      <c r="R424" s="469">
        <v>0</v>
      </c>
      <c r="S424" s="460">
        <v>0</v>
      </c>
      <c r="T424" s="460">
        <v>0</v>
      </c>
      <c r="U424" s="460">
        <v>0</v>
      </c>
      <c r="V424" s="460">
        <f t="shared" si="638"/>
        <v>0</v>
      </c>
      <c r="W424" s="460">
        <v>0</v>
      </c>
      <c r="X424" s="460">
        <v>0</v>
      </c>
      <c r="Y424" s="460">
        <v>0</v>
      </c>
      <c r="Z424" s="460">
        <f t="shared" si="639"/>
        <v>0</v>
      </c>
      <c r="AA424" s="460">
        <f t="shared" si="640"/>
        <v>0</v>
      </c>
      <c r="AB424" s="69">
        <f t="shared" si="641"/>
        <v>0</v>
      </c>
      <c r="AC424" s="69">
        <f t="shared" si="642"/>
        <v>0</v>
      </c>
      <c r="AD424" s="460">
        <v>0</v>
      </c>
      <c r="AE424" s="460">
        <v>0</v>
      </c>
      <c r="AF424" s="460">
        <f t="shared" si="643"/>
        <v>0</v>
      </c>
      <c r="AG424" s="460">
        <f t="shared" si="644"/>
        <v>0</v>
      </c>
      <c r="AH424" s="461">
        <v>0</v>
      </c>
      <c r="AI424" s="461">
        <v>0</v>
      </c>
      <c r="AJ424" s="461">
        <v>0</v>
      </c>
      <c r="AK424" s="461">
        <v>0</v>
      </c>
      <c r="AL424" s="461">
        <v>0</v>
      </c>
      <c r="AM424" s="461">
        <v>0</v>
      </c>
      <c r="AN424" s="461">
        <v>0</v>
      </c>
      <c r="AO424" s="461">
        <v>0</v>
      </c>
      <c r="AP424" s="461">
        <f t="shared" si="592"/>
        <v>0</v>
      </c>
      <c r="AQ424" s="461">
        <f t="shared" si="593"/>
        <v>0</v>
      </c>
      <c r="AR424" s="737">
        <f t="shared" si="594"/>
        <v>0</v>
      </c>
      <c r="AS424" s="470">
        <f t="shared" si="595"/>
        <v>1102921</v>
      </c>
      <c r="AT424" s="460">
        <f t="shared" si="596"/>
        <v>814526</v>
      </c>
      <c r="AU424" s="460">
        <f t="shared" si="597"/>
        <v>0</v>
      </c>
      <c r="AV424" s="460">
        <f t="shared" si="598"/>
        <v>275310</v>
      </c>
      <c r="AW424" s="460">
        <f t="shared" si="599"/>
        <v>8145</v>
      </c>
      <c r="AX424" s="460">
        <f t="shared" si="600"/>
        <v>4940</v>
      </c>
      <c r="AY424" s="461">
        <f t="shared" si="601"/>
        <v>2.62</v>
      </c>
      <c r="AZ424" s="461">
        <f t="shared" si="602"/>
        <v>0</v>
      </c>
      <c r="BA424" s="463">
        <f t="shared" si="603"/>
        <v>2.62</v>
      </c>
    </row>
    <row r="425" spans="1:53" ht="14.1" customHeight="1" x14ac:dyDescent="0.2">
      <c r="A425" s="67">
        <v>83</v>
      </c>
      <c r="B425" s="64">
        <v>2445</v>
      </c>
      <c r="C425" s="65">
        <v>600080030</v>
      </c>
      <c r="D425" s="64">
        <v>70695997</v>
      </c>
      <c r="E425" s="66" t="s">
        <v>716</v>
      </c>
      <c r="F425" s="67">
        <v>3143</v>
      </c>
      <c r="G425" s="78" t="s">
        <v>616</v>
      </c>
      <c r="H425" s="68" t="s">
        <v>277</v>
      </c>
      <c r="I425" s="462">
        <v>1325197</v>
      </c>
      <c r="J425" s="16">
        <v>983084</v>
      </c>
      <c r="K425" s="457">
        <v>332282</v>
      </c>
      <c r="L425" s="457">
        <v>9831</v>
      </c>
      <c r="M425" s="16">
        <v>0</v>
      </c>
      <c r="N425" s="458">
        <v>2.1432000000000002</v>
      </c>
      <c r="O425" s="13">
        <v>2.1432000000000002</v>
      </c>
      <c r="P425" s="17">
        <v>0</v>
      </c>
      <c r="Q425" s="469">
        <f t="shared" si="591"/>
        <v>0</v>
      </c>
      <c r="R425" s="469">
        <v>0</v>
      </c>
      <c r="S425" s="460">
        <v>0</v>
      </c>
      <c r="T425" s="460">
        <v>0</v>
      </c>
      <c r="U425" s="460">
        <v>0</v>
      </c>
      <c r="V425" s="460">
        <f t="shared" si="638"/>
        <v>0</v>
      </c>
      <c r="W425" s="460">
        <v>0</v>
      </c>
      <c r="X425" s="460">
        <v>0</v>
      </c>
      <c r="Y425" s="460">
        <v>0</v>
      </c>
      <c r="Z425" s="460">
        <f t="shared" si="639"/>
        <v>0</v>
      </c>
      <c r="AA425" s="460">
        <f t="shared" si="640"/>
        <v>0</v>
      </c>
      <c r="AB425" s="69">
        <f t="shared" si="641"/>
        <v>0</v>
      </c>
      <c r="AC425" s="69">
        <f t="shared" si="642"/>
        <v>0</v>
      </c>
      <c r="AD425" s="460">
        <v>0</v>
      </c>
      <c r="AE425" s="460">
        <v>0</v>
      </c>
      <c r="AF425" s="460">
        <f t="shared" si="643"/>
        <v>0</v>
      </c>
      <c r="AG425" s="460">
        <f t="shared" si="644"/>
        <v>0</v>
      </c>
      <c r="AH425" s="461">
        <v>0</v>
      </c>
      <c r="AI425" s="461">
        <v>0</v>
      </c>
      <c r="AJ425" s="461">
        <v>0</v>
      </c>
      <c r="AK425" s="461">
        <v>0</v>
      </c>
      <c r="AL425" s="461">
        <v>0</v>
      </c>
      <c r="AM425" s="461">
        <v>0</v>
      </c>
      <c r="AN425" s="461">
        <v>0</v>
      </c>
      <c r="AO425" s="461">
        <v>0</v>
      </c>
      <c r="AP425" s="461">
        <f t="shared" si="592"/>
        <v>0</v>
      </c>
      <c r="AQ425" s="461">
        <f t="shared" si="593"/>
        <v>0</v>
      </c>
      <c r="AR425" s="737">
        <f t="shared" si="594"/>
        <v>0</v>
      </c>
      <c r="AS425" s="470">
        <f t="shared" si="595"/>
        <v>1325197</v>
      </c>
      <c r="AT425" s="460">
        <f t="shared" si="596"/>
        <v>983084</v>
      </c>
      <c r="AU425" s="460">
        <f t="shared" si="597"/>
        <v>0</v>
      </c>
      <c r="AV425" s="460">
        <f t="shared" si="598"/>
        <v>332282</v>
      </c>
      <c r="AW425" s="460">
        <f t="shared" si="599"/>
        <v>9831</v>
      </c>
      <c r="AX425" s="460">
        <f t="shared" si="600"/>
        <v>0</v>
      </c>
      <c r="AY425" s="461">
        <f t="shared" si="601"/>
        <v>2.1432000000000002</v>
      </c>
      <c r="AZ425" s="461">
        <f t="shared" si="602"/>
        <v>2.1432000000000002</v>
      </c>
      <c r="BA425" s="463">
        <f t="shared" si="603"/>
        <v>0</v>
      </c>
    </row>
    <row r="426" spans="1:53" ht="14.1" customHeight="1" x14ac:dyDescent="0.2">
      <c r="A426" s="67">
        <v>83</v>
      </c>
      <c r="B426" s="64">
        <v>2445</v>
      </c>
      <c r="C426" s="65">
        <v>600080030</v>
      </c>
      <c r="D426" s="64">
        <v>70695997</v>
      </c>
      <c r="E426" s="66" t="s">
        <v>716</v>
      </c>
      <c r="F426" s="67">
        <v>3143</v>
      </c>
      <c r="G426" s="78" t="s">
        <v>617</v>
      </c>
      <c r="H426" s="68" t="s">
        <v>278</v>
      </c>
      <c r="I426" s="462">
        <v>34451</v>
      </c>
      <c r="J426" s="673">
        <v>24616</v>
      </c>
      <c r="K426" s="457">
        <v>8320</v>
      </c>
      <c r="L426" s="457">
        <v>246</v>
      </c>
      <c r="M426" s="673">
        <v>1269</v>
      </c>
      <c r="N426" s="458">
        <v>0.1</v>
      </c>
      <c r="O426" s="459">
        <v>0</v>
      </c>
      <c r="P426" s="717">
        <v>0.1</v>
      </c>
      <c r="Q426" s="469">
        <f t="shared" si="591"/>
        <v>0</v>
      </c>
      <c r="R426" s="469">
        <v>0</v>
      </c>
      <c r="S426" s="460">
        <v>0</v>
      </c>
      <c r="T426" s="460">
        <v>0</v>
      </c>
      <c r="U426" s="460">
        <v>0</v>
      </c>
      <c r="V426" s="460">
        <f t="shared" si="638"/>
        <v>0</v>
      </c>
      <c r="W426" s="460">
        <v>0</v>
      </c>
      <c r="X426" s="460">
        <v>0</v>
      </c>
      <c r="Y426" s="460">
        <v>0</v>
      </c>
      <c r="Z426" s="460">
        <f t="shared" si="639"/>
        <v>0</v>
      </c>
      <c r="AA426" s="460">
        <f t="shared" si="640"/>
        <v>0</v>
      </c>
      <c r="AB426" s="69">
        <f t="shared" si="641"/>
        <v>0</v>
      </c>
      <c r="AC426" s="69">
        <f t="shared" si="642"/>
        <v>0</v>
      </c>
      <c r="AD426" s="460">
        <v>0</v>
      </c>
      <c r="AE426" s="460">
        <v>0</v>
      </c>
      <c r="AF426" s="460">
        <f t="shared" si="643"/>
        <v>0</v>
      </c>
      <c r="AG426" s="460">
        <f t="shared" si="644"/>
        <v>0</v>
      </c>
      <c r="AH426" s="461">
        <v>0</v>
      </c>
      <c r="AI426" s="461">
        <v>0</v>
      </c>
      <c r="AJ426" s="461">
        <v>0</v>
      </c>
      <c r="AK426" s="461">
        <v>0</v>
      </c>
      <c r="AL426" s="461">
        <v>0</v>
      </c>
      <c r="AM426" s="461">
        <v>0</v>
      </c>
      <c r="AN426" s="461">
        <v>0</v>
      </c>
      <c r="AO426" s="461">
        <v>0</v>
      </c>
      <c r="AP426" s="461">
        <f t="shared" si="592"/>
        <v>0</v>
      </c>
      <c r="AQ426" s="461">
        <f t="shared" si="593"/>
        <v>0</v>
      </c>
      <c r="AR426" s="737">
        <f t="shared" si="594"/>
        <v>0</v>
      </c>
      <c r="AS426" s="470">
        <f t="shared" si="595"/>
        <v>34451</v>
      </c>
      <c r="AT426" s="460">
        <f t="shared" si="596"/>
        <v>24616</v>
      </c>
      <c r="AU426" s="460">
        <f t="shared" si="597"/>
        <v>0</v>
      </c>
      <c r="AV426" s="460">
        <f t="shared" si="598"/>
        <v>8320</v>
      </c>
      <c r="AW426" s="460">
        <f t="shared" si="599"/>
        <v>246</v>
      </c>
      <c r="AX426" s="460">
        <f t="shared" si="600"/>
        <v>1269</v>
      </c>
      <c r="AY426" s="461">
        <f t="shared" si="601"/>
        <v>0.1</v>
      </c>
      <c r="AZ426" s="461">
        <f t="shared" si="602"/>
        <v>0</v>
      </c>
      <c r="BA426" s="463">
        <f t="shared" si="603"/>
        <v>0.1</v>
      </c>
    </row>
    <row r="427" spans="1:53" ht="14.1" customHeight="1" x14ac:dyDescent="0.2">
      <c r="A427" s="73">
        <v>83</v>
      </c>
      <c r="B427" s="70">
        <v>2445</v>
      </c>
      <c r="C427" s="71">
        <v>600080030</v>
      </c>
      <c r="D427" s="70">
        <v>70695997</v>
      </c>
      <c r="E427" s="72" t="s">
        <v>717</v>
      </c>
      <c r="F427" s="73"/>
      <c r="G427" s="72"/>
      <c r="H427" s="74"/>
      <c r="I427" s="701">
        <f t="shared" ref="I427:P427" si="645">SUM(I421:I426)</f>
        <v>10320036</v>
      </c>
      <c r="J427" s="75">
        <f t="shared" si="645"/>
        <v>7584238</v>
      </c>
      <c r="K427" s="75">
        <f t="shared" si="645"/>
        <v>2563472</v>
      </c>
      <c r="L427" s="75">
        <f t="shared" si="645"/>
        <v>75842</v>
      </c>
      <c r="M427" s="75">
        <f t="shared" si="645"/>
        <v>96484</v>
      </c>
      <c r="N427" s="76">
        <f t="shared" si="645"/>
        <v>16.020000000000003</v>
      </c>
      <c r="O427" s="76">
        <f t="shared" si="645"/>
        <v>11.0067</v>
      </c>
      <c r="P427" s="77">
        <f t="shared" si="645"/>
        <v>5.0133000000000001</v>
      </c>
      <c r="Q427" s="724">
        <f t="shared" ref="Q427:BA427" si="646">SUM(Q421:Q426)</f>
        <v>-16250</v>
      </c>
      <c r="R427" s="724">
        <f t="shared" si="646"/>
        <v>1447504</v>
      </c>
      <c r="S427" s="75">
        <f t="shared" si="646"/>
        <v>0</v>
      </c>
      <c r="T427" s="75">
        <f t="shared" si="646"/>
        <v>0</v>
      </c>
      <c r="U427" s="75">
        <f t="shared" si="646"/>
        <v>0</v>
      </c>
      <c r="V427" s="75">
        <f t="shared" si="646"/>
        <v>1431254</v>
      </c>
      <c r="W427" s="75">
        <f t="shared" si="646"/>
        <v>16250</v>
      </c>
      <c r="X427" s="75">
        <f t="shared" si="646"/>
        <v>0</v>
      </c>
      <c r="Y427" s="75">
        <f t="shared" si="646"/>
        <v>0</v>
      </c>
      <c r="Z427" s="75">
        <f t="shared" si="646"/>
        <v>16250</v>
      </c>
      <c r="AA427" s="75">
        <f t="shared" si="646"/>
        <v>1447504</v>
      </c>
      <c r="AB427" s="75">
        <f t="shared" si="646"/>
        <v>489256</v>
      </c>
      <c r="AC427" s="75">
        <f t="shared" si="646"/>
        <v>14312</v>
      </c>
      <c r="AD427" s="75">
        <f t="shared" si="646"/>
        <v>500</v>
      </c>
      <c r="AE427" s="75">
        <f t="shared" si="646"/>
        <v>0</v>
      </c>
      <c r="AF427" s="75">
        <f t="shared" si="646"/>
        <v>500</v>
      </c>
      <c r="AG427" s="75">
        <f t="shared" si="646"/>
        <v>1951572</v>
      </c>
      <c r="AH427" s="76">
        <f t="shared" si="646"/>
        <v>-0.02</v>
      </c>
      <c r="AI427" s="76">
        <f t="shared" si="646"/>
        <v>0</v>
      </c>
      <c r="AJ427" s="76">
        <f t="shared" si="646"/>
        <v>4.1399999999999997</v>
      </c>
      <c r="AK427" s="76">
        <f t="shared" si="646"/>
        <v>0</v>
      </c>
      <c r="AL427" s="76">
        <f t="shared" si="646"/>
        <v>0</v>
      </c>
      <c r="AM427" s="76">
        <f t="shared" si="646"/>
        <v>0</v>
      </c>
      <c r="AN427" s="76">
        <f t="shared" si="646"/>
        <v>0</v>
      </c>
      <c r="AO427" s="76">
        <f t="shared" si="646"/>
        <v>0</v>
      </c>
      <c r="AP427" s="76">
        <f t="shared" si="646"/>
        <v>4.12</v>
      </c>
      <c r="AQ427" s="76">
        <f t="shared" si="646"/>
        <v>0</v>
      </c>
      <c r="AR427" s="720">
        <f t="shared" si="646"/>
        <v>4.12</v>
      </c>
      <c r="AS427" s="701">
        <f t="shared" si="646"/>
        <v>12271608</v>
      </c>
      <c r="AT427" s="75">
        <f t="shared" si="646"/>
        <v>9015492</v>
      </c>
      <c r="AU427" s="75">
        <f t="shared" si="646"/>
        <v>16250</v>
      </c>
      <c r="AV427" s="75">
        <f t="shared" si="646"/>
        <v>3052728</v>
      </c>
      <c r="AW427" s="75">
        <f t="shared" si="646"/>
        <v>90154</v>
      </c>
      <c r="AX427" s="75">
        <f t="shared" si="646"/>
        <v>96984</v>
      </c>
      <c r="AY427" s="76">
        <f t="shared" si="646"/>
        <v>20.140000000000004</v>
      </c>
      <c r="AZ427" s="76">
        <f t="shared" si="646"/>
        <v>15.1267</v>
      </c>
      <c r="BA427" s="77">
        <f t="shared" si="646"/>
        <v>5.0133000000000001</v>
      </c>
    </row>
    <row r="428" spans="1:53" ht="14.1" customHeight="1" x14ac:dyDescent="0.2">
      <c r="A428" s="67">
        <v>84</v>
      </c>
      <c r="B428" s="64">
        <v>2495</v>
      </c>
      <c r="C428" s="65">
        <v>600080196</v>
      </c>
      <c r="D428" s="64">
        <v>70983810</v>
      </c>
      <c r="E428" s="66" t="s">
        <v>718</v>
      </c>
      <c r="F428" s="67">
        <v>3111</v>
      </c>
      <c r="G428" s="66" t="s">
        <v>307</v>
      </c>
      <c r="H428" s="68" t="s">
        <v>277</v>
      </c>
      <c r="I428" s="462">
        <v>4564667</v>
      </c>
      <c r="J428" s="16">
        <v>3367557</v>
      </c>
      <c r="K428" s="457">
        <v>1138234</v>
      </c>
      <c r="L428" s="457">
        <v>33676</v>
      </c>
      <c r="M428" s="16">
        <v>25200</v>
      </c>
      <c r="N428" s="13">
        <v>7.0326000000000004</v>
      </c>
      <c r="O428" s="13">
        <v>5.8326000000000002</v>
      </c>
      <c r="P428" s="17">
        <v>1.2</v>
      </c>
      <c r="Q428" s="469">
        <f t="shared" si="591"/>
        <v>-6500</v>
      </c>
      <c r="R428" s="469">
        <v>0</v>
      </c>
      <c r="S428" s="460">
        <v>0</v>
      </c>
      <c r="T428" s="460">
        <v>0</v>
      </c>
      <c r="U428" s="460">
        <v>0</v>
      </c>
      <c r="V428" s="460">
        <f t="shared" ref="V428:V433" si="647">SUM(Q428:U428)</f>
        <v>-6500</v>
      </c>
      <c r="W428" s="460">
        <v>6500</v>
      </c>
      <c r="X428" s="460">
        <v>0</v>
      </c>
      <c r="Y428" s="460">
        <v>0</v>
      </c>
      <c r="Z428" s="460">
        <f t="shared" ref="Z428:Z433" si="648">SUM(W428:Y428)</f>
        <v>6500</v>
      </c>
      <c r="AA428" s="460">
        <f t="shared" ref="AA428:AA433" si="649">V428+Z428</f>
        <v>0</v>
      </c>
      <c r="AB428" s="69">
        <f t="shared" ref="AB428:AB433" si="650">ROUND((V428+W428+X428)*33.8%,0)</f>
        <v>0</v>
      </c>
      <c r="AC428" s="69">
        <f t="shared" ref="AC428:AC433" si="651">ROUND(V428*1%,0)</f>
        <v>-65</v>
      </c>
      <c r="AD428" s="460">
        <v>0</v>
      </c>
      <c r="AE428" s="460">
        <v>0</v>
      </c>
      <c r="AF428" s="460">
        <f t="shared" ref="AF428:AF433" si="652">SUM(AD428:AE428)</f>
        <v>0</v>
      </c>
      <c r="AG428" s="460">
        <f t="shared" ref="AG428:AG433" si="653">AA428+AB428+AC428+AF428</f>
        <v>-65</v>
      </c>
      <c r="AH428" s="461">
        <v>-0.01</v>
      </c>
      <c r="AI428" s="461">
        <v>0</v>
      </c>
      <c r="AJ428" s="461">
        <v>0</v>
      </c>
      <c r="AK428" s="461">
        <v>0</v>
      </c>
      <c r="AL428" s="461">
        <v>0</v>
      </c>
      <c r="AM428" s="461">
        <v>0</v>
      </c>
      <c r="AN428" s="461">
        <v>0</v>
      </c>
      <c r="AO428" s="461">
        <v>0</v>
      </c>
      <c r="AP428" s="461">
        <f t="shared" si="592"/>
        <v>-0.01</v>
      </c>
      <c r="AQ428" s="461">
        <f t="shared" si="593"/>
        <v>0</v>
      </c>
      <c r="AR428" s="737">
        <f t="shared" si="594"/>
        <v>-0.01</v>
      </c>
      <c r="AS428" s="470">
        <f t="shared" si="595"/>
        <v>4564602</v>
      </c>
      <c r="AT428" s="460">
        <f t="shared" si="596"/>
        <v>3361057</v>
      </c>
      <c r="AU428" s="460">
        <f t="shared" si="597"/>
        <v>6500</v>
      </c>
      <c r="AV428" s="460">
        <f t="shared" si="598"/>
        <v>1138234</v>
      </c>
      <c r="AW428" s="460">
        <f t="shared" si="599"/>
        <v>33611</v>
      </c>
      <c r="AX428" s="460">
        <f t="shared" si="600"/>
        <v>25200</v>
      </c>
      <c r="AY428" s="461">
        <f t="shared" si="601"/>
        <v>7.0226000000000006</v>
      </c>
      <c r="AZ428" s="461">
        <f t="shared" si="602"/>
        <v>5.8226000000000004</v>
      </c>
      <c r="BA428" s="463">
        <f t="shared" si="603"/>
        <v>1.2</v>
      </c>
    </row>
    <row r="429" spans="1:53" ht="14.1" customHeight="1" x14ac:dyDescent="0.2">
      <c r="A429" s="67">
        <v>84</v>
      </c>
      <c r="B429" s="64">
        <v>2495</v>
      </c>
      <c r="C429" s="65">
        <v>600080196</v>
      </c>
      <c r="D429" s="64">
        <v>70983810</v>
      </c>
      <c r="E429" s="66" t="s">
        <v>718</v>
      </c>
      <c r="F429" s="67">
        <v>3113</v>
      </c>
      <c r="G429" s="66" t="s">
        <v>310</v>
      </c>
      <c r="H429" s="68" t="s">
        <v>277</v>
      </c>
      <c r="I429" s="462">
        <v>15692920</v>
      </c>
      <c r="J429" s="16">
        <v>11430817</v>
      </c>
      <c r="K429" s="457">
        <v>3863616</v>
      </c>
      <c r="L429" s="457">
        <v>114307</v>
      </c>
      <c r="M429" s="16">
        <v>284180</v>
      </c>
      <c r="N429" s="13">
        <v>18.735099999999999</v>
      </c>
      <c r="O429" s="13">
        <v>14.0451</v>
      </c>
      <c r="P429" s="17">
        <v>4.6899999999999995</v>
      </c>
      <c r="Q429" s="469">
        <f t="shared" si="591"/>
        <v>0</v>
      </c>
      <c r="R429" s="469">
        <v>0</v>
      </c>
      <c r="S429" s="460">
        <v>0</v>
      </c>
      <c r="T429" s="460">
        <v>0</v>
      </c>
      <c r="U429" s="460">
        <v>0</v>
      </c>
      <c r="V429" s="460">
        <f t="shared" si="647"/>
        <v>0</v>
      </c>
      <c r="W429" s="460">
        <v>0</v>
      </c>
      <c r="X429" s="460">
        <v>0</v>
      </c>
      <c r="Y429" s="460">
        <v>0</v>
      </c>
      <c r="Z429" s="460">
        <f t="shared" si="648"/>
        <v>0</v>
      </c>
      <c r="AA429" s="460">
        <f t="shared" si="649"/>
        <v>0</v>
      </c>
      <c r="AB429" s="69">
        <f t="shared" si="650"/>
        <v>0</v>
      </c>
      <c r="AC429" s="69">
        <f t="shared" si="651"/>
        <v>0</v>
      </c>
      <c r="AD429" s="460">
        <v>0</v>
      </c>
      <c r="AE429" s="460">
        <v>0</v>
      </c>
      <c r="AF429" s="460">
        <f t="shared" si="652"/>
        <v>0</v>
      </c>
      <c r="AG429" s="460">
        <f t="shared" si="653"/>
        <v>0</v>
      </c>
      <c r="AH429" s="461">
        <v>0</v>
      </c>
      <c r="AI429" s="461">
        <v>0</v>
      </c>
      <c r="AJ429" s="461">
        <v>0</v>
      </c>
      <c r="AK429" s="461">
        <v>0</v>
      </c>
      <c r="AL429" s="461">
        <v>0</v>
      </c>
      <c r="AM429" s="461">
        <v>0</v>
      </c>
      <c r="AN429" s="461">
        <v>0</v>
      </c>
      <c r="AO429" s="461">
        <v>0</v>
      </c>
      <c r="AP429" s="461">
        <f t="shared" si="592"/>
        <v>0</v>
      </c>
      <c r="AQ429" s="461">
        <f t="shared" si="593"/>
        <v>0</v>
      </c>
      <c r="AR429" s="737">
        <f t="shared" si="594"/>
        <v>0</v>
      </c>
      <c r="AS429" s="470">
        <f t="shared" si="595"/>
        <v>15692920</v>
      </c>
      <c r="AT429" s="460">
        <f t="shared" si="596"/>
        <v>11430817</v>
      </c>
      <c r="AU429" s="460">
        <f t="shared" si="597"/>
        <v>0</v>
      </c>
      <c r="AV429" s="460">
        <f t="shared" si="598"/>
        <v>3863616</v>
      </c>
      <c r="AW429" s="460">
        <f t="shared" si="599"/>
        <v>114307</v>
      </c>
      <c r="AX429" s="460">
        <f t="shared" si="600"/>
        <v>284180</v>
      </c>
      <c r="AY429" s="461">
        <f t="shared" si="601"/>
        <v>18.735099999999999</v>
      </c>
      <c r="AZ429" s="461">
        <f t="shared" si="602"/>
        <v>14.0451</v>
      </c>
      <c r="BA429" s="463">
        <f t="shared" si="603"/>
        <v>4.6899999999999995</v>
      </c>
    </row>
    <row r="430" spans="1:53" ht="14.1" customHeight="1" x14ac:dyDescent="0.2">
      <c r="A430" s="67">
        <v>84</v>
      </c>
      <c r="B430" s="64">
        <v>2495</v>
      </c>
      <c r="C430" s="65">
        <v>600080196</v>
      </c>
      <c r="D430" s="64">
        <v>70983810</v>
      </c>
      <c r="E430" s="66" t="s">
        <v>718</v>
      </c>
      <c r="F430" s="67">
        <v>3113</v>
      </c>
      <c r="G430" s="78" t="s">
        <v>308</v>
      </c>
      <c r="H430" s="68" t="s">
        <v>278</v>
      </c>
      <c r="I430" s="462">
        <v>0</v>
      </c>
      <c r="J430" s="457">
        <v>0</v>
      </c>
      <c r="K430" s="457">
        <v>0</v>
      </c>
      <c r="L430" s="457">
        <v>0</v>
      </c>
      <c r="M430" s="457">
        <v>0</v>
      </c>
      <c r="N430" s="458">
        <v>0</v>
      </c>
      <c r="O430" s="459">
        <v>0</v>
      </c>
      <c r="P430" s="646">
        <v>0</v>
      </c>
      <c r="Q430" s="469">
        <f t="shared" si="591"/>
        <v>0</v>
      </c>
      <c r="R430" s="469">
        <v>2340959</v>
      </c>
      <c r="S430" s="460">
        <v>0</v>
      </c>
      <c r="T430" s="460">
        <v>0</v>
      </c>
      <c r="U430" s="460">
        <v>0</v>
      </c>
      <c r="V430" s="460">
        <f t="shared" si="647"/>
        <v>2340959</v>
      </c>
      <c r="W430" s="460">
        <v>0</v>
      </c>
      <c r="X430" s="460">
        <v>0</v>
      </c>
      <c r="Y430" s="460">
        <v>0</v>
      </c>
      <c r="Z430" s="460">
        <f t="shared" si="648"/>
        <v>0</v>
      </c>
      <c r="AA430" s="460">
        <f t="shared" si="649"/>
        <v>2340959</v>
      </c>
      <c r="AB430" s="69">
        <f t="shared" si="650"/>
        <v>791244</v>
      </c>
      <c r="AC430" s="69">
        <f t="shared" si="651"/>
        <v>23410</v>
      </c>
      <c r="AD430" s="460">
        <v>0</v>
      </c>
      <c r="AE430" s="460">
        <v>0</v>
      </c>
      <c r="AF430" s="460">
        <f t="shared" si="652"/>
        <v>0</v>
      </c>
      <c r="AG430" s="460">
        <f t="shared" si="653"/>
        <v>3155613</v>
      </c>
      <c r="AH430" s="461">
        <v>0</v>
      </c>
      <c r="AI430" s="461">
        <v>0</v>
      </c>
      <c r="AJ430" s="461">
        <v>6.54</v>
      </c>
      <c r="AK430" s="461">
        <v>0</v>
      </c>
      <c r="AL430" s="461">
        <v>0</v>
      </c>
      <c r="AM430" s="461">
        <v>0</v>
      </c>
      <c r="AN430" s="461">
        <v>0</v>
      </c>
      <c r="AO430" s="461">
        <v>0</v>
      </c>
      <c r="AP430" s="461">
        <f t="shared" si="592"/>
        <v>6.54</v>
      </c>
      <c r="AQ430" s="461">
        <f t="shared" si="593"/>
        <v>0</v>
      </c>
      <c r="AR430" s="737">
        <f t="shared" si="594"/>
        <v>6.54</v>
      </c>
      <c r="AS430" s="470">
        <f t="shared" si="595"/>
        <v>3155613</v>
      </c>
      <c r="AT430" s="460">
        <f t="shared" si="596"/>
        <v>2340959</v>
      </c>
      <c r="AU430" s="460">
        <f t="shared" si="597"/>
        <v>0</v>
      </c>
      <c r="AV430" s="460">
        <f t="shared" si="598"/>
        <v>791244</v>
      </c>
      <c r="AW430" s="460">
        <f t="shared" si="599"/>
        <v>23410</v>
      </c>
      <c r="AX430" s="460">
        <f t="shared" si="600"/>
        <v>0</v>
      </c>
      <c r="AY430" s="461">
        <f t="shared" si="601"/>
        <v>6.54</v>
      </c>
      <c r="AZ430" s="461">
        <f t="shared" si="602"/>
        <v>6.54</v>
      </c>
      <c r="BA430" s="463">
        <f t="shared" si="603"/>
        <v>0</v>
      </c>
    </row>
    <row r="431" spans="1:53" ht="14.1" customHeight="1" x14ac:dyDescent="0.2">
      <c r="A431" s="67">
        <v>84</v>
      </c>
      <c r="B431" s="64">
        <v>2495</v>
      </c>
      <c r="C431" s="65">
        <v>600080196</v>
      </c>
      <c r="D431" s="64">
        <v>70983810</v>
      </c>
      <c r="E431" s="66" t="s">
        <v>718</v>
      </c>
      <c r="F431" s="67">
        <v>3141</v>
      </c>
      <c r="G431" s="66" t="s">
        <v>311</v>
      </c>
      <c r="H431" s="68" t="s">
        <v>278</v>
      </c>
      <c r="I431" s="462">
        <v>2344681</v>
      </c>
      <c r="J431" s="457">
        <v>1728980</v>
      </c>
      <c r="K431" s="457">
        <v>584395</v>
      </c>
      <c r="L431" s="457">
        <v>17290</v>
      </c>
      <c r="M431" s="457">
        <v>14016</v>
      </c>
      <c r="N431" s="458">
        <v>5.56</v>
      </c>
      <c r="O431" s="459">
        <v>0</v>
      </c>
      <c r="P431" s="646">
        <v>5.56</v>
      </c>
      <c r="Q431" s="469">
        <f t="shared" si="591"/>
        <v>0</v>
      </c>
      <c r="R431" s="469">
        <v>0</v>
      </c>
      <c r="S431" s="460">
        <v>0</v>
      </c>
      <c r="T431" s="460">
        <v>0</v>
      </c>
      <c r="U431" s="460">
        <v>0</v>
      </c>
      <c r="V431" s="460">
        <f t="shared" si="647"/>
        <v>0</v>
      </c>
      <c r="W431" s="460">
        <v>0</v>
      </c>
      <c r="X431" s="460">
        <v>0</v>
      </c>
      <c r="Y431" s="460">
        <v>0</v>
      </c>
      <c r="Z431" s="460">
        <f t="shared" si="648"/>
        <v>0</v>
      </c>
      <c r="AA431" s="460">
        <f t="shared" si="649"/>
        <v>0</v>
      </c>
      <c r="AB431" s="69">
        <f t="shared" si="650"/>
        <v>0</v>
      </c>
      <c r="AC431" s="69">
        <f t="shared" si="651"/>
        <v>0</v>
      </c>
      <c r="AD431" s="460">
        <v>0</v>
      </c>
      <c r="AE431" s="460">
        <v>0</v>
      </c>
      <c r="AF431" s="460">
        <f t="shared" si="652"/>
        <v>0</v>
      </c>
      <c r="AG431" s="460">
        <f t="shared" si="653"/>
        <v>0</v>
      </c>
      <c r="AH431" s="461">
        <v>0</v>
      </c>
      <c r="AI431" s="461">
        <v>0</v>
      </c>
      <c r="AJ431" s="461">
        <v>0</v>
      </c>
      <c r="AK431" s="461">
        <v>0</v>
      </c>
      <c r="AL431" s="461">
        <v>0</v>
      </c>
      <c r="AM431" s="461">
        <v>0</v>
      </c>
      <c r="AN431" s="461">
        <v>0</v>
      </c>
      <c r="AO431" s="461">
        <v>0</v>
      </c>
      <c r="AP431" s="461">
        <f t="shared" si="592"/>
        <v>0</v>
      </c>
      <c r="AQ431" s="461">
        <f t="shared" si="593"/>
        <v>0</v>
      </c>
      <c r="AR431" s="737">
        <f t="shared" si="594"/>
        <v>0</v>
      </c>
      <c r="AS431" s="470">
        <f t="shared" si="595"/>
        <v>2344681</v>
      </c>
      <c r="AT431" s="460">
        <f t="shared" si="596"/>
        <v>1728980</v>
      </c>
      <c r="AU431" s="460">
        <f t="shared" si="597"/>
        <v>0</v>
      </c>
      <c r="AV431" s="460">
        <f t="shared" si="598"/>
        <v>584395</v>
      </c>
      <c r="AW431" s="460">
        <f t="shared" si="599"/>
        <v>17290</v>
      </c>
      <c r="AX431" s="460">
        <f t="shared" si="600"/>
        <v>14016</v>
      </c>
      <c r="AY431" s="461">
        <f t="shared" si="601"/>
        <v>5.56</v>
      </c>
      <c r="AZ431" s="461">
        <f t="shared" si="602"/>
        <v>0</v>
      </c>
      <c r="BA431" s="463">
        <f t="shared" si="603"/>
        <v>5.56</v>
      </c>
    </row>
    <row r="432" spans="1:53" ht="14.1" customHeight="1" x14ac:dyDescent="0.2">
      <c r="A432" s="67">
        <v>84</v>
      </c>
      <c r="B432" s="64">
        <v>2495</v>
      </c>
      <c r="C432" s="65">
        <v>600080196</v>
      </c>
      <c r="D432" s="64">
        <v>70983810</v>
      </c>
      <c r="E432" s="66" t="s">
        <v>718</v>
      </c>
      <c r="F432" s="67">
        <v>3143</v>
      </c>
      <c r="G432" s="78" t="s">
        <v>616</v>
      </c>
      <c r="H432" s="68" t="s">
        <v>277</v>
      </c>
      <c r="I432" s="462">
        <v>2061180</v>
      </c>
      <c r="J432" s="16">
        <v>1529065</v>
      </c>
      <c r="K432" s="457">
        <v>516824</v>
      </c>
      <c r="L432" s="457">
        <v>15291</v>
      </c>
      <c r="M432" s="16">
        <v>0</v>
      </c>
      <c r="N432" s="458">
        <v>2.9630000000000001</v>
      </c>
      <c r="O432" s="13">
        <v>2.9630000000000001</v>
      </c>
      <c r="P432" s="17">
        <v>0</v>
      </c>
      <c r="Q432" s="469">
        <f t="shared" si="591"/>
        <v>0</v>
      </c>
      <c r="R432" s="469">
        <v>0</v>
      </c>
      <c r="S432" s="460">
        <v>0</v>
      </c>
      <c r="T432" s="460">
        <v>0</v>
      </c>
      <c r="U432" s="460">
        <v>0</v>
      </c>
      <c r="V432" s="460">
        <f t="shared" si="647"/>
        <v>0</v>
      </c>
      <c r="W432" s="460">
        <v>0</v>
      </c>
      <c r="X432" s="460">
        <v>0</v>
      </c>
      <c r="Y432" s="460">
        <v>0</v>
      </c>
      <c r="Z432" s="460">
        <f t="shared" si="648"/>
        <v>0</v>
      </c>
      <c r="AA432" s="460">
        <f t="shared" si="649"/>
        <v>0</v>
      </c>
      <c r="AB432" s="69">
        <f t="shared" si="650"/>
        <v>0</v>
      </c>
      <c r="AC432" s="69">
        <f t="shared" si="651"/>
        <v>0</v>
      </c>
      <c r="AD432" s="460">
        <v>0</v>
      </c>
      <c r="AE432" s="460">
        <v>0</v>
      </c>
      <c r="AF432" s="460">
        <f t="shared" si="652"/>
        <v>0</v>
      </c>
      <c r="AG432" s="460">
        <f t="shared" si="653"/>
        <v>0</v>
      </c>
      <c r="AH432" s="461">
        <v>0</v>
      </c>
      <c r="AI432" s="461">
        <v>0</v>
      </c>
      <c r="AJ432" s="461">
        <v>0</v>
      </c>
      <c r="AK432" s="461">
        <v>0</v>
      </c>
      <c r="AL432" s="461">
        <v>0</v>
      </c>
      <c r="AM432" s="461">
        <v>0</v>
      </c>
      <c r="AN432" s="461">
        <v>0</v>
      </c>
      <c r="AO432" s="461">
        <v>0</v>
      </c>
      <c r="AP432" s="461">
        <f t="shared" si="592"/>
        <v>0</v>
      </c>
      <c r="AQ432" s="461">
        <f t="shared" si="593"/>
        <v>0</v>
      </c>
      <c r="AR432" s="737">
        <f t="shared" si="594"/>
        <v>0</v>
      </c>
      <c r="AS432" s="470">
        <f t="shared" si="595"/>
        <v>2061180</v>
      </c>
      <c r="AT432" s="460">
        <f t="shared" si="596"/>
        <v>1529065</v>
      </c>
      <c r="AU432" s="460">
        <f t="shared" si="597"/>
        <v>0</v>
      </c>
      <c r="AV432" s="460">
        <f t="shared" si="598"/>
        <v>516824</v>
      </c>
      <c r="AW432" s="460">
        <f t="shared" si="599"/>
        <v>15291</v>
      </c>
      <c r="AX432" s="460">
        <f t="shared" si="600"/>
        <v>0</v>
      </c>
      <c r="AY432" s="461">
        <f t="shared" si="601"/>
        <v>2.9630000000000001</v>
      </c>
      <c r="AZ432" s="461">
        <f t="shared" si="602"/>
        <v>2.9630000000000001</v>
      </c>
      <c r="BA432" s="463">
        <f t="shared" si="603"/>
        <v>0</v>
      </c>
    </row>
    <row r="433" spans="1:53" ht="14.1" customHeight="1" x14ac:dyDescent="0.2">
      <c r="A433" s="67">
        <v>84</v>
      </c>
      <c r="B433" s="64">
        <v>2495</v>
      </c>
      <c r="C433" s="65">
        <v>600080196</v>
      </c>
      <c r="D433" s="64">
        <v>70983810</v>
      </c>
      <c r="E433" s="66" t="s">
        <v>718</v>
      </c>
      <c r="F433" s="67">
        <v>3143</v>
      </c>
      <c r="G433" s="78" t="s">
        <v>617</v>
      </c>
      <c r="H433" s="68" t="s">
        <v>278</v>
      </c>
      <c r="I433" s="462">
        <v>73300</v>
      </c>
      <c r="J433" s="673">
        <v>52374</v>
      </c>
      <c r="K433" s="457">
        <v>17702</v>
      </c>
      <c r="L433" s="457">
        <v>524</v>
      </c>
      <c r="M433" s="673">
        <v>2700</v>
      </c>
      <c r="N433" s="458">
        <v>0.21</v>
      </c>
      <c r="O433" s="459">
        <v>0</v>
      </c>
      <c r="P433" s="717">
        <v>0.21</v>
      </c>
      <c r="Q433" s="469">
        <f t="shared" si="591"/>
        <v>0</v>
      </c>
      <c r="R433" s="469">
        <v>0</v>
      </c>
      <c r="S433" s="460">
        <v>0</v>
      </c>
      <c r="T433" s="460">
        <v>0</v>
      </c>
      <c r="U433" s="460">
        <v>0</v>
      </c>
      <c r="V433" s="460">
        <f t="shared" si="647"/>
        <v>0</v>
      </c>
      <c r="W433" s="460">
        <v>0</v>
      </c>
      <c r="X433" s="460">
        <v>0</v>
      </c>
      <c r="Y433" s="460">
        <v>0</v>
      </c>
      <c r="Z433" s="460">
        <f t="shared" si="648"/>
        <v>0</v>
      </c>
      <c r="AA433" s="460">
        <f t="shared" si="649"/>
        <v>0</v>
      </c>
      <c r="AB433" s="69">
        <f t="shared" si="650"/>
        <v>0</v>
      </c>
      <c r="AC433" s="69">
        <f t="shared" si="651"/>
        <v>0</v>
      </c>
      <c r="AD433" s="460">
        <v>0</v>
      </c>
      <c r="AE433" s="460">
        <v>0</v>
      </c>
      <c r="AF433" s="460">
        <f t="shared" si="652"/>
        <v>0</v>
      </c>
      <c r="AG433" s="460">
        <f t="shared" si="653"/>
        <v>0</v>
      </c>
      <c r="AH433" s="461">
        <v>0</v>
      </c>
      <c r="AI433" s="461">
        <v>0</v>
      </c>
      <c r="AJ433" s="461">
        <v>0</v>
      </c>
      <c r="AK433" s="461">
        <v>0</v>
      </c>
      <c r="AL433" s="461">
        <v>0</v>
      </c>
      <c r="AM433" s="461">
        <v>0</v>
      </c>
      <c r="AN433" s="461">
        <v>0</v>
      </c>
      <c r="AO433" s="461">
        <v>0</v>
      </c>
      <c r="AP433" s="461">
        <f t="shared" si="592"/>
        <v>0</v>
      </c>
      <c r="AQ433" s="461">
        <f t="shared" si="593"/>
        <v>0</v>
      </c>
      <c r="AR433" s="737">
        <f t="shared" si="594"/>
        <v>0</v>
      </c>
      <c r="AS433" s="470">
        <f t="shared" si="595"/>
        <v>73300</v>
      </c>
      <c r="AT433" s="460">
        <f t="shared" si="596"/>
        <v>52374</v>
      </c>
      <c r="AU433" s="460">
        <f t="shared" si="597"/>
        <v>0</v>
      </c>
      <c r="AV433" s="460">
        <f t="shared" si="598"/>
        <v>17702</v>
      </c>
      <c r="AW433" s="460">
        <f t="shared" si="599"/>
        <v>524</v>
      </c>
      <c r="AX433" s="460">
        <f t="shared" si="600"/>
        <v>2700</v>
      </c>
      <c r="AY433" s="461">
        <f t="shared" si="601"/>
        <v>0.21</v>
      </c>
      <c r="AZ433" s="461">
        <f t="shared" si="602"/>
        <v>0</v>
      </c>
      <c r="BA433" s="463">
        <f t="shared" si="603"/>
        <v>0.21</v>
      </c>
    </row>
    <row r="434" spans="1:53" ht="14.1" customHeight="1" x14ac:dyDescent="0.2">
      <c r="A434" s="73">
        <v>84</v>
      </c>
      <c r="B434" s="70">
        <v>2495</v>
      </c>
      <c r="C434" s="71">
        <v>600080196</v>
      </c>
      <c r="D434" s="70">
        <v>70983810</v>
      </c>
      <c r="E434" s="72" t="s">
        <v>719</v>
      </c>
      <c r="F434" s="73"/>
      <c r="G434" s="72"/>
      <c r="H434" s="74"/>
      <c r="I434" s="701">
        <f t="shared" ref="I434:P434" si="654">SUM(I428:I433)</f>
        <v>24736748</v>
      </c>
      <c r="J434" s="75">
        <f t="shared" si="654"/>
        <v>18108793</v>
      </c>
      <c r="K434" s="75">
        <f t="shared" si="654"/>
        <v>6120771</v>
      </c>
      <c r="L434" s="75">
        <f t="shared" si="654"/>
        <v>181088</v>
      </c>
      <c r="M434" s="75">
        <f t="shared" si="654"/>
        <v>326096</v>
      </c>
      <c r="N434" s="76">
        <f t="shared" si="654"/>
        <v>34.500699999999995</v>
      </c>
      <c r="O434" s="76">
        <f t="shared" si="654"/>
        <v>22.840700000000002</v>
      </c>
      <c r="P434" s="77">
        <f t="shared" si="654"/>
        <v>11.66</v>
      </c>
      <c r="Q434" s="724">
        <f t="shared" ref="Q434:BA434" si="655">SUM(Q428:Q433)</f>
        <v>-6500</v>
      </c>
      <c r="R434" s="724">
        <f t="shared" si="655"/>
        <v>2340959</v>
      </c>
      <c r="S434" s="75">
        <f t="shared" si="655"/>
        <v>0</v>
      </c>
      <c r="T434" s="75">
        <f t="shared" si="655"/>
        <v>0</v>
      </c>
      <c r="U434" s="75">
        <f t="shared" si="655"/>
        <v>0</v>
      </c>
      <c r="V434" s="75">
        <f t="shared" si="655"/>
        <v>2334459</v>
      </c>
      <c r="W434" s="75">
        <f t="shared" si="655"/>
        <v>6500</v>
      </c>
      <c r="X434" s="75">
        <f t="shared" si="655"/>
        <v>0</v>
      </c>
      <c r="Y434" s="75">
        <f t="shared" si="655"/>
        <v>0</v>
      </c>
      <c r="Z434" s="75">
        <f t="shared" si="655"/>
        <v>6500</v>
      </c>
      <c r="AA434" s="75">
        <f t="shared" si="655"/>
        <v>2340959</v>
      </c>
      <c r="AB434" s="75">
        <f t="shared" si="655"/>
        <v>791244</v>
      </c>
      <c r="AC434" s="75">
        <f t="shared" si="655"/>
        <v>23345</v>
      </c>
      <c r="AD434" s="75">
        <f t="shared" si="655"/>
        <v>0</v>
      </c>
      <c r="AE434" s="75">
        <f t="shared" si="655"/>
        <v>0</v>
      </c>
      <c r="AF434" s="75">
        <f t="shared" si="655"/>
        <v>0</v>
      </c>
      <c r="AG434" s="75">
        <f t="shared" si="655"/>
        <v>3155548</v>
      </c>
      <c r="AH434" s="76">
        <f t="shared" si="655"/>
        <v>-0.01</v>
      </c>
      <c r="AI434" s="76">
        <f t="shared" si="655"/>
        <v>0</v>
      </c>
      <c r="AJ434" s="76">
        <f t="shared" si="655"/>
        <v>6.54</v>
      </c>
      <c r="AK434" s="76">
        <f t="shared" si="655"/>
        <v>0</v>
      </c>
      <c r="AL434" s="76">
        <f t="shared" si="655"/>
        <v>0</v>
      </c>
      <c r="AM434" s="76">
        <f t="shared" si="655"/>
        <v>0</v>
      </c>
      <c r="AN434" s="76">
        <f t="shared" si="655"/>
        <v>0</v>
      </c>
      <c r="AO434" s="76">
        <f t="shared" si="655"/>
        <v>0</v>
      </c>
      <c r="AP434" s="76">
        <f t="shared" si="655"/>
        <v>6.53</v>
      </c>
      <c r="AQ434" s="76">
        <f t="shared" si="655"/>
        <v>0</v>
      </c>
      <c r="AR434" s="720">
        <f t="shared" si="655"/>
        <v>6.53</v>
      </c>
      <c r="AS434" s="701">
        <f t="shared" si="655"/>
        <v>27892296</v>
      </c>
      <c r="AT434" s="75">
        <f t="shared" si="655"/>
        <v>20443252</v>
      </c>
      <c r="AU434" s="75">
        <f t="shared" si="655"/>
        <v>6500</v>
      </c>
      <c r="AV434" s="75">
        <f t="shared" si="655"/>
        <v>6912015</v>
      </c>
      <c r="AW434" s="75">
        <f t="shared" si="655"/>
        <v>204433</v>
      </c>
      <c r="AX434" s="75">
        <f t="shared" si="655"/>
        <v>326096</v>
      </c>
      <c r="AY434" s="76">
        <f t="shared" si="655"/>
        <v>41.030700000000003</v>
      </c>
      <c r="AZ434" s="76">
        <f t="shared" si="655"/>
        <v>29.370699999999999</v>
      </c>
      <c r="BA434" s="77">
        <f t="shared" si="655"/>
        <v>11.66</v>
      </c>
    </row>
    <row r="435" spans="1:53" ht="14.1" customHeight="1" x14ac:dyDescent="0.2">
      <c r="A435" s="67">
        <v>85</v>
      </c>
      <c r="B435" s="64">
        <v>2305</v>
      </c>
      <c r="C435" s="65">
        <v>650026080</v>
      </c>
      <c r="D435" s="64">
        <v>72741686</v>
      </c>
      <c r="E435" s="66" t="s">
        <v>720</v>
      </c>
      <c r="F435" s="67">
        <v>3111</v>
      </c>
      <c r="G435" s="66" t="s">
        <v>307</v>
      </c>
      <c r="H435" s="68" t="s">
        <v>277</v>
      </c>
      <c r="I435" s="462">
        <v>3099300</v>
      </c>
      <c r="J435" s="16">
        <v>2283383</v>
      </c>
      <c r="K435" s="457">
        <v>771783</v>
      </c>
      <c r="L435" s="457">
        <v>22834</v>
      </c>
      <c r="M435" s="16">
        <v>21300</v>
      </c>
      <c r="N435" s="13">
        <v>4.6710000000000003</v>
      </c>
      <c r="O435" s="13">
        <v>3.871</v>
      </c>
      <c r="P435" s="17">
        <v>0.8</v>
      </c>
      <c r="Q435" s="469">
        <f t="shared" si="591"/>
        <v>-32500</v>
      </c>
      <c r="R435" s="469">
        <v>0</v>
      </c>
      <c r="S435" s="460">
        <v>0</v>
      </c>
      <c r="T435" s="460">
        <v>0</v>
      </c>
      <c r="U435" s="460">
        <v>0</v>
      </c>
      <c r="V435" s="460">
        <f t="shared" ref="V435:V440" si="656">SUM(Q435:U435)</f>
        <v>-32500</v>
      </c>
      <c r="W435" s="460">
        <v>32500</v>
      </c>
      <c r="X435" s="460">
        <v>0</v>
      </c>
      <c r="Y435" s="460">
        <v>0</v>
      </c>
      <c r="Z435" s="460">
        <f t="shared" ref="Z435:Z440" si="657">SUM(W435:Y435)</f>
        <v>32500</v>
      </c>
      <c r="AA435" s="460">
        <f t="shared" ref="AA435:AA440" si="658">V435+Z435</f>
        <v>0</v>
      </c>
      <c r="AB435" s="69">
        <f t="shared" ref="AB435:AB440" si="659">ROUND((V435+W435+X435)*33.8%,0)</f>
        <v>0</v>
      </c>
      <c r="AC435" s="69">
        <f t="shared" ref="AC435:AC440" si="660">ROUND(V435*1%,0)</f>
        <v>-325</v>
      </c>
      <c r="AD435" s="460">
        <v>0</v>
      </c>
      <c r="AE435" s="460">
        <v>0</v>
      </c>
      <c r="AF435" s="460">
        <f t="shared" ref="AF435:AF440" si="661">SUM(AD435:AE435)</f>
        <v>0</v>
      </c>
      <c r="AG435" s="460">
        <f t="shared" ref="AG435:AG440" si="662">AA435+AB435+AC435+AF435</f>
        <v>-325</v>
      </c>
      <c r="AH435" s="461">
        <v>-0.01</v>
      </c>
      <c r="AI435" s="461">
        <v>-0.02</v>
      </c>
      <c r="AJ435" s="461">
        <v>0</v>
      </c>
      <c r="AK435" s="461">
        <v>0</v>
      </c>
      <c r="AL435" s="461">
        <v>0</v>
      </c>
      <c r="AM435" s="461">
        <v>0</v>
      </c>
      <c r="AN435" s="461">
        <v>0</v>
      </c>
      <c r="AO435" s="461">
        <v>0</v>
      </c>
      <c r="AP435" s="461">
        <f t="shared" si="592"/>
        <v>-0.01</v>
      </c>
      <c r="AQ435" s="461">
        <f t="shared" si="593"/>
        <v>-0.02</v>
      </c>
      <c r="AR435" s="737">
        <f t="shared" si="594"/>
        <v>-0.03</v>
      </c>
      <c r="AS435" s="470">
        <f t="shared" si="595"/>
        <v>3098975</v>
      </c>
      <c r="AT435" s="460">
        <f t="shared" si="596"/>
        <v>2250883</v>
      </c>
      <c r="AU435" s="460">
        <f t="shared" si="597"/>
        <v>32500</v>
      </c>
      <c r="AV435" s="460">
        <f t="shared" si="598"/>
        <v>771783</v>
      </c>
      <c r="AW435" s="460">
        <f t="shared" si="599"/>
        <v>22509</v>
      </c>
      <c r="AX435" s="460">
        <f t="shared" si="600"/>
        <v>21300</v>
      </c>
      <c r="AY435" s="461">
        <f t="shared" si="601"/>
        <v>4.641</v>
      </c>
      <c r="AZ435" s="461">
        <f t="shared" si="602"/>
        <v>3.8610000000000002</v>
      </c>
      <c r="BA435" s="463">
        <f t="shared" si="603"/>
        <v>0.78</v>
      </c>
    </row>
    <row r="436" spans="1:53" ht="14.1" customHeight="1" x14ac:dyDescent="0.2">
      <c r="A436" s="67">
        <v>85</v>
      </c>
      <c r="B436" s="64">
        <v>2305</v>
      </c>
      <c r="C436" s="65">
        <v>650026080</v>
      </c>
      <c r="D436" s="64">
        <v>72741686</v>
      </c>
      <c r="E436" s="66" t="s">
        <v>720</v>
      </c>
      <c r="F436" s="67">
        <v>3117</v>
      </c>
      <c r="G436" s="66" t="s">
        <v>310</v>
      </c>
      <c r="H436" s="68" t="s">
        <v>277</v>
      </c>
      <c r="I436" s="462">
        <v>4938594</v>
      </c>
      <c r="J436" s="16">
        <v>3606746</v>
      </c>
      <c r="K436" s="457">
        <v>1219081</v>
      </c>
      <c r="L436" s="457">
        <v>36067</v>
      </c>
      <c r="M436" s="16">
        <v>76700</v>
      </c>
      <c r="N436" s="13">
        <v>6.9472000000000005</v>
      </c>
      <c r="O436" s="13">
        <v>4.8639000000000001</v>
      </c>
      <c r="P436" s="17">
        <v>2.0833000000000004</v>
      </c>
      <c r="Q436" s="469">
        <f t="shared" si="591"/>
        <v>0</v>
      </c>
      <c r="R436" s="469">
        <v>0</v>
      </c>
      <c r="S436" s="460">
        <v>0</v>
      </c>
      <c r="T436" s="460">
        <v>0</v>
      </c>
      <c r="U436" s="460">
        <v>0</v>
      </c>
      <c r="V436" s="460">
        <f t="shared" si="656"/>
        <v>0</v>
      </c>
      <c r="W436" s="460">
        <v>0</v>
      </c>
      <c r="X436" s="460">
        <v>0</v>
      </c>
      <c r="Y436" s="460">
        <v>0</v>
      </c>
      <c r="Z436" s="460">
        <f t="shared" si="657"/>
        <v>0</v>
      </c>
      <c r="AA436" s="460">
        <f t="shared" si="658"/>
        <v>0</v>
      </c>
      <c r="AB436" s="69">
        <f t="shared" si="659"/>
        <v>0</v>
      </c>
      <c r="AC436" s="69">
        <f t="shared" si="660"/>
        <v>0</v>
      </c>
      <c r="AD436" s="460">
        <v>0</v>
      </c>
      <c r="AE436" s="460">
        <v>0</v>
      </c>
      <c r="AF436" s="460">
        <f t="shared" si="661"/>
        <v>0</v>
      </c>
      <c r="AG436" s="460">
        <f t="shared" si="662"/>
        <v>0</v>
      </c>
      <c r="AH436" s="461">
        <v>0</v>
      </c>
      <c r="AI436" s="461">
        <v>0</v>
      </c>
      <c r="AJ436" s="461">
        <v>0</v>
      </c>
      <c r="AK436" s="461">
        <v>0</v>
      </c>
      <c r="AL436" s="461">
        <v>0</v>
      </c>
      <c r="AM436" s="461">
        <v>0</v>
      </c>
      <c r="AN436" s="461">
        <v>0</v>
      </c>
      <c r="AO436" s="461">
        <v>0</v>
      </c>
      <c r="AP436" s="461">
        <f t="shared" si="592"/>
        <v>0</v>
      </c>
      <c r="AQ436" s="461">
        <f t="shared" si="593"/>
        <v>0</v>
      </c>
      <c r="AR436" s="737">
        <f t="shared" si="594"/>
        <v>0</v>
      </c>
      <c r="AS436" s="470">
        <f t="shared" si="595"/>
        <v>4938594</v>
      </c>
      <c r="AT436" s="460">
        <f t="shared" si="596"/>
        <v>3606746</v>
      </c>
      <c r="AU436" s="460">
        <f t="shared" si="597"/>
        <v>0</v>
      </c>
      <c r="AV436" s="460">
        <f t="shared" si="598"/>
        <v>1219081</v>
      </c>
      <c r="AW436" s="460">
        <f t="shared" si="599"/>
        <v>36067</v>
      </c>
      <c r="AX436" s="460">
        <f t="shared" si="600"/>
        <v>76700</v>
      </c>
      <c r="AY436" s="461">
        <f t="shared" si="601"/>
        <v>6.9472000000000005</v>
      </c>
      <c r="AZ436" s="461">
        <f t="shared" si="602"/>
        <v>4.8639000000000001</v>
      </c>
      <c r="BA436" s="463">
        <f t="shared" si="603"/>
        <v>2.0833000000000004</v>
      </c>
    </row>
    <row r="437" spans="1:53" ht="14.1" customHeight="1" x14ac:dyDescent="0.2">
      <c r="A437" s="67">
        <v>85</v>
      </c>
      <c r="B437" s="64">
        <v>2305</v>
      </c>
      <c r="C437" s="65">
        <v>650026080</v>
      </c>
      <c r="D437" s="64">
        <v>72741686</v>
      </c>
      <c r="E437" s="66" t="s">
        <v>720</v>
      </c>
      <c r="F437" s="67">
        <v>3117</v>
      </c>
      <c r="G437" s="78" t="s">
        <v>308</v>
      </c>
      <c r="H437" s="68" t="s">
        <v>278</v>
      </c>
      <c r="I437" s="462">
        <v>0</v>
      </c>
      <c r="J437" s="457">
        <v>0</v>
      </c>
      <c r="K437" s="457">
        <v>0</v>
      </c>
      <c r="L437" s="457">
        <v>0</v>
      </c>
      <c r="M437" s="457">
        <v>0</v>
      </c>
      <c r="N437" s="458">
        <v>0</v>
      </c>
      <c r="O437" s="459">
        <v>0</v>
      </c>
      <c r="P437" s="646">
        <v>0</v>
      </c>
      <c r="Q437" s="469">
        <f t="shared" si="591"/>
        <v>0</v>
      </c>
      <c r="R437" s="469">
        <v>762301</v>
      </c>
      <c r="S437" s="460">
        <v>0</v>
      </c>
      <c r="T437" s="460">
        <v>0</v>
      </c>
      <c r="U437" s="460">
        <v>0</v>
      </c>
      <c r="V437" s="460">
        <f t="shared" si="656"/>
        <v>762301</v>
      </c>
      <c r="W437" s="460">
        <v>0</v>
      </c>
      <c r="X437" s="460">
        <v>0</v>
      </c>
      <c r="Y437" s="460">
        <v>0</v>
      </c>
      <c r="Z437" s="460">
        <f t="shared" si="657"/>
        <v>0</v>
      </c>
      <c r="AA437" s="460">
        <f t="shared" si="658"/>
        <v>762301</v>
      </c>
      <c r="AB437" s="69">
        <f t="shared" si="659"/>
        <v>257658</v>
      </c>
      <c r="AC437" s="69">
        <f t="shared" si="660"/>
        <v>7623</v>
      </c>
      <c r="AD437" s="460">
        <v>500</v>
      </c>
      <c r="AE437" s="460">
        <v>0</v>
      </c>
      <c r="AF437" s="460">
        <f t="shared" si="661"/>
        <v>500</v>
      </c>
      <c r="AG437" s="460">
        <f t="shared" si="662"/>
        <v>1028082</v>
      </c>
      <c r="AH437" s="461">
        <v>0</v>
      </c>
      <c r="AI437" s="461">
        <v>0</v>
      </c>
      <c r="AJ437" s="461">
        <v>2.15</v>
      </c>
      <c r="AK437" s="461">
        <v>0</v>
      </c>
      <c r="AL437" s="461">
        <v>0</v>
      </c>
      <c r="AM437" s="461">
        <v>0</v>
      </c>
      <c r="AN437" s="461">
        <v>0</v>
      </c>
      <c r="AO437" s="461">
        <v>0</v>
      </c>
      <c r="AP437" s="461">
        <f t="shared" si="592"/>
        <v>2.15</v>
      </c>
      <c r="AQ437" s="461">
        <f t="shared" si="593"/>
        <v>0</v>
      </c>
      <c r="AR437" s="737">
        <f t="shared" si="594"/>
        <v>2.15</v>
      </c>
      <c r="AS437" s="470">
        <f t="shared" si="595"/>
        <v>1028082</v>
      </c>
      <c r="AT437" s="460">
        <f t="shared" si="596"/>
        <v>762301</v>
      </c>
      <c r="AU437" s="460">
        <f t="shared" si="597"/>
        <v>0</v>
      </c>
      <c r="AV437" s="460">
        <f t="shared" si="598"/>
        <v>257658</v>
      </c>
      <c r="AW437" s="460">
        <f t="shared" si="599"/>
        <v>7623</v>
      </c>
      <c r="AX437" s="460">
        <f t="shared" si="600"/>
        <v>500</v>
      </c>
      <c r="AY437" s="461">
        <f t="shared" si="601"/>
        <v>2.15</v>
      </c>
      <c r="AZ437" s="461">
        <f t="shared" si="602"/>
        <v>2.15</v>
      </c>
      <c r="BA437" s="463">
        <f t="shared" si="603"/>
        <v>0</v>
      </c>
    </row>
    <row r="438" spans="1:53" ht="14.1" customHeight="1" x14ac:dyDescent="0.2">
      <c r="A438" s="67">
        <v>85</v>
      </c>
      <c r="B438" s="64">
        <v>2305</v>
      </c>
      <c r="C438" s="65">
        <v>650026080</v>
      </c>
      <c r="D438" s="64">
        <v>72741686</v>
      </c>
      <c r="E438" s="66" t="s">
        <v>720</v>
      </c>
      <c r="F438" s="67">
        <v>3141</v>
      </c>
      <c r="G438" s="66" t="s">
        <v>311</v>
      </c>
      <c r="H438" s="68" t="s">
        <v>278</v>
      </c>
      <c r="I438" s="462">
        <v>1087657</v>
      </c>
      <c r="J438" s="457">
        <v>802743</v>
      </c>
      <c r="K438" s="457">
        <v>271327</v>
      </c>
      <c r="L438" s="457">
        <v>8027</v>
      </c>
      <c r="M438" s="457">
        <v>5560</v>
      </c>
      <c r="N438" s="458">
        <v>2.58</v>
      </c>
      <c r="O438" s="459">
        <v>0</v>
      </c>
      <c r="P438" s="646">
        <v>2.58</v>
      </c>
      <c r="Q438" s="469">
        <f t="shared" si="591"/>
        <v>0</v>
      </c>
      <c r="R438" s="469">
        <v>0</v>
      </c>
      <c r="S438" s="460">
        <v>0</v>
      </c>
      <c r="T438" s="460">
        <v>0</v>
      </c>
      <c r="U438" s="460">
        <v>0</v>
      </c>
      <c r="V438" s="460">
        <f t="shared" si="656"/>
        <v>0</v>
      </c>
      <c r="W438" s="460">
        <v>0</v>
      </c>
      <c r="X438" s="460">
        <v>0</v>
      </c>
      <c r="Y438" s="460">
        <v>0</v>
      </c>
      <c r="Z438" s="460">
        <f t="shared" si="657"/>
        <v>0</v>
      </c>
      <c r="AA438" s="460">
        <f t="shared" si="658"/>
        <v>0</v>
      </c>
      <c r="AB438" s="69">
        <f t="shared" si="659"/>
        <v>0</v>
      </c>
      <c r="AC438" s="69">
        <f t="shared" si="660"/>
        <v>0</v>
      </c>
      <c r="AD438" s="460">
        <v>0</v>
      </c>
      <c r="AE438" s="460">
        <v>0</v>
      </c>
      <c r="AF438" s="460">
        <f t="shared" si="661"/>
        <v>0</v>
      </c>
      <c r="AG438" s="460">
        <f t="shared" si="662"/>
        <v>0</v>
      </c>
      <c r="AH438" s="461">
        <v>0</v>
      </c>
      <c r="AI438" s="461">
        <v>0</v>
      </c>
      <c r="AJ438" s="461">
        <v>0</v>
      </c>
      <c r="AK438" s="461">
        <v>0</v>
      </c>
      <c r="AL438" s="461">
        <v>0</v>
      </c>
      <c r="AM438" s="461">
        <v>0</v>
      </c>
      <c r="AN438" s="461">
        <v>0</v>
      </c>
      <c r="AO438" s="461">
        <v>0</v>
      </c>
      <c r="AP438" s="461">
        <f t="shared" si="592"/>
        <v>0</v>
      </c>
      <c r="AQ438" s="461">
        <f t="shared" si="593"/>
        <v>0</v>
      </c>
      <c r="AR438" s="737">
        <f t="shared" si="594"/>
        <v>0</v>
      </c>
      <c r="AS438" s="470">
        <f t="shared" si="595"/>
        <v>1087657</v>
      </c>
      <c r="AT438" s="460">
        <f t="shared" si="596"/>
        <v>802743</v>
      </c>
      <c r="AU438" s="460">
        <f t="shared" si="597"/>
        <v>0</v>
      </c>
      <c r="AV438" s="460">
        <f t="shared" si="598"/>
        <v>271327</v>
      </c>
      <c r="AW438" s="460">
        <f t="shared" si="599"/>
        <v>8027</v>
      </c>
      <c r="AX438" s="460">
        <f t="shared" si="600"/>
        <v>5560</v>
      </c>
      <c r="AY438" s="461">
        <f t="shared" si="601"/>
        <v>2.58</v>
      </c>
      <c r="AZ438" s="461">
        <f t="shared" si="602"/>
        <v>0</v>
      </c>
      <c r="BA438" s="463">
        <f t="shared" si="603"/>
        <v>2.58</v>
      </c>
    </row>
    <row r="439" spans="1:53" ht="14.1" customHeight="1" x14ac:dyDescent="0.2">
      <c r="A439" s="67">
        <v>85</v>
      </c>
      <c r="B439" s="64">
        <v>2305</v>
      </c>
      <c r="C439" s="65">
        <v>650026080</v>
      </c>
      <c r="D439" s="64">
        <v>72741686</v>
      </c>
      <c r="E439" s="66" t="s">
        <v>720</v>
      </c>
      <c r="F439" s="67">
        <v>3143</v>
      </c>
      <c r="G439" s="78" t="s">
        <v>616</v>
      </c>
      <c r="H439" s="68" t="s">
        <v>277</v>
      </c>
      <c r="I439" s="462">
        <v>681917</v>
      </c>
      <c r="J439" s="16">
        <v>505873</v>
      </c>
      <c r="K439" s="457">
        <v>170985</v>
      </c>
      <c r="L439" s="457">
        <v>5059</v>
      </c>
      <c r="M439" s="16">
        <v>0</v>
      </c>
      <c r="N439" s="458">
        <v>1</v>
      </c>
      <c r="O439" s="13">
        <v>1</v>
      </c>
      <c r="P439" s="17">
        <v>0</v>
      </c>
      <c r="Q439" s="469">
        <f t="shared" si="591"/>
        <v>0</v>
      </c>
      <c r="R439" s="469">
        <v>0</v>
      </c>
      <c r="S439" s="460">
        <v>0</v>
      </c>
      <c r="T439" s="460">
        <v>0</v>
      </c>
      <c r="U439" s="460">
        <v>0</v>
      </c>
      <c r="V439" s="460">
        <f t="shared" si="656"/>
        <v>0</v>
      </c>
      <c r="W439" s="460">
        <v>0</v>
      </c>
      <c r="X439" s="460">
        <v>0</v>
      </c>
      <c r="Y439" s="460">
        <v>0</v>
      </c>
      <c r="Z439" s="460">
        <f t="shared" si="657"/>
        <v>0</v>
      </c>
      <c r="AA439" s="460">
        <f t="shared" si="658"/>
        <v>0</v>
      </c>
      <c r="AB439" s="69">
        <f t="shared" si="659"/>
        <v>0</v>
      </c>
      <c r="AC439" s="69">
        <f t="shared" si="660"/>
        <v>0</v>
      </c>
      <c r="AD439" s="460">
        <v>0</v>
      </c>
      <c r="AE439" s="460">
        <v>0</v>
      </c>
      <c r="AF439" s="460">
        <f t="shared" si="661"/>
        <v>0</v>
      </c>
      <c r="AG439" s="460">
        <f t="shared" si="662"/>
        <v>0</v>
      </c>
      <c r="AH439" s="461">
        <v>0</v>
      </c>
      <c r="AI439" s="461">
        <v>0</v>
      </c>
      <c r="AJ439" s="461">
        <v>0</v>
      </c>
      <c r="AK439" s="461">
        <v>0</v>
      </c>
      <c r="AL439" s="461">
        <v>0</v>
      </c>
      <c r="AM439" s="461">
        <v>0</v>
      </c>
      <c r="AN439" s="461">
        <v>0</v>
      </c>
      <c r="AO439" s="461">
        <v>0</v>
      </c>
      <c r="AP439" s="461">
        <f t="shared" si="592"/>
        <v>0</v>
      </c>
      <c r="AQ439" s="461">
        <f t="shared" si="593"/>
        <v>0</v>
      </c>
      <c r="AR439" s="737">
        <f t="shared" si="594"/>
        <v>0</v>
      </c>
      <c r="AS439" s="470">
        <f t="shared" si="595"/>
        <v>681917</v>
      </c>
      <c r="AT439" s="460">
        <f t="shared" si="596"/>
        <v>505873</v>
      </c>
      <c r="AU439" s="460">
        <f t="shared" si="597"/>
        <v>0</v>
      </c>
      <c r="AV439" s="460">
        <f t="shared" si="598"/>
        <v>170985</v>
      </c>
      <c r="AW439" s="460">
        <f t="shared" si="599"/>
        <v>5059</v>
      </c>
      <c r="AX439" s="460">
        <f t="shared" si="600"/>
        <v>0</v>
      </c>
      <c r="AY439" s="461">
        <f t="shared" si="601"/>
        <v>1</v>
      </c>
      <c r="AZ439" s="461">
        <f t="shared" si="602"/>
        <v>1</v>
      </c>
      <c r="BA439" s="463">
        <f t="shared" si="603"/>
        <v>0</v>
      </c>
    </row>
    <row r="440" spans="1:53" ht="14.1" customHeight="1" x14ac:dyDescent="0.2">
      <c r="A440" s="67">
        <v>85</v>
      </c>
      <c r="B440" s="64">
        <v>2305</v>
      </c>
      <c r="C440" s="65">
        <v>650026080</v>
      </c>
      <c r="D440" s="64">
        <v>72741686</v>
      </c>
      <c r="E440" s="66" t="s">
        <v>720</v>
      </c>
      <c r="F440" s="67">
        <v>3143</v>
      </c>
      <c r="G440" s="78" t="s">
        <v>617</v>
      </c>
      <c r="H440" s="68" t="s">
        <v>278</v>
      </c>
      <c r="I440" s="462">
        <v>18324</v>
      </c>
      <c r="J440" s="673">
        <v>13093</v>
      </c>
      <c r="K440" s="457">
        <v>4425</v>
      </c>
      <c r="L440" s="457">
        <v>131</v>
      </c>
      <c r="M440" s="673">
        <v>675</v>
      </c>
      <c r="N440" s="458">
        <v>0.05</v>
      </c>
      <c r="O440" s="459">
        <v>0</v>
      </c>
      <c r="P440" s="717">
        <v>0.05</v>
      </c>
      <c r="Q440" s="469">
        <f t="shared" si="591"/>
        <v>0</v>
      </c>
      <c r="R440" s="469">
        <v>0</v>
      </c>
      <c r="S440" s="460">
        <v>0</v>
      </c>
      <c r="T440" s="460">
        <v>0</v>
      </c>
      <c r="U440" s="460">
        <v>0</v>
      </c>
      <c r="V440" s="460">
        <f t="shared" si="656"/>
        <v>0</v>
      </c>
      <c r="W440" s="460">
        <v>0</v>
      </c>
      <c r="X440" s="460">
        <v>0</v>
      </c>
      <c r="Y440" s="460">
        <v>0</v>
      </c>
      <c r="Z440" s="460">
        <f t="shared" si="657"/>
        <v>0</v>
      </c>
      <c r="AA440" s="460">
        <f t="shared" si="658"/>
        <v>0</v>
      </c>
      <c r="AB440" s="69">
        <f t="shared" si="659"/>
        <v>0</v>
      </c>
      <c r="AC440" s="69">
        <f t="shared" si="660"/>
        <v>0</v>
      </c>
      <c r="AD440" s="460">
        <v>0</v>
      </c>
      <c r="AE440" s="460">
        <v>0</v>
      </c>
      <c r="AF440" s="460">
        <f t="shared" si="661"/>
        <v>0</v>
      </c>
      <c r="AG440" s="460">
        <f t="shared" si="662"/>
        <v>0</v>
      </c>
      <c r="AH440" s="461">
        <v>0</v>
      </c>
      <c r="AI440" s="461">
        <v>0</v>
      </c>
      <c r="AJ440" s="461">
        <v>0</v>
      </c>
      <c r="AK440" s="461">
        <v>0</v>
      </c>
      <c r="AL440" s="461">
        <v>0</v>
      </c>
      <c r="AM440" s="461">
        <v>0</v>
      </c>
      <c r="AN440" s="461">
        <v>0</v>
      </c>
      <c r="AO440" s="461">
        <v>0</v>
      </c>
      <c r="AP440" s="461">
        <f t="shared" si="592"/>
        <v>0</v>
      </c>
      <c r="AQ440" s="461">
        <f t="shared" si="593"/>
        <v>0</v>
      </c>
      <c r="AR440" s="737">
        <f t="shared" si="594"/>
        <v>0</v>
      </c>
      <c r="AS440" s="470">
        <f t="shared" si="595"/>
        <v>18324</v>
      </c>
      <c r="AT440" s="460">
        <f t="shared" si="596"/>
        <v>13093</v>
      </c>
      <c r="AU440" s="460">
        <f t="shared" si="597"/>
        <v>0</v>
      </c>
      <c r="AV440" s="460">
        <f t="shared" si="598"/>
        <v>4425</v>
      </c>
      <c r="AW440" s="460">
        <f t="shared" si="599"/>
        <v>131</v>
      </c>
      <c r="AX440" s="460">
        <f t="shared" si="600"/>
        <v>675</v>
      </c>
      <c r="AY440" s="461">
        <f t="shared" si="601"/>
        <v>0.05</v>
      </c>
      <c r="AZ440" s="461">
        <f t="shared" si="602"/>
        <v>0</v>
      </c>
      <c r="BA440" s="463">
        <f t="shared" si="603"/>
        <v>0.05</v>
      </c>
    </row>
    <row r="441" spans="1:53" ht="14.1" customHeight="1" x14ac:dyDescent="0.2">
      <c r="A441" s="73">
        <v>85</v>
      </c>
      <c r="B441" s="70">
        <v>2305</v>
      </c>
      <c r="C441" s="71">
        <v>650026080</v>
      </c>
      <c r="D441" s="70">
        <v>72741686</v>
      </c>
      <c r="E441" s="72" t="s">
        <v>721</v>
      </c>
      <c r="F441" s="73"/>
      <c r="G441" s="72"/>
      <c r="H441" s="74"/>
      <c r="I441" s="701">
        <f t="shared" ref="I441:P441" si="663">SUM(I435:I440)</f>
        <v>9825792</v>
      </c>
      <c r="J441" s="75">
        <f t="shared" si="663"/>
        <v>7211838</v>
      </c>
      <c r="K441" s="75">
        <f t="shared" si="663"/>
        <v>2437601</v>
      </c>
      <c r="L441" s="75">
        <f t="shared" si="663"/>
        <v>72118</v>
      </c>
      <c r="M441" s="75">
        <f t="shared" si="663"/>
        <v>104235</v>
      </c>
      <c r="N441" s="76">
        <f t="shared" si="663"/>
        <v>15.248200000000002</v>
      </c>
      <c r="O441" s="76">
        <f t="shared" si="663"/>
        <v>9.7348999999999997</v>
      </c>
      <c r="P441" s="77">
        <f t="shared" si="663"/>
        <v>5.5133000000000001</v>
      </c>
      <c r="Q441" s="724">
        <f t="shared" ref="Q441:BA441" si="664">SUM(Q435:Q440)</f>
        <v>-32500</v>
      </c>
      <c r="R441" s="724">
        <f t="shared" si="664"/>
        <v>762301</v>
      </c>
      <c r="S441" s="75">
        <f t="shared" si="664"/>
        <v>0</v>
      </c>
      <c r="T441" s="75">
        <f t="shared" si="664"/>
        <v>0</v>
      </c>
      <c r="U441" s="75">
        <f t="shared" si="664"/>
        <v>0</v>
      </c>
      <c r="V441" s="75">
        <f t="shared" si="664"/>
        <v>729801</v>
      </c>
      <c r="W441" s="75">
        <f t="shared" si="664"/>
        <v>32500</v>
      </c>
      <c r="X441" s="75">
        <f t="shared" si="664"/>
        <v>0</v>
      </c>
      <c r="Y441" s="75">
        <f t="shared" si="664"/>
        <v>0</v>
      </c>
      <c r="Z441" s="75">
        <f t="shared" si="664"/>
        <v>32500</v>
      </c>
      <c r="AA441" s="75">
        <f t="shared" si="664"/>
        <v>762301</v>
      </c>
      <c r="AB441" s="75">
        <f t="shared" si="664"/>
        <v>257658</v>
      </c>
      <c r="AC441" s="75">
        <f t="shared" si="664"/>
        <v>7298</v>
      </c>
      <c r="AD441" s="75">
        <f t="shared" si="664"/>
        <v>500</v>
      </c>
      <c r="AE441" s="75">
        <f t="shared" si="664"/>
        <v>0</v>
      </c>
      <c r="AF441" s="75">
        <f t="shared" si="664"/>
        <v>500</v>
      </c>
      <c r="AG441" s="75">
        <f t="shared" si="664"/>
        <v>1027757</v>
      </c>
      <c r="AH441" s="76">
        <f t="shared" si="664"/>
        <v>-0.01</v>
      </c>
      <c r="AI441" s="76">
        <f t="shared" si="664"/>
        <v>-0.02</v>
      </c>
      <c r="AJ441" s="76">
        <f t="shared" si="664"/>
        <v>2.15</v>
      </c>
      <c r="AK441" s="76">
        <f t="shared" si="664"/>
        <v>0</v>
      </c>
      <c r="AL441" s="76">
        <f t="shared" si="664"/>
        <v>0</v>
      </c>
      <c r="AM441" s="76">
        <f t="shared" si="664"/>
        <v>0</v>
      </c>
      <c r="AN441" s="76">
        <f t="shared" si="664"/>
        <v>0</v>
      </c>
      <c r="AO441" s="76">
        <f t="shared" si="664"/>
        <v>0</v>
      </c>
      <c r="AP441" s="76">
        <f t="shared" si="664"/>
        <v>2.14</v>
      </c>
      <c r="AQ441" s="76">
        <f t="shared" si="664"/>
        <v>-0.02</v>
      </c>
      <c r="AR441" s="720">
        <f t="shared" si="664"/>
        <v>2.12</v>
      </c>
      <c r="AS441" s="701">
        <f t="shared" si="664"/>
        <v>10853549</v>
      </c>
      <c r="AT441" s="75">
        <f t="shared" si="664"/>
        <v>7941639</v>
      </c>
      <c r="AU441" s="75">
        <f t="shared" si="664"/>
        <v>32500</v>
      </c>
      <c r="AV441" s="75">
        <f t="shared" si="664"/>
        <v>2695259</v>
      </c>
      <c r="AW441" s="75">
        <f t="shared" si="664"/>
        <v>79416</v>
      </c>
      <c r="AX441" s="75">
        <f t="shared" si="664"/>
        <v>104735</v>
      </c>
      <c r="AY441" s="76">
        <f t="shared" si="664"/>
        <v>17.368200000000002</v>
      </c>
      <c r="AZ441" s="76">
        <f t="shared" si="664"/>
        <v>11.8749</v>
      </c>
      <c r="BA441" s="77">
        <f t="shared" si="664"/>
        <v>5.4933000000000005</v>
      </c>
    </row>
    <row r="442" spans="1:53" ht="14.1" customHeight="1" x14ac:dyDescent="0.2">
      <c r="A442" s="67">
        <v>86</v>
      </c>
      <c r="B442" s="64">
        <v>2498</v>
      </c>
      <c r="C442" s="65">
        <v>650021576</v>
      </c>
      <c r="D442" s="64">
        <v>70695539</v>
      </c>
      <c r="E442" s="66" t="s">
        <v>722</v>
      </c>
      <c r="F442" s="67">
        <v>3111</v>
      </c>
      <c r="G442" s="66" t="s">
        <v>307</v>
      </c>
      <c r="H442" s="68" t="s">
        <v>277</v>
      </c>
      <c r="I442" s="462">
        <v>5019850</v>
      </c>
      <c r="J442" s="16">
        <v>3704043</v>
      </c>
      <c r="K442" s="457">
        <v>1251967</v>
      </c>
      <c r="L442" s="457">
        <v>37040</v>
      </c>
      <c r="M442" s="16">
        <v>26800</v>
      </c>
      <c r="N442" s="13">
        <v>7.2</v>
      </c>
      <c r="O442" s="13">
        <v>6</v>
      </c>
      <c r="P442" s="17">
        <v>1.2</v>
      </c>
      <c r="Q442" s="469">
        <f t="shared" si="591"/>
        <v>-6500</v>
      </c>
      <c r="R442" s="469">
        <v>0</v>
      </c>
      <c r="S442" s="460">
        <v>0</v>
      </c>
      <c r="T442" s="460">
        <v>0</v>
      </c>
      <c r="U442" s="460">
        <v>0</v>
      </c>
      <c r="V442" s="460">
        <f t="shared" ref="V442:V447" si="665">SUM(Q442:U442)</f>
        <v>-6500</v>
      </c>
      <c r="W442" s="460">
        <v>6500</v>
      </c>
      <c r="X442" s="460">
        <v>0</v>
      </c>
      <c r="Y442" s="460">
        <v>0</v>
      </c>
      <c r="Z442" s="460">
        <f t="shared" ref="Z442:Z447" si="666">SUM(W442:Y442)</f>
        <v>6500</v>
      </c>
      <c r="AA442" s="460">
        <f t="shared" ref="AA442:AA447" si="667">V442+Z442</f>
        <v>0</v>
      </c>
      <c r="AB442" s="69">
        <f t="shared" ref="AB442:AB447" si="668">ROUND((V442+W442+X442)*33.8%,0)</f>
        <v>0</v>
      </c>
      <c r="AC442" s="69">
        <f t="shared" ref="AC442:AC447" si="669">ROUND(V442*1%,0)</f>
        <v>-65</v>
      </c>
      <c r="AD442" s="460">
        <v>0</v>
      </c>
      <c r="AE442" s="460">
        <v>0</v>
      </c>
      <c r="AF442" s="460">
        <f t="shared" ref="AF442:AF447" si="670">SUM(AD442:AE442)</f>
        <v>0</v>
      </c>
      <c r="AG442" s="460">
        <f t="shared" ref="AG442:AG447" si="671">AA442+AB442+AC442+AF442</f>
        <v>-65</v>
      </c>
      <c r="AH442" s="461">
        <v>0</v>
      </c>
      <c r="AI442" s="461">
        <v>0</v>
      </c>
      <c r="AJ442" s="461">
        <v>0</v>
      </c>
      <c r="AK442" s="461">
        <v>0</v>
      </c>
      <c r="AL442" s="461">
        <v>0</v>
      </c>
      <c r="AM442" s="461">
        <v>0</v>
      </c>
      <c r="AN442" s="461">
        <v>0</v>
      </c>
      <c r="AO442" s="461">
        <v>0</v>
      </c>
      <c r="AP442" s="461">
        <f t="shared" si="592"/>
        <v>0</v>
      </c>
      <c r="AQ442" s="461">
        <f t="shared" si="593"/>
        <v>0</v>
      </c>
      <c r="AR442" s="737">
        <f t="shared" si="594"/>
        <v>0</v>
      </c>
      <c r="AS442" s="470">
        <f t="shared" si="595"/>
        <v>5019785</v>
      </c>
      <c r="AT442" s="460">
        <f t="shared" si="596"/>
        <v>3697543</v>
      </c>
      <c r="AU442" s="460">
        <f t="shared" si="597"/>
        <v>6500</v>
      </c>
      <c r="AV442" s="460">
        <f t="shared" si="598"/>
        <v>1251967</v>
      </c>
      <c r="AW442" s="460">
        <f t="shared" si="599"/>
        <v>36975</v>
      </c>
      <c r="AX442" s="460">
        <f t="shared" si="600"/>
        <v>26800</v>
      </c>
      <c r="AY442" s="461">
        <f t="shared" si="601"/>
        <v>7.2</v>
      </c>
      <c r="AZ442" s="461">
        <f t="shared" si="602"/>
        <v>6</v>
      </c>
      <c r="BA442" s="463">
        <f t="shared" si="603"/>
        <v>1.2</v>
      </c>
    </row>
    <row r="443" spans="1:53" ht="14.1" customHeight="1" x14ac:dyDescent="0.2">
      <c r="A443" s="67">
        <v>86</v>
      </c>
      <c r="B443" s="64">
        <v>2498</v>
      </c>
      <c r="C443" s="65">
        <v>650021576</v>
      </c>
      <c r="D443" s="64">
        <v>70695539</v>
      </c>
      <c r="E443" s="66" t="s">
        <v>722</v>
      </c>
      <c r="F443" s="67">
        <v>3113</v>
      </c>
      <c r="G443" s="66" t="s">
        <v>310</v>
      </c>
      <c r="H443" s="68" t="s">
        <v>277</v>
      </c>
      <c r="I443" s="462">
        <v>19703148</v>
      </c>
      <c r="J443" s="16">
        <v>14362235</v>
      </c>
      <c r="K443" s="457">
        <v>4854435</v>
      </c>
      <c r="L443" s="457">
        <v>143623</v>
      </c>
      <c r="M443" s="16">
        <v>342855</v>
      </c>
      <c r="N443" s="13">
        <v>24.311799999999998</v>
      </c>
      <c r="O443" s="13">
        <v>18.681799999999999</v>
      </c>
      <c r="P443" s="17">
        <v>5.63</v>
      </c>
      <c r="Q443" s="469">
        <f t="shared" si="591"/>
        <v>-52000</v>
      </c>
      <c r="R443" s="469">
        <v>0</v>
      </c>
      <c r="S443" s="460">
        <v>0</v>
      </c>
      <c r="T443" s="460">
        <v>0</v>
      </c>
      <c r="U443" s="460">
        <v>0</v>
      </c>
      <c r="V443" s="460">
        <f t="shared" si="665"/>
        <v>-52000</v>
      </c>
      <c r="W443" s="460">
        <v>52000</v>
      </c>
      <c r="X443" s="460">
        <v>0</v>
      </c>
      <c r="Y443" s="460">
        <v>0</v>
      </c>
      <c r="Z443" s="460">
        <f t="shared" si="666"/>
        <v>52000</v>
      </c>
      <c r="AA443" s="460">
        <f t="shared" si="667"/>
        <v>0</v>
      </c>
      <c r="AB443" s="69">
        <f t="shared" si="668"/>
        <v>0</v>
      </c>
      <c r="AC443" s="69">
        <f t="shared" si="669"/>
        <v>-520</v>
      </c>
      <c r="AD443" s="460">
        <v>0</v>
      </c>
      <c r="AE443" s="460">
        <v>0</v>
      </c>
      <c r="AF443" s="460">
        <f t="shared" si="670"/>
        <v>0</v>
      </c>
      <c r="AG443" s="460">
        <f t="shared" si="671"/>
        <v>-520</v>
      </c>
      <c r="AH443" s="461">
        <v>-0.06</v>
      </c>
      <c r="AI443" s="461">
        <v>-0.04</v>
      </c>
      <c r="AJ443" s="461">
        <v>0</v>
      </c>
      <c r="AK443" s="461">
        <v>0</v>
      </c>
      <c r="AL443" s="461">
        <v>0</v>
      </c>
      <c r="AM443" s="461">
        <v>0</v>
      </c>
      <c r="AN443" s="461">
        <v>0</v>
      </c>
      <c r="AO443" s="461">
        <v>0</v>
      </c>
      <c r="AP443" s="461">
        <f t="shared" si="592"/>
        <v>-0.06</v>
      </c>
      <c r="AQ443" s="461">
        <f t="shared" si="593"/>
        <v>-0.04</v>
      </c>
      <c r="AR443" s="737">
        <f t="shared" si="594"/>
        <v>-0.1</v>
      </c>
      <c r="AS443" s="470">
        <f t="shared" si="595"/>
        <v>19702628</v>
      </c>
      <c r="AT443" s="460">
        <f t="shared" si="596"/>
        <v>14310235</v>
      </c>
      <c r="AU443" s="460">
        <f t="shared" si="597"/>
        <v>52000</v>
      </c>
      <c r="AV443" s="460">
        <f t="shared" si="598"/>
        <v>4854435</v>
      </c>
      <c r="AW443" s="460">
        <f t="shared" si="599"/>
        <v>143103</v>
      </c>
      <c r="AX443" s="460">
        <f t="shared" si="600"/>
        <v>342855</v>
      </c>
      <c r="AY443" s="461">
        <f t="shared" si="601"/>
        <v>24.211799999999997</v>
      </c>
      <c r="AZ443" s="461">
        <f t="shared" si="602"/>
        <v>18.6218</v>
      </c>
      <c r="BA443" s="463">
        <f t="shared" si="603"/>
        <v>5.59</v>
      </c>
    </row>
    <row r="444" spans="1:53" ht="14.1" customHeight="1" x14ac:dyDescent="0.2">
      <c r="A444" s="67">
        <v>86</v>
      </c>
      <c r="B444" s="64">
        <v>2498</v>
      </c>
      <c r="C444" s="65">
        <v>650021576</v>
      </c>
      <c r="D444" s="64">
        <v>70695539</v>
      </c>
      <c r="E444" s="66" t="s">
        <v>722</v>
      </c>
      <c r="F444" s="67">
        <v>3113</v>
      </c>
      <c r="G444" s="78" t="s">
        <v>308</v>
      </c>
      <c r="H444" s="68" t="s">
        <v>278</v>
      </c>
      <c r="I444" s="462">
        <v>0</v>
      </c>
      <c r="J444" s="457">
        <v>0</v>
      </c>
      <c r="K444" s="457">
        <v>0</v>
      </c>
      <c r="L444" s="457">
        <v>0</v>
      </c>
      <c r="M444" s="457">
        <v>0</v>
      </c>
      <c r="N444" s="458">
        <v>0</v>
      </c>
      <c r="O444" s="459">
        <v>0</v>
      </c>
      <c r="P444" s="646">
        <v>0</v>
      </c>
      <c r="Q444" s="469">
        <f t="shared" si="591"/>
        <v>0</v>
      </c>
      <c r="R444" s="469">
        <v>2327609</v>
      </c>
      <c r="S444" s="460">
        <v>0</v>
      </c>
      <c r="T444" s="460">
        <v>0</v>
      </c>
      <c r="U444" s="460">
        <v>0</v>
      </c>
      <c r="V444" s="460">
        <f t="shared" si="665"/>
        <v>2327609</v>
      </c>
      <c r="W444" s="460">
        <v>0</v>
      </c>
      <c r="X444" s="460">
        <v>0</v>
      </c>
      <c r="Y444" s="460">
        <v>0</v>
      </c>
      <c r="Z444" s="460">
        <f t="shared" si="666"/>
        <v>0</v>
      </c>
      <c r="AA444" s="460">
        <f t="shared" si="667"/>
        <v>2327609</v>
      </c>
      <c r="AB444" s="69">
        <f t="shared" si="668"/>
        <v>786732</v>
      </c>
      <c r="AC444" s="69">
        <f t="shared" si="669"/>
        <v>23276</v>
      </c>
      <c r="AD444" s="460">
        <v>2500</v>
      </c>
      <c r="AE444" s="460">
        <v>0</v>
      </c>
      <c r="AF444" s="460">
        <f t="shared" si="670"/>
        <v>2500</v>
      </c>
      <c r="AG444" s="460">
        <f t="shared" si="671"/>
        <v>3140117</v>
      </c>
      <c r="AH444" s="461">
        <v>0</v>
      </c>
      <c r="AI444" s="461">
        <v>0</v>
      </c>
      <c r="AJ444" s="461">
        <v>6.45</v>
      </c>
      <c r="AK444" s="461">
        <v>0</v>
      </c>
      <c r="AL444" s="461">
        <v>0</v>
      </c>
      <c r="AM444" s="461">
        <v>0</v>
      </c>
      <c r="AN444" s="461">
        <v>0</v>
      </c>
      <c r="AO444" s="461">
        <v>0</v>
      </c>
      <c r="AP444" s="461">
        <f t="shared" si="592"/>
        <v>6.45</v>
      </c>
      <c r="AQ444" s="461">
        <f t="shared" si="593"/>
        <v>0</v>
      </c>
      <c r="AR444" s="737">
        <f t="shared" si="594"/>
        <v>6.45</v>
      </c>
      <c r="AS444" s="470">
        <f t="shared" si="595"/>
        <v>3140117</v>
      </c>
      <c r="AT444" s="460">
        <f t="shared" si="596"/>
        <v>2327609</v>
      </c>
      <c r="AU444" s="460">
        <f t="shared" si="597"/>
        <v>0</v>
      </c>
      <c r="AV444" s="460">
        <f t="shared" si="598"/>
        <v>786732</v>
      </c>
      <c r="AW444" s="460">
        <f t="shared" si="599"/>
        <v>23276</v>
      </c>
      <c r="AX444" s="460">
        <f t="shared" si="600"/>
        <v>2500</v>
      </c>
      <c r="AY444" s="461">
        <f t="shared" si="601"/>
        <v>6.45</v>
      </c>
      <c r="AZ444" s="461">
        <f t="shared" si="602"/>
        <v>6.45</v>
      </c>
      <c r="BA444" s="463">
        <f t="shared" si="603"/>
        <v>0</v>
      </c>
    </row>
    <row r="445" spans="1:53" ht="14.1" customHeight="1" x14ac:dyDescent="0.2">
      <c r="A445" s="67">
        <v>86</v>
      </c>
      <c r="B445" s="64">
        <v>2498</v>
      </c>
      <c r="C445" s="65">
        <v>650021576</v>
      </c>
      <c r="D445" s="64">
        <v>70695539</v>
      </c>
      <c r="E445" s="66" t="s">
        <v>722</v>
      </c>
      <c r="F445" s="67">
        <v>3141</v>
      </c>
      <c r="G445" s="66" t="s">
        <v>311</v>
      </c>
      <c r="H445" s="68" t="s">
        <v>278</v>
      </c>
      <c r="I445" s="462">
        <v>2752796</v>
      </c>
      <c r="J445" s="457">
        <v>2029012</v>
      </c>
      <c r="K445" s="457">
        <v>685806</v>
      </c>
      <c r="L445" s="457">
        <v>20290</v>
      </c>
      <c r="M445" s="457">
        <v>17688</v>
      </c>
      <c r="N445" s="458">
        <v>6.53</v>
      </c>
      <c r="O445" s="459">
        <v>0</v>
      </c>
      <c r="P445" s="646">
        <v>6.53</v>
      </c>
      <c r="Q445" s="469">
        <f t="shared" si="591"/>
        <v>0</v>
      </c>
      <c r="R445" s="469">
        <v>0</v>
      </c>
      <c r="S445" s="460">
        <v>0</v>
      </c>
      <c r="T445" s="460">
        <v>0</v>
      </c>
      <c r="U445" s="460">
        <v>0</v>
      </c>
      <c r="V445" s="460">
        <f t="shared" si="665"/>
        <v>0</v>
      </c>
      <c r="W445" s="460">
        <v>0</v>
      </c>
      <c r="X445" s="460">
        <v>0</v>
      </c>
      <c r="Y445" s="460">
        <v>0</v>
      </c>
      <c r="Z445" s="460">
        <f t="shared" si="666"/>
        <v>0</v>
      </c>
      <c r="AA445" s="460">
        <f t="shared" si="667"/>
        <v>0</v>
      </c>
      <c r="AB445" s="69">
        <f t="shared" si="668"/>
        <v>0</v>
      </c>
      <c r="AC445" s="69">
        <f t="shared" si="669"/>
        <v>0</v>
      </c>
      <c r="AD445" s="460">
        <v>0</v>
      </c>
      <c r="AE445" s="460">
        <v>0</v>
      </c>
      <c r="AF445" s="460">
        <f t="shared" si="670"/>
        <v>0</v>
      </c>
      <c r="AG445" s="460">
        <f t="shared" si="671"/>
        <v>0</v>
      </c>
      <c r="AH445" s="461">
        <v>0</v>
      </c>
      <c r="AI445" s="461">
        <v>0</v>
      </c>
      <c r="AJ445" s="461">
        <v>0</v>
      </c>
      <c r="AK445" s="461">
        <v>0</v>
      </c>
      <c r="AL445" s="461">
        <v>0</v>
      </c>
      <c r="AM445" s="461">
        <v>0</v>
      </c>
      <c r="AN445" s="461">
        <v>0</v>
      </c>
      <c r="AO445" s="461">
        <v>0</v>
      </c>
      <c r="AP445" s="461">
        <f t="shared" si="592"/>
        <v>0</v>
      </c>
      <c r="AQ445" s="461">
        <f t="shared" si="593"/>
        <v>0</v>
      </c>
      <c r="AR445" s="737">
        <f t="shared" si="594"/>
        <v>0</v>
      </c>
      <c r="AS445" s="470">
        <f t="shared" si="595"/>
        <v>2752796</v>
      </c>
      <c r="AT445" s="460">
        <f t="shared" si="596"/>
        <v>2029012</v>
      </c>
      <c r="AU445" s="460">
        <f t="shared" si="597"/>
        <v>0</v>
      </c>
      <c r="AV445" s="460">
        <f t="shared" si="598"/>
        <v>685806</v>
      </c>
      <c r="AW445" s="460">
        <f t="shared" si="599"/>
        <v>20290</v>
      </c>
      <c r="AX445" s="460">
        <f t="shared" si="600"/>
        <v>17688</v>
      </c>
      <c r="AY445" s="461">
        <f t="shared" si="601"/>
        <v>6.53</v>
      </c>
      <c r="AZ445" s="461">
        <f t="shared" si="602"/>
        <v>0</v>
      </c>
      <c r="BA445" s="463">
        <f t="shared" si="603"/>
        <v>6.53</v>
      </c>
    </row>
    <row r="446" spans="1:53" ht="14.1" customHeight="1" x14ac:dyDescent="0.2">
      <c r="A446" s="67">
        <v>86</v>
      </c>
      <c r="B446" s="64">
        <v>2498</v>
      </c>
      <c r="C446" s="65">
        <v>650021576</v>
      </c>
      <c r="D446" s="64">
        <v>70695539</v>
      </c>
      <c r="E446" s="66" t="s">
        <v>722</v>
      </c>
      <c r="F446" s="67">
        <v>3143</v>
      </c>
      <c r="G446" s="78" t="s">
        <v>616</v>
      </c>
      <c r="H446" s="68" t="s">
        <v>277</v>
      </c>
      <c r="I446" s="462">
        <v>1592514</v>
      </c>
      <c r="J446" s="16">
        <v>1181390</v>
      </c>
      <c r="K446" s="457">
        <v>399310</v>
      </c>
      <c r="L446" s="457">
        <v>11814</v>
      </c>
      <c r="M446" s="16">
        <v>0</v>
      </c>
      <c r="N446" s="458">
        <v>2.5</v>
      </c>
      <c r="O446" s="13">
        <v>2.5</v>
      </c>
      <c r="P446" s="17">
        <v>0</v>
      </c>
      <c r="Q446" s="469">
        <f t="shared" si="591"/>
        <v>0</v>
      </c>
      <c r="R446" s="469">
        <v>0</v>
      </c>
      <c r="S446" s="460">
        <v>0</v>
      </c>
      <c r="T446" s="460">
        <v>0</v>
      </c>
      <c r="U446" s="460">
        <v>0</v>
      </c>
      <c r="V446" s="460">
        <f t="shared" si="665"/>
        <v>0</v>
      </c>
      <c r="W446" s="460">
        <v>0</v>
      </c>
      <c r="X446" s="460">
        <v>0</v>
      </c>
      <c r="Y446" s="460">
        <v>0</v>
      </c>
      <c r="Z446" s="460">
        <f t="shared" si="666"/>
        <v>0</v>
      </c>
      <c r="AA446" s="460">
        <f t="shared" si="667"/>
        <v>0</v>
      </c>
      <c r="AB446" s="69">
        <f t="shared" si="668"/>
        <v>0</v>
      </c>
      <c r="AC446" s="69">
        <f t="shared" si="669"/>
        <v>0</v>
      </c>
      <c r="AD446" s="460">
        <v>0</v>
      </c>
      <c r="AE446" s="460">
        <v>0</v>
      </c>
      <c r="AF446" s="460">
        <f t="shared" si="670"/>
        <v>0</v>
      </c>
      <c r="AG446" s="460">
        <f t="shared" si="671"/>
        <v>0</v>
      </c>
      <c r="AH446" s="461">
        <v>0</v>
      </c>
      <c r="AI446" s="461">
        <v>0</v>
      </c>
      <c r="AJ446" s="461">
        <v>0</v>
      </c>
      <c r="AK446" s="461">
        <v>0</v>
      </c>
      <c r="AL446" s="461">
        <v>0</v>
      </c>
      <c r="AM446" s="461">
        <v>0</v>
      </c>
      <c r="AN446" s="461">
        <v>0</v>
      </c>
      <c r="AO446" s="461">
        <v>0</v>
      </c>
      <c r="AP446" s="461">
        <f t="shared" si="592"/>
        <v>0</v>
      </c>
      <c r="AQ446" s="461">
        <f t="shared" si="593"/>
        <v>0</v>
      </c>
      <c r="AR446" s="737">
        <f t="shared" si="594"/>
        <v>0</v>
      </c>
      <c r="AS446" s="470">
        <f t="shared" si="595"/>
        <v>1592514</v>
      </c>
      <c r="AT446" s="460">
        <f t="shared" si="596"/>
        <v>1181390</v>
      </c>
      <c r="AU446" s="460">
        <f t="shared" si="597"/>
        <v>0</v>
      </c>
      <c r="AV446" s="460">
        <f t="shared" si="598"/>
        <v>399310</v>
      </c>
      <c r="AW446" s="460">
        <f t="shared" si="599"/>
        <v>11814</v>
      </c>
      <c r="AX446" s="460">
        <f t="shared" si="600"/>
        <v>0</v>
      </c>
      <c r="AY446" s="461">
        <f t="shared" si="601"/>
        <v>2.5</v>
      </c>
      <c r="AZ446" s="461">
        <f t="shared" si="602"/>
        <v>2.5</v>
      </c>
      <c r="BA446" s="463">
        <f t="shared" si="603"/>
        <v>0</v>
      </c>
    </row>
    <row r="447" spans="1:53" ht="14.1" customHeight="1" x14ac:dyDescent="0.2">
      <c r="A447" s="67">
        <v>86</v>
      </c>
      <c r="B447" s="64">
        <v>2498</v>
      </c>
      <c r="C447" s="65">
        <v>650021576</v>
      </c>
      <c r="D447" s="64">
        <v>70695539</v>
      </c>
      <c r="E447" s="66" t="s">
        <v>722</v>
      </c>
      <c r="F447" s="67">
        <v>3143</v>
      </c>
      <c r="G447" s="78" t="s">
        <v>617</v>
      </c>
      <c r="H447" s="68" t="s">
        <v>278</v>
      </c>
      <c r="I447" s="462">
        <v>57175</v>
      </c>
      <c r="J447" s="673">
        <v>40852</v>
      </c>
      <c r="K447" s="457">
        <v>13808</v>
      </c>
      <c r="L447" s="457">
        <v>409</v>
      </c>
      <c r="M447" s="673">
        <v>2106</v>
      </c>
      <c r="N447" s="458">
        <v>0.16</v>
      </c>
      <c r="O447" s="459">
        <v>0</v>
      </c>
      <c r="P447" s="717">
        <v>0.16</v>
      </c>
      <c r="Q447" s="469">
        <f t="shared" si="591"/>
        <v>0</v>
      </c>
      <c r="R447" s="469">
        <v>0</v>
      </c>
      <c r="S447" s="460">
        <v>0</v>
      </c>
      <c r="T447" s="460">
        <v>0</v>
      </c>
      <c r="U447" s="460">
        <v>0</v>
      </c>
      <c r="V447" s="460">
        <f t="shared" si="665"/>
        <v>0</v>
      </c>
      <c r="W447" s="460">
        <v>0</v>
      </c>
      <c r="X447" s="460">
        <v>0</v>
      </c>
      <c r="Y447" s="460">
        <v>0</v>
      </c>
      <c r="Z447" s="460">
        <f t="shared" si="666"/>
        <v>0</v>
      </c>
      <c r="AA447" s="460">
        <f t="shared" si="667"/>
        <v>0</v>
      </c>
      <c r="AB447" s="69">
        <f t="shared" si="668"/>
        <v>0</v>
      </c>
      <c r="AC447" s="69">
        <f t="shared" si="669"/>
        <v>0</v>
      </c>
      <c r="AD447" s="460">
        <v>0</v>
      </c>
      <c r="AE447" s="460">
        <v>0</v>
      </c>
      <c r="AF447" s="460">
        <f t="shared" si="670"/>
        <v>0</v>
      </c>
      <c r="AG447" s="460">
        <f t="shared" si="671"/>
        <v>0</v>
      </c>
      <c r="AH447" s="461">
        <v>0</v>
      </c>
      <c r="AI447" s="461">
        <v>0</v>
      </c>
      <c r="AJ447" s="461">
        <v>0</v>
      </c>
      <c r="AK447" s="461">
        <v>0</v>
      </c>
      <c r="AL447" s="461">
        <v>0</v>
      </c>
      <c r="AM447" s="461">
        <v>0</v>
      </c>
      <c r="AN447" s="461">
        <v>0</v>
      </c>
      <c r="AO447" s="461">
        <v>0</v>
      </c>
      <c r="AP447" s="461">
        <f t="shared" si="592"/>
        <v>0</v>
      </c>
      <c r="AQ447" s="461">
        <f t="shared" si="593"/>
        <v>0</v>
      </c>
      <c r="AR447" s="737">
        <f t="shared" si="594"/>
        <v>0</v>
      </c>
      <c r="AS447" s="470">
        <f t="shared" si="595"/>
        <v>57175</v>
      </c>
      <c r="AT447" s="460">
        <f t="shared" si="596"/>
        <v>40852</v>
      </c>
      <c r="AU447" s="460">
        <f t="shared" si="597"/>
        <v>0</v>
      </c>
      <c r="AV447" s="460">
        <f t="shared" si="598"/>
        <v>13808</v>
      </c>
      <c r="AW447" s="460">
        <f t="shared" si="599"/>
        <v>409</v>
      </c>
      <c r="AX447" s="460">
        <f t="shared" si="600"/>
        <v>2106</v>
      </c>
      <c r="AY447" s="461">
        <f t="shared" si="601"/>
        <v>0.16</v>
      </c>
      <c r="AZ447" s="461">
        <f t="shared" si="602"/>
        <v>0</v>
      </c>
      <c r="BA447" s="463">
        <f t="shared" si="603"/>
        <v>0.16</v>
      </c>
    </row>
    <row r="448" spans="1:53" ht="14.1" customHeight="1" x14ac:dyDescent="0.2">
      <c r="A448" s="73">
        <v>86</v>
      </c>
      <c r="B448" s="70">
        <v>2498</v>
      </c>
      <c r="C448" s="71">
        <v>650021576</v>
      </c>
      <c r="D448" s="70">
        <v>70695539</v>
      </c>
      <c r="E448" s="72" t="s">
        <v>723</v>
      </c>
      <c r="F448" s="73"/>
      <c r="G448" s="72"/>
      <c r="H448" s="74"/>
      <c r="I448" s="701">
        <f t="shared" ref="I448:P448" si="672">SUM(I442:I447)</f>
        <v>29125483</v>
      </c>
      <c r="J448" s="75">
        <f t="shared" si="672"/>
        <v>21317532</v>
      </c>
      <c r="K448" s="75">
        <f t="shared" si="672"/>
        <v>7205326</v>
      </c>
      <c r="L448" s="75">
        <f t="shared" si="672"/>
        <v>213176</v>
      </c>
      <c r="M448" s="75">
        <f t="shared" si="672"/>
        <v>389449</v>
      </c>
      <c r="N448" s="76">
        <f t="shared" si="672"/>
        <v>40.701799999999992</v>
      </c>
      <c r="O448" s="76">
        <f t="shared" si="672"/>
        <v>27.181799999999999</v>
      </c>
      <c r="P448" s="77">
        <f t="shared" si="672"/>
        <v>13.52</v>
      </c>
      <c r="Q448" s="724">
        <f t="shared" ref="Q448:BA448" si="673">SUM(Q442:Q447)</f>
        <v>-58500</v>
      </c>
      <c r="R448" s="724">
        <f t="shared" si="673"/>
        <v>2327609</v>
      </c>
      <c r="S448" s="75">
        <f t="shared" si="673"/>
        <v>0</v>
      </c>
      <c r="T448" s="75">
        <f t="shared" si="673"/>
        <v>0</v>
      </c>
      <c r="U448" s="75">
        <f t="shared" si="673"/>
        <v>0</v>
      </c>
      <c r="V448" s="75">
        <f t="shared" si="673"/>
        <v>2269109</v>
      </c>
      <c r="W448" s="75">
        <f t="shared" si="673"/>
        <v>58500</v>
      </c>
      <c r="X448" s="75">
        <f t="shared" si="673"/>
        <v>0</v>
      </c>
      <c r="Y448" s="75">
        <f t="shared" si="673"/>
        <v>0</v>
      </c>
      <c r="Z448" s="75">
        <f t="shared" si="673"/>
        <v>58500</v>
      </c>
      <c r="AA448" s="75">
        <f t="shared" si="673"/>
        <v>2327609</v>
      </c>
      <c r="AB448" s="75">
        <f t="shared" si="673"/>
        <v>786732</v>
      </c>
      <c r="AC448" s="75">
        <f t="shared" si="673"/>
        <v>22691</v>
      </c>
      <c r="AD448" s="75">
        <f t="shared" si="673"/>
        <v>2500</v>
      </c>
      <c r="AE448" s="75">
        <f t="shared" si="673"/>
        <v>0</v>
      </c>
      <c r="AF448" s="75">
        <f t="shared" si="673"/>
        <v>2500</v>
      </c>
      <c r="AG448" s="75">
        <f t="shared" si="673"/>
        <v>3139532</v>
      </c>
      <c r="AH448" s="76">
        <f t="shared" si="673"/>
        <v>-0.06</v>
      </c>
      <c r="AI448" s="76">
        <f t="shared" si="673"/>
        <v>-0.04</v>
      </c>
      <c r="AJ448" s="76">
        <f t="shared" si="673"/>
        <v>6.45</v>
      </c>
      <c r="AK448" s="76">
        <f t="shared" si="673"/>
        <v>0</v>
      </c>
      <c r="AL448" s="76">
        <f t="shared" si="673"/>
        <v>0</v>
      </c>
      <c r="AM448" s="76">
        <f t="shared" si="673"/>
        <v>0</v>
      </c>
      <c r="AN448" s="76">
        <f t="shared" si="673"/>
        <v>0</v>
      </c>
      <c r="AO448" s="76">
        <f t="shared" si="673"/>
        <v>0</v>
      </c>
      <c r="AP448" s="76">
        <f t="shared" si="673"/>
        <v>6.3900000000000006</v>
      </c>
      <c r="AQ448" s="76">
        <f t="shared" si="673"/>
        <v>-0.04</v>
      </c>
      <c r="AR448" s="720">
        <f t="shared" si="673"/>
        <v>6.3500000000000005</v>
      </c>
      <c r="AS448" s="701">
        <f t="shared" si="673"/>
        <v>32265015</v>
      </c>
      <c r="AT448" s="75">
        <f t="shared" si="673"/>
        <v>23586641</v>
      </c>
      <c r="AU448" s="75">
        <f t="shared" si="673"/>
        <v>58500</v>
      </c>
      <c r="AV448" s="75">
        <f t="shared" si="673"/>
        <v>7992058</v>
      </c>
      <c r="AW448" s="75">
        <f t="shared" si="673"/>
        <v>235867</v>
      </c>
      <c r="AX448" s="75">
        <f t="shared" si="673"/>
        <v>391949</v>
      </c>
      <c r="AY448" s="76">
        <f t="shared" si="673"/>
        <v>47.051799999999993</v>
      </c>
      <c r="AZ448" s="76">
        <f t="shared" si="673"/>
        <v>33.571799999999996</v>
      </c>
      <c r="BA448" s="77">
        <f t="shared" si="673"/>
        <v>13.48</v>
      </c>
    </row>
    <row r="449" spans="1:53" ht="14.1" customHeight="1" x14ac:dyDescent="0.2">
      <c r="A449" s="67">
        <v>87</v>
      </c>
      <c r="B449" s="64">
        <v>2499</v>
      </c>
      <c r="C449" s="65">
        <v>650025288</v>
      </c>
      <c r="D449" s="64">
        <v>70983283</v>
      </c>
      <c r="E449" s="66" t="s">
        <v>724</v>
      </c>
      <c r="F449" s="67">
        <v>3111</v>
      </c>
      <c r="G449" s="66" t="s">
        <v>307</v>
      </c>
      <c r="H449" s="68" t="s">
        <v>277</v>
      </c>
      <c r="I449" s="462">
        <v>3036719</v>
      </c>
      <c r="J449" s="16">
        <v>2242966</v>
      </c>
      <c r="K449" s="457">
        <v>758123</v>
      </c>
      <c r="L449" s="457">
        <v>22430</v>
      </c>
      <c r="M449" s="16">
        <v>13200</v>
      </c>
      <c r="N449" s="13">
        <v>4.7041000000000004</v>
      </c>
      <c r="O449" s="13">
        <v>3.9841000000000002</v>
      </c>
      <c r="P449" s="17">
        <v>0.72</v>
      </c>
      <c r="Q449" s="469">
        <f t="shared" si="591"/>
        <v>0</v>
      </c>
      <c r="R449" s="469">
        <v>0</v>
      </c>
      <c r="S449" s="460">
        <v>0</v>
      </c>
      <c r="T449" s="460">
        <v>0</v>
      </c>
      <c r="U449" s="460">
        <v>0</v>
      </c>
      <c r="V449" s="460">
        <f t="shared" ref="V449:V454" si="674">SUM(Q449:U449)</f>
        <v>0</v>
      </c>
      <c r="W449" s="460">
        <v>0</v>
      </c>
      <c r="X449" s="460">
        <v>0</v>
      </c>
      <c r="Y449" s="460">
        <v>0</v>
      </c>
      <c r="Z449" s="460">
        <f t="shared" ref="Z449:Z454" si="675">SUM(W449:Y449)</f>
        <v>0</v>
      </c>
      <c r="AA449" s="460">
        <f t="shared" ref="AA449:AA454" si="676">V449+Z449</f>
        <v>0</v>
      </c>
      <c r="AB449" s="69">
        <f t="shared" ref="AB449:AB454" si="677">ROUND((V449+W449+X449)*33.8%,0)</f>
        <v>0</v>
      </c>
      <c r="AC449" s="69">
        <f t="shared" ref="AC449:AC454" si="678">ROUND(V449*1%,0)</f>
        <v>0</v>
      </c>
      <c r="AD449" s="460">
        <v>0</v>
      </c>
      <c r="AE449" s="460">
        <v>0</v>
      </c>
      <c r="AF449" s="460">
        <f t="shared" ref="AF449:AF454" si="679">SUM(AD449:AE449)</f>
        <v>0</v>
      </c>
      <c r="AG449" s="460">
        <f t="shared" ref="AG449:AG454" si="680">AA449+AB449+AC449+AF449</f>
        <v>0</v>
      </c>
      <c r="AH449" s="461">
        <v>0</v>
      </c>
      <c r="AI449" s="461">
        <v>0</v>
      </c>
      <c r="AJ449" s="461">
        <v>0</v>
      </c>
      <c r="AK449" s="461">
        <v>0</v>
      </c>
      <c r="AL449" s="461">
        <v>0</v>
      </c>
      <c r="AM449" s="461">
        <v>0</v>
      </c>
      <c r="AN449" s="461">
        <v>0</v>
      </c>
      <c r="AO449" s="461">
        <v>0</v>
      </c>
      <c r="AP449" s="461">
        <f t="shared" si="592"/>
        <v>0</v>
      </c>
      <c r="AQ449" s="461">
        <f t="shared" si="593"/>
        <v>0</v>
      </c>
      <c r="AR449" s="737">
        <f t="shared" si="594"/>
        <v>0</v>
      </c>
      <c r="AS449" s="470">
        <f t="shared" si="595"/>
        <v>3036719</v>
      </c>
      <c r="AT449" s="460">
        <f t="shared" si="596"/>
        <v>2242966</v>
      </c>
      <c r="AU449" s="460">
        <f t="shared" si="597"/>
        <v>0</v>
      </c>
      <c r="AV449" s="460">
        <f t="shared" si="598"/>
        <v>758123</v>
      </c>
      <c r="AW449" s="460">
        <f t="shared" si="599"/>
        <v>22430</v>
      </c>
      <c r="AX449" s="460">
        <f t="shared" si="600"/>
        <v>13200</v>
      </c>
      <c r="AY449" s="461">
        <f t="shared" si="601"/>
        <v>4.7041000000000004</v>
      </c>
      <c r="AZ449" s="461">
        <f t="shared" si="602"/>
        <v>3.9841000000000002</v>
      </c>
      <c r="BA449" s="463">
        <f t="shared" si="603"/>
        <v>0.72</v>
      </c>
    </row>
    <row r="450" spans="1:53" ht="14.1" customHeight="1" x14ac:dyDescent="0.2">
      <c r="A450" s="67">
        <v>87</v>
      </c>
      <c r="B450" s="64">
        <v>2499</v>
      </c>
      <c r="C450" s="65">
        <v>650025288</v>
      </c>
      <c r="D450" s="64">
        <v>70983283</v>
      </c>
      <c r="E450" s="66" t="s">
        <v>724</v>
      </c>
      <c r="F450" s="67">
        <v>3117</v>
      </c>
      <c r="G450" s="66" t="s">
        <v>310</v>
      </c>
      <c r="H450" s="68" t="s">
        <v>277</v>
      </c>
      <c r="I450" s="462">
        <v>4372493</v>
      </c>
      <c r="J450" s="16">
        <v>3186790</v>
      </c>
      <c r="K450" s="457">
        <v>1077135</v>
      </c>
      <c r="L450" s="457">
        <v>31868</v>
      </c>
      <c r="M450" s="16">
        <v>76700</v>
      </c>
      <c r="N450" s="13">
        <v>6.1867999999999999</v>
      </c>
      <c r="O450" s="13">
        <v>4.1368</v>
      </c>
      <c r="P450" s="17">
        <v>2.0499999999999998</v>
      </c>
      <c r="Q450" s="469">
        <f t="shared" si="591"/>
        <v>0</v>
      </c>
      <c r="R450" s="469">
        <v>0</v>
      </c>
      <c r="S450" s="460">
        <v>0</v>
      </c>
      <c r="T450" s="460">
        <v>0</v>
      </c>
      <c r="U450" s="460">
        <v>0</v>
      </c>
      <c r="V450" s="460">
        <f t="shared" si="674"/>
        <v>0</v>
      </c>
      <c r="W450" s="460">
        <v>0</v>
      </c>
      <c r="X450" s="460">
        <v>0</v>
      </c>
      <c r="Y450" s="460">
        <v>0</v>
      </c>
      <c r="Z450" s="460">
        <f t="shared" si="675"/>
        <v>0</v>
      </c>
      <c r="AA450" s="460">
        <f t="shared" si="676"/>
        <v>0</v>
      </c>
      <c r="AB450" s="69">
        <f t="shared" si="677"/>
        <v>0</v>
      </c>
      <c r="AC450" s="69">
        <f t="shared" si="678"/>
        <v>0</v>
      </c>
      <c r="AD450" s="460">
        <v>0</v>
      </c>
      <c r="AE450" s="460">
        <v>0</v>
      </c>
      <c r="AF450" s="460">
        <f t="shared" si="679"/>
        <v>0</v>
      </c>
      <c r="AG450" s="460">
        <f t="shared" si="680"/>
        <v>0</v>
      </c>
      <c r="AH450" s="461">
        <v>0</v>
      </c>
      <c r="AI450" s="461">
        <v>0</v>
      </c>
      <c r="AJ450" s="461">
        <v>0</v>
      </c>
      <c r="AK450" s="461">
        <v>0</v>
      </c>
      <c r="AL450" s="461">
        <v>0</v>
      </c>
      <c r="AM450" s="461">
        <v>0</v>
      </c>
      <c r="AN450" s="461">
        <v>0</v>
      </c>
      <c r="AO450" s="461">
        <v>0</v>
      </c>
      <c r="AP450" s="461">
        <f t="shared" si="592"/>
        <v>0</v>
      </c>
      <c r="AQ450" s="461">
        <f t="shared" si="593"/>
        <v>0</v>
      </c>
      <c r="AR450" s="737">
        <f t="shared" si="594"/>
        <v>0</v>
      </c>
      <c r="AS450" s="470">
        <f t="shared" si="595"/>
        <v>4372493</v>
      </c>
      <c r="AT450" s="460">
        <f t="shared" si="596"/>
        <v>3186790</v>
      </c>
      <c r="AU450" s="460">
        <f t="shared" si="597"/>
        <v>0</v>
      </c>
      <c r="AV450" s="460">
        <f t="shared" si="598"/>
        <v>1077135</v>
      </c>
      <c r="AW450" s="460">
        <f t="shared" si="599"/>
        <v>31868</v>
      </c>
      <c r="AX450" s="460">
        <f t="shared" si="600"/>
        <v>76700</v>
      </c>
      <c r="AY450" s="461">
        <f t="shared" si="601"/>
        <v>6.1867999999999999</v>
      </c>
      <c r="AZ450" s="461">
        <f t="shared" si="602"/>
        <v>4.1368</v>
      </c>
      <c r="BA450" s="463">
        <f t="shared" si="603"/>
        <v>2.0499999999999998</v>
      </c>
    </row>
    <row r="451" spans="1:53" ht="14.1" customHeight="1" x14ac:dyDescent="0.2">
      <c r="A451" s="67">
        <v>87</v>
      </c>
      <c r="B451" s="64">
        <v>2499</v>
      </c>
      <c r="C451" s="65">
        <v>650025288</v>
      </c>
      <c r="D451" s="64">
        <v>70983283</v>
      </c>
      <c r="E451" s="66" t="s">
        <v>724</v>
      </c>
      <c r="F451" s="67">
        <v>3117</v>
      </c>
      <c r="G451" s="66" t="s">
        <v>308</v>
      </c>
      <c r="H451" s="68" t="s">
        <v>278</v>
      </c>
      <c r="I451" s="462">
        <v>0</v>
      </c>
      <c r="J451" s="457">
        <v>0</v>
      </c>
      <c r="K451" s="457">
        <v>0</v>
      </c>
      <c r="L451" s="457">
        <v>0</v>
      </c>
      <c r="M451" s="457">
        <v>0</v>
      </c>
      <c r="N451" s="458">
        <v>0</v>
      </c>
      <c r="O451" s="459">
        <v>0</v>
      </c>
      <c r="P451" s="646">
        <v>0</v>
      </c>
      <c r="Q451" s="469">
        <f t="shared" si="591"/>
        <v>0</v>
      </c>
      <c r="R451" s="469">
        <v>307956</v>
      </c>
      <c r="S451" s="460">
        <v>0</v>
      </c>
      <c r="T451" s="460">
        <v>0</v>
      </c>
      <c r="U451" s="460">
        <v>0</v>
      </c>
      <c r="V451" s="460">
        <f t="shared" si="674"/>
        <v>307956</v>
      </c>
      <c r="W451" s="460">
        <v>0</v>
      </c>
      <c r="X451" s="460">
        <v>0</v>
      </c>
      <c r="Y451" s="460">
        <v>0</v>
      </c>
      <c r="Z451" s="460">
        <f t="shared" si="675"/>
        <v>0</v>
      </c>
      <c r="AA451" s="460">
        <f t="shared" si="676"/>
        <v>307956</v>
      </c>
      <c r="AB451" s="69">
        <f t="shared" si="677"/>
        <v>104089</v>
      </c>
      <c r="AC451" s="69">
        <f t="shared" si="678"/>
        <v>3080</v>
      </c>
      <c r="AD451" s="460">
        <v>0</v>
      </c>
      <c r="AE451" s="460">
        <v>0</v>
      </c>
      <c r="AF451" s="460">
        <f t="shared" si="679"/>
        <v>0</v>
      </c>
      <c r="AG451" s="460">
        <f t="shared" si="680"/>
        <v>415125</v>
      </c>
      <c r="AH451" s="461">
        <v>0</v>
      </c>
      <c r="AI451" s="461">
        <v>0</v>
      </c>
      <c r="AJ451" s="461">
        <v>0.89</v>
      </c>
      <c r="AK451" s="461">
        <v>0</v>
      </c>
      <c r="AL451" s="461">
        <v>0</v>
      </c>
      <c r="AM451" s="461">
        <v>0</v>
      </c>
      <c r="AN451" s="461">
        <v>0</v>
      </c>
      <c r="AO451" s="461">
        <v>0</v>
      </c>
      <c r="AP451" s="461">
        <f t="shared" si="592"/>
        <v>0.89</v>
      </c>
      <c r="AQ451" s="461">
        <f t="shared" si="593"/>
        <v>0</v>
      </c>
      <c r="AR451" s="737">
        <f t="shared" si="594"/>
        <v>0.89</v>
      </c>
      <c r="AS451" s="470">
        <f t="shared" si="595"/>
        <v>415125</v>
      </c>
      <c r="AT451" s="460">
        <f t="shared" si="596"/>
        <v>307956</v>
      </c>
      <c r="AU451" s="460">
        <f t="shared" si="597"/>
        <v>0</v>
      </c>
      <c r="AV451" s="460">
        <f t="shared" si="598"/>
        <v>104089</v>
      </c>
      <c r="AW451" s="460">
        <f t="shared" si="599"/>
        <v>3080</v>
      </c>
      <c r="AX451" s="460">
        <f t="shared" si="600"/>
        <v>0</v>
      </c>
      <c r="AY451" s="461">
        <f t="shared" si="601"/>
        <v>0.89</v>
      </c>
      <c r="AZ451" s="461">
        <f t="shared" si="602"/>
        <v>0.89</v>
      </c>
      <c r="BA451" s="463">
        <f t="shared" si="603"/>
        <v>0</v>
      </c>
    </row>
    <row r="452" spans="1:53" ht="14.1" customHeight="1" x14ac:dyDescent="0.2">
      <c r="A452" s="67">
        <v>87</v>
      </c>
      <c r="B452" s="64">
        <v>2499</v>
      </c>
      <c r="C452" s="65">
        <v>650025288</v>
      </c>
      <c r="D452" s="64">
        <v>70983283</v>
      </c>
      <c r="E452" s="66" t="s">
        <v>724</v>
      </c>
      <c r="F452" s="67">
        <v>3141</v>
      </c>
      <c r="G452" s="66" t="s">
        <v>311</v>
      </c>
      <c r="H452" s="68" t="s">
        <v>278</v>
      </c>
      <c r="I452" s="462">
        <v>988989</v>
      </c>
      <c r="J452" s="457">
        <v>730431</v>
      </c>
      <c r="K452" s="457">
        <v>246886</v>
      </c>
      <c r="L452" s="457">
        <v>7304</v>
      </c>
      <c r="M452" s="457">
        <v>4368</v>
      </c>
      <c r="N452" s="458">
        <v>2.3530000000000002</v>
      </c>
      <c r="O452" s="459">
        <v>0</v>
      </c>
      <c r="P452" s="646">
        <v>2.3530000000000002</v>
      </c>
      <c r="Q452" s="469">
        <f t="shared" si="591"/>
        <v>0</v>
      </c>
      <c r="R452" s="469">
        <v>0</v>
      </c>
      <c r="S452" s="460">
        <v>0</v>
      </c>
      <c r="T452" s="460">
        <v>0</v>
      </c>
      <c r="U452" s="460">
        <v>0</v>
      </c>
      <c r="V452" s="460">
        <f t="shared" si="674"/>
        <v>0</v>
      </c>
      <c r="W452" s="460">
        <v>0</v>
      </c>
      <c r="X452" s="460">
        <v>0</v>
      </c>
      <c r="Y452" s="460">
        <v>0</v>
      </c>
      <c r="Z452" s="460">
        <f t="shared" si="675"/>
        <v>0</v>
      </c>
      <c r="AA452" s="460">
        <f t="shared" si="676"/>
        <v>0</v>
      </c>
      <c r="AB452" s="69">
        <f t="shared" si="677"/>
        <v>0</v>
      </c>
      <c r="AC452" s="69">
        <f t="shared" si="678"/>
        <v>0</v>
      </c>
      <c r="AD452" s="460">
        <v>0</v>
      </c>
      <c r="AE452" s="460">
        <v>0</v>
      </c>
      <c r="AF452" s="460">
        <f t="shared" si="679"/>
        <v>0</v>
      </c>
      <c r="AG452" s="460">
        <f t="shared" si="680"/>
        <v>0</v>
      </c>
      <c r="AH452" s="461">
        <v>0</v>
      </c>
      <c r="AI452" s="461">
        <v>0</v>
      </c>
      <c r="AJ452" s="461">
        <v>0</v>
      </c>
      <c r="AK452" s="461">
        <v>0</v>
      </c>
      <c r="AL452" s="461">
        <v>0</v>
      </c>
      <c r="AM452" s="461">
        <v>0</v>
      </c>
      <c r="AN452" s="461">
        <v>0</v>
      </c>
      <c r="AO452" s="461">
        <v>0</v>
      </c>
      <c r="AP452" s="461">
        <f t="shared" si="592"/>
        <v>0</v>
      </c>
      <c r="AQ452" s="461">
        <f t="shared" si="593"/>
        <v>0</v>
      </c>
      <c r="AR452" s="737">
        <f t="shared" si="594"/>
        <v>0</v>
      </c>
      <c r="AS452" s="470">
        <f t="shared" si="595"/>
        <v>988989</v>
      </c>
      <c r="AT452" s="460">
        <f t="shared" si="596"/>
        <v>730431</v>
      </c>
      <c r="AU452" s="460">
        <f t="shared" si="597"/>
        <v>0</v>
      </c>
      <c r="AV452" s="460">
        <f t="shared" si="598"/>
        <v>246886</v>
      </c>
      <c r="AW452" s="460">
        <f t="shared" si="599"/>
        <v>7304</v>
      </c>
      <c r="AX452" s="460">
        <f t="shared" si="600"/>
        <v>4368</v>
      </c>
      <c r="AY452" s="461">
        <f t="shared" si="601"/>
        <v>2.3530000000000002</v>
      </c>
      <c r="AZ452" s="461">
        <f t="shared" si="602"/>
        <v>0</v>
      </c>
      <c r="BA452" s="463">
        <f t="shared" si="603"/>
        <v>2.3530000000000002</v>
      </c>
    </row>
    <row r="453" spans="1:53" ht="14.1" customHeight="1" x14ac:dyDescent="0.2">
      <c r="A453" s="67">
        <v>87</v>
      </c>
      <c r="B453" s="64">
        <v>2499</v>
      </c>
      <c r="C453" s="65">
        <v>650025288</v>
      </c>
      <c r="D453" s="64">
        <v>70983283</v>
      </c>
      <c r="E453" s="66" t="s">
        <v>724</v>
      </c>
      <c r="F453" s="67">
        <v>3143</v>
      </c>
      <c r="G453" s="78" t="s">
        <v>616</v>
      </c>
      <c r="H453" s="68" t="s">
        <v>277</v>
      </c>
      <c r="I453" s="462">
        <v>1014363</v>
      </c>
      <c r="J453" s="16">
        <v>752495</v>
      </c>
      <c r="K453" s="457">
        <v>254343</v>
      </c>
      <c r="L453" s="457">
        <v>7525</v>
      </c>
      <c r="M453" s="16">
        <v>0</v>
      </c>
      <c r="N453" s="458">
        <v>1.6073999999999999</v>
      </c>
      <c r="O453" s="13">
        <v>1.6073999999999999</v>
      </c>
      <c r="P453" s="17">
        <v>0</v>
      </c>
      <c r="Q453" s="469">
        <f t="shared" si="591"/>
        <v>0</v>
      </c>
      <c r="R453" s="469">
        <v>0</v>
      </c>
      <c r="S453" s="460">
        <v>0</v>
      </c>
      <c r="T453" s="460">
        <v>0</v>
      </c>
      <c r="U453" s="460">
        <v>0</v>
      </c>
      <c r="V453" s="460">
        <f t="shared" si="674"/>
        <v>0</v>
      </c>
      <c r="W453" s="460">
        <v>0</v>
      </c>
      <c r="X453" s="460">
        <v>0</v>
      </c>
      <c r="Y453" s="460">
        <v>0</v>
      </c>
      <c r="Z453" s="460">
        <f t="shared" si="675"/>
        <v>0</v>
      </c>
      <c r="AA453" s="460">
        <f t="shared" si="676"/>
        <v>0</v>
      </c>
      <c r="AB453" s="69">
        <f t="shared" si="677"/>
        <v>0</v>
      </c>
      <c r="AC453" s="69">
        <f t="shared" si="678"/>
        <v>0</v>
      </c>
      <c r="AD453" s="460">
        <v>0</v>
      </c>
      <c r="AE453" s="460">
        <v>0</v>
      </c>
      <c r="AF453" s="460">
        <f t="shared" si="679"/>
        <v>0</v>
      </c>
      <c r="AG453" s="460">
        <f t="shared" si="680"/>
        <v>0</v>
      </c>
      <c r="AH453" s="461">
        <v>0</v>
      </c>
      <c r="AI453" s="461">
        <v>0</v>
      </c>
      <c r="AJ453" s="461">
        <v>0</v>
      </c>
      <c r="AK453" s="461">
        <v>0</v>
      </c>
      <c r="AL453" s="461">
        <v>0</v>
      </c>
      <c r="AM453" s="461">
        <v>0</v>
      </c>
      <c r="AN453" s="461">
        <v>0</v>
      </c>
      <c r="AO453" s="461">
        <v>0</v>
      </c>
      <c r="AP453" s="461">
        <f t="shared" si="592"/>
        <v>0</v>
      </c>
      <c r="AQ453" s="461">
        <f t="shared" si="593"/>
        <v>0</v>
      </c>
      <c r="AR453" s="737">
        <f t="shared" si="594"/>
        <v>0</v>
      </c>
      <c r="AS453" s="470">
        <f t="shared" si="595"/>
        <v>1014363</v>
      </c>
      <c r="AT453" s="460">
        <f t="shared" si="596"/>
        <v>752495</v>
      </c>
      <c r="AU453" s="460">
        <f t="shared" si="597"/>
        <v>0</v>
      </c>
      <c r="AV453" s="460">
        <f t="shared" si="598"/>
        <v>254343</v>
      </c>
      <c r="AW453" s="460">
        <f t="shared" si="599"/>
        <v>7525</v>
      </c>
      <c r="AX453" s="460">
        <f t="shared" si="600"/>
        <v>0</v>
      </c>
      <c r="AY453" s="461">
        <f t="shared" si="601"/>
        <v>1.6073999999999999</v>
      </c>
      <c r="AZ453" s="461">
        <f t="shared" si="602"/>
        <v>1.6073999999999999</v>
      </c>
      <c r="BA453" s="463">
        <f t="shared" si="603"/>
        <v>0</v>
      </c>
    </row>
    <row r="454" spans="1:53" ht="14.1" customHeight="1" x14ac:dyDescent="0.2">
      <c r="A454" s="67">
        <v>87</v>
      </c>
      <c r="B454" s="64">
        <v>2499</v>
      </c>
      <c r="C454" s="65">
        <v>650025288</v>
      </c>
      <c r="D454" s="64">
        <v>70983283</v>
      </c>
      <c r="E454" s="66" t="s">
        <v>724</v>
      </c>
      <c r="F454" s="67">
        <v>3143</v>
      </c>
      <c r="G454" s="78" t="s">
        <v>617</v>
      </c>
      <c r="H454" s="68" t="s">
        <v>278</v>
      </c>
      <c r="I454" s="462">
        <v>29321</v>
      </c>
      <c r="J454" s="673">
        <v>20950</v>
      </c>
      <c r="K454" s="457">
        <v>7081</v>
      </c>
      <c r="L454" s="457">
        <v>210</v>
      </c>
      <c r="M454" s="673">
        <v>1080</v>
      </c>
      <c r="N454" s="458">
        <v>0.08</v>
      </c>
      <c r="O454" s="459">
        <v>0</v>
      </c>
      <c r="P454" s="717">
        <v>0.08</v>
      </c>
      <c r="Q454" s="469">
        <f t="shared" si="591"/>
        <v>0</v>
      </c>
      <c r="R454" s="469">
        <v>0</v>
      </c>
      <c r="S454" s="460">
        <v>0</v>
      </c>
      <c r="T454" s="460">
        <v>0</v>
      </c>
      <c r="U454" s="460">
        <v>0</v>
      </c>
      <c r="V454" s="460">
        <f t="shared" si="674"/>
        <v>0</v>
      </c>
      <c r="W454" s="460">
        <v>0</v>
      </c>
      <c r="X454" s="460">
        <v>0</v>
      </c>
      <c r="Y454" s="460">
        <v>0</v>
      </c>
      <c r="Z454" s="460">
        <f t="shared" si="675"/>
        <v>0</v>
      </c>
      <c r="AA454" s="460">
        <f t="shared" si="676"/>
        <v>0</v>
      </c>
      <c r="AB454" s="69">
        <f t="shared" si="677"/>
        <v>0</v>
      </c>
      <c r="AC454" s="69">
        <f t="shared" si="678"/>
        <v>0</v>
      </c>
      <c r="AD454" s="460">
        <v>0</v>
      </c>
      <c r="AE454" s="460">
        <v>0</v>
      </c>
      <c r="AF454" s="460">
        <f t="shared" si="679"/>
        <v>0</v>
      </c>
      <c r="AG454" s="460">
        <f t="shared" si="680"/>
        <v>0</v>
      </c>
      <c r="AH454" s="461">
        <v>0</v>
      </c>
      <c r="AI454" s="461">
        <v>0</v>
      </c>
      <c r="AJ454" s="461">
        <v>0</v>
      </c>
      <c r="AK454" s="461">
        <v>0</v>
      </c>
      <c r="AL454" s="461">
        <v>0</v>
      </c>
      <c r="AM454" s="461">
        <v>0</v>
      </c>
      <c r="AN454" s="461">
        <v>0</v>
      </c>
      <c r="AO454" s="461">
        <v>0</v>
      </c>
      <c r="AP454" s="461">
        <f t="shared" si="592"/>
        <v>0</v>
      </c>
      <c r="AQ454" s="461">
        <f t="shared" si="593"/>
        <v>0</v>
      </c>
      <c r="AR454" s="737">
        <f t="shared" si="594"/>
        <v>0</v>
      </c>
      <c r="AS454" s="470">
        <f t="shared" si="595"/>
        <v>29321</v>
      </c>
      <c r="AT454" s="460">
        <f t="shared" si="596"/>
        <v>20950</v>
      </c>
      <c r="AU454" s="460">
        <f t="shared" si="597"/>
        <v>0</v>
      </c>
      <c r="AV454" s="460">
        <f t="shared" si="598"/>
        <v>7081</v>
      </c>
      <c r="AW454" s="460">
        <f t="shared" si="599"/>
        <v>210</v>
      </c>
      <c r="AX454" s="460">
        <f t="shared" si="600"/>
        <v>1080</v>
      </c>
      <c r="AY454" s="461">
        <f t="shared" si="601"/>
        <v>0.08</v>
      </c>
      <c r="AZ454" s="461">
        <f t="shared" si="602"/>
        <v>0</v>
      </c>
      <c r="BA454" s="463">
        <f t="shared" si="603"/>
        <v>0.08</v>
      </c>
    </row>
    <row r="455" spans="1:53" ht="14.1" customHeight="1" x14ac:dyDescent="0.2">
      <c r="A455" s="73">
        <v>87</v>
      </c>
      <c r="B455" s="70">
        <v>2499</v>
      </c>
      <c r="C455" s="71">
        <v>650025288</v>
      </c>
      <c r="D455" s="70">
        <v>70983283</v>
      </c>
      <c r="E455" s="72" t="s">
        <v>725</v>
      </c>
      <c r="F455" s="73"/>
      <c r="G455" s="72"/>
      <c r="H455" s="74"/>
      <c r="I455" s="701">
        <f t="shared" ref="I455:P455" si="681">SUM(I449:I454)</f>
        <v>9441885</v>
      </c>
      <c r="J455" s="75">
        <f t="shared" si="681"/>
        <v>6933632</v>
      </c>
      <c r="K455" s="75">
        <f t="shared" si="681"/>
        <v>2343568</v>
      </c>
      <c r="L455" s="75">
        <f t="shared" si="681"/>
        <v>69337</v>
      </c>
      <c r="M455" s="75">
        <f t="shared" si="681"/>
        <v>95348</v>
      </c>
      <c r="N455" s="76">
        <f t="shared" si="681"/>
        <v>14.9313</v>
      </c>
      <c r="O455" s="76">
        <f t="shared" si="681"/>
        <v>9.7283000000000008</v>
      </c>
      <c r="P455" s="77">
        <f t="shared" si="681"/>
        <v>5.2029999999999994</v>
      </c>
      <c r="Q455" s="724">
        <f t="shared" ref="Q455:BA455" si="682">SUM(Q449:Q454)</f>
        <v>0</v>
      </c>
      <c r="R455" s="724">
        <f t="shared" si="682"/>
        <v>307956</v>
      </c>
      <c r="S455" s="75">
        <f t="shared" si="682"/>
        <v>0</v>
      </c>
      <c r="T455" s="75">
        <f t="shared" si="682"/>
        <v>0</v>
      </c>
      <c r="U455" s="75">
        <f t="shared" si="682"/>
        <v>0</v>
      </c>
      <c r="V455" s="75">
        <f t="shared" si="682"/>
        <v>307956</v>
      </c>
      <c r="W455" s="75">
        <f t="shared" si="682"/>
        <v>0</v>
      </c>
      <c r="X455" s="75">
        <f t="shared" si="682"/>
        <v>0</v>
      </c>
      <c r="Y455" s="75">
        <f t="shared" si="682"/>
        <v>0</v>
      </c>
      <c r="Z455" s="75">
        <f t="shared" si="682"/>
        <v>0</v>
      </c>
      <c r="AA455" s="75">
        <f t="shared" si="682"/>
        <v>307956</v>
      </c>
      <c r="AB455" s="75">
        <f t="shared" si="682"/>
        <v>104089</v>
      </c>
      <c r="AC455" s="75">
        <f t="shared" si="682"/>
        <v>3080</v>
      </c>
      <c r="AD455" s="75">
        <f t="shared" si="682"/>
        <v>0</v>
      </c>
      <c r="AE455" s="75">
        <f t="shared" si="682"/>
        <v>0</v>
      </c>
      <c r="AF455" s="75">
        <f t="shared" si="682"/>
        <v>0</v>
      </c>
      <c r="AG455" s="75">
        <f t="shared" si="682"/>
        <v>415125</v>
      </c>
      <c r="AH455" s="76">
        <f t="shared" si="682"/>
        <v>0</v>
      </c>
      <c r="AI455" s="76">
        <f t="shared" si="682"/>
        <v>0</v>
      </c>
      <c r="AJ455" s="76">
        <f t="shared" si="682"/>
        <v>0.89</v>
      </c>
      <c r="AK455" s="76">
        <f t="shared" si="682"/>
        <v>0</v>
      </c>
      <c r="AL455" s="76">
        <f t="shared" si="682"/>
        <v>0</v>
      </c>
      <c r="AM455" s="76">
        <f t="shared" si="682"/>
        <v>0</v>
      </c>
      <c r="AN455" s="76">
        <f t="shared" si="682"/>
        <v>0</v>
      </c>
      <c r="AO455" s="76">
        <f t="shared" si="682"/>
        <v>0</v>
      </c>
      <c r="AP455" s="76">
        <f t="shared" si="682"/>
        <v>0.89</v>
      </c>
      <c r="AQ455" s="76">
        <f t="shared" si="682"/>
        <v>0</v>
      </c>
      <c r="AR455" s="720">
        <f t="shared" si="682"/>
        <v>0.89</v>
      </c>
      <c r="AS455" s="701">
        <f t="shared" si="682"/>
        <v>9857010</v>
      </c>
      <c r="AT455" s="75">
        <f t="shared" si="682"/>
        <v>7241588</v>
      </c>
      <c r="AU455" s="75">
        <f t="shared" si="682"/>
        <v>0</v>
      </c>
      <c r="AV455" s="75">
        <f t="shared" si="682"/>
        <v>2447657</v>
      </c>
      <c r="AW455" s="75">
        <f t="shared" si="682"/>
        <v>72417</v>
      </c>
      <c r="AX455" s="75">
        <f t="shared" si="682"/>
        <v>95348</v>
      </c>
      <c r="AY455" s="76">
        <f t="shared" si="682"/>
        <v>15.821300000000001</v>
      </c>
      <c r="AZ455" s="76">
        <f t="shared" si="682"/>
        <v>10.618300000000001</v>
      </c>
      <c r="BA455" s="77">
        <f t="shared" si="682"/>
        <v>5.2029999999999994</v>
      </c>
    </row>
    <row r="456" spans="1:53" ht="14.1" customHeight="1" x14ac:dyDescent="0.2">
      <c r="A456" s="67">
        <v>88</v>
      </c>
      <c r="B456" s="64">
        <v>2331</v>
      </c>
      <c r="C456" s="65">
        <v>691014302</v>
      </c>
      <c r="D456" s="64" t="s">
        <v>784</v>
      </c>
      <c r="E456" s="66" t="s">
        <v>791</v>
      </c>
      <c r="F456" s="67">
        <v>3111</v>
      </c>
      <c r="G456" s="66" t="s">
        <v>307</v>
      </c>
      <c r="H456" s="68" t="s">
        <v>277</v>
      </c>
      <c r="I456" s="462">
        <v>3221571</v>
      </c>
      <c r="J456" s="16">
        <v>2378243</v>
      </c>
      <c r="K456" s="457">
        <v>803846</v>
      </c>
      <c r="L456" s="457">
        <v>23782</v>
      </c>
      <c r="M456" s="16">
        <v>15700</v>
      </c>
      <c r="N456" s="13">
        <v>5.34</v>
      </c>
      <c r="O456" s="13">
        <v>4.22</v>
      </c>
      <c r="P456" s="17">
        <v>1.1200000000000001</v>
      </c>
      <c r="Q456" s="469">
        <f t="shared" si="591"/>
        <v>0</v>
      </c>
      <c r="R456" s="469">
        <v>0</v>
      </c>
      <c r="S456" s="460">
        <v>0</v>
      </c>
      <c r="T456" s="460">
        <v>0</v>
      </c>
      <c r="U456" s="460">
        <v>0</v>
      </c>
      <c r="V456" s="460">
        <f>SUM(Q456:U456)</f>
        <v>0</v>
      </c>
      <c r="W456" s="460">
        <v>0</v>
      </c>
      <c r="X456" s="460">
        <v>0</v>
      </c>
      <c r="Y456" s="460">
        <v>0</v>
      </c>
      <c r="Z456" s="460">
        <f t="shared" ref="Z456:Z457" si="683">SUM(W456:Y456)</f>
        <v>0</v>
      </c>
      <c r="AA456" s="460">
        <f t="shared" ref="AA456:AA457" si="684">V456+Z456</f>
        <v>0</v>
      </c>
      <c r="AB456" s="69">
        <f t="shared" ref="AB456:AB457" si="685">ROUND((V456+W456+X456)*33.8%,0)</f>
        <v>0</v>
      </c>
      <c r="AC456" s="69">
        <f t="shared" ref="AC456:AC457" si="686">ROUND(V456*1%,0)</f>
        <v>0</v>
      </c>
      <c r="AD456" s="460">
        <v>0</v>
      </c>
      <c r="AE456" s="460">
        <v>0</v>
      </c>
      <c r="AF456" s="460">
        <f>SUM(AD456:AE456)</f>
        <v>0</v>
      </c>
      <c r="AG456" s="460">
        <f>AA456+AB456+AC456+AF456</f>
        <v>0</v>
      </c>
      <c r="AH456" s="461">
        <v>0</v>
      </c>
      <c r="AI456" s="461">
        <v>0</v>
      </c>
      <c r="AJ456" s="461">
        <v>0</v>
      </c>
      <c r="AK456" s="461">
        <v>0</v>
      </c>
      <c r="AL456" s="461">
        <v>0</v>
      </c>
      <c r="AM456" s="461">
        <v>0</v>
      </c>
      <c r="AN456" s="461">
        <v>0</v>
      </c>
      <c r="AO456" s="461">
        <v>0</v>
      </c>
      <c r="AP456" s="461">
        <f t="shared" si="592"/>
        <v>0</v>
      </c>
      <c r="AQ456" s="461">
        <f t="shared" si="593"/>
        <v>0</v>
      </c>
      <c r="AR456" s="737">
        <f t="shared" si="594"/>
        <v>0</v>
      </c>
      <c r="AS456" s="470">
        <f t="shared" si="595"/>
        <v>3221571</v>
      </c>
      <c r="AT456" s="460">
        <f t="shared" si="596"/>
        <v>2378243</v>
      </c>
      <c r="AU456" s="460">
        <f t="shared" si="597"/>
        <v>0</v>
      </c>
      <c r="AV456" s="460">
        <f t="shared" si="598"/>
        <v>803846</v>
      </c>
      <c r="AW456" s="460">
        <f t="shared" si="599"/>
        <v>23782</v>
      </c>
      <c r="AX456" s="460">
        <f t="shared" si="600"/>
        <v>15700</v>
      </c>
      <c r="AY456" s="461">
        <f t="shared" si="601"/>
        <v>5.34</v>
      </c>
      <c r="AZ456" s="461">
        <f t="shared" si="602"/>
        <v>4.22</v>
      </c>
      <c r="BA456" s="463">
        <f t="shared" si="603"/>
        <v>1.1200000000000001</v>
      </c>
    </row>
    <row r="457" spans="1:53" ht="14.1" customHeight="1" x14ac:dyDescent="0.2">
      <c r="A457" s="67">
        <v>88</v>
      </c>
      <c r="B457" s="64">
        <v>2331</v>
      </c>
      <c r="C457" s="65">
        <v>691014302</v>
      </c>
      <c r="D457" s="64" t="s">
        <v>784</v>
      </c>
      <c r="E457" s="66" t="s">
        <v>791</v>
      </c>
      <c r="F457" s="67">
        <v>3141</v>
      </c>
      <c r="G457" s="66" t="s">
        <v>311</v>
      </c>
      <c r="H457" s="68" t="s">
        <v>278</v>
      </c>
      <c r="I457" s="462">
        <v>429601</v>
      </c>
      <c r="J457" s="728">
        <v>317615</v>
      </c>
      <c r="K457" s="457">
        <v>107354</v>
      </c>
      <c r="L457" s="457">
        <v>3176</v>
      </c>
      <c r="M457" s="728">
        <v>1456</v>
      </c>
      <c r="N457" s="458">
        <v>1.02</v>
      </c>
      <c r="O457" s="459">
        <v>0</v>
      </c>
      <c r="P457" s="646">
        <v>1.02</v>
      </c>
      <c r="Q457" s="469">
        <f t="shared" si="591"/>
        <v>0</v>
      </c>
      <c r="R457" s="469">
        <v>0</v>
      </c>
      <c r="S457" s="460">
        <v>0</v>
      </c>
      <c r="T457" s="460">
        <v>0</v>
      </c>
      <c r="U457" s="460">
        <v>0</v>
      </c>
      <c r="V457" s="460">
        <f>SUM(Q457:U457)</f>
        <v>0</v>
      </c>
      <c r="W457" s="460">
        <v>0</v>
      </c>
      <c r="X457" s="460">
        <v>0</v>
      </c>
      <c r="Y457" s="460">
        <v>0</v>
      </c>
      <c r="Z457" s="460">
        <f t="shared" si="683"/>
        <v>0</v>
      </c>
      <c r="AA457" s="460">
        <f t="shared" si="684"/>
        <v>0</v>
      </c>
      <c r="AB457" s="69">
        <f t="shared" si="685"/>
        <v>0</v>
      </c>
      <c r="AC457" s="69">
        <f t="shared" si="686"/>
        <v>0</v>
      </c>
      <c r="AD457" s="460">
        <v>0</v>
      </c>
      <c r="AE457" s="460">
        <v>0</v>
      </c>
      <c r="AF457" s="460">
        <f>SUM(AD457:AE457)</f>
        <v>0</v>
      </c>
      <c r="AG457" s="460">
        <f>AA457+AB457+AC457+AF457</f>
        <v>0</v>
      </c>
      <c r="AH457" s="461">
        <v>0</v>
      </c>
      <c r="AI457" s="461">
        <v>0</v>
      </c>
      <c r="AJ457" s="461">
        <v>0</v>
      </c>
      <c r="AK457" s="461">
        <v>0</v>
      </c>
      <c r="AL457" s="461">
        <v>0</v>
      </c>
      <c r="AM457" s="461">
        <v>0</v>
      </c>
      <c r="AN457" s="461">
        <v>0</v>
      </c>
      <c r="AO457" s="461">
        <v>0</v>
      </c>
      <c r="AP457" s="461">
        <f t="shared" si="592"/>
        <v>0</v>
      </c>
      <c r="AQ457" s="461">
        <f t="shared" si="593"/>
        <v>0</v>
      </c>
      <c r="AR457" s="737">
        <f t="shared" si="594"/>
        <v>0</v>
      </c>
      <c r="AS457" s="470">
        <f t="shared" si="595"/>
        <v>429601</v>
      </c>
      <c r="AT457" s="460">
        <f t="shared" si="596"/>
        <v>317615</v>
      </c>
      <c r="AU457" s="460">
        <f t="shared" si="597"/>
        <v>0</v>
      </c>
      <c r="AV457" s="460">
        <f t="shared" si="598"/>
        <v>107354</v>
      </c>
      <c r="AW457" s="460">
        <f t="shared" si="599"/>
        <v>3176</v>
      </c>
      <c r="AX457" s="460">
        <f t="shared" si="600"/>
        <v>1456</v>
      </c>
      <c r="AY457" s="461">
        <f t="shared" si="601"/>
        <v>1.02</v>
      </c>
      <c r="AZ457" s="461">
        <f t="shared" si="602"/>
        <v>0</v>
      </c>
      <c r="BA457" s="463">
        <f t="shared" si="603"/>
        <v>1.02</v>
      </c>
    </row>
    <row r="458" spans="1:53" ht="14.1" customHeight="1" x14ac:dyDescent="0.2">
      <c r="A458" s="73">
        <v>88</v>
      </c>
      <c r="B458" s="70">
        <v>2331</v>
      </c>
      <c r="C458" s="71">
        <v>691014302</v>
      </c>
      <c r="D458" s="70" t="s">
        <v>784</v>
      </c>
      <c r="E458" s="72" t="s">
        <v>792</v>
      </c>
      <c r="F458" s="207"/>
      <c r="G458" s="72"/>
      <c r="H458" s="74"/>
      <c r="I458" s="701">
        <f t="shared" ref="I458:P458" si="687">SUM(I456:I457)</f>
        <v>3651172</v>
      </c>
      <c r="J458" s="75">
        <f t="shared" si="687"/>
        <v>2695858</v>
      </c>
      <c r="K458" s="75">
        <f t="shared" si="687"/>
        <v>911200</v>
      </c>
      <c r="L458" s="75">
        <f t="shared" si="687"/>
        <v>26958</v>
      </c>
      <c r="M458" s="75">
        <f t="shared" si="687"/>
        <v>17156</v>
      </c>
      <c r="N458" s="76">
        <f t="shared" si="687"/>
        <v>6.3599999999999994</v>
      </c>
      <c r="O458" s="76">
        <f t="shared" si="687"/>
        <v>4.22</v>
      </c>
      <c r="P458" s="77">
        <f t="shared" si="687"/>
        <v>2.14</v>
      </c>
      <c r="Q458" s="724">
        <f t="shared" ref="Q458:BA458" si="688">SUM(Q456:Q457)</f>
        <v>0</v>
      </c>
      <c r="R458" s="724">
        <f t="shared" si="688"/>
        <v>0</v>
      </c>
      <c r="S458" s="75">
        <f t="shared" si="688"/>
        <v>0</v>
      </c>
      <c r="T458" s="75">
        <f t="shared" si="688"/>
        <v>0</v>
      </c>
      <c r="U458" s="75">
        <f t="shared" si="688"/>
        <v>0</v>
      </c>
      <c r="V458" s="75">
        <f t="shared" si="688"/>
        <v>0</v>
      </c>
      <c r="W458" s="75">
        <f t="shared" si="688"/>
        <v>0</v>
      </c>
      <c r="X458" s="75">
        <f t="shared" si="688"/>
        <v>0</v>
      </c>
      <c r="Y458" s="75">
        <f t="shared" si="688"/>
        <v>0</v>
      </c>
      <c r="Z458" s="75">
        <f t="shared" si="688"/>
        <v>0</v>
      </c>
      <c r="AA458" s="75">
        <f t="shared" si="688"/>
        <v>0</v>
      </c>
      <c r="AB458" s="75">
        <f t="shared" si="688"/>
        <v>0</v>
      </c>
      <c r="AC458" s="75">
        <f t="shared" si="688"/>
        <v>0</v>
      </c>
      <c r="AD458" s="75">
        <f t="shared" si="688"/>
        <v>0</v>
      </c>
      <c r="AE458" s="75">
        <f t="shared" si="688"/>
        <v>0</v>
      </c>
      <c r="AF458" s="75">
        <f t="shared" si="688"/>
        <v>0</v>
      </c>
      <c r="AG458" s="75">
        <f t="shared" si="688"/>
        <v>0</v>
      </c>
      <c r="AH458" s="76">
        <f t="shared" si="688"/>
        <v>0</v>
      </c>
      <c r="AI458" s="76">
        <f t="shared" si="688"/>
        <v>0</v>
      </c>
      <c r="AJ458" s="76">
        <f t="shared" si="688"/>
        <v>0</v>
      </c>
      <c r="AK458" s="76">
        <f t="shared" si="688"/>
        <v>0</v>
      </c>
      <c r="AL458" s="76">
        <f t="shared" si="688"/>
        <v>0</v>
      </c>
      <c r="AM458" s="76">
        <f t="shared" si="688"/>
        <v>0</v>
      </c>
      <c r="AN458" s="76">
        <f t="shared" si="688"/>
        <v>0</v>
      </c>
      <c r="AO458" s="76">
        <f t="shared" si="688"/>
        <v>0</v>
      </c>
      <c r="AP458" s="76">
        <f t="shared" si="688"/>
        <v>0</v>
      </c>
      <c r="AQ458" s="76">
        <f t="shared" si="688"/>
        <v>0</v>
      </c>
      <c r="AR458" s="720">
        <f t="shared" si="688"/>
        <v>0</v>
      </c>
      <c r="AS458" s="701">
        <f t="shared" si="688"/>
        <v>3651172</v>
      </c>
      <c r="AT458" s="75">
        <f t="shared" si="688"/>
        <v>2695858</v>
      </c>
      <c r="AU458" s="75">
        <f t="shared" si="688"/>
        <v>0</v>
      </c>
      <c r="AV458" s="75">
        <f t="shared" si="688"/>
        <v>911200</v>
      </c>
      <c r="AW458" s="75">
        <f t="shared" si="688"/>
        <v>26958</v>
      </c>
      <c r="AX458" s="75">
        <f t="shared" si="688"/>
        <v>17156</v>
      </c>
      <c r="AY458" s="76">
        <f t="shared" si="688"/>
        <v>6.3599999999999994</v>
      </c>
      <c r="AZ458" s="76">
        <f t="shared" si="688"/>
        <v>4.22</v>
      </c>
      <c r="BA458" s="77">
        <f t="shared" si="688"/>
        <v>2.14</v>
      </c>
    </row>
    <row r="459" spans="1:53" ht="14.1" customHeight="1" x14ac:dyDescent="0.2">
      <c r="A459" s="67">
        <v>89</v>
      </c>
      <c r="B459" s="197">
        <v>2332</v>
      </c>
      <c r="C459" s="197">
        <v>691015295</v>
      </c>
      <c r="D459" s="198">
        <v>10988122</v>
      </c>
      <c r="E459" s="195" t="s">
        <v>805</v>
      </c>
      <c r="F459" s="208">
        <v>3111</v>
      </c>
      <c r="G459" s="209" t="s">
        <v>307</v>
      </c>
      <c r="H459" s="68" t="s">
        <v>277</v>
      </c>
      <c r="I459" s="462">
        <v>5264305</v>
      </c>
      <c r="J459" s="16">
        <v>3883832</v>
      </c>
      <c r="K459" s="457">
        <v>1312735</v>
      </c>
      <c r="L459" s="457">
        <v>38838</v>
      </c>
      <c r="M459" s="16">
        <v>28900</v>
      </c>
      <c r="N459" s="13">
        <v>8.1639999999999997</v>
      </c>
      <c r="O459" s="13">
        <v>6.484</v>
      </c>
      <c r="P459" s="17">
        <v>1.6800000000000002</v>
      </c>
      <c r="Q459" s="469">
        <f t="shared" si="591"/>
        <v>0</v>
      </c>
      <c r="R459" s="469">
        <v>0</v>
      </c>
      <c r="S459" s="460">
        <v>0</v>
      </c>
      <c r="T459" s="460">
        <v>0</v>
      </c>
      <c r="U459" s="460">
        <v>0</v>
      </c>
      <c r="V459" s="460">
        <f>SUM(Q459:U459)</f>
        <v>0</v>
      </c>
      <c r="W459" s="460">
        <v>0</v>
      </c>
      <c r="X459" s="460">
        <v>0</v>
      </c>
      <c r="Y459" s="460">
        <v>0</v>
      </c>
      <c r="Z459" s="460">
        <f t="shared" ref="Z459:Z461" si="689">SUM(W459:Y459)</f>
        <v>0</v>
      </c>
      <c r="AA459" s="460">
        <f t="shared" ref="AA459:AA461" si="690">V459+Z459</f>
        <v>0</v>
      </c>
      <c r="AB459" s="69">
        <f t="shared" ref="AB459:AB461" si="691">ROUND((V459+W459+X459)*33.8%,0)</f>
        <v>0</v>
      </c>
      <c r="AC459" s="69">
        <f t="shared" ref="AC459:AC461" si="692">ROUND(V459*1%,0)</f>
        <v>0</v>
      </c>
      <c r="AD459" s="460">
        <v>0</v>
      </c>
      <c r="AE459" s="460">
        <v>0</v>
      </c>
      <c r="AF459" s="460">
        <f>SUM(AD459:AE459)</f>
        <v>0</v>
      </c>
      <c r="AG459" s="460">
        <f>AA459+AB459+AC459+AF459</f>
        <v>0</v>
      </c>
      <c r="AH459" s="461">
        <v>0</v>
      </c>
      <c r="AI459" s="461">
        <v>0</v>
      </c>
      <c r="AJ459" s="461">
        <v>0</v>
      </c>
      <c r="AK459" s="461">
        <v>0</v>
      </c>
      <c r="AL459" s="461">
        <v>0</v>
      </c>
      <c r="AM459" s="461">
        <v>0</v>
      </c>
      <c r="AN459" s="461">
        <v>0</v>
      </c>
      <c r="AO459" s="461">
        <v>0</v>
      </c>
      <c r="AP459" s="461">
        <f t="shared" si="592"/>
        <v>0</v>
      </c>
      <c r="AQ459" s="461">
        <f t="shared" si="593"/>
        <v>0</v>
      </c>
      <c r="AR459" s="737">
        <f t="shared" si="594"/>
        <v>0</v>
      </c>
      <c r="AS459" s="470">
        <f t="shared" si="595"/>
        <v>5264305</v>
      </c>
      <c r="AT459" s="460">
        <f t="shared" si="596"/>
        <v>3883832</v>
      </c>
      <c r="AU459" s="460">
        <f t="shared" si="597"/>
        <v>0</v>
      </c>
      <c r="AV459" s="460">
        <f t="shared" si="598"/>
        <v>1312735</v>
      </c>
      <c r="AW459" s="460">
        <f t="shared" si="599"/>
        <v>38838</v>
      </c>
      <c r="AX459" s="460">
        <f t="shared" si="600"/>
        <v>28900</v>
      </c>
      <c r="AY459" s="461">
        <f t="shared" si="601"/>
        <v>8.1639999999999997</v>
      </c>
      <c r="AZ459" s="461">
        <f t="shared" si="602"/>
        <v>6.484</v>
      </c>
      <c r="BA459" s="463">
        <f t="shared" si="603"/>
        <v>1.6800000000000002</v>
      </c>
    </row>
    <row r="460" spans="1:53" ht="14.1" customHeight="1" x14ac:dyDescent="0.2">
      <c r="A460" s="67">
        <v>89</v>
      </c>
      <c r="B460" s="197">
        <v>2332</v>
      </c>
      <c r="C460" s="197">
        <v>691015295</v>
      </c>
      <c r="D460" s="198">
        <v>10988122</v>
      </c>
      <c r="E460" s="195" t="s">
        <v>805</v>
      </c>
      <c r="F460" s="208">
        <v>3111</v>
      </c>
      <c r="G460" s="209" t="s">
        <v>308</v>
      </c>
      <c r="H460" s="68" t="s">
        <v>278</v>
      </c>
      <c r="I460" s="462">
        <v>0</v>
      </c>
      <c r="J460" s="457">
        <v>0</v>
      </c>
      <c r="K460" s="457">
        <v>0</v>
      </c>
      <c r="L460" s="457">
        <v>0</v>
      </c>
      <c r="M460" s="457">
        <v>0</v>
      </c>
      <c r="N460" s="458">
        <v>0</v>
      </c>
      <c r="O460" s="459">
        <v>0</v>
      </c>
      <c r="P460" s="646">
        <v>0</v>
      </c>
      <c r="Q460" s="469">
        <f t="shared" ref="Q460:Q461" si="693">W460*-1</f>
        <v>0</v>
      </c>
      <c r="R460" s="469">
        <v>538921</v>
      </c>
      <c r="S460" s="460">
        <v>0</v>
      </c>
      <c r="T460" s="460">
        <v>0</v>
      </c>
      <c r="U460" s="460">
        <v>0</v>
      </c>
      <c r="V460" s="460">
        <f>SUM(Q460:U460)</f>
        <v>538921</v>
      </c>
      <c r="W460" s="460">
        <v>0</v>
      </c>
      <c r="X460" s="460">
        <v>0</v>
      </c>
      <c r="Y460" s="460">
        <v>0</v>
      </c>
      <c r="Z460" s="460">
        <f t="shared" si="689"/>
        <v>0</v>
      </c>
      <c r="AA460" s="460">
        <f t="shared" si="690"/>
        <v>538921</v>
      </c>
      <c r="AB460" s="69">
        <f t="shared" si="691"/>
        <v>182155</v>
      </c>
      <c r="AC460" s="69">
        <f t="shared" si="692"/>
        <v>5389</v>
      </c>
      <c r="AD460" s="460">
        <v>0</v>
      </c>
      <c r="AE460" s="460">
        <v>0</v>
      </c>
      <c r="AF460" s="460">
        <f>SUM(AD460:AE460)</f>
        <v>0</v>
      </c>
      <c r="AG460" s="460">
        <f>AA460+AB460+AC460+AF460</f>
        <v>726465</v>
      </c>
      <c r="AH460" s="461">
        <v>0</v>
      </c>
      <c r="AI460" s="461">
        <v>0</v>
      </c>
      <c r="AJ460" s="461">
        <v>1.56</v>
      </c>
      <c r="AK460" s="461">
        <v>0</v>
      </c>
      <c r="AL460" s="461">
        <v>0</v>
      </c>
      <c r="AM460" s="461">
        <v>0</v>
      </c>
      <c r="AN460" s="461">
        <v>0</v>
      </c>
      <c r="AO460" s="461">
        <v>0</v>
      </c>
      <c r="AP460" s="461">
        <f t="shared" si="592"/>
        <v>1.56</v>
      </c>
      <c r="AQ460" s="461">
        <f t="shared" si="593"/>
        <v>0</v>
      </c>
      <c r="AR460" s="737">
        <f t="shared" si="594"/>
        <v>1.56</v>
      </c>
      <c r="AS460" s="470">
        <f t="shared" si="595"/>
        <v>726465</v>
      </c>
      <c r="AT460" s="460">
        <f t="shared" si="596"/>
        <v>538921</v>
      </c>
      <c r="AU460" s="460">
        <f t="shared" si="597"/>
        <v>0</v>
      </c>
      <c r="AV460" s="460">
        <f t="shared" si="598"/>
        <v>182155</v>
      </c>
      <c r="AW460" s="460">
        <f t="shared" si="599"/>
        <v>5389</v>
      </c>
      <c r="AX460" s="460">
        <f t="shared" si="600"/>
        <v>0</v>
      </c>
      <c r="AY460" s="461">
        <f t="shared" si="601"/>
        <v>1.56</v>
      </c>
      <c r="AZ460" s="461">
        <f t="shared" si="602"/>
        <v>1.56</v>
      </c>
      <c r="BA460" s="463">
        <f t="shared" si="603"/>
        <v>0</v>
      </c>
    </row>
    <row r="461" spans="1:53" ht="14.1" customHeight="1" x14ac:dyDescent="0.2">
      <c r="A461" s="67">
        <v>89</v>
      </c>
      <c r="B461" s="199">
        <v>2332</v>
      </c>
      <c r="C461" s="197">
        <v>691015295</v>
      </c>
      <c r="D461" s="198">
        <v>10988122</v>
      </c>
      <c r="E461" s="195" t="s">
        <v>805</v>
      </c>
      <c r="F461" s="200">
        <v>3141</v>
      </c>
      <c r="G461" s="201" t="s">
        <v>311</v>
      </c>
      <c r="H461" s="68" t="s">
        <v>278</v>
      </c>
      <c r="I461" s="462">
        <v>294732</v>
      </c>
      <c r="J461" s="728">
        <v>217131</v>
      </c>
      <c r="K461" s="457">
        <v>73390</v>
      </c>
      <c r="L461" s="457">
        <v>2171</v>
      </c>
      <c r="M461" s="728">
        <v>2040</v>
      </c>
      <c r="N461" s="458">
        <v>0.7</v>
      </c>
      <c r="O461" s="459">
        <v>0</v>
      </c>
      <c r="P461" s="646">
        <v>0.7</v>
      </c>
      <c r="Q461" s="469">
        <f t="shared" si="693"/>
        <v>0</v>
      </c>
      <c r="R461" s="469">
        <v>0</v>
      </c>
      <c r="S461" s="460">
        <v>0</v>
      </c>
      <c r="T461" s="460">
        <v>0</v>
      </c>
      <c r="U461" s="460">
        <v>0</v>
      </c>
      <c r="V461" s="460">
        <f>SUM(Q461:U461)</f>
        <v>0</v>
      </c>
      <c r="W461" s="460">
        <v>0</v>
      </c>
      <c r="X461" s="460">
        <v>0</v>
      </c>
      <c r="Y461" s="460">
        <v>0</v>
      </c>
      <c r="Z461" s="460">
        <f t="shared" si="689"/>
        <v>0</v>
      </c>
      <c r="AA461" s="460">
        <f t="shared" si="690"/>
        <v>0</v>
      </c>
      <c r="AB461" s="69">
        <f t="shared" si="691"/>
        <v>0</v>
      </c>
      <c r="AC461" s="69">
        <f t="shared" si="692"/>
        <v>0</v>
      </c>
      <c r="AD461" s="460">
        <v>0</v>
      </c>
      <c r="AE461" s="460">
        <v>0</v>
      </c>
      <c r="AF461" s="460">
        <f>SUM(AD461:AE461)</f>
        <v>0</v>
      </c>
      <c r="AG461" s="460">
        <f>AA461+AB461+AC461+AF461</f>
        <v>0</v>
      </c>
      <c r="AH461" s="461">
        <v>0</v>
      </c>
      <c r="AI461" s="461">
        <v>0</v>
      </c>
      <c r="AJ461" s="461">
        <v>0</v>
      </c>
      <c r="AK461" s="461">
        <v>0</v>
      </c>
      <c r="AL461" s="461">
        <v>0</v>
      </c>
      <c r="AM461" s="461">
        <v>0</v>
      </c>
      <c r="AN461" s="461">
        <v>0</v>
      </c>
      <c r="AO461" s="461">
        <v>0</v>
      </c>
      <c r="AP461" s="461">
        <f t="shared" ref="AP461" si="694">AH461+AJ461+AK461+AM461+AN461</f>
        <v>0</v>
      </c>
      <c r="AQ461" s="461">
        <f t="shared" ref="AQ461" si="695">AI461+AL461+AO461</f>
        <v>0</v>
      </c>
      <c r="AR461" s="737">
        <f t="shared" ref="AR461" si="696">SUM(AP461:AQ461)</f>
        <v>0</v>
      </c>
      <c r="AS461" s="470">
        <f t="shared" ref="AS461" si="697">I461+AG461</f>
        <v>294732</v>
      </c>
      <c r="AT461" s="460">
        <f t="shared" ref="AT461" si="698">J461+V461</f>
        <v>217131</v>
      </c>
      <c r="AU461" s="460">
        <f t="shared" ref="AU461" si="699">Z461</f>
        <v>0</v>
      </c>
      <c r="AV461" s="460">
        <f t="shared" ref="AV461" si="700">K461+AB461</f>
        <v>73390</v>
      </c>
      <c r="AW461" s="460">
        <f t="shared" ref="AW461" si="701">L461+AC461</f>
        <v>2171</v>
      </c>
      <c r="AX461" s="460">
        <f t="shared" ref="AX461" si="702">M461+AF461</f>
        <v>2040</v>
      </c>
      <c r="AY461" s="461">
        <f t="shared" ref="AY461" si="703">N461+AR461</f>
        <v>0.7</v>
      </c>
      <c r="AZ461" s="461">
        <f t="shared" ref="AZ461" si="704">O461+AP461</f>
        <v>0</v>
      </c>
      <c r="BA461" s="463">
        <f t="shared" ref="BA461" si="705">P461+AQ461</f>
        <v>0.7</v>
      </c>
    </row>
    <row r="462" spans="1:53" ht="14.1" customHeight="1" thickBot="1" x14ac:dyDescent="0.25">
      <c r="A462" s="202">
        <v>89</v>
      </c>
      <c r="B462" s="203">
        <v>2332</v>
      </c>
      <c r="C462" s="203">
        <v>691015295</v>
      </c>
      <c r="D462" s="204">
        <v>10988122</v>
      </c>
      <c r="E462" s="196" t="s">
        <v>806</v>
      </c>
      <c r="F462" s="205"/>
      <c r="G462" s="206"/>
      <c r="H462" s="206"/>
      <c r="I462" s="708">
        <f t="shared" ref="I462:P462" si="706">SUM(I459:I461)</f>
        <v>5559037</v>
      </c>
      <c r="J462" s="709">
        <f t="shared" si="706"/>
        <v>4100963</v>
      </c>
      <c r="K462" s="709">
        <f t="shared" si="706"/>
        <v>1386125</v>
      </c>
      <c r="L462" s="709">
        <f t="shared" si="706"/>
        <v>41009</v>
      </c>
      <c r="M462" s="709">
        <f t="shared" si="706"/>
        <v>30940</v>
      </c>
      <c r="N462" s="710">
        <f t="shared" si="706"/>
        <v>8.863999999999999</v>
      </c>
      <c r="O462" s="710">
        <f t="shared" si="706"/>
        <v>6.484</v>
      </c>
      <c r="P462" s="711">
        <f t="shared" si="706"/>
        <v>2.38</v>
      </c>
      <c r="Q462" s="727">
        <f t="shared" ref="Q462:BA462" si="707">SUM(Q459:Q461)</f>
        <v>0</v>
      </c>
      <c r="R462" s="727">
        <f t="shared" si="707"/>
        <v>538921</v>
      </c>
      <c r="S462" s="709">
        <f t="shared" si="707"/>
        <v>0</v>
      </c>
      <c r="T462" s="709">
        <f t="shared" si="707"/>
        <v>0</v>
      </c>
      <c r="U462" s="709">
        <f t="shared" si="707"/>
        <v>0</v>
      </c>
      <c r="V462" s="709">
        <f t="shared" si="707"/>
        <v>538921</v>
      </c>
      <c r="W462" s="709">
        <f t="shared" si="707"/>
        <v>0</v>
      </c>
      <c r="X462" s="709">
        <f t="shared" si="707"/>
        <v>0</v>
      </c>
      <c r="Y462" s="709">
        <f t="shared" si="707"/>
        <v>0</v>
      </c>
      <c r="Z462" s="709">
        <f t="shared" si="707"/>
        <v>0</v>
      </c>
      <c r="AA462" s="709">
        <f t="shared" si="707"/>
        <v>538921</v>
      </c>
      <c r="AB462" s="709">
        <f t="shared" si="707"/>
        <v>182155</v>
      </c>
      <c r="AC462" s="709">
        <f t="shared" si="707"/>
        <v>5389</v>
      </c>
      <c r="AD462" s="709">
        <f t="shared" si="707"/>
        <v>0</v>
      </c>
      <c r="AE462" s="709">
        <f t="shared" si="707"/>
        <v>0</v>
      </c>
      <c r="AF462" s="709">
        <f t="shared" si="707"/>
        <v>0</v>
      </c>
      <c r="AG462" s="709">
        <f t="shared" si="707"/>
        <v>726465</v>
      </c>
      <c r="AH462" s="710">
        <f t="shared" si="707"/>
        <v>0</v>
      </c>
      <c r="AI462" s="710">
        <f t="shared" si="707"/>
        <v>0</v>
      </c>
      <c r="AJ462" s="710">
        <f t="shared" si="707"/>
        <v>1.56</v>
      </c>
      <c r="AK462" s="710">
        <f t="shared" si="707"/>
        <v>0</v>
      </c>
      <c r="AL462" s="710">
        <f t="shared" si="707"/>
        <v>0</v>
      </c>
      <c r="AM462" s="710">
        <f t="shared" si="707"/>
        <v>0</v>
      </c>
      <c r="AN462" s="710">
        <f t="shared" si="707"/>
        <v>0</v>
      </c>
      <c r="AO462" s="710">
        <f t="shared" si="707"/>
        <v>0</v>
      </c>
      <c r="AP462" s="710">
        <f t="shared" si="707"/>
        <v>1.56</v>
      </c>
      <c r="AQ462" s="710">
        <f t="shared" si="707"/>
        <v>0</v>
      </c>
      <c r="AR462" s="723">
        <f t="shared" si="707"/>
        <v>1.56</v>
      </c>
      <c r="AS462" s="708">
        <f t="shared" si="707"/>
        <v>6285502</v>
      </c>
      <c r="AT462" s="709">
        <f t="shared" si="707"/>
        <v>4639884</v>
      </c>
      <c r="AU462" s="709">
        <f t="shared" si="707"/>
        <v>0</v>
      </c>
      <c r="AV462" s="709">
        <f t="shared" si="707"/>
        <v>1568280</v>
      </c>
      <c r="AW462" s="709">
        <f t="shared" si="707"/>
        <v>46398</v>
      </c>
      <c r="AX462" s="709">
        <f t="shared" si="707"/>
        <v>30940</v>
      </c>
      <c r="AY462" s="710">
        <f t="shared" si="707"/>
        <v>10.423999999999999</v>
      </c>
      <c r="AZ462" s="710">
        <f t="shared" si="707"/>
        <v>8.0440000000000005</v>
      </c>
      <c r="BA462" s="711">
        <f t="shared" si="707"/>
        <v>2.38</v>
      </c>
    </row>
    <row r="463" spans="1:53" ht="14.1" customHeight="1" thickBot="1" x14ac:dyDescent="0.25">
      <c r="A463" s="255"/>
      <c r="B463" s="256"/>
      <c r="C463" s="256"/>
      <c r="D463" s="256"/>
      <c r="E463" s="257" t="s">
        <v>726</v>
      </c>
      <c r="F463" s="256"/>
      <c r="G463" s="256"/>
      <c r="H463" s="256"/>
      <c r="I463" s="719">
        <f>I462+I458+I455+I448+I441+I434+I427+I420+I413+I406+I399+I392+I388+I382+I375+I373+I369+I362+I357+I350+I344+I335+I332+I328+I324+I322+I316+I312+I305+I298+I296+I288+I283+I276+I272+I266+I262+I258+I256+I249+I243+I237+I231+I225+I219+I213+I206+I200+I194+I187+I180+I174+I168+I162+I157+I151+I145+I139+I132+I125+I120+I116+I113+I109+I105+I102+I98+I94+I90+I86+I82+I79+I75+I70+I67+I63+I59+I55+I52+I49+I46+I42+I39+I35+I31+I27+I22+I18+I13</f>
        <v>1729816676</v>
      </c>
      <c r="J463" s="703">
        <f t="shared" ref="J463:BA463" si="708">J462+J458+J455+J448+J441+J434+J427+J420+J413+J406+J399+J392+J388+J382+J375+J373+J369+J362+J357+J350+J344+J335+J332+J328+J324+J322+J316+J312+J305+J298+J296+J288+J283+J276+J272+J266+J262+J258+J256+J249+J243+J237+J231+J225+J219+J213+J206+J200+J194+J187+J180+J174+J168+J162+J157+J151+J145+J139+J132+J125+J120+J116+J113+J109+J105+J102+J98+J94+J90+J86+J82+J79+J75+J70+J67+J63+J59+J55+J52+J49+J46+J42+J39+J35+J31+J27+J22+J18+J13</f>
        <v>1267213859</v>
      </c>
      <c r="K463" s="703">
        <f t="shared" si="708"/>
        <v>428318286</v>
      </c>
      <c r="L463" s="703">
        <f t="shared" si="708"/>
        <v>12672137</v>
      </c>
      <c r="M463" s="703">
        <f t="shared" si="708"/>
        <v>21612394</v>
      </c>
      <c r="N463" s="704">
        <f t="shared" si="708"/>
        <v>2425.0944999999983</v>
      </c>
      <c r="O463" s="704">
        <f t="shared" si="708"/>
        <v>1751.0809000000002</v>
      </c>
      <c r="P463" s="705">
        <f t="shared" si="708"/>
        <v>674.01360000000011</v>
      </c>
      <c r="Q463" s="702">
        <f t="shared" si="708"/>
        <v>-4335961</v>
      </c>
      <c r="R463" s="702">
        <f t="shared" si="708"/>
        <v>92950452</v>
      </c>
      <c r="S463" s="703">
        <f t="shared" si="708"/>
        <v>0</v>
      </c>
      <c r="T463" s="703">
        <f t="shared" si="708"/>
        <v>744657</v>
      </c>
      <c r="U463" s="703">
        <f t="shared" si="708"/>
        <v>22120</v>
      </c>
      <c r="V463" s="703">
        <f t="shared" si="708"/>
        <v>89381268</v>
      </c>
      <c r="W463" s="703">
        <f t="shared" si="708"/>
        <v>4335961</v>
      </c>
      <c r="X463" s="703">
        <f t="shared" si="708"/>
        <v>148560</v>
      </c>
      <c r="Y463" s="703">
        <f t="shared" si="708"/>
        <v>193022</v>
      </c>
      <c r="Z463" s="703">
        <f t="shared" si="708"/>
        <v>4677543</v>
      </c>
      <c r="AA463" s="703">
        <f t="shared" si="708"/>
        <v>94058811</v>
      </c>
      <c r="AB463" s="703">
        <f t="shared" si="708"/>
        <v>31726638</v>
      </c>
      <c r="AC463" s="703">
        <f t="shared" si="708"/>
        <v>893802</v>
      </c>
      <c r="AD463" s="703">
        <f t="shared" si="708"/>
        <v>82100</v>
      </c>
      <c r="AE463" s="703">
        <f t="shared" si="708"/>
        <v>0</v>
      </c>
      <c r="AF463" s="703">
        <f t="shared" si="708"/>
        <v>82100</v>
      </c>
      <c r="AG463" s="703">
        <f t="shared" si="708"/>
        <v>126761351</v>
      </c>
      <c r="AH463" s="704">
        <f t="shared" si="708"/>
        <v>-2.9700000000000006</v>
      </c>
      <c r="AI463" s="704">
        <f t="shared" si="708"/>
        <v>-4.6099999999999994</v>
      </c>
      <c r="AJ463" s="704">
        <f t="shared" si="708"/>
        <v>267.04999999999995</v>
      </c>
      <c r="AK463" s="704">
        <f t="shared" si="708"/>
        <v>0</v>
      </c>
      <c r="AL463" s="704">
        <f t="shared" si="708"/>
        <v>0</v>
      </c>
      <c r="AM463" s="704">
        <f t="shared" si="708"/>
        <v>1.1800000000000002</v>
      </c>
      <c r="AN463" s="704">
        <f t="shared" si="708"/>
        <v>0.17</v>
      </c>
      <c r="AO463" s="704">
        <f t="shared" si="708"/>
        <v>1.19</v>
      </c>
      <c r="AP463" s="704">
        <f t="shared" si="708"/>
        <v>265.43</v>
      </c>
      <c r="AQ463" s="704">
        <f t="shared" si="708"/>
        <v>-3.42</v>
      </c>
      <c r="AR463" s="705">
        <f t="shared" si="708"/>
        <v>262.00999999999993</v>
      </c>
      <c r="AS463" s="719">
        <f t="shared" si="708"/>
        <v>1856578027</v>
      </c>
      <c r="AT463" s="703">
        <f t="shared" si="708"/>
        <v>1356595127</v>
      </c>
      <c r="AU463" s="703">
        <f t="shared" si="708"/>
        <v>4677543</v>
      </c>
      <c r="AV463" s="703">
        <f t="shared" si="708"/>
        <v>460044924</v>
      </c>
      <c r="AW463" s="703">
        <f t="shared" si="708"/>
        <v>13565939</v>
      </c>
      <c r="AX463" s="703">
        <f t="shared" si="708"/>
        <v>21694494</v>
      </c>
      <c r="AY463" s="704">
        <f t="shared" si="708"/>
        <v>2687.1044999999999</v>
      </c>
      <c r="AZ463" s="704">
        <f t="shared" si="708"/>
        <v>2016.5109000000002</v>
      </c>
      <c r="BA463" s="705">
        <f t="shared" si="708"/>
        <v>670.59360000000004</v>
      </c>
    </row>
    <row r="464" spans="1:53" ht="14.1" customHeight="1" x14ac:dyDescent="0.2">
      <c r="I464" s="474">
        <f>SUM(J463:M463)</f>
        <v>1729816676</v>
      </c>
      <c r="J464" s="474"/>
      <c r="K464" s="474"/>
      <c r="L464" s="474"/>
      <c r="M464" s="474"/>
      <c r="N464" s="475">
        <f>SUM(O463:P463)</f>
        <v>2425.0945000000002</v>
      </c>
      <c r="O464" s="475"/>
      <c r="P464" s="475"/>
      <c r="Q464" s="474">
        <f>W463</f>
        <v>4335961</v>
      </c>
      <c r="R464" s="475"/>
      <c r="S464" s="475"/>
      <c r="T464" s="475"/>
      <c r="U464" s="475"/>
      <c r="V464" s="481">
        <f>SUM(Q463:U463)</f>
        <v>89381268</v>
      </c>
      <c r="W464" s="481">
        <f>Q463</f>
        <v>-4335961</v>
      </c>
      <c r="X464" s="482"/>
      <c r="Y464" s="482"/>
      <c r="Z464" s="481">
        <f>SUM(W463:Y463)</f>
        <v>4677543</v>
      </c>
      <c r="AA464" s="481">
        <f>V463+Z463</f>
        <v>94058811</v>
      </c>
      <c r="AB464" s="483"/>
      <c r="AC464" s="483"/>
      <c r="AD464" s="482"/>
      <c r="AE464" s="482"/>
      <c r="AF464" s="481">
        <f>SUM(AD463:AE463)</f>
        <v>82100</v>
      </c>
      <c r="AG464" s="481">
        <f>AA463+AB463+AC463+AF463</f>
        <v>126761351</v>
      </c>
      <c r="AH464" s="484"/>
      <c r="AI464" s="484"/>
      <c r="AJ464" s="484"/>
      <c r="AK464" s="484"/>
      <c r="AL464" s="484"/>
      <c r="AM464" s="484"/>
      <c r="AN464" s="484"/>
      <c r="AO464" s="484"/>
      <c r="AP464" s="636">
        <f>AH463+AJ463+AK463+AM463+AN463</f>
        <v>265.42999999999995</v>
      </c>
      <c r="AQ464" s="636">
        <f>AI463+AL463+AO463</f>
        <v>-3.4199999999999995</v>
      </c>
      <c r="AR464" s="636">
        <f>SUM(AP463:AQ463)</f>
        <v>262.01</v>
      </c>
      <c r="AS464" s="474">
        <f>SUM(AT463:AX463)</f>
        <v>1856578027</v>
      </c>
      <c r="AY464" s="475">
        <f>SUM(AZ463:BA463)</f>
        <v>2687.1045000000004</v>
      </c>
    </row>
    <row r="465" spans="4:53" ht="14.1" customHeight="1" thickBot="1" x14ac:dyDescent="0.25">
      <c r="H465" s="52"/>
      <c r="I465" s="87">
        <f>SUM(J466:M466)</f>
        <v>1729816676</v>
      </c>
      <c r="J465" s="52"/>
      <c r="K465" s="480"/>
      <c r="L465" s="480"/>
      <c r="M465" s="52"/>
      <c r="N465" s="88">
        <f>SUM(O466:P466)</f>
        <v>2425.0945000000002</v>
      </c>
      <c r="O465" s="179"/>
      <c r="P465" s="179"/>
      <c r="Q465" s="475"/>
      <c r="R465" s="475"/>
      <c r="S465" s="475"/>
      <c r="T465" s="475"/>
      <c r="U465" s="475"/>
      <c r="V465" s="481">
        <f>SUM(Q466:U466)</f>
        <v>89381268</v>
      </c>
      <c r="W465" s="482"/>
      <c r="X465" s="482"/>
      <c r="Y465" s="482"/>
      <c r="Z465" s="481">
        <f>SUM(W466:Y466)</f>
        <v>4677543</v>
      </c>
      <c r="AA465" s="481">
        <f>V466+Z466</f>
        <v>94058811</v>
      </c>
      <c r="AB465" s="483"/>
      <c r="AC465" s="483"/>
      <c r="AD465" s="482"/>
      <c r="AE465" s="482"/>
      <c r="AF465" s="481">
        <f>SUM(AD466:AE466)</f>
        <v>82100</v>
      </c>
      <c r="AG465" s="481">
        <f>AA466+AB466+AC466+AF466</f>
        <v>126761351</v>
      </c>
      <c r="AH465" s="484"/>
      <c r="AI465" s="484"/>
      <c r="AJ465" s="484"/>
      <c r="AK465" s="484"/>
      <c r="AL465" s="484"/>
      <c r="AM465" s="484"/>
      <c r="AN465" s="484"/>
      <c r="AO465" s="484"/>
      <c r="AP465" s="606">
        <f>AH466+AJ466+AK466+AM466+AN466</f>
        <v>265.42999999999995</v>
      </c>
      <c r="AQ465" s="606">
        <f>AI466+AL466+AO466</f>
        <v>-3.4200000000000004</v>
      </c>
      <c r="AR465" s="606">
        <f>SUM(AP466:AQ466)</f>
        <v>262.00999999999988</v>
      </c>
      <c r="AS465" s="474">
        <f>SUM(AT466:AX466)</f>
        <v>1856578027</v>
      </c>
      <c r="AY465" s="475">
        <f>SUM(AZ466:BA466)</f>
        <v>2687.1044999999995</v>
      </c>
    </row>
    <row r="466" spans="4:53" customFormat="1" ht="13.5" thickBot="1" x14ac:dyDescent="0.25">
      <c r="D466" s="23"/>
      <c r="E466" s="24"/>
      <c r="F466" s="23"/>
      <c r="G466" s="42"/>
      <c r="H466" s="22" t="s">
        <v>0</v>
      </c>
      <c r="I466" s="142">
        <f t="shared" ref="I466:BA466" si="709">SUM(I467:I476)</f>
        <v>1729816676</v>
      </c>
      <c r="J466" s="34">
        <f t="shared" si="709"/>
        <v>1267213859</v>
      </c>
      <c r="K466" s="34">
        <f t="shared" si="709"/>
        <v>428318286</v>
      </c>
      <c r="L466" s="34">
        <f t="shared" si="709"/>
        <v>12672137</v>
      </c>
      <c r="M466" s="34">
        <f t="shared" si="709"/>
        <v>21612394</v>
      </c>
      <c r="N466" s="35">
        <f t="shared" si="709"/>
        <v>2425.0945000000006</v>
      </c>
      <c r="O466" s="35">
        <f t="shared" si="709"/>
        <v>1751.0809000000004</v>
      </c>
      <c r="P466" s="151">
        <f t="shared" si="709"/>
        <v>674.0136</v>
      </c>
      <c r="Q466" s="142">
        <f t="shared" si="709"/>
        <v>-4335961</v>
      </c>
      <c r="R466" s="34">
        <f t="shared" ref="R466:T466" si="710">SUM(R467:R476)</f>
        <v>92950452</v>
      </c>
      <c r="S466" s="34">
        <f t="shared" si="710"/>
        <v>0</v>
      </c>
      <c r="T466" s="34">
        <f t="shared" si="710"/>
        <v>744657</v>
      </c>
      <c r="U466" s="34">
        <f t="shared" si="709"/>
        <v>22120</v>
      </c>
      <c r="V466" s="34">
        <f t="shared" si="709"/>
        <v>89381268</v>
      </c>
      <c r="W466" s="34">
        <f t="shared" si="709"/>
        <v>4335961</v>
      </c>
      <c r="X466" s="34">
        <f t="shared" si="709"/>
        <v>148560</v>
      </c>
      <c r="Y466" s="34">
        <f t="shared" si="709"/>
        <v>193022</v>
      </c>
      <c r="Z466" s="34">
        <f t="shared" si="709"/>
        <v>4677543</v>
      </c>
      <c r="AA466" s="34">
        <f t="shared" si="709"/>
        <v>94058811</v>
      </c>
      <c r="AB466" s="34">
        <f t="shared" si="709"/>
        <v>31726638</v>
      </c>
      <c r="AC466" s="34">
        <f t="shared" si="709"/>
        <v>893802</v>
      </c>
      <c r="AD466" s="34">
        <f t="shared" ref="AD466" si="711">SUM(AD467:AD476)</f>
        <v>82100</v>
      </c>
      <c r="AE466" s="34">
        <f t="shared" si="709"/>
        <v>0</v>
      </c>
      <c r="AF466" s="34">
        <f t="shared" si="709"/>
        <v>82100</v>
      </c>
      <c r="AG466" s="34">
        <f t="shared" si="709"/>
        <v>126761351</v>
      </c>
      <c r="AH466" s="35">
        <f t="shared" si="709"/>
        <v>-2.9699999999999998</v>
      </c>
      <c r="AI466" s="35">
        <f t="shared" si="709"/>
        <v>-4.6100000000000003</v>
      </c>
      <c r="AJ466" s="35">
        <f t="shared" ref="AJ466" si="712">SUM(AJ467:AJ476)</f>
        <v>267.04999999999995</v>
      </c>
      <c r="AK466" s="35">
        <f t="shared" ref="AK466:AL466" si="713">SUM(AK467:AK476)</f>
        <v>0</v>
      </c>
      <c r="AL466" s="35">
        <f t="shared" si="713"/>
        <v>0</v>
      </c>
      <c r="AM466" s="35">
        <f t="shared" ref="AM466" si="714">SUM(AM467:AM476)</f>
        <v>1.1800000000000002</v>
      </c>
      <c r="AN466" s="35">
        <f t="shared" si="709"/>
        <v>0.17</v>
      </c>
      <c r="AO466" s="35">
        <f t="shared" si="709"/>
        <v>1.19</v>
      </c>
      <c r="AP466" s="605">
        <f t="shared" ref="AP466:AQ466" si="715">SUM(AP467:AP476)</f>
        <v>265.42999999999989</v>
      </c>
      <c r="AQ466" s="605">
        <f t="shared" si="715"/>
        <v>-3.4200000000000008</v>
      </c>
      <c r="AR466" s="635">
        <f t="shared" si="709"/>
        <v>262.00999999999993</v>
      </c>
      <c r="AS466" s="152">
        <f t="shared" si="709"/>
        <v>1856578027</v>
      </c>
      <c r="AT466" s="34">
        <f t="shared" si="709"/>
        <v>1356595127</v>
      </c>
      <c r="AU466" s="34">
        <f t="shared" si="709"/>
        <v>4677543</v>
      </c>
      <c r="AV466" s="34">
        <f t="shared" si="709"/>
        <v>460044924</v>
      </c>
      <c r="AW466" s="34">
        <f t="shared" si="709"/>
        <v>13565939</v>
      </c>
      <c r="AX466" s="34">
        <f t="shared" si="709"/>
        <v>21694494</v>
      </c>
      <c r="AY466" s="35">
        <f t="shared" si="709"/>
        <v>2687.1045000000008</v>
      </c>
      <c r="AZ466" s="35">
        <f t="shared" si="709"/>
        <v>2016.5108999999995</v>
      </c>
      <c r="BA466" s="36">
        <f t="shared" si="709"/>
        <v>670.59359999999992</v>
      </c>
    </row>
    <row r="467" spans="4:53" customFormat="1" ht="12.75" x14ac:dyDescent="0.2">
      <c r="D467" s="23"/>
      <c r="E467" s="24"/>
      <c r="F467" s="23"/>
      <c r="G467" s="42"/>
      <c r="H467" s="1">
        <v>3111</v>
      </c>
      <c r="I467" s="31">
        <f t="shared" ref="I467:Q467" si="716">SUMIF($F$12:$F$463,"=3111",I$12:I$463)</f>
        <v>377491947</v>
      </c>
      <c r="J467" s="149">
        <f t="shared" si="716"/>
        <v>278545501</v>
      </c>
      <c r="K467" s="149">
        <f t="shared" si="716"/>
        <v>94148381</v>
      </c>
      <c r="L467" s="149">
        <f t="shared" si="716"/>
        <v>2785455</v>
      </c>
      <c r="M467" s="149">
        <f t="shared" si="716"/>
        <v>2012610</v>
      </c>
      <c r="N467" s="150">
        <f t="shared" si="716"/>
        <v>576.69840000000022</v>
      </c>
      <c r="O467" s="150">
        <f t="shared" si="716"/>
        <v>453.34839999999986</v>
      </c>
      <c r="P467" s="471">
        <f t="shared" si="716"/>
        <v>123.35</v>
      </c>
      <c r="Q467" s="31">
        <f t="shared" si="716"/>
        <v>-454751</v>
      </c>
      <c r="R467" s="149">
        <f t="shared" ref="R467:BA467" si="717">SUMIF($F$12:$F$463,"=3111",R$12:R$463)</f>
        <v>13776033</v>
      </c>
      <c r="S467" s="149">
        <f t="shared" si="717"/>
        <v>0</v>
      </c>
      <c r="T467" s="149">
        <f t="shared" si="717"/>
        <v>0</v>
      </c>
      <c r="U467" s="149">
        <f t="shared" si="717"/>
        <v>0</v>
      </c>
      <c r="V467" s="149">
        <f t="shared" si="717"/>
        <v>13321282</v>
      </c>
      <c r="W467" s="149">
        <f t="shared" si="717"/>
        <v>454751</v>
      </c>
      <c r="X467" s="149">
        <f t="shared" si="717"/>
        <v>0</v>
      </c>
      <c r="Y467" s="149">
        <f t="shared" si="717"/>
        <v>0</v>
      </c>
      <c r="Z467" s="149">
        <f t="shared" si="717"/>
        <v>454751</v>
      </c>
      <c r="AA467" s="149">
        <f t="shared" si="717"/>
        <v>13776033</v>
      </c>
      <c r="AB467" s="149">
        <f t="shared" si="717"/>
        <v>4656298</v>
      </c>
      <c r="AC467" s="149">
        <f t="shared" si="717"/>
        <v>133208</v>
      </c>
      <c r="AD467" s="149">
        <f t="shared" si="717"/>
        <v>4250</v>
      </c>
      <c r="AE467" s="149">
        <f t="shared" si="717"/>
        <v>0</v>
      </c>
      <c r="AF467" s="149">
        <f t="shared" si="717"/>
        <v>4250</v>
      </c>
      <c r="AG467" s="149">
        <f t="shared" si="717"/>
        <v>18569789</v>
      </c>
      <c r="AH467" s="150">
        <f t="shared" si="717"/>
        <v>-0.20000000000000004</v>
      </c>
      <c r="AI467" s="150">
        <f t="shared" si="717"/>
        <v>-0.66000000000000014</v>
      </c>
      <c r="AJ467" s="150">
        <f t="shared" si="717"/>
        <v>40.900000000000006</v>
      </c>
      <c r="AK467" s="150">
        <f t="shared" si="717"/>
        <v>0</v>
      </c>
      <c r="AL467" s="150">
        <f t="shared" si="717"/>
        <v>0</v>
      </c>
      <c r="AM467" s="150">
        <f t="shared" si="717"/>
        <v>0</v>
      </c>
      <c r="AN467" s="150">
        <f t="shared" si="717"/>
        <v>0</v>
      </c>
      <c r="AO467" s="150">
        <f t="shared" si="717"/>
        <v>0</v>
      </c>
      <c r="AP467" s="150">
        <f t="shared" si="717"/>
        <v>40.700000000000003</v>
      </c>
      <c r="AQ467" s="150">
        <f t="shared" si="717"/>
        <v>-0.66000000000000014</v>
      </c>
      <c r="AR467" s="252">
        <f t="shared" si="717"/>
        <v>40.04</v>
      </c>
      <c r="AS467" s="32">
        <f t="shared" si="717"/>
        <v>396061736</v>
      </c>
      <c r="AT467" s="149">
        <f t="shared" si="717"/>
        <v>291866783</v>
      </c>
      <c r="AU467" s="149">
        <f t="shared" si="717"/>
        <v>454751</v>
      </c>
      <c r="AV467" s="149">
        <f t="shared" si="717"/>
        <v>98804679</v>
      </c>
      <c r="AW467" s="149">
        <f t="shared" si="717"/>
        <v>2918663</v>
      </c>
      <c r="AX467" s="149">
        <f t="shared" si="717"/>
        <v>2016860</v>
      </c>
      <c r="AY467" s="150">
        <f t="shared" si="717"/>
        <v>616.73840000000007</v>
      </c>
      <c r="AZ467" s="150">
        <f t="shared" si="717"/>
        <v>494.0483999999999</v>
      </c>
      <c r="BA467" s="252">
        <f t="shared" si="717"/>
        <v>122.69</v>
      </c>
    </row>
    <row r="468" spans="4:53" customFormat="1" ht="12.75" x14ac:dyDescent="0.2">
      <c r="D468" s="23"/>
      <c r="E468" s="24"/>
      <c r="F468" s="23"/>
      <c r="G468" s="42"/>
      <c r="H468" s="2">
        <v>3113</v>
      </c>
      <c r="I468" s="25">
        <f t="shared" ref="I468:Q468" si="718">SUMIF($F$12:$F$463,"=3113",I$12:I$463)</f>
        <v>939694919</v>
      </c>
      <c r="J468" s="26">
        <f t="shared" si="718"/>
        <v>684213006</v>
      </c>
      <c r="K468" s="26">
        <f t="shared" si="718"/>
        <v>231263998</v>
      </c>
      <c r="L468" s="26">
        <f t="shared" si="718"/>
        <v>6842130</v>
      </c>
      <c r="M468" s="26">
        <f t="shared" si="718"/>
        <v>17375785</v>
      </c>
      <c r="N468" s="27">
        <f t="shared" si="718"/>
        <v>1145.7351000000003</v>
      </c>
      <c r="O468" s="27">
        <f t="shared" si="718"/>
        <v>924.79180000000019</v>
      </c>
      <c r="P468" s="472">
        <f t="shared" si="718"/>
        <v>220.94329999999999</v>
      </c>
      <c r="Q468" s="25">
        <f t="shared" si="718"/>
        <v>-1907823</v>
      </c>
      <c r="R468" s="26">
        <f t="shared" ref="R468:BA468" si="719">SUMIF($F$12:$F$463,"=3113",R$12:R$463)</f>
        <v>72352371</v>
      </c>
      <c r="S468" s="26">
        <f t="shared" si="719"/>
        <v>0</v>
      </c>
      <c r="T468" s="26">
        <f t="shared" si="719"/>
        <v>744657</v>
      </c>
      <c r="U468" s="26">
        <f t="shared" si="719"/>
        <v>22120</v>
      </c>
      <c r="V468" s="26">
        <f t="shared" si="719"/>
        <v>71211325</v>
      </c>
      <c r="W468" s="26">
        <f t="shared" si="719"/>
        <v>1907823</v>
      </c>
      <c r="X468" s="26">
        <f t="shared" si="719"/>
        <v>148560</v>
      </c>
      <c r="Y468" s="26">
        <f t="shared" si="719"/>
        <v>0</v>
      </c>
      <c r="Z468" s="26">
        <f t="shared" si="719"/>
        <v>2056383</v>
      </c>
      <c r="AA468" s="26">
        <f t="shared" si="719"/>
        <v>73267708</v>
      </c>
      <c r="AB468" s="26">
        <f t="shared" si="719"/>
        <v>24764488</v>
      </c>
      <c r="AC468" s="26">
        <f t="shared" si="719"/>
        <v>712111</v>
      </c>
      <c r="AD468" s="26">
        <f t="shared" si="719"/>
        <v>65650</v>
      </c>
      <c r="AE468" s="26">
        <f t="shared" si="719"/>
        <v>0</v>
      </c>
      <c r="AF468" s="26">
        <f t="shared" si="719"/>
        <v>65650</v>
      </c>
      <c r="AG468" s="26">
        <f t="shared" si="719"/>
        <v>98809957</v>
      </c>
      <c r="AH468" s="27">
        <f t="shared" si="719"/>
        <v>-1.1600000000000001</v>
      </c>
      <c r="AI468" s="27">
        <f t="shared" si="719"/>
        <v>-1.8200000000000005</v>
      </c>
      <c r="AJ468" s="27">
        <f t="shared" si="719"/>
        <v>206.79999999999995</v>
      </c>
      <c r="AK468" s="27">
        <f t="shared" si="719"/>
        <v>0</v>
      </c>
      <c r="AL468" s="27">
        <f t="shared" si="719"/>
        <v>0</v>
      </c>
      <c r="AM468" s="27">
        <f t="shared" si="719"/>
        <v>1.1800000000000002</v>
      </c>
      <c r="AN468" s="27">
        <f t="shared" si="719"/>
        <v>0.17</v>
      </c>
      <c r="AO468" s="27">
        <f t="shared" si="719"/>
        <v>0</v>
      </c>
      <c r="AP468" s="27">
        <f t="shared" si="719"/>
        <v>206.9899999999999</v>
      </c>
      <c r="AQ468" s="27">
        <f t="shared" si="719"/>
        <v>-1.8200000000000005</v>
      </c>
      <c r="AR468" s="253">
        <f t="shared" si="719"/>
        <v>205.16999999999993</v>
      </c>
      <c r="AS468" s="39">
        <f t="shared" si="719"/>
        <v>1038504876</v>
      </c>
      <c r="AT468" s="26">
        <f t="shared" si="719"/>
        <v>755424331</v>
      </c>
      <c r="AU468" s="26">
        <f t="shared" si="719"/>
        <v>2056383</v>
      </c>
      <c r="AV468" s="26">
        <f t="shared" si="719"/>
        <v>256028486</v>
      </c>
      <c r="AW468" s="26">
        <f t="shared" si="719"/>
        <v>7554241</v>
      </c>
      <c r="AX468" s="26">
        <f t="shared" si="719"/>
        <v>17441435</v>
      </c>
      <c r="AY468" s="27">
        <f t="shared" si="719"/>
        <v>1350.9051000000002</v>
      </c>
      <c r="AZ468" s="27">
        <f t="shared" si="719"/>
        <v>1131.7817999999995</v>
      </c>
      <c r="BA468" s="253">
        <f t="shared" si="719"/>
        <v>219.12330000000003</v>
      </c>
    </row>
    <row r="469" spans="4:53" customFormat="1" ht="12.75" x14ac:dyDescent="0.2">
      <c r="D469" s="23"/>
      <c r="E469" s="24"/>
      <c r="F469" s="23"/>
      <c r="G469" s="42"/>
      <c r="H469" s="2">
        <v>3114</v>
      </c>
      <c r="I469" s="25">
        <f t="shared" ref="I469:Q469" si="720">SUMIF($F$12:$F$463,"=3114",I$12:I$463)</f>
        <v>61056428</v>
      </c>
      <c r="J469" s="26">
        <f t="shared" si="720"/>
        <v>44958946</v>
      </c>
      <c r="K469" s="26">
        <f t="shared" si="720"/>
        <v>15196122</v>
      </c>
      <c r="L469" s="26">
        <f t="shared" si="720"/>
        <v>449590</v>
      </c>
      <c r="M469" s="26">
        <f t="shared" si="720"/>
        <v>451770</v>
      </c>
      <c r="N469" s="27">
        <f t="shared" si="720"/>
        <v>84.679700000000011</v>
      </c>
      <c r="O469" s="27">
        <f t="shared" si="720"/>
        <v>71.739700000000013</v>
      </c>
      <c r="P469" s="472">
        <f t="shared" si="720"/>
        <v>12.940000000000001</v>
      </c>
      <c r="Q469" s="25">
        <f t="shared" si="720"/>
        <v>-65000</v>
      </c>
      <c r="R469" s="26">
        <f t="shared" ref="R469:BA469" si="721">SUMIF($F$12:$F$463,"=3114",R$12:R$463)</f>
        <v>923858</v>
      </c>
      <c r="S469" s="26">
        <f t="shared" si="721"/>
        <v>0</v>
      </c>
      <c r="T469" s="26">
        <f t="shared" si="721"/>
        <v>0</v>
      </c>
      <c r="U469" s="26">
        <f t="shared" si="721"/>
        <v>0</v>
      </c>
      <c r="V469" s="26">
        <f t="shared" si="721"/>
        <v>858858</v>
      </c>
      <c r="W469" s="26">
        <f t="shared" si="721"/>
        <v>65000</v>
      </c>
      <c r="X469" s="26">
        <f t="shared" si="721"/>
        <v>0</v>
      </c>
      <c r="Y469" s="26">
        <f t="shared" si="721"/>
        <v>0</v>
      </c>
      <c r="Z469" s="26">
        <f t="shared" si="721"/>
        <v>65000</v>
      </c>
      <c r="AA469" s="26">
        <f t="shared" si="721"/>
        <v>923858</v>
      </c>
      <c r="AB469" s="26">
        <f t="shared" si="721"/>
        <v>312264</v>
      </c>
      <c r="AC469" s="26">
        <f t="shared" si="721"/>
        <v>8589</v>
      </c>
      <c r="AD469" s="26">
        <f t="shared" si="721"/>
        <v>10700</v>
      </c>
      <c r="AE469" s="26">
        <f t="shared" si="721"/>
        <v>0</v>
      </c>
      <c r="AF469" s="26">
        <f t="shared" si="721"/>
        <v>10700</v>
      </c>
      <c r="AG469" s="26">
        <f t="shared" si="721"/>
        <v>1255411</v>
      </c>
      <c r="AH469" s="27">
        <f t="shared" si="721"/>
        <v>0</v>
      </c>
      <c r="AI469" s="27">
        <f t="shared" si="721"/>
        <v>-0.2</v>
      </c>
      <c r="AJ469" s="27">
        <f t="shared" si="721"/>
        <v>2.67</v>
      </c>
      <c r="AK469" s="27">
        <f t="shared" si="721"/>
        <v>0</v>
      </c>
      <c r="AL469" s="27">
        <f t="shared" si="721"/>
        <v>0</v>
      </c>
      <c r="AM469" s="27">
        <f t="shared" si="721"/>
        <v>0</v>
      </c>
      <c r="AN469" s="27">
        <f t="shared" si="721"/>
        <v>0</v>
      </c>
      <c r="AO469" s="27">
        <f t="shared" si="721"/>
        <v>0</v>
      </c>
      <c r="AP469" s="27">
        <f t="shared" si="721"/>
        <v>2.67</v>
      </c>
      <c r="AQ469" s="27">
        <f t="shared" si="721"/>
        <v>-0.2</v>
      </c>
      <c r="AR469" s="253">
        <f t="shared" si="721"/>
        <v>2.4699999999999998</v>
      </c>
      <c r="AS469" s="39">
        <f t="shared" si="721"/>
        <v>62311839</v>
      </c>
      <c r="AT469" s="26">
        <f t="shared" si="721"/>
        <v>45817804</v>
      </c>
      <c r="AU469" s="26">
        <f t="shared" si="721"/>
        <v>65000</v>
      </c>
      <c r="AV469" s="26">
        <f t="shared" si="721"/>
        <v>15508386</v>
      </c>
      <c r="AW469" s="26">
        <f t="shared" si="721"/>
        <v>458179</v>
      </c>
      <c r="AX469" s="26">
        <f t="shared" si="721"/>
        <v>462470</v>
      </c>
      <c r="AY469" s="27">
        <f t="shared" si="721"/>
        <v>87.14970000000001</v>
      </c>
      <c r="AZ469" s="27">
        <f t="shared" si="721"/>
        <v>74.409700000000001</v>
      </c>
      <c r="BA469" s="253">
        <f t="shared" si="721"/>
        <v>12.74</v>
      </c>
    </row>
    <row r="470" spans="4:53" customFormat="1" ht="12.75" x14ac:dyDescent="0.2">
      <c r="D470" s="23"/>
      <c r="E470" s="24"/>
      <c r="F470" s="23"/>
      <c r="G470" s="42"/>
      <c r="H470" s="2">
        <v>3117</v>
      </c>
      <c r="I470" s="25">
        <f t="shared" ref="I470:Q470" si="722">SUMIF($F$12:$F$463,"=3117",I$12:I$463)</f>
        <v>39347485</v>
      </c>
      <c r="J470" s="26">
        <f t="shared" si="722"/>
        <v>28689306</v>
      </c>
      <c r="K470" s="26">
        <f t="shared" si="722"/>
        <v>9696987</v>
      </c>
      <c r="L470" s="26">
        <f t="shared" si="722"/>
        <v>286892</v>
      </c>
      <c r="M470" s="26">
        <f t="shared" si="722"/>
        <v>674300</v>
      </c>
      <c r="N470" s="27">
        <f t="shared" si="722"/>
        <v>53.576899999999995</v>
      </c>
      <c r="O470" s="27">
        <f t="shared" si="722"/>
        <v>38.767800000000001</v>
      </c>
      <c r="P470" s="472">
        <f t="shared" si="722"/>
        <v>14.809100000000001</v>
      </c>
      <c r="Q470" s="25">
        <f t="shared" si="722"/>
        <v>-185900</v>
      </c>
      <c r="R470" s="26">
        <f t="shared" ref="R470:BA470" si="723">SUMIF($F$12:$F$463,"=3117",R$12:R$463)</f>
        <v>5898190</v>
      </c>
      <c r="S470" s="26">
        <f t="shared" si="723"/>
        <v>0</v>
      </c>
      <c r="T470" s="26">
        <f t="shared" si="723"/>
        <v>0</v>
      </c>
      <c r="U470" s="26">
        <f t="shared" si="723"/>
        <v>0</v>
      </c>
      <c r="V470" s="26">
        <f t="shared" si="723"/>
        <v>5712290</v>
      </c>
      <c r="W470" s="26">
        <f t="shared" si="723"/>
        <v>185900</v>
      </c>
      <c r="X470" s="26">
        <f t="shared" si="723"/>
        <v>0</v>
      </c>
      <c r="Y470" s="26">
        <f t="shared" si="723"/>
        <v>90000</v>
      </c>
      <c r="Z470" s="26">
        <f t="shared" si="723"/>
        <v>275900</v>
      </c>
      <c r="AA470" s="26">
        <f t="shared" si="723"/>
        <v>5988190</v>
      </c>
      <c r="AB470" s="26">
        <f t="shared" si="723"/>
        <v>1993588</v>
      </c>
      <c r="AC470" s="26">
        <f t="shared" si="723"/>
        <v>57122</v>
      </c>
      <c r="AD470" s="26">
        <f t="shared" si="723"/>
        <v>1500</v>
      </c>
      <c r="AE470" s="26">
        <f t="shared" si="723"/>
        <v>0</v>
      </c>
      <c r="AF470" s="26">
        <f t="shared" si="723"/>
        <v>1500</v>
      </c>
      <c r="AG470" s="26">
        <f t="shared" si="723"/>
        <v>8040400</v>
      </c>
      <c r="AH470" s="27">
        <f t="shared" si="723"/>
        <v>-0.19</v>
      </c>
      <c r="AI470" s="27">
        <f t="shared" si="723"/>
        <v>-0.13</v>
      </c>
      <c r="AJ470" s="27">
        <f t="shared" si="723"/>
        <v>16.68</v>
      </c>
      <c r="AK470" s="27">
        <f t="shared" si="723"/>
        <v>0</v>
      </c>
      <c r="AL470" s="27">
        <f t="shared" si="723"/>
        <v>0</v>
      </c>
      <c r="AM470" s="27">
        <f t="shared" si="723"/>
        <v>0</v>
      </c>
      <c r="AN470" s="27">
        <f t="shared" si="723"/>
        <v>0</v>
      </c>
      <c r="AO470" s="27">
        <f t="shared" si="723"/>
        <v>0</v>
      </c>
      <c r="AP470" s="27">
        <f t="shared" si="723"/>
        <v>16.489999999999998</v>
      </c>
      <c r="AQ470" s="27">
        <f t="shared" si="723"/>
        <v>-0.13</v>
      </c>
      <c r="AR470" s="253">
        <f t="shared" si="723"/>
        <v>16.36</v>
      </c>
      <c r="AS470" s="39">
        <f t="shared" si="723"/>
        <v>47387885</v>
      </c>
      <c r="AT470" s="26">
        <f t="shared" si="723"/>
        <v>34401596</v>
      </c>
      <c r="AU470" s="26">
        <f t="shared" si="723"/>
        <v>275900</v>
      </c>
      <c r="AV470" s="26">
        <f t="shared" si="723"/>
        <v>11690575</v>
      </c>
      <c r="AW470" s="26">
        <f t="shared" si="723"/>
        <v>344014</v>
      </c>
      <c r="AX470" s="26">
        <f t="shared" si="723"/>
        <v>675800</v>
      </c>
      <c r="AY470" s="27">
        <f t="shared" si="723"/>
        <v>69.936900000000009</v>
      </c>
      <c r="AZ470" s="27">
        <f t="shared" si="723"/>
        <v>55.257800000000003</v>
      </c>
      <c r="BA470" s="253">
        <f t="shared" si="723"/>
        <v>14.679100000000002</v>
      </c>
    </row>
    <row r="471" spans="4:53" customFormat="1" ht="12.75" x14ac:dyDescent="0.2">
      <c r="D471" s="23"/>
      <c r="E471" s="24"/>
      <c r="F471" s="23"/>
      <c r="G471" s="42"/>
      <c r="H471" s="2">
        <v>3122</v>
      </c>
      <c r="I471" s="25">
        <f t="shared" ref="I471:Q471" si="724">SUMIF($F$12:$F$463,"=3122",I$12:I$463)</f>
        <v>0</v>
      </c>
      <c r="J471" s="26">
        <f t="shared" si="724"/>
        <v>0</v>
      </c>
      <c r="K471" s="26">
        <f t="shared" si="724"/>
        <v>0</v>
      </c>
      <c r="L471" s="26">
        <f t="shared" si="724"/>
        <v>0</v>
      </c>
      <c r="M471" s="26">
        <f t="shared" si="724"/>
        <v>0</v>
      </c>
      <c r="N471" s="27">
        <f t="shared" si="724"/>
        <v>0</v>
      </c>
      <c r="O471" s="27">
        <f t="shared" si="724"/>
        <v>0</v>
      </c>
      <c r="P471" s="472">
        <f t="shared" si="724"/>
        <v>0</v>
      </c>
      <c r="Q471" s="25">
        <f t="shared" si="724"/>
        <v>0</v>
      </c>
      <c r="R471" s="26">
        <f t="shared" ref="R471:BA471" si="725">SUMIF($F$12:$F$463,"=3122",R$12:R$463)</f>
        <v>0</v>
      </c>
      <c r="S471" s="26">
        <f t="shared" si="725"/>
        <v>0</v>
      </c>
      <c r="T471" s="26">
        <f t="shared" si="725"/>
        <v>0</v>
      </c>
      <c r="U471" s="26">
        <f t="shared" si="725"/>
        <v>0</v>
      </c>
      <c r="V471" s="26">
        <f t="shared" si="725"/>
        <v>0</v>
      </c>
      <c r="W471" s="26">
        <f t="shared" si="725"/>
        <v>0</v>
      </c>
      <c r="X471" s="26">
        <f t="shared" si="725"/>
        <v>0</v>
      </c>
      <c r="Y471" s="26">
        <f t="shared" si="725"/>
        <v>0</v>
      </c>
      <c r="Z471" s="26">
        <f t="shared" si="725"/>
        <v>0</v>
      </c>
      <c r="AA471" s="26">
        <f t="shared" si="725"/>
        <v>0</v>
      </c>
      <c r="AB471" s="26">
        <f t="shared" si="725"/>
        <v>0</v>
      </c>
      <c r="AC471" s="26">
        <f t="shared" si="725"/>
        <v>0</v>
      </c>
      <c r="AD471" s="26">
        <f t="shared" si="725"/>
        <v>0</v>
      </c>
      <c r="AE471" s="26">
        <f t="shared" si="725"/>
        <v>0</v>
      </c>
      <c r="AF471" s="26">
        <f t="shared" si="725"/>
        <v>0</v>
      </c>
      <c r="AG471" s="26">
        <f t="shared" si="725"/>
        <v>0</v>
      </c>
      <c r="AH471" s="27">
        <f t="shared" si="725"/>
        <v>0</v>
      </c>
      <c r="AI471" s="27">
        <f t="shared" si="725"/>
        <v>0</v>
      </c>
      <c r="AJ471" s="27">
        <f t="shared" si="725"/>
        <v>0</v>
      </c>
      <c r="AK471" s="27">
        <f t="shared" si="725"/>
        <v>0</v>
      </c>
      <c r="AL471" s="27">
        <f t="shared" si="725"/>
        <v>0</v>
      </c>
      <c r="AM471" s="27">
        <f t="shared" si="725"/>
        <v>0</v>
      </c>
      <c r="AN471" s="27">
        <f t="shared" si="725"/>
        <v>0</v>
      </c>
      <c r="AO471" s="27">
        <f t="shared" si="725"/>
        <v>0</v>
      </c>
      <c r="AP471" s="27">
        <f t="shared" si="725"/>
        <v>0</v>
      </c>
      <c r="AQ471" s="27">
        <f t="shared" si="725"/>
        <v>0</v>
      </c>
      <c r="AR471" s="253">
        <f t="shared" si="725"/>
        <v>0</v>
      </c>
      <c r="AS471" s="39">
        <f t="shared" si="725"/>
        <v>0</v>
      </c>
      <c r="AT471" s="26">
        <f t="shared" si="725"/>
        <v>0</v>
      </c>
      <c r="AU471" s="26">
        <f t="shared" si="725"/>
        <v>0</v>
      </c>
      <c r="AV471" s="26">
        <f t="shared" si="725"/>
        <v>0</v>
      </c>
      <c r="AW471" s="26">
        <f t="shared" si="725"/>
        <v>0</v>
      </c>
      <c r="AX471" s="26">
        <f t="shared" si="725"/>
        <v>0</v>
      </c>
      <c r="AY471" s="27">
        <f t="shared" si="725"/>
        <v>0</v>
      </c>
      <c r="AZ471" s="27">
        <f t="shared" si="725"/>
        <v>0</v>
      </c>
      <c r="BA471" s="253">
        <f t="shared" si="725"/>
        <v>0</v>
      </c>
    </row>
    <row r="472" spans="4:53" customFormat="1" ht="12.75" x14ac:dyDescent="0.2">
      <c r="D472" s="23"/>
      <c r="E472" s="24"/>
      <c r="F472" s="23"/>
      <c r="G472" s="42"/>
      <c r="H472" s="2">
        <v>3124</v>
      </c>
      <c r="I472" s="25">
        <f t="shared" ref="I472:Q472" si="726">SUMIF($F$12:$F$463,"=3124",I$12:I$463)</f>
        <v>0</v>
      </c>
      <c r="J472" s="26">
        <f t="shared" si="726"/>
        <v>0</v>
      </c>
      <c r="K472" s="26">
        <f t="shared" si="726"/>
        <v>0</v>
      </c>
      <c r="L472" s="26">
        <f t="shared" si="726"/>
        <v>0</v>
      </c>
      <c r="M472" s="26">
        <f t="shared" si="726"/>
        <v>0</v>
      </c>
      <c r="N472" s="27">
        <f t="shared" si="726"/>
        <v>0</v>
      </c>
      <c r="O472" s="27">
        <f t="shared" si="726"/>
        <v>0</v>
      </c>
      <c r="P472" s="472">
        <f t="shared" si="726"/>
        <v>0</v>
      </c>
      <c r="Q472" s="25">
        <f t="shared" si="726"/>
        <v>0</v>
      </c>
      <c r="R472" s="26">
        <f t="shared" ref="R472:BA472" si="727">SUMIF($F$12:$F$463,"=3124",R$12:R$463)</f>
        <v>0</v>
      </c>
      <c r="S472" s="26">
        <f t="shared" si="727"/>
        <v>0</v>
      </c>
      <c r="T472" s="26">
        <f t="shared" si="727"/>
        <v>0</v>
      </c>
      <c r="U472" s="26">
        <f t="shared" si="727"/>
        <v>0</v>
      </c>
      <c r="V472" s="26">
        <f t="shared" si="727"/>
        <v>0</v>
      </c>
      <c r="W472" s="26">
        <f t="shared" si="727"/>
        <v>0</v>
      </c>
      <c r="X472" s="26">
        <f t="shared" si="727"/>
        <v>0</v>
      </c>
      <c r="Y472" s="26">
        <f t="shared" si="727"/>
        <v>0</v>
      </c>
      <c r="Z472" s="26">
        <f t="shared" si="727"/>
        <v>0</v>
      </c>
      <c r="AA472" s="26">
        <f t="shared" si="727"/>
        <v>0</v>
      </c>
      <c r="AB472" s="26">
        <f t="shared" si="727"/>
        <v>0</v>
      </c>
      <c r="AC472" s="26">
        <f t="shared" si="727"/>
        <v>0</v>
      </c>
      <c r="AD472" s="26">
        <f t="shared" si="727"/>
        <v>0</v>
      </c>
      <c r="AE472" s="26">
        <f t="shared" si="727"/>
        <v>0</v>
      </c>
      <c r="AF472" s="26">
        <f t="shared" si="727"/>
        <v>0</v>
      </c>
      <c r="AG472" s="26">
        <f t="shared" si="727"/>
        <v>0</v>
      </c>
      <c r="AH472" s="27">
        <f t="shared" si="727"/>
        <v>0</v>
      </c>
      <c r="AI472" s="27">
        <f t="shared" si="727"/>
        <v>0</v>
      </c>
      <c r="AJ472" s="27">
        <f t="shared" si="727"/>
        <v>0</v>
      </c>
      <c r="AK472" s="27">
        <f t="shared" si="727"/>
        <v>0</v>
      </c>
      <c r="AL472" s="27">
        <f t="shared" si="727"/>
        <v>0</v>
      </c>
      <c r="AM472" s="27">
        <f t="shared" si="727"/>
        <v>0</v>
      </c>
      <c r="AN472" s="27">
        <f t="shared" si="727"/>
        <v>0</v>
      </c>
      <c r="AO472" s="27">
        <f t="shared" si="727"/>
        <v>0</v>
      </c>
      <c r="AP472" s="27">
        <f t="shared" si="727"/>
        <v>0</v>
      </c>
      <c r="AQ472" s="27">
        <f t="shared" si="727"/>
        <v>0</v>
      </c>
      <c r="AR472" s="253">
        <f t="shared" si="727"/>
        <v>0</v>
      </c>
      <c r="AS472" s="39">
        <f t="shared" si="727"/>
        <v>0</v>
      </c>
      <c r="AT472" s="26">
        <f t="shared" si="727"/>
        <v>0</v>
      </c>
      <c r="AU472" s="26">
        <f t="shared" si="727"/>
        <v>0</v>
      </c>
      <c r="AV472" s="26">
        <f t="shared" si="727"/>
        <v>0</v>
      </c>
      <c r="AW472" s="26">
        <f t="shared" si="727"/>
        <v>0</v>
      </c>
      <c r="AX472" s="26">
        <f t="shared" si="727"/>
        <v>0</v>
      </c>
      <c r="AY472" s="27">
        <f t="shared" si="727"/>
        <v>0</v>
      </c>
      <c r="AZ472" s="27">
        <f t="shared" si="727"/>
        <v>0</v>
      </c>
      <c r="BA472" s="253">
        <f t="shared" si="727"/>
        <v>0</v>
      </c>
    </row>
    <row r="473" spans="4:53" customFormat="1" ht="12.75" x14ac:dyDescent="0.2">
      <c r="D473" s="23"/>
      <c r="E473" s="24"/>
      <c r="F473" s="23"/>
      <c r="G473" s="42"/>
      <c r="H473" s="2">
        <v>3141</v>
      </c>
      <c r="I473" s="25">
        <f t="shared" ref="I473:Q473" si="728">SUMIF($F$12:$F$463,"=3141",I$12:I$463)</f>
        <v>115212789</v>
      </c>
      <c r="J473" s="26">
        <f t="shared" si="728"/>
        <v>84884329</v>
      </c>
      <c r="K473" s="26">
        <f t="shared" si="728"/>
        <v>28690905</v>
      </c>
      <c r="L473" s="26">
        <f t="shared" si="728"/>
        <v>848843</v>
      </c>
      <c r="M473" s="26">
        <f t="shared" si="728"/>
        <v>788712</v>
      </c>
      <c r="N473" s="27">
        <f t="shared" si="728"/>
        <v>272.80299999999988</v>
      </c>
      <c r="O473" s="27">
        <f t="shared" si="728"/>
        <v>0</v>
      </c>
      <c r="P473" s="472">
        <f t="shared" si="728"/>
        <v>272.80299999999988</v>
      </c>
      <c r="Q473" s="25">
        <f t="shared" si="728"/>
        <v>-462787</v>
      </c>
      <c r="R473" s="26">
        <f t="shared" ref="R473:BA473" si="729">SUMIF($F$12:$F$463,"=3141",R$12:R$463)</f>
        <v>0</v>
      </c>
      <c r="S473" s="26">
        <f t="shared" si="729"/>
        <v>0</v>
      </c>
      <c r="T473" s="26">
        <f t="shared" si="729"/>
        <v>0</v>
      </c>
      <c r="U473" s="26">
        <f t="shared" si="729"/>
        <v>0</v>
      </c>
      <c r="V473" s="26">
        <f t="shared" si="729"/>
        <v>-462787</v>
      </c>
      <c r="W473" s="26">
        <f t="shared" si="729"/>
        <v>462787</v>
      </c>
      <c r="X473" s="26">
        <f t="shared" si="729"/>
        <v>0</v>
      </c>
      <c r="Y473" s="26">
        <f t="shared" si="729"/>
        <v>0</v>
      </c>
      <c r="Z473" s="26">
        <f t="shared" si="729"/>
        <v>462787</v>
      </c>
      <c r="AA473" s="26">
        <f t="shared" si="729"/>
        <v>0</v>
      </c>
      <c r="AB473" s="26">
        <f t="shared" si="729"/>
        <v>0</v>
      </c>
      <c r="AC473" s="26">
        <f t="shared" si="729"/>
        <v>-4629</v>
      </c>
      <c r="AD473" s="26">
        <f t="shared" si="729"/>
        <v>0</v>
      </c>
      <c r="AE473" s="26">
        <f t="shared" si="729"/>
        <v>0</v>
      </c>
      <c r="AF473" s="26">
        <f t="shared" si="729"/>
        <v>0</v>
      </c>
      <c r="AG473" s="26">
        <f t="shared" si="729"/>
        <v>-4629</v>
      </c>
      <c r="AH473" s="27">
        <f t="shared" si="729"/>
        <v>0</v>
      </c>
      <c r="AI473" s="27">
        <f t="shared" si="729"/>
        <v>-0.81</v>
      </c>
      <c r="AJ473" s="27">
        <f t="shared" si="729"/>
        <v>0</v>
      </c>
      <c r="AK473" s="27">
        <f t="shared" si="729"/>
        <v>0</v>
      </c>
      <c r="AL473" s="27">
        <f t="shared" si="729"/>
        <v>0</v>
      </c>
      <c r="AM473" s="27">
        <f t="shared" si="729"/>
        <v>0</v>
      </c>
      <c r="AN473" s="27">
        <f t="shared" si="729"/>
        <v>0</v>
      </c>
      <c r="AO473" s="27">
        <f t="shared" si="729"/>
        <v>1.19</v>
      </c>
      <c r="AP473" s="27">
        <f t="shared" si="729"/>
        <v>0</v>
      </c>
      <c r="AQ473" s="27">
        <f t="shared" si="729"/>
        <v>0.37999999999999989</v>
      </c>
      <c r="AR473" s="253">
        <f t="shared" si="729"/>
        <v>0.37999999999999989</v>
      </c>
      <c r="AS473" s="39">
        <f t="shared" si="729"/>
        <v>115208160</v>
      </c>
      <c r="AT473" s="26">
        <f t="shared" si="729"/>
        <v>84421542</v>
      </c>
      <c r="AU473" s="26">
        <f t="shared" si="729"/>
        <v>462787</v>
      </c>
      <c r="AV473" s="26">
        <f t="shared" si="729"/>
        <v>28690905</v>
      </c>
      <c r="AW473" s="26">
        <f t="shared" si="729"/>
        <v>844214</v>
      </c>
      <c r="AX473" s="26">
        <f t="shared" si="729"/>
        <v>788712</v>
      </c>
      <c r="AY473" s="27">
        <f t="shared" si="729"/>
        <v>273.18299999999988</v>
      </c>
      <c r="AZ473" s="27">
        <f t="shared" si="729"/>
        <v>0</v>
      </c>
      <c r="BA473" s="253">
        <f t="shared" si="729"/>
        <v>273.18299999999988</v>
      </c>
    </row>
    <row r="474" spans="4:53" customFormat="1" ht="12.75" x14ac:dyDescent="0.2">
      <c r="D474" s="23"/>
      <c r="E474" s="24"/>
      <c r="F474" s="23"/>
      <c r="G474" s="42"/>
      <c r="H474" s="2">
        <v>3143</v>
      </c>
      <c r="I474" s="25">
        <f t="shared" ref="I474:Q474" si="730">SUMIF($F$12:$F$463,"=3143",I$12:I$463)</f>
        <v>99263945</v>
      </c>
      <c r="J474" s="26">
        <f t="shared" si="730"/>
        <v>73546269</v>
      </c>
      <c r="K474" s="26">
        <f t="shared" si="730"/>
        <v>24858635</v>
      </c>
      <c r="L474" s="26">
        <f t="shared" si="730"/>
        <v>735462</v>
      </c>
      <c r="M474" s="26">
        <f t="shared" si="730"/>
        <v>123579</v>
      </c>
      <c r="N474" s="27">
        <f t="shared" si="730"/>
        <v>158.71380000000005</v>
      </c>
      <c r="O474" s="27">
        <f t="shared" si="730"/>
        <v>148.87379999999999</v>
      </c>
      <c r="P474" s="472">
        <f t="shared" si="730"/>
        <v>9.8400000000000034</v>
      </c>
      <c r="Q474" s="25">
        <f t="shared" si="730"/>
        <v>-187200</v>
      </c>
      <c r="R474" s="26">
        <f t="shared" ref="R474:BA474" si="731">SUMIF($F$12:$F$463,"=3143",R$12:R$463)</f>
        <v>0</v>
      </c>
      <c r="S474" s="26">
        <f t="shared" si="731"/>
        <v>0</v>
      </c>
      <c r="T474" s="26">
        <f t="shared" si="731"/>
        <v>0</v>
      </c>
      <c r="U474" s="26">
        <f t="shared" si="731"/>
        <v>0</v>
      </c>
      <c r="V474" s="26">
        <f t="shared" si="731"/>
        <v>-187200</v>
      </c>
      <c r="W474" s="26">
        <f t="shared" si="731"/>
        <v>187200</v>
      </c>
      <c r="X474" s="26">
        <f t="shared" si="731"/>
        <v>0</v>
      </c>
      <c r="Y474" s="26">
        <f t="shared" si="731"/>
        <v>0</v>
      </c>
      <c r="Z474" s="26">
        <f t="shared" si="731"/>
        <v>187200</v>
      </c>
      <c r="AA474" s="26">
        <f t="shared" si="731"/>
        <v>0</v>
      </c>
      <c r="AB474" s="26">
        <f t="shared" si="731"/>
        <v>0</v>
      </c>
      <c r="AC474" s="26">
        <f t="shared" si="731"/>
        <v>-1874</v>
      </c>
      <c r="AD474" s="26">
        <f t="shared" si="731"/>
        <v>0</v>
      </c>
      <c r="AE474" s="26">
        <f t="shared" si="731"/>
        <v>0</v>
      </c>
      <c r="AF474" s="26">
        <f t="shared" si="731"/>
        <v>0</v>
      </c>
      <c r="AG474" s="26">
        <f t="shared" si="731"/>
        <v>-1874</v>
      </c>
      <c r="AH474" s="27">
        <f t="shared" si="731"/>
        <v>-0.01</v>
      </c>
      <c r="AI474" s="27">
        <f t="shared" si="731"/>
        <v>0</v>
      </c>
      <c r="AJ474" s="27">
        <f t="shared" si="731"/>
        <v>0</v>
      </c>
      <c r="AK474" s="27">
        <f t="shared" si="731"/>
        <v>0</v>
      </c>
      <c r="AL474" s="27">
        <f t="shared" si="731"/>
        <v>0</v>
      </c>
      <c r="AM474" s="27">
        <f t="shared" si="731"/>
        <v>0</v>
      </c>
      <c r="AN474" s="27">
        <f t="shared" si="731"/>
        <v>0</v>
      </c>
      <c r="AO474" s="27">
        <f t="shared" si="731"/>
        <v>0</v>
      </c>
      <c r="AP474" s="27">
        <f t="shared" si="731"/>
        <v>-0.01</v>
      </c>
      <c r="AQ474" s="27">
        <f t="shared" si="731"/>
        <v>0</v>
      </c>
      <c r="AR474" s="253">
        <f t="shared" si="731"/>
        <v>-0.01</v>
      </c>
      <c r="AS474" s="39">
        <f t="shared" si="731"/>
        <v>99262071</v>
      </c>
      <c r="AT474" s="26">
        <f t="shared" si="731"/>
        <v>73359069</v>
      </c>
      <c r="AU474" s="26">
        <f t="shared" si="731"/>
        <v>187200</v>
      </c>
      <c r="AV474" s="26">
        <f t="shared" si="731"/>
        <v>24858635</v>
      </c>
      <c r="AW474" s="26">
        <f t="shared" si="731"/>
        <v>733588</v>
      </c>
      <c r="AX474" s="26">
        <f t="shared" si="731"/>
        <v>123579</v>
      </c>
      <c r="AY474" s="27">
        <f t="shared" si="731"/>
        <v>158.70380000000006</v>
      </c>
      <c r="AZ474" s="27">
        <f t="shared" si="731"/>
        <v>148.8638</v>
      </c>
      <c r="BA474" s="253">
        <f t="shared" si="731"/>
        <v>9.8400000000000034</v>
      </c>
    </row>
    <row r="475" spans="4:53" customFormat="1" ht="12.75" x14ac:dyDescent="0.2">
      <c r="D475" s="23"/>
      <c r="E475" s="24"/>
      <c r="F475" s="23"/>
      <c r="G475" s="42"/>
      <c r="H475" s="2">
        <v>3231</v>
      </c>
      <c r="I475" s="25">
        <f t="shared" ref="I475:Q475" si="732">SUMIF($F$12:$F$463,"=3231",I$12:I$463)</f>
        <v>84163825</v>
      </c>
      <c r="J475" s="26">
        <f t="shared" si="732"/>
        <v>62313740</v>
      </c>
      <c r="K475" s="26">
        <f t="shared" si="732"/>
        <v>21062044</v>
      </c>
      <c r="L475" s="26">
        <f t="shared" si="732"/>
        <v>623137</v>
      </c>
      <c r="M475" s="26">
        <f t="shared" si="732"/>
        <v>164904</v>
      </c>
      <c r="N475" s="27">
        <f t="shared" si="732"/>
        <v>109.7176</v>
      </c>
      <c r="O475" s="27">
        <f t="shared" si="732"/>
        <v>99.62939999999999</v>
      </c>
      <c r="P475" s="472">
        <f t="shared" si="732"/>
        <v>10.088199999999999</v>
      </c>
      <c r="Q475" s="25">
        <f t="shared" si="732"/>
        <v>-45500</v>
      </c>
      <c r="R475" s="26">
        <f t="shared" ref="R475:BA475" si="733">SUMIF($F$12:$F$463,"=3231",R$12:R$463)</f>
        <v>0</v>
      </c>
      <c r="S475" s="26">
        <f t="shared" si="733"/>
        <v>0</v>
      </c>
      <c r="T475" s="26">
        <f t="shared" si="733"/>
        <v>0</v>
      </c>
      <c r="U475" s="26">
        <f t="shared" si="733"/>
        <v>0</v>
      </c>
      <c r="V475" s="26">
        <f t="shared" si="733"/>
        <v>-45500</v>
      </c>
      <c r="W475" s="26">
        <f t="shared" si="733"/>
        <v>45500</v>
      </c>
      <c r="X475" s="26">
        <f t="shared" si="733"/>
        <v>0</v>
      </c>
      <c r="Y475" s="26">
        <f t="shared" si="733"/>
        <v>0</v>
      </c>
      <c r="Z475" s="26">
        <f t="shared" si="733"/>
        <v>45500</v>
      </c>
      <c r="AA475" s="26">
        <f t="shared" si="733"/>
        <v>0</v>
      </c>
      <c r="AB475" s="26">
        <f t="shared" si="733"/>
        <v>0</v>
      </c>
      <c r="AC475" s="26">
        <f t="shared" si="733"/>
        <v>-455</v>
      </c>
      <c r="AD475" s="26">
        <f t="shared" si="733"/>
        <v>0</v>
      </c>
      <c r="AE475" s="26">
        <f t="shared" si="733"/>
        <v>0</v>
      </c>
      <c r="AF475" s="26">
        <f t="shared" si="733"/>
        <v>0</v>
      </c>
      <c r="AG475" s="26">
        <f t="shared" si="733"/>
        <v>-455</v>
      </c>
      <c r="AH475" s="27">
        <f t="shared" si="733"/>
        <v>-0.03</v>
      </c>
      <c r="AI475" s="27">
        <f t="shared" si="733"/>
        <v>0</v>
      </c>
      <c r="AJ475" s="27">
        <f t="shared" si="733"/>
        <v>0</v>
      </c>
      <c r="AK475" s="27">
        <f t="shared" si="733"/>
        <v>0</v>
      </c>
      <c r="AL475" s="27">
        <f t="shared" si="733"/>
        <v>0</v>
      </c>
      <c r="AM475" s="27">
        <f t="shared" si="733"/>
        <v>0</v>
      </c>
      <c r="AN475" s="27">
        <f t="shared" si="733"/>
        <v>0</v>
      </c>
      <c r="AO475" s="27">
        <f t="shared" si="733"/>
        <v>0</v>
      </c>
      <c r="AP475" s="27">
        <f t="shared" si="733"/>
        <v>-0.03</v>
      </c>
      <c r="AQ475" s="27">
        <f t="shared" si="733"/>
        <v>0</v>
      </c>
      <c r="AR475" s="253">
        <f t="shared" si="733"/>
        <v>-0.03</v>
      </c>
      <c r="AS475" s="39">
        <f t="shared" si="733"/>
        <v>84163370</v>
      </c>
      <c r="AT475" s="26">
        <f t="shared" si="733"/>
        <v>62268240</v>
      </c>
      <c r="AU475" s="26">
        <f t="shared" si="733"/>
        <v>45500</v>
      </c>
      <c r="AV475" s="26">
        <f t="shared" si="733"/>
        <v>21062044</v>
      </c>
      <c r="AW475" s="26">
        <f t="shared" si="733"/>
        <v>622682</v>
      </c>
      <c r="AX475" s="26">
        <f t="shared" si="733"/>
        <v>164904</v>
      </c>
      <c r="AY475" s="27">
        <f t="shared" si="733"/>
        <v>109.6876</v>
      </c>
      <c r="AZ475" s="27">
        <f t="shared" si="733"/>
        <v>99.599399999999989</v>
      </c>
      <c r="BA475" s="253">
        <f t="shared" si="733"/>
        <v>10.088199999999999</v>
      </c>
    </row>
    <row r="476" spans="4:53" customFormat="1" ht="13.5" thickBot="1" x14ac:dyDescent="0.25">
      <c r="D476" s="23"/>
      <c r="E476" s="24"/>
      <c r="F476" s="23"/>
      <c r="G476" s="42"/>
      <c r="H476" s="154">
        <v>3233</v>
      </c>
      <c r="I476" s="28">
        <f t="shared" ref="I476:Q476" si="734">SUMIF($F$12:$F$463,"=3233",I$12:I$463)</f>
        <v>13585338</v>
      </c>
      <c r="J476" s="29">
        <f t="shared" si="734"/>
        <v>10062762</v>
      </c>
      <c r="K476" s="29">
        <f t="shared" si="734"/>
        <v>3401214</v>
      </c>
      <c r="L476" s="29">
        <f t="shared" si="734"/>
        <v>100628</v>
      </c>
      <c r="M476" s="29">
        <f t="shared" si="734"/>
        <v>20734</v>
      </c>
      <c r="N476" s="148">
        <f t="shared" si="734"/>
        <v>23.169999999999998</v>
      </c>
      <c r="O476" s="148">
        <f t="shared" si="734"/>
        <v>13.93</v>
      </c>
      <c r="P476" s="473">
        <f t="shared" si="734"/>
        <v>9.2399999999999984</v>
      </c>
      <c r="Q476" s="28">
        <f t="shared" si="734"/>
        <v>-1027000</v>
      </c>
      <c r="R476" s="29">
        <f t="shared" ref="R476:BA476" si="735">SUMIF($F$12:$F$463,"=3233",R$12:R$463)</f>
        <v>0</v>
      </c>
      <c r="S476" s="29">
        <f t="shared" si="735"/>
        <v>0</v>
      </c>
      <c r="T476" s="29">
        <f t="shared" si="735"/>
        <v>0</v>
      </c>
      <c r="U476" s="29">
        <f t="shared" si="735"/>
        <v>0</v>
      </c>
      <c r="V476" s="29">
        <f t="shared" si="735"/>
        <v>-1027000</v>
      </c>
      <c r="W476" s="29">
        <f t="shared" si="735"/>
        <v>1027000</v>
      </c>
      <c r="X476" s="29">
        <f t="shared" si="735"/>
        <v>0</v>
      </c>
      <c r="Y476" s="29">
        <f t="shared" si="735"/>
        <v>103022</v>
      </c>
      <c r="Z476" s="29">
        <f t="shared" si="735"/>
        <v>1130022</v>
      </c>
      <c r="AA476" s="29">
        <f t="shared" si="735"/>
        <v>103022</v>
      </c>
      <c r="AB476" s="29">
        <f t="shared" si="735"/>
        <v>0</v>
      </c>
      <c r="AC476" s="29">
        <f t="shared" si="735"/>
        <v>-10270</v>
      </c>
      <c r="AD476" s="29">
        <f t="shared" si="735"/>
        <v>0</v>
      </c>
      <c r="AE476" s="29">
        <f t="shared" si="735"/>
        <v>0</v>
      </c>
      <c r="AF476" s="29">
        <f t="shared" si="735"/>
        <v>0</v>
      </c>
      <c r="AG476" s="29">
        <f t="shared" si="735"/>
        <v>92752</v>
      </c>
      <c r="AH476" s="148">
        <f t="shared" si="735"/>
        <v>-1.38</v>
      </c>
      <c r="AI476" s="148">
        <f t="shared" si="735"/>
        <v>-0.99</v>
      </c>
      <c r="AJ476" s="148">
        <f t="shared" si="735"/>
        <v>0</v>
      </c>
      <c r="AK476" s="148">
        <f t="shared" si="735"/>
        <v>0</v>
      </c>
      <c r="AL476" s="148">
        <f t="shared" si="735"/>
        <v>0</v>
      </c>
      <c r="AM476" s="148">
        <f t="shared" si="735"/>
        <v>0</v>
      </c>
      <c r="AN476" s="148">
        <f t="shared" si="735"/>
        <v>0</v>
      </c>
      <c r="AO476" s="148">
        <f t="shared" si="735"/>
        <v>0</v>
      </c>
      <c r="AP476" s="148">
        <f t="shared" si="735"/>
        <v>-1.38</v>
      </c>
      <c r="AQ476" s="148">
        <f t="shared" si="735"/>
        <v>-0.99</v>
      </c>
      <c r="AR476" s="254">
        <f t="shared" si="735"/>
        <v>-2.37</v>
      </c>
      <c r="AS476" s="153">
        <f t="shared" si="735"/>
        <v>13678090</v>
      </c>
      <c r="AT476" s="29">
        <f t="shared" si="735"/>
        <v>9035762</v>
      </c>
      <c r="AU476" s="29">
        <f t="shared" si="735"/>
        <v>1130022</v>
      </c>
      <c r="AV476" s="29">
        <f t="shared" si="735"/>
        <v>3401214</v>
      </c>
      <c r="AW476" s="29">
        <f t="shared" si="735"/>
        <v>90358</v>
      </c>
      <c r="AX476" s="29">
        <f t="shared" si="735"/>
        <v>20734</v>
      </c>
      <c r="AY476" s="148">
        <f t="shared" si="735"/>
        <v>20.799999999999997</v>
      </c>
      <c r="AZ476" s="148">
        <f t="shared" si="735"/>
        <v>12.549999999999999</v>
      </c>
      <c r="BA476" s="254">
        <f t="shared" si="735"/>
        <v>8.25</v>
      </c>
    </row>
    <row r="478" spans="4:53" x14ac:dyDescent="0.2">
      <c r="E478" s="90"/>
    </row>
    <row r="479" spans="4:53" x14ac:dyDescent="0.2">
      <c r="E479" s="90"/>
    </row>
    <row r="480" spans="4:53" x14ac:dyDescent="0.2">
      <c r="E480" s="90"/>
    </row>
    <row r="481" spans="5:5" x14ac:dyDescent="0.2">
      <c r="E481" s="90"/>
    </row>
    <row r="482" spans="5:5" x14ac:dyDescent="0.2">
      <c r="E482" s="90"/>
    </row>
    <row r="483" spans="5:5" x14ac:dyDescent="0.2">
      <c r="E483" s="90"/>
    </row>
    <row r="484" spans="5:5" x14ac:dyDescent="0.2">
      <c r="E484" s="90"/>
    </row>
    <row r="485" spans="5:5" x14ac:dyDescent="0.2">
      <c r="E485" s="90"/>
    </row>
    <row r="486" spans="5:5" x14ac:dyDescent="0.2">
      <c r="E486" s="90"/>
    </row>
    <row r="487" spans="5:5" x14ac:dyDescent="0.2">
      <c r="E487" s="90"/>
    </row>
    <row r="488" spans="5:5" x14ac:dyDescent="0.2">
      <c r="E488" s="90"/>
    </row>
    <row r="489" spans="5:5" x14ac:dyDescent="0.2">
      <c r="E489" s="90"/>
    </row>
    <row r="490" spans="5:5" x14ac:dyDescent="0.2">
      <c r="E490" s="90"/>
    </row>
    <row r="491" spans="5:5" x14ac:dyDescent="0.2">
      <c r="E491" s="90"/>
    </row>
    <row r="492" spans="5:5" x14ac:dyDescent="0.2">
      <c r="E492" s="90"/>
    </row>
    <row r="493" spans="5:5" x14ac:dyDescent="0.2">
      <c r="E493" s="90"/>
    </row>
    <row r="494" spans="5:5" x14ac:dyDescent="0.2">
      <c r="E494" s="90"/>
    </row>
    <row r="495" spans="5:5" x14ac:dyDescent="0.2">
      <c r="E495" s="90"/>
    </row>
    <row r="496" spans="5:5" x14ac:dyDescent="0.2">
      <c r="E496" s="90"/>
    </row>
    <row r="497" spans="5:5" x14ac:dyDescent="0.2">
      <c r="E497" s="90"/>
    </row>
    <row r="498" spans="5:5" x14ac:dyDescent="0.2">
      <c r="E498" s="90"/>
    </row>
    <row r="499" spans="5:5" x14ac:dyDescent="0.2">
      <c r="E499" s="90"/>
    </row>
    <row r="500" spans="5:5" x14ac:dyDescent="0.2">
      <c r="E500" s="90"/>
    </row>
    <row r="501" spans="5:5" x14ac:dyDescent="0.2">
      <c r="E501" s="90"/>
    </row>
    <row r="502" spans="5:5" x14ac:dyDescent="0.2">
      <c r="E502" s="90"/>
    </row>
    <row r="503" spans="5:5" x14ac:dyDescent="0.2">
      <c r="E503" s="90"/>
    </row>
    <row r="504" spans="5:5" x14ac:dyDescent="0.2">
      <c r="E504" s="90"/>
    </row>
    <row r="505" spans="5:5" x14ac:dyDescent="0.2">
      <c r="E505" s="90"/>
    </row>
    <row r="506" spans="5:5" x14ac:dyDescent="0.2">
      <c r="E506" s="90"/>
    </row>
    <row r="507" spans="5:5" x14ac:dyDescent="0.2">
      <c r="E507" s="90"/>
    </row>
    <row r="508" spans="5:5" x14ac:dyDescent="0.2">
      <c r="E508" s="90"/>
    </row>
    <row r="509" spans="5:5" x14ac:dyDescent="0.2">
      <c r="E509" s="90"/>
    </row>
    <row r="510" spans="5:5" x14ac:dyDescent="0.2">
      <c r="E510" s="90"/>
    </row>
    <row r="511" spans="5:5" x14ac:dyDescent="0.2">
      <c r="E511" s="90"/>
    </row>
    <row r="512" spans="5:5" x14ac:dyDescent="0.2">
      <c r="E512" s="90"/>
    </row>
    <row r="513" spans="5:5" x14ac:dyDescent="0.2">
      <c r="E513" s="90"/>
    </row>
    <row r="514" spans="5:5" x14ac:dyDescent="0.2">
      <c r="E514" s="90"/>
    </row>
    <row r="515" spans="5:5" x14ac:dyDescent="0.2">
      <c r="E515" s="90"/>
    </row>
    <row r="516" spans="5:5" x14ac:dyDescent="0.2">
      <c r="E516" s="90"/>
    </row>
    <row r="517" spans="5:5" x14ac:dyDescent="0.2">
      <c r="E517" s="90"/>
    </row>
    <row r="518" spans="5:5" x14ac:dyDescent="0.2">
      <c r="E518" s="90"/>
    </row>
    <row r="519" spans="5:5" x14ac:dyDescent="0.2">
      <c r="E519" s="90"/>
    </row>
    <row r="520" spans="5:5" x14ac:dyDescent="0.2">
      <c r="E520" s="90"/>
    </row>
    <row r="521" spans="5:5" x14ac:dyDescent="0.2">
      <c r="E521" s="90"/>
    </row>
    <row r="522" spans="5:5" x14ac:dyDescent="0.2">
      <c r="E522" s="90"/>
    </row>
    <row r="523" spans="5:5" x14ac:dyDescent="0.2">
      <c r="E523" s="90"/>
    </row>
    <row r="524" spans="5:5" x14ac:dyDescent="0.2">
      <c r="E524" s="90"/>
    </row>
    <row r="525" spans="5:5" x14ac:dyDescent="0.2">
      <c r="E525" s="90"/>
    </row>
    <row r="526" spans="5:5" x14ac:dyDescent="0.2">
      <c r="E526" s="90"/>
    </row>
    <row r="527" spans="5:5" x14ac:dyDescent="0.2">
      <c r="E527" s="90"/>
    </row>
    <row r="939" spans="5:5" x14ac:dyDescent="0.2">
      <c r="E939" s="90"/>
    </row>
    <row r="940" spans="5:5" x14ac:dyDescent="0.2">
      <c r="E940" s="90"/>
    </row>
    <row r="941" spans="5:5" x14ac:dyDescent="0.2">
      <c r="E941" s="90"/>
    </row>
    <row r="942" spans="5:5" x14ac:dyDescent="0.2">
      <c r="E942" s="90"/>
    </row>
    <row r="943" spans="5:5" x14ac:dyDescent="0.2">
      <c r="E943" s="90"/>
    </row>
    <row r="944" spans="5:5" x14ac:dyDescent="0.2">
      <c r="E944" s="90"/>
    </row>
    <row r="945" spans="5:16" x14ac:dyDescent="0.2">
      <c r="E945" s="90"/>
    </row>
    <row r="947" spans="5:16" x14ac:dyDescent="0.2">
      <c r="E947" s="52"/>
      <c r="F947" s="52"/>
      <c r="G947" s="52"/>
      <c r="H947" s="52"/>
      <c r="I947" s="52"/>
      <c r="J947" s="52"/>
      <c r="K947" s="52"/>
      <c r="L947" s="52"/>
      <c r="M947" s="52"/>
      <c r="N947" s="179"/>
      <c r="O947" s="179"/>
      <c r="P947" s="179"/>
    </row>
    <row r="948" spans="5:16" x14ac:dyDescent="0.2">
      <c r="E948" s="52"/>
      <c r="F948" s="52"/>
      <c r="G948" s="52"/>
      <c r="H948" s="52"/>
      <c r="I948" s="52"/>
      <c r="J948" s="52"/>
      <c r="K948" s="52"/>
      <c r="L948" s="52"/>
      <c r="M948" s="52"/>
      <c r="N948" s="179"/>
      <c r="O948" s="179"/>
      <c r="P948" s="179"/>
    </row>
    <row r="949" spans="5:16" x14ac:dyDescent="0.2">
      <c r="E949" s="52"/>
      <c r="F949" s="52"/>
      <c r="G949" s="52"/>
      <c r="H949" s="52"/>
      <c r="I949" s="52"/>
      <c r="J949" s="52"/>
      <c r="K949" s="52"/>
      <c r="L949" s="52"/>
      <c r="M949" s="52"/>
      <c r="N949" s="179"/>
      <c r="O949" s="179"/>
      <c r="P949" s="179"/>
    </row>
    <row r="950" spans="5:16" x14ac:dyDescent="0.2">
      <c r="E950" s="52"/>
      <c r="F950" s="52"/>
      <c r="G950" s="52"/>
      <c r="H950" s="52"/>
      <c r="I950" s="52"/>
      <c r="J950" s="52"/>
      <c r="K950" s="52"/>
      <c r="L950" s="52"/>
      <c r="M950" s="52"/>
      <c r="N950" s="179"/>
      <c r="O950" s="179"/>
      <c r="P950" s="179"/>
    </row>
    <row r="951" spans="5:16" x14ac:dyDescent="0.2">
      <c r="E951" s="52"/>
      <c r="F951" s="52"/>
      <c r="G951" s="52"/>
      <c r="H951" s="52"/>
      <c r="I951" s="52"/>
      <c r="J951" s="52"/>
      <c r="K951" s="52"/>
      <c r="L951" s="52"/>
      <c r="M951" s="52"/>
      <c r="N951" s="179"/>
      <c r="O951" s="179"/>
      <c r="P951" s="179"/>
    </row>
    <row r="952" spans="5:16" x14ac:dyDescent="0.2">
      <c r="E952" s="52"/>
      <c r="F952" s="52"/>
      <c r="G952" s="52"/>
      <c r="H952" s="52"/>
      <c r="I952" s="52"/>
      <c r="J952" s="52"/>
      <c r="K952" s="52"/>
      <c r="L952" s="52"/>
      <c r="M952" s="52"/>
      <c r="N952" s="179"/>
      <c r="O952" s="179"/>
      <c r="P952" s="179"/>
    </row>
    <row r="953" spans="5:16" x14ac:dyDescent="0.2">
      <c r="E953" s="52"/>
      <c r="F953" s="52"/>
      <c r="G953" s="52"/>
      <c r="H953" s="52"/>
      <c r="I953" s="52"/>
      <c r="J953" s="52"/>
      <c r="K953" s="52"/>
      <c r="L953" s="52"/>
      <c r="M953" s="52"/>
      <c r="N953" s="179"/>
      <c r="O953" s="179"/>
      <c r="P953" s="179"/>
    </row>
    <row r="954" spans="5:16" x14ac:dyDescent="0.2">
      <c r="E954" s="52"/>
      <c r="F954" s="52"/>
      <c r="G954" s="52"/>
      <c r="H954" s="52"/>
      <c r="I954" s="52"/>
      <c r="J954" s="52"/>
      <c r="K954" s="52"/>
      <c r="L954" s="52"/>
      <c r="M954" s="52"/>
      <c r="N954" s="179"/>
      <c r="O954" s="179"/>
      <c r="P954" s="179"/>
    </row>
    <row r="956" spans="5:16" x14ac:dyDescent="0.2">
      <c r="E956" s="52"/>
      <c r="F956" s="52"/>
      <c r="G956" s="52"/>
      <c r="H956" s="52"/>
      <c r="I956" s="52"/>
      <c r="J956" s="52"/>
      <c r="K956" s="52"/>
      <c r="L956" s="52"/>
      <c r="M956" s="52"/>
      <c r="N956" s="179"/>
      <c r="O956" s="179"/>
      <c r="P956" s="179"/>
    </row>
    <row r="957" spans="5:16" x14ac:dyDescent="0.2">
      <c r="E957" s="52"/>
      <c r="F957" s="52"/>
      <c r="G957" s="52"/>
      <c r="H957" s="52"/>
      <c r="I957" s="52"/>
      <c r="J957" s="52"/>
      <c r="K957" s="52"/>
      <c r="L957" s="52"/>
      <c r="M957" s="52"/>
      <c r="N957" s="179"/>
      <c r="O957" s="179"/>
      <c r="P957" s="179"/>
    </row>
    <row r="958" spans="5:16" x14ac:dyDescent="0.2">
      <c r="E958" s="52"/>
      <c r="F958" s="52"/>
      <c r="G958" s="52"/>
      <c r="H958" s="52"/>
      <c r="I958" s="52"/>
      <c r="J958" s="52"/>
      <c r="K958" s="52"/>
      <c r="L958" s="52"/>
      <c r="M958" s="52"/>
      <c r="N958" s="179"/>
      <c r="O958" s="179"/>
      <c r="P958" s="179"/>
    </row>
    <row r="959" spans="5:16" x14ac:dyDescent="0.2">
      <c r="E959" s="52"/>
      <c r="F959" s="52"/>
      <c r="G959" s="52"/>
      <c r="H959" s="52"/>
      <c r="I959" s="52"/>
      <c r="J959" s="52"/>
      <c r="K959" s="52"/>
      <c r="L959" s="52"/>
      <c r="M959" s="52"/>
      <c r="N959" s="179"/>
      <c r="O959" s="179"/>
      <c r="P959" s="179"/>
    </row>
    <row r="960" spans="5:16" x14ac:dyDescent="0.2">
      <c r="E960" s="52"/>
      <c r="F960" s="52"/>
      <c r="G960" s="52"/>
      <c r="H960" s="52"/>
      <c r="I960" s="52"/>
      <c r="J960" s="52"/>
      <c r="K960" s="52"/>
      <c r="L960" s="52"/>
      <c r="M960" s="52"/>
      <c r="N960" s="179"/>
      <c r="O960" s="179"/>
      <c r="P960" s="179"/>
    </row>
    <row r="961" spans="5:16" x14ac:dyDescent="0.2">
      <c r="E961" s="52"/>
      <c r="F961" s="52"/>
      <c r="G961" s="52"/>
      <c r="H961" s="52"/>
      <c r="I961" s="52"/>
      <c r="J961" s="52"/>
      <c r="K961" s="52"/>
      <c r="L961" s="52"/>
      <c r="M961" s="52"/>
      <c r="N961" s="179"/>
      <c r="O961" s="179"/>
      <c r="P961" s="179"/>
    </row>
    <row r="962" spans="5:16" x14ac:dyDescent="0.2">
      <c r="E962" s="52"/>
      <c r="F962" s="52"/>
      <c r="G962" s="52"/>
      <c r="H962" s="52"/>
      <c r="I962" s="52"/>
      <c r="J962" s="52"/>
      <c r="K962" s="52"/>
      <c r="L962" s="52"/>
      <c r="M962" s="52"/>
      <c r="N962" s="179"/>
      <c r="O962" s="179"/>
      <c r="P962" s="179"/>
    </row>
    <row r="963" spans="5:16" x14ac:dyDescent="0.2">
      <c r="E963" s="52"/>
      <c r="F963" s="52"/>
      <c r="G963" s="52"/>
      <c r="H963" s="52"/>
      <c r="I963" s="52"/>
      <c r="J963" s="52"/>
      <c r="K963" s="52"/>
      <c r="L963" s="52"/>
      <c r="M963" s="52"/>
      <c r="N963" s="179"/>
      <c r="O963" s="179"/>
      <c r="P963" s="179"/>
    </row>
    <row r="964" spans="5:16" x14ac:dyDescent="0.2">
      <c r="E964" s="52"/>
      <c r="F964" s="52"/>
      <c r="G964" s="52"/>
      <c r="H964" s="52"/>
      <c r="I964" s="52"/>
      <c r="J964" s="52"/>
      <c r="K964" s="52"/>
      <c r="L964" s="52"/>
      <c r="M964" s="52"/>
      <c r="N964" s="179"/>
      <c r="O964" s="179"/>
      <c r="P964" s="179"/>
    </row>
    <row r="965" spans="5:16" x14ac:dyDescent="0.2">
      <c r="E965" s="52"/>
      <c r="F965" s="52"/>
      <c r="G965" s="52"/>
      <c r="H965" s="52"/>
      <c r="I965" s="52"/>
      <c r="J965" s="52"/>
      <c r="K965" s="52"/>
      <c r="L965" s="52"/>
      <c r="M965" s="52"/>
      <c r="N965" s="179"/>
      <c r="O965" s="179"/>
      <c r="P965" s="179"/>
    </row>
    <row r="967" spans="5:16" x14ac:dyDescent="0.2">
      <c r="E967" s="52"/>
      <c r="F967" s="52"/>
      <c r="G967" s="52"/>
      <c r="H967" s="52"/>
      <c r="I967" s="52"/>
      <c r="J967" s="52"/>
      <c r="K967" s="52"/>
      <c r="L967" s="52"/>
      <c r="M967" s="52"/>
      <c r="N967" s="179"/>
      <c r="O967" s="179"/>
      <c r="P967" s="179"/>
    </row>
    <row r="968" spans="5:16" x14ac:dyDescent="0.2">
      <c r="E968" s="52"/>
      <c r="F968" s="52"/>
      <c r="G968" s="52"/>
      <c r="H968" s="52"/>
      <c r="I968" s="52"/>
      <c r="J968" s="52"/>
      <c r="K968" s="52"/>
      <c r="L968" s="52"/>
      <c r="M968" s="52"/>
      <c r="N968" s="179"/>
      <c r="O968" s="179"/>
      <c r="P968" s="179"/>
    </row>
    <row r="969" spans="5:16" x14ac:dyDescent="0.2">
      <c r="E969" s="52"/>
      <c r="F969" s="52"/>
      <c r="G969" s="52"/>
      <c r="H969" s="52"/>
      <c r="I969" s="52"/>
      <c r="J969" s="52"/>
      <c r="K969" s="52"/>
      <c r="L969" s="52"/>
      <c r="M969" s="52"/>
      <c r="N969" s="179"/>
      <c r="O969" s="179"/>
      <c r="P969" s="179"/>
    </row>
    <row r="970" spans="5:16" x14ac:dyDescent="0.2">
      <c r="E970" s="52"/>
      <c r="F970" s="52"/>
      <c r="G970" s="52"/>
      <c r="H970" s="52"/>
      <c r="I970" s="52"/>
      <c r="J970" s="52"/>
      <c r="K970" s="52"/>
      <c r="L970" s="52"/>
      <c r="M970" s="52"/>
      <c r="N970" s="179"/>
      <c r="O970" s="179"/>
      <c r="P970" s="179"/>
    </row>
    <row r="971" spans="5:16" x14ac:dyDescent="0.2">
      <c r="E971" s="52"/>
      <c r="F971" s="52"/>
      <c r="G971" s="52"/>
      <c r="H971" s="52"/>
      <c r="I971" s="52"/>
      <c r="J971" s="52"/>
      <c r="K971" s="52"/>
      <c r="L971" s="52"/>
      <c r="M971" s="52"/>
      <c r="N971" s="179"/>
      <c r="O971" s="179"/>
      <c r="P971" s="179"/>
    </row>
    <row r="972" spans="5:16" x14ac:dyDescent="0.2">
      <c r="E972" s="52"/>
      <c r="F972" s="52"/>
      <c r="G972" s="52"/>
      <c r="H972" s="52"/>
      <c r="I972" s="52"/>
      <c r="J972" s="52"/>
      <c r="K972" s="52"/>
      <c r="L972" s="52"/>
      <c r="M972" s="52"/>
      <c r="N972" s="179"/>
      <c r="O972" s="179"/>
      <c r="P972" s="179"/>
    </row>
    <row r="973" spans="5:16" x14ac:dyDescent="0.2">
      <c r="E973" s="52"/>
      <c r="F973" s="52"/>
      <c r="G973" s="52"/>
      <c r="H973" s="52"/>
      <c r="I973" s="52"/>
      <c r="J973" s="52"/>
      <c r="K973" s="52"/>
      <c r="L973" s="52"/>
      <c r="M973" s="52"/>
      <c r="N973" s="179"/>
      <c r="O973" s="179"/>
      <c r="P973" s="179"/>
    </row>
    <row r="974" spans="5:16" x14ac:dyDescent="0.2">
      <c r="E974" s="52"/>
      <c r="F974" s="52"/>
      <c r="G974" s="52"/>
      <c r="H974" s="52"/>
      <c r="I974" s="52"/>
      <c r="J974" s="52"/>
      <c r="K974" s="52"/>
      <c r="L974" s="52"/>
      <c r="M974" s="52"/>
      <c r="N974" s="179"/>
      <c r="O974" s="179"/>
      <c r="P974" s="179"/>
    </row>
    <row r="975" spans="5:16" x14ac:dyDescent="0.2">
      <c r="E975" s="52"/>
      <c r="F975" s="52"/>
      <c r="G975" s="52"/>
      <c r="H975" s="52"/>
      <c r="I975" s="52"/>
      <c r="J975" s="52"/>
      <c r="K975" s="52"/>
      <c r="L975" s="52"/>
      <c r="M975" s="52"/>
      <c r="N975" s="179"/>
      <c r="O975" s="179"/>
      <c r="P975" s="179"/>
    </row>
    <row r="976" spans="5:16" x14ac:dyDescent="0.2">
      <c r="E976" s="52"/>
      <c r="F976" s="52"/>
      <c r="G976" s="52"/>
      <c r="H976" s="52"/>
      <c r="I976" s="52"/>
      <c r="J976" s="52"/>
      <c r="K976" s="52"/>
      <c r="L976" s="52"/>
      <c r="M976" s="52"/>
      <c r="N976" s="179"/>
      <c r="O976" s="179"/>
      <c r="P976" s="179"/>
    </row>
    <row r="977" spans="5:16" x14ac:dyDescent="0.2">
      <c r="E977" s="52"/>
      <c r="F977" s="52"/>
      <c r="G977" s="52"/>
      <c r="H977" s="52"/>
      <c r="I977" s="52"/>
      <c r="J977" s="52"/>
      <c r="K977" s="52"/>
      <c r="L977" s="52"/>
      <c r="M977" s="52"/>
      <c r="N977" s="179"/>
      <c r="O977" s="179"/>
      <c r="P977" s="179"/>
    </row>
    <row r="978" spans="5:16" x14ac:dyDescent="0.2">
      <c r="E978" s="52"/>
      <c r="F978" s="52"/>
      <c r="G978" s="52"/>
      <c r="H978" s="52"/>
      <c r="I978" s="52"/>
      <c r="J978" s="52"/>
      <c r="K978" s="52"/>
      <c r="L978" s="52"/>
      <c r="M978" s="52"/>
      <c r="N978" s="179"/>
      <c r="O978" s="179"/>
      <c r="P978" s="179"/>
    </row>
    <row r="979" spans="5:16" x14ac:dyDescent="0.2">
      <c r="E979" s="52"/>
      <c r="F979" s="52"/>
      <c r="G979" s="52"/>
      <c r="H979" s="52"/>
      <c r="I979" s="52"/>
      <c r="J979" s="52"/>
      <c r="K979" s="52"/>
      <c r="L979" s="52"/>
      <c r="M979" s="52"/>
      <c r="N979" s="179"/>
      <c r="O979" s="179"/>
      <c r="P979" s="179"/>
    </row>
    <row r="1034" spans="54:55" x14ac:dyDescent="0.2">
      <c r="BB1034" s="89"/>
    </row>
    <row r="1035" spans="54:55" x14ac:dyDescent="0.2">
      <c r="BB1035" s="89"/>
    </row>
    <row r="1036" spans="54:55" x14ac:dyDescent="0.2">
      <c r="BB1036" s="89"/>
    </row>
    <row r="1037" spans="54:55" x14ac:dyDescent="0.2">
      <c r="BB1037" s="89"/>
      <c r="BC1037" s="89"/>
    </row>
    <row r="1038" spans="54:55" x14ac:dyDescent="0.2">
      <c r="BB1038" s="89"/>
      <c r="BC1038" s="89"/>
    </row>
    <row r="1039" spans="54:55" x14ac:dyDescent="0.2">
      <c r="BB1039" s="89"/>
      <c r="BC1039" s="89"/>
    </row>
    <row r="1040" spans="54:55" x14ac:dyDescent="0.2">
      <c r="BB1040" s="89"/>
      <c r="BC1040" s="89"/>
    </row>
    <row r="1041" spans="54:55" x14ac:dyDescent="0.2">
      <c r="BB1041" s="89"/>
      <c r="BC1041" s="89"/>
    </row>
    <row r="1042" spans="54:55" x14ac:dyDescent="0.2">
      <c r="BB1042" s="89"/>
      <c r="BC1042" s="89"/>
    </row>
    <row r="1043" spans="54:55" x14ac:dyDescent="0.2">
      <c r="BB1043" s="89"/>
      <c r="BC1043" s="89"/>
    </row>
    <row r="1044" spans="54:55" x14ac:dyDescent="0.2">
      <c r="BB1044" s="89"/>
    </row>
    <row r="1045" spans="54:55" x14ac:dyDescent="0.2">
      <c r="BB1045" s="89"/>
    </row>
    <row r="1046" spans="54:55" x14ac:dyDescent="0.2">
      <c r="BB1046" s="89"/>
    </row>
    <row r="1047" spans="54:55" x14ac:dyDescent="0.2">
      <c r="BB1047" s="89"/>
    </row>
    <row r="1048" spans="54:55" x14ac:dyDescent="0.2">
      <c r="BB1048" s="89"/>
    </row>
    <row r="1049" spans="54:55" x14ac:dyDescent="0.2">
      <c r="BB1049" s="89"/>
    </row>
    <row r="1050" spans="54:55" x14ac:dyDescent="0.2">
      <c r="BB1050" s="89"/>
    </row>
    <row r="1051" spans="54:55" x14ac:dyDescent="0.2">
      <c r="BB1051" s="89"/>
    </row>
    <row r="1052" spans="54:55" x14ac:dyDescent="0.2">
      <c r="BB1052" s="89"/>
    </row>
    <row r="1053" spans="54:55" x14ac:dyDescent="0.2">
      <c r="BB1053" s="89"/>
    </row>
    <row r="1054" spans="54:55" x14ac:dyDescent="0.2">
      <c r="BB1054" s="89"/>
    </row>
    <row r="1055" spans="54:55" x14ac:dyDescent="0.2">
      <c r="BB1055" s="89"/>
    </row>
    <row r="1056" spans="54:55" x14ac:dyDescent="0.2">
      <c r="BB1056" s="89"/>
    </row>
    <row r="1057" spans="54:54" x14ac:dyDescent="0.2">
      <c r="BB1057" s="89"/>
    </row>
    <row r="1058" spans="54:54" x14ac:dyDescent="0.2">
      <c r="BB1058" s="89"/>
    </row>
    <row r="1059" spans="54:54" x14ac:dyDescent="0.2">
      <c r="BB1059" s="89"/>
    </row>
    <row r="1060" spans="54:54" x14ac:dyDescent="0.2">
      <c r="BB1060" s="89"/>
    </row>
    <row r="1061" spans="54:54" x14ac:dyDescent="0.2">
      <c r="BB1061" s="89"/>
    </row>
    <row r="1062" spans="54:54" x14ac:dyDescent="0.2">
      <c r="BB1062" s="89"/>
    </row>
    <row r="1063" spans="54:54" x14ac:dyDescent="0.2">
      <c r="BB1063" s="89"/>
    </row>
    <row r="1064" spans="54:54" x14ac:dyDescent="0.2">
      <c r="BB1064" s="89"/>
    </row>
    <row r="1065" spans="54:54" x14ac:dyDescent="0.2">
      <c r="BB1065" s="89"/>
    </row>
    <row r="1066" spans="54:54" x14ac:dyDescent="0.2">
      <c r="BB1066" s="89"/>
    </row>
    <row r="1067" spans="54:54" x14ac:dyDescent="0.2">
      <c r="BB1067" s="89"/>
    </row>
    <row r="1068" spans="54:54" x14ac:dyDescent="0.2">
      <c r="BB1068" s="89"/>
    </row>
    <row r="1069" spans="54:54" x14ac:dyDescent="0.2">
      <c r="BB1069" s="89"/>
    </row>
    <row r="1070" spans="54:54" x14ac:dyDescent="0.2">
      <c r="BB1070" s="89"/>
    </row>
    <row r="1071" spans="54:54" x14ac:dyDescent="0.2">
      <c r="BB1071" s="89"/>
    </row>
    <row r="1072" spans="54:54" x14ac:dyDescent="0.2">
      <c r="BB1072" s="89"/>
    </row>
    <row r="1073" spans="54:54" x14ac:dyDescent="0.2">
      <c r="BB1073" s="89"/>
    </row>
    <row r="1074" spans="54:54" x14ac:dyDescent="0.2">
      <c r="BB1074" s="89"/>
    </row>
    <row r="1075" spans="54:54" x14ac:dyDescent="0.2">
      <c r="BB1075" s="89"/>
    </row>
    <row r="1076" spans="54:54" x14ac:dyDescent="0.2">
      <c r="BB1076" s="89"/>
    </row>
    <row r="1077" spans="54:54" x14ac:dyDescent="0.2">
      <c r="BB1077" s="89"/>
    </row>
    <row r="1078" spans="54:54" x14ac:dyDescent="0.2">
      <c r="BB1078" s="89"/>
    </row>
    <row r="1079" spans="54:54" x14ac:dyDescent="0.2">
      <c r="BB1079" s="89"/>
    </row>
    <row r="1080" spans="54:54" x14ac:dyDescent="0.2">
      <c r="BB1080" s="89"/>
    </row>
    <row r="1081" spans="54:54" x14ac:dyDescent="0.2">
      <c r="BB1081" s="89"/>
    </row>
    <row r="1082" spans="54:54" x14ac:dyDescent="0.2">
      <c r="BB1082" s="89"/>
    </row>
    <row r="1083" spans="54:54" x14ac:dyDescent="0.2">
      <c r="BB1083" s="89"/>
    </row>
    <row r="1084" spans="54:54" x14ac:dyDescent="0.2">
      <c r="BB1084" s="89"/>
    </row>
    <row r="1085" spans="54:54" x14ac:dyDescent="0.2">
      <c r="BB1085" s="89"/>
    </row>
    <row r="1086" spans="54:54" x14ac:dyDescent="0.2">
      <c r="BB1086" s="89"/>
    </row>
    <row r="1087" spans="54:54" x14ac:dyDescent="0.2">
      <c r="BB1087" s="89"/>
    </row>
    <row r="1088" spans="54:54" x14ac:dyDescent="0.2">
      <c r="BB1088" s="89"/>
    </row>
    <row r="1089" spans="54:54" x14ac:dyDescent="0.2">
      <c r="BB1089" s="89"/>
    </row>
    <row r="1090" spans="54:54" x14ac:dyDescent="0.2">
      <c r="BB1090" s="89"/>
    </row>
    <row r="1091" spans="54:54" x14ac:dyDescent="0.2">
      <c r="BB1091" s="89"/>
    </row>
    <row r="1092" spans="54:54" x14ac:dyDescent="0.2">
      <c r="BB1092" s="89"/>
    </row>
    <row r="1093" spans="54:54" x14ac:dyDescent="0.2">
      <c r="BB1093" s="89"/>
    </row>
    <row r="1094" spans="54:54" x14ac:dyDescent="0.2">
      <c r="BB1094" s="89"/>
    </row>
    <row r="1095" spans="54:54" x14ac:dyDescent="0.2">
      <c r="BB1095" s="89"/>
    </row>
    <row r="1096" spans="54:54" x14ac:dyDescent="0.2">
      <c r="BB1096" s="89"/>
    </row>
    <row r="1097" spans="54:54" x14ac:dyDescent="0.2">
      <c r="BB1097" s="89"/>
    </row>
    <row r="1098" spans="54:54" x14ac:dyDescent="0.2">
      <c r="BB1098" s="89"/>
    </row>
    <row r="1099" spans="54:54" x14ac:dyDescent="0.2">
      <c r="BB1099" s="89"/>
    </row>
    <row r="1100" spans="54:54" x14ac:dyDescent="0.2">
      <c r="BB1100" s="89"/>
    </row>
    <row r="1101" spans="54:54" x14ac:dyDescent="0.2">
      <c r="BB1101" s="89"/>
    </row>
    <row r="1102" spans="54:54" x14ac:dyDescent="0.2">
      <c r="BB1102" s="89"/>
    </row>
    <row r="1103" spans="54:54" x14ac:dyDescent="0.2">
      <c r="BB1103" s="89"/>
    </row>
    <row r="1104" spans="54:54" x14ac:dyDescent="0.2">
      <c r="BB1104" s="89"/>
    </row>
    <row r="1105" spans="54:54" x14ac:dyDescent="0.2">
      <c r="BB1105" s="89"/>
    </row>
    <row r="1106" spans="54:54" x14ac:dyDescent="0.2">
      <c r="BB1106" s="89"/>
    </row>
    <row r="1107" spans="54:54" x14ac:dyDescent="0.2">
      <c r="BB1107" s="89"/>
    </row>
    <row r="1108" spans="54:54" x14ac:dyDescent="0.2">
      <c r="BB1108" s="89"/>
    </row>
    <row r="1109" spans="54:54" x14ac:dyDescent="0.2">
      <c r="BB1109" s="89"/>
    </row>
    <row r="1110" spans="54:54" x14ac:dyDescent="0.2">
      <c r="BB1110" s="89"/>
    </row>
    <row r="1111" spans="54:54" x14ac:dyDescent="0.2">
      <c r="BB1111" s="89"/>
    </row>
    <row r="1112" spans="54:54" x14ac:dyDescent="0.2">
      <c r="BB1112" s="89"/>
    </row>
    <row r="1113" spans="54:54" x14ac:dyDescent="0.2">
      <c r="BB1113" s="89"/>
    </row>
    <row r="1114" spans="54:54" x14ac:dyDescent="0.2">
      <c r="BB1114" s="89"/>
    </row>
    <row r="1115" spans="54:54" x14ac:dyDescent="0.2">
      <c r="BB1115" s="89"/>
    </row>
    <row r="1116" spans="54:54" x14ac:dyDescent="0.2">
      <c r="BB1116" s="89"/>
    </row>
    <row r="1117" spans="54:54" x14ac:dyDescent="0.2">
      <c r="BB1117" s="89"/>
    </row>
    <row r="1118" spans="54:54" x14ac:dyDescent="0.2">
      <c r="BB1118" s="89"/>
    </row>
    <row r="1119" spans="54:54" x14ac:dyDescent="0.2">
      <c r="BB1119" s="89"/>
    </row>
    <row r="1120" spans="54:54" x14ac:dyDescent="0.2">
      <c r="BB1120" s="89"/>
    </row>
    <row r="1121" spans="54:54" x14ac:dyDescent="0.2">
      <c r="BB1121" s="89"/>
    </row>
    <row r="1122" spans="54:54" x14ac:dyDescent="0.2">
      <c r="BB1122" s="89"/>
    </row>
    <row r="1123" spans="54:54" x14ac:dyDescent="0.2">
      <c r="BB1123" s="89"/>
    </row>
    <row r="1124" spans="54:54" x14ac:dyDescent="0.2">
      <c r="BB1124" s="89"/>
    </row>
    <row r="1125" spans="54:54" x14ac:dyDescent="0.2">
      <c r="BB1125" s="89"/>
    </row>
    <row r="1126" spans="54:54" x14ac:dyDescent="0.2">
      <c r="BB1126" s="89"/>
    </row>
    <row r="1127" spans="54:54" x14ac:dyDescent="0.2">
      <c r="BB1127" s="89"/>
    </row>
    <row r="1128" spans="54:54" x14ac:dyDescent="0.2">
      <c r="BB1128" s="89"/>
    </row>
    <row r="1129" spans="54:54" x14ac:dyDescent="0.2">
      <c r="BB1129" s="89"/>
    </row>
    <row r="1130" spans="54:54" x14ac:dyDescent="0.2">
      <c r="BB1130" s="89"/>
    </row>
    <row r="1131" spans="54:54" x14ac:dyDescent="0.2">
      <c r="BB1131" s="89"/>
    </row>
    <row r="1132" spans="54:54" x14ac:dyDescent="0.2">
      <c r="BB1132" s="89"/>
    </row>
    <row r="1133" spans="54:54" x14ac:dyDescent="0.2">
      <c r="BB1133" s="89"/>
    </row>
    <row r="1134" spans="54:54" x14ac:dyDescent="0.2">
      <c r="BB1134" s="89"/>
    </row>
    <row r="1135" spans="54:54" x14ac:dyDescent="0.2">
      <c r="BB1135" s="89"/>
    </row>
    <row r="1137" spans="54:55" x14ac:dyDescent="0.2">
      <c r="BB1137" s="89"/>
      <c r="BC1137" s="89"/>
    </row>
    <row r="1138" spans="54:55" x14ac:dyDescent="0.2">
      <c r="BB1138" s="89"/>
      <c r="BC1138" s="89"/>
    </row>
    <row r="1139" spans="54:55" x14ac:dyDescent="0.2">
      <c r="BB1139" s="89"/>
      <c r="BC1139" s="89"/>
    </row>
    <row r="1140" spans="54:55" x14ac:dyDescent="0.2">
      <c r="BB1140" s="89"/>
      <c r="BC1140" s="89"/>
    </row>
    <row r="1141" spans="54:55" x14ac:dyDescent="0.2">
      <c r="BB1141" s="89"/>
      <c r="BC1141" s="89"/>
    </row>
    <row r="1142" spans="54:55" x14ac:dyDescent="0.2">
      <c r="BB1142" s="89"/>
      <c r="BC1142" s="89"/>
    </row>
    <row r="1143" spans="54:55" x14ac:dyDescent="0.2">
      <c r="BB1143" s="89"/>
      <c r="BC1143" s="89"/>
    </row>
    <row r="1144" spans="54:55" x14ac:dyDescent="0.2">
      <c r="BB1144" s="89"/>
      <c r="BC1144" s="89"/>
    </row>
    <row r="1145" spans="54:55" x14ac:dyDescent="0.2">
      <c r="BB1145" s="89"/>
      <c r="BC1145" s="89"/>
    </row>
    <row r="1146" spans="54:55" x14ac:dyDescent="0.2">
      <c r="BB1146" s="89"/>
      <c r="BC1146" s="89"/>
    </row>
    <row r="1147" spans="54:55" x14ac:dyDescent="0.2">
      <c r="BB1147" s="89"/>
      <c r="BC1147" s="89"/>
    </row>
    <row r="1148" spans="54:55" x14ac:dyDescent="0.2">
      <c r="BB1148" s="89"/>
      <c r="BC1148" s="89"/>
    </row>
    <row r="1149" spans="54:55" x14ac:dyDescent="0.2">
      <c r="BB1149" s="89"/>
      <c r="BC1149" s="89"/>
    </row>
    <row r="1150" spans="54:55" x14ac:dyDescent="0.2">
      <c r="BB1150" s="89"/>
      <c r="BC1150" s="89"/>
    </row>
    <row r="1151" spans="54:55" x14ac:dyDescent="0.2">
      <c r="BB1151" s="89"/>
      <c r="BC1151" s="89"/>
    </row>
    <row r="1152" spans="54:55" x14ac:dyDescent="0.2">
      <c r="BB1152" s="89"/>
      <c r="BC1152" s="89"/>
    </row>
    <row r="1153" spans="54:55" x14ac:dyDescent="0.2">
      <c r="BB1153" s="89"/>
      <c r="BC1153" s="89"/>
    </row>
    <row r="1154" spans="54:55" x14ac:dyDescent="0.2">
      <c r="BB1154" s="89"/>
      <c r="BC1154" s="89"/>
    </row>
    <row r="1155" spans="54:55" x14ac:dyDescent="0.2">
      <c r="BB1155" s="89"/>
      <c r="BC1155" s="89"/>
    </row>
    <row r="1156" spans="54:55" x14ac:dyDescent="0.2">
      <c r="BB1156" s="89"/>
      <c r="BC1156" s="89"/>
    </row>
    <row r="1157" spans="54:55" x14ac:dyDescent="0.2">
      <c r="BB1157" s="89"/>
      <c r="BC1157" s="89"/>
    </row>
    <row r="1158" spans="54:55" x14ac:dyDescent="0.2">
      <c r="BB1158" s="89"/>
      <c r="BC1158" s="89"/>
    </row>
    <row r="1159" spans="54:55" x14ac:dyDescent="0.2">
      <c r="BB1159" s="89"/>
      <c r="BC1159" s="89"/>
    </row>
    <row r="1160" spans="54:55" x14ac:dyDescent="0.2">
      <c r="BB1160" s="89"/>
      <c r="BC1160" s="89"/>
    </row>
    <row r="1161" spans="54:55" x14ac:dyDescent="0.2">
      <c r="BB1161" s="89"/>
      <c r="BC1161" s="89"/>
    </row>
    <row r="1162" spans="54:55" x14ac:dyDescent="0.2">
      <c r="BB1162" s="89"/>
      <c r="BC1162" s="89"/>
    </row>
    <row r="1163" spans="54:55" x14ac:dyDescent="0.2">
      <c r="BB1163" s="89"/>
      <c r="BC1163" s="89"/>
    </row>
    <row r="1164" spans="54:55" x14ac:dyDescent="0.2">
      <c r="BB1164" s="89"/>
      <c r="BC1164" s="89"/>
    </row>
    <row r="1165" spans="54:55" x14ac:dyDescent="0.2">
      <c r="BB1165" s="89"/>
      <c r="BC1165" s="89"/>
    </row>
    <row r="1166" spans="54:55" x14ac:dyDescent="0.2">
      <c r="BB1166" s="89"/>
      <c r="BC1166" s="89"/>
    </row>
    <row r="1167" spans="54:55" x14ac:dyDescent="0.2">
      <c r="BB1167" s="89"/>
      <c r="BC1167" s="89"/>
    </row>
    <row r="1168" spans="54:55" x14ac:dyDescent="0.2">
      <c r="BB1168" s="89"/>
      <c r="BC1168" s="89"/>
    </row>
    <row r="1169" spans="54:55" x14ac:dyDescent="0.2">
      <c r="BB1169" s="89"/>
      <c r="BC1169" s="89"/>
    </row>
    <row r="1170" spans="54:55" x14ac:dyDescent="0.2">
      <c r="BB1170" s="89"/>
      <c r="BC1170" s="89"/>
    </row>
    <row r="1171" spans="54:55" x14ac:dyDescent="0.2">
      <c r="BB1171" s="89"/>
      <c r="BC1171" s="89"/>
    </row>
    <row r="1172" spans="54:55" x14ac:dyDescent="0.2">
      <c r="BB1172" s="89"/>
      <c r="BC1172" s="89"/>
    </row>
    <row r="1173" spans="54:55" x14ac:dyDescent="0.2">
      <c r="BB1173" s="89"/>
      <c r="BC1173" s="89"/>
    </row>
    <row r="1174" spans="54:55" x14ac:dyDescent="0.2">
      <c r="BB1174" s="89"/>
      <c r="BC1174" s="89"/>
    </row>
    <row r="1175" spans="54:55" x14ac:dyDescent="0.2">
      <c r="BB1175" s="89"/>
      <c r="BC1175" s="89"/>
    </row>
    <row r="1176" spans="54:55" x14ac:dyDescent="0.2">
      <c r="BB1176" s="89"/>
      <c r="BC1176" s="89"/>
    </row>
    <row r="1177" spans="54:55" x14ac:dyDescent="0.2">
      <c r="BB1177" s="89"/>
      <c r="BC1177" s="89"/>
    </row>
    <row r="1178" spans="54:55" x14ac:dyDescent="0.2">
      <c r="BB1178" s="89"/>
      <c r="BC1178" s="89"/>
    </row>
    <row r="1179" spans="54:55" x14ac:dyDescent="0.2">
      <c r="BB1179" s="89"/>
      <c r="BC1179" s="89"/>
    </row>
    <row r="1180" spans="54:55" x14ac:dyDescent="0.2">
      <c r="BB1180" s="89"/>
      <c r="BC1180" s="89"/>
    </row>
    <row r="1181" spans="54:55" x14ac:dyDescent="0.2">
      <c r="BB1181" s="89"/>
      <c r="BC1181" s="89"/>
    </row>
    <row r="1182" spans="54:55" x14ac:dyDescent="0.2">
      <c r="BB1182" s="89"/>
      <c r="BC1182" s="89"/>
    </row>
    <row r="1183" spans="54:55" x14ac:dyDescent="0.2">
      <c r="BB1183" s="89"/>
      <c r="BC1183" s="89"/>
    </row>
    <row r="1184" spans="54:55" x14ac:dyDescent="0.2">
      <c r="BB1184" s="89"/>
      <c r="BC1184" s="89"/>
    </row>
    <row r="1185" spans="4:55" x14ac:dyDescent="0.2">
      <c r="BB1185" s="89"/>
      <c r="BC1185" s="89"/>
    </row>
    <row r="1187" spans="4:55" x14ac:dyDescent="0.2">
      <c r="E1187" s="52"/>
      <c r="F1187" s="52"/>
      <c r="G1187" s="52"/>
      <c r="H1187" s="52"/>
      <c r="J1187" s="57"/>
      <c r="K1187" s="57"/>
      <c r="L1187" s="57"/>
      <c r="M1187" s="57"/>
    </row>
    <row r="1188" spans="4:55" x14ac:dyDescent="0.2">
      <c r="E1188" s="52"/>
      <c r="F1188" s="52"/>
      <c r="G1188" s="52"/>
      <c r="H1188" s="52"/>
      <c r="J1188" s="57"/>
      <c r="K1188" s="57"/>
      <c r="L1188" s="57"/>
      <c r="M1188" s="57"/>
    </row>
    <row r="1189" spans="4:55" x14ac:dyDescent="0.2">
      <c r="E1189" s="52"/>
      <c r="F1189" s="52"/>
      <c r="G1189" s="52"/>
      <c r="H1189" s="52"/>
      <c r="J1189" s="57"/>
      <c r="K1189" s="57"/>
      <c r="L1189" s="57"/>
      <c r="M1189" s="57"/>
    </row>
    <row r="1190" spans="4:55" x14ac:dyDescent="0.2">
      <c r="E1190" s="52"/>
      <c r="F1190" s="52"/>
      <c r="G1190" s="52"/>
      <c r="H1190" s="52"/>
      <c r="J1190" s="57"/>
      <c r="K1190" s="57"/>
      <c r="L1190" s="57"/>
      <c r="M1190" s="57"/>
    </row>
    <row r="1191" spans="4:55" x14ac:dyDescent="0.2">
      <c r="E1191" s="52"/>
      <c r="F1191" s="52"/>
      <c r="G1191" s="52"/>
      <c r="H1191" s="52"/>
      <c r="J1191" s="57"/>
      <c r="K1191" s="57"/>
      <c r="L1191" s="57"/>
      <c r="M1191" s="57"/>
    </row>
    <row r="1192" spans="4:55" x14ac:dyDescent="0.2">
      <c r="E1192" s="52"/>
      <c r="F1192" s="52"/>
      <c r="G1192" s="52"/>
      <c r="H1192" s="52"/>
      <c r="J1192" s="57"/>
      <c r="K1192" s="57"/>
      <c r="L1192" s="57"/>
      <c r="M1192" s="57"/>
    </row>
    <row r="1193" spans="4:55" x14ac:dyDescent="0.2">
      <c r="E1193" s="52"/>
      <c r="F1193" s="52"/>
      <c r="G1193" s="52"/>
      <c r="H1193" s="52"/>
      <c r="J1193" s="57"/>
      <c r="K1193" s="57"/>
      <c r="L1193" s="57"/>
      <c r="M1193" s="57"/>
    </row>
    <row r="1194" spans="4:55" x14ac:dyDescent="0.2">
      <c r="E1194" s="52"/>
      <c r="F1194" s="52"/>
      <c r="G1194" s="52"/>
      <c r="H1194" s="52"/>
      <c r="J1194" s="57"/>
      <c r="K1194" s="57"/>
      <c r="L1194" s="57"/>
      <c r="M1194" s="57"/>
    </row>
    <row r="1196" spans="4:55" x14ac:dyDescent="0.2">
      <c r="D1196" s="57"/>
      <c r="E1196" s="57"/>
      <c r="F1196" s="57"/>
      <c r="G1196" s="57"/>
      <c r="H1196" s="57"/>
      <c r="J1196" s="57"/>
      <c r="K1196" s="57"/>
      <c r="L1196" s="57"/>
      <c r="M1196" s="57"/>
    </row>
    <row r="1197" spans="4:55" x14ac:dyDescent="0.2">
      <c r="D1197" s="57"/>
      <c r="E1197" s="57"/>
      <c r="F1197" s="57"/>
      <c r="G1197" s="57"/>
      <c r="H1197" s="57"/>
      <c r="J1197" s="57"/>
      <c r="K1197" s="57"/>
      <c r="L1197" s="57"/>
      <c r="M1197" s="57"/>
    </row>
    <row r="1198" spans="4:55" x14ac:dyDescent="0.2">
      <c r="D1198" s="57"/>
      <c r="E1198" s="57"/>
      <c r="F1198" s="57"/>
      <c r="G1198" s="57"/>
      <c r="H1198" s="57"/>
      <c r="J1198" s="57"/>
      <c r="K1198" s="57"/>
      <c r="L1198" s="57"/>
      <c r="M1198" s="57"/>
    </row>
    <row r="1199" spans="4:55" x14ac:dyDescent="0.2">
      <c r="D1199" s="57"/>
      <c r="E1199" s="57"/>
      <c r="F1199" s="57"/>
      <c r="G1199" s="57"/>
      <c r="H1199" s="57"/>
      <c r="J1199" s="57"/>
      <c r="K1199" s="57"/>
      <c r="L1199" s="57"/>
      <c r="M1199" s="57"/>
    </row>
    <row r="1200" spans="4:55" x14ac:dyDescent="0.2">
      <c r="D1200" s="57"/>
      <c r="E1200" s="57"/>
      <c r="F1200" s="57"/>
      <c r="G1200" s="57"/>
      <c r="H1200" s="57"/>
      <c r="J1200" s="57"/>
      <c r="K1200" s="57"/>
      <c r="L1200" s="57"/>
      <c r="M1200" s="57"/>
    </row>
    <row r="1201" spans="4:55" x14ac:dyDescent="0.2">
      <c r="D1201" s="57"/>
      <c r="E1201" s="57"/>
      <c r="F1201" s="57"/>
      <c r="G1201" s="57"/>
      <c r="H1201" s="57"/>
      <c r="J1201" s="57"/>
      <c r="K1201" s="57"/>
      <c r="L1201" s="57"/>
      <c r="M1201" s="57"/>
    </row>
    <row r="1202" spans="4:55" x14ac:dyDescent="0.2">
      <c r="D1202" s="57"/>
      <c r="E1202" s="57"/>
      <c r="F1202" s="57"/>
      <c r="G1202" s="57"/>
      <c r="H1202" s="57"/>
      <c r="J1202" s="57"/>
      <c r="K1202" s="57"/>
      <c r="L1202" s="57"/>
      <c r="M1202" s="57"/>
    </row>
    <row r="1203" spans="4:55" x14ac:dyDescent="0.2">
      <c r="D1203" s="57"/>
      <c r="E1203" s="57"/>
      <c r="F1203" s="57"/>
      <c r="G1203" s="57"/>
      <c r="H1203" s="57"/>
      <c r="J1203" s="57"/>
      <c r="K1203" s="57"/>
      <c r="L1203" s="57"/>
      <c r="M1203" s="57"/>
    </row>
    <row r="1204" spans="4:55" x14ac:dyDescent="0.2">
      <c r="D1204" s="57"/>
      <c r="E1204" s="57"/>
      <c r="F1204" s="57"/>
      <c r="G1204" s="57"/>
      <c r="H1204" s="57"/>
      <c r="J1204" s="57"/>
      <c r="K1204" s="57"/>
      <c r="L1204" s="57"/>
      <c r="M1204" s="57"/>
    </row>
    <row r="1205" spans="4:55" x14ac:dyDescent="0.2">
      <c r="D1205" s="57"/>
      <c r="E1205" s="57"/>
      <c r="F1205" s="57"/>
      <c r="G1205" s="57"/>
      <c r="H1205" s="57"/>
      <c r="J1205" s="57"/>
      <c r="K1205" s="57"/>
      <c r="L1205" s="57"/>
      <c r="M1205" s="57"/>
    </row>
    <row r="1206" spans="4:55" x14ac:dyDescent="0.2">
      <c r="D1206" s="57"/>
      <c r="E1206" s="57"/>
      <c r="F1206" s="57"/>
      <c r="G1206" s="57"/>
      <c r="H1206" s="57"/>
      <c r="J1206" s="57"/>
      <c r="K1206" s="57"/>
      <c r="L1206" s="57"/>
      <c r="M1206" s="57"/>
    </row>
    <row r="1207" spans="4:55" x14ac:dyDescent="0.2">
      <c r="D1207" s="57"/>
      <c r="E1207" s="57"/>
      <c r="F1207" s="57"/>
      <c r="G1207" s="57"/>
      <c r="H1207" s="57"/>
      <c r="J1207" s="57"/>
      <c r="K1207" s="57"/>
      <c r="L1207" s="57"/>
      <c r="M1207" s="57"/>
    </row>
    <row r="1208" spans="4:55" x14ac:dyDescent="0.2">
      <c r="D1208" s="57"/>
      <c r="E1208" s="57"/>
      <c r="F1208" s="57"/>
      <c r="G1208" s="57"/>
      <c r="H1208" s="57"/>
      <c r="J1208" s="57"/>
      <c r="K1208" s="57"/>
      <c r="L1208" s="57"/>
      <c r="M1208" s="57"/>
    </row>
    <row r="1209" spans="4:55" x14ac:dyDescent="0.2">
      <c r="D1209" s="57"/>
      <c r="E1209" s="57"/>
      <c r="F1209" s="57"/>
      <c r="G1209" s="57"/>
      <c r="H1209" s="57"/>
      <c r="J1209" s="57"/>
      <c r="K1209" s="57"/>
      <c r="L1209" s="57"/>
      <c r="M1209" s="57"/>
    </row>
    <row r="1210" spans="4:55" x14ac:dyDescent="0.2">
      <c r="E1210" s="52"/>
      <c r="F1210" s="52"/>
      <c r="G1210" s="52"/>
      <c r="H1210" s="52"/>
      <c r="J1210" s="52"/>
      <c r="K1210" s="52"/>
      <c r="L1210" s="52"/>
      <c r="M1210" s="52"/>
      <c r="N1210" s="179"/>
      <c r="O1210" s="179"/>
      <c r="P1210" s="179"/>
      <c r="BC1210" s="52"/>
    </row>
    <row r="1211" spans="4:55" x14ac:dyDescent="0.2">
      <c r="E1211" s="52"/>
      <c r="F1211" s="52"/>
      <c r="G1211" s="52"/>
      <c r="H1211" s="52"/>
      <c r="J1211" s="52"/>
      <c r="K1211" s="52"/>
      <c r="L1211" s="52"/>
      <c r="M1211" s="52"/>
      <c r="N1211" s="179"/>
      <c r="O1211" s="179"/>
      <c r="P1211" s="179"/>
      <c r="BC1211" s="52"/>
    </row>
  </sheetData>
  <mergeCells count="26">
    <mergeCell ref="AG7:AG10"/>
    <mergeCell ref="AH7:AR7"/>
    <mergeCell ref="I8:I10"/>
    <mergeCell ref="J8:M9"/>
    <mergeCell ref="N8:N10"/>
    <mergeCell ref="O8:P9"/>
    <mergeCell ref="AH8:AI9"/>
    <mergeCell ref="AK8:AL8"/>
    <mergeCell ref="AM8:AM9"/>
    <mergeCell ref="AJ8:AJ9"/>
    <mergeCell ref="AY8:AY10"/>
    <mergeCell ref="AZ8:BA9"/>
    <mergeCell ref="AN8:AO9"/>
    <mergeCell ref="A3:E3"/>
    <mergeCell ref="AC7:AC10"/>
    <mergeCell ref="AP8:AR9"/>
    <mergeCell ref="AS8:AS10"/>
    <mergeCell ref="AT8:AX9"/>
    <mergeCell ref="I6:P7"/>
    <mergeCell ref="Q6:AR6"/>
    <mergeCell ref="AS6:BA7"/>
    <mergeCell ref="Q7:V9"/>
    <mergeCell ref="W7:Z9"/>
    <mergeCell ref="AA7:AA10"/>
    <mergeCell ref="AB7:AB10"/>
    <mergeCell ref="AD7:AF9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A1:BA158"/>
  <sheetViews>
    <sheetView zoomScaleNormal="100" workbookViewId="0">
      <pane xSplit="8" ySplit="11" topLeftCell="I116" activePane="bottomRight" state="frozen"/>
      <selection activeCell="I6" sqref="I6:BA10"/>
      <selection pane="topRight" activeCell="I6" sqref="I6:BA10"/>
      <selection pane="bottomLeft" activeCell="I6" sqref="I6:BA10"/>
      <selection pane="bottomRight" activeCell="J151" sqref="J151"/>
    </sheetView>
  </sheetViews>
  <sheetFormatPr defaultColWidth="9.140625" defaultRowHeight="15" x14ac:dyDescent="0.25"/>
  <cols>
    <col min="1" max="1" width="5" style="92" customWidth="1"/>
    <col min="2" max="2" width="4.7109375" style="91" bestFit="1" customWidth="1"/>
    <col min="3" max="3" width="8.7109375" style="91" customWidth="1"/>
    <col min="4" max="4" width="7.85546875" style="91" customWidth="1"/>
    <col min="5" max="5" width="29.42578125" style="92" customWidth="1"/>
    <col min="6" max="6" width="4.42578125" style="92" customWidth="1"/>
    <col min="7" max="7" width="10.28515625" style="92" customWidth="1"/>
    <col min="8" max="8" width="8" style="92" customWidth="1"/>
    <col min="9" max="9" width="11.140625" style="55" customWidth="1"/>
    <col min="10" max="13" width="9.28515625" style="55" customWidth="1"/>
    <col min="14" max="14" width="11.42578125" style="56" customWidth="1"/>
    <col min="15" max="16" width="9.28515625" style="56" customWidth="1"/>
    <col min="17" max="17" width="9.140625" style="55" customWidth="1"/>
    <col min="18" max="18" width="9.7109375" style="55" customWidth="1"/>
    <col min="19" max="20" width="9.140625" style="55" customWidth="1"/>
    <col min="21" max="21" width="9.7109375" style="55" customWidth="1"/>
    <col min="22" max="26" width="9.140625" style="55" customWidth="1"/>
    <col min="27" max="27" width="10.140625" style="55" customWidth="1"/>
    <col min="28" max="33" width="9.28515625" style="55" customWidth="1"/>
    <col min="34" max="44" width="9.28515625" style="56" customWidth="1"/>
    <col min="45" max="45" width="10.140625" style="55" customWidth="1"/>
    <col min="46" max="46" width="10.28515625" style="55" customWidth="1"/>
    <col min="47" max="50" width="9.140625" style="55" customWidth="1"/>
    <col min="51" max="51" width="11.42578125" style="56" customWidth="1"/>
    <col min="52" max="53" width="9.28515625" style="56" customWidth="1"/>
    <col min="54" max="56" width="9.140625" style="91" customWidth="1"/>
    <col min="57" max="57" width="28.42578125" style="91" customWidth="1"/>
    <col min="58" max="58" width="4.42578125" style="91" customWidth="1"/>
    <col min="59" max="68" width="9.140625" style="91" customWidth="1"/>
    <col min="69" max="16384" width="9.140625" style="91"/>
  </cols>
  <sheetData>
    <row r="1" spans="1:53" s="57" customFormat="1" ht="12.75" x14ac:dyDescent="0.2">
      <c r="A1" s="51" t="s">
        <v>2</v>
      </c>
      <c r="B1" s="51"/>
      <c r="C1" s="43"/>
      <c r="D1" s="51"/>
      <c r="E1" s="51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89"/>
      <c r="R1" s="89"/>
      <c r="S1" s="89"/>
      <c r="T1" s="89"/>
      <c r="U1" s="89"/>
      <c r="V1" s="89"/>
      <c r="W1" s="89"/>
      <c r="X1" s="89"/>
      <c r="Y1" s="89"/>
      <c r="Z1" s="89"/>
      <c r="AA1" s="89"/>
      <c r="AB1" s="89"/>
      <c r="AC1" s="89"/>
      <c r="AD1" s="89"/>
      <c r="AE1" s="89"/>
      <c r="AF1" s="89"/>
      <c r="AG1" s="89"/>
      <c r="AH1" s="89"/>
      <c r="AI1" s="89"/>
      <c r="AJ1" s="89"/>
      <c r="AK1" s="89"/>
      <c r="AL1" s="89"/>
      <c r="AM1" s="89"/>
      <c r="AN1" s="89"/>
      <c r="AO1" s="89"/>
      <c r="AP1" s="89"/>
      <c r="AQ1" s="89"/>
      <c r="AR1" s="89"/>
      <c r="AS1" s="54"/>
      <c r="AT1" s="54"/>
      <c r="AU1" s="54"/>
      <c r="AV1" s="54"/>
      <c r="AW1" s="54"/>
      <c r="AX1" s="54"/>
      <c r="AY1" s="89"/>
      <c r="AZ1" s="89"/>
      <c r="BA1" s="89"/>
    </row>
    <row r="2" spans="1:53" ht="12.75" customHeight="1" x14ac:dyDescent="0.25">
      <c r="A2" s="51" t="s">
        <v>3</v>
      </c>
      <c r="B2" s="51"/>
      <c r="C2" s="43"/>
      <c r="D2" s="51"/>
      <c r="E2" s="51"/>
    </row>
    <row r="3" spans="1:53" ht="12.75" customHeight="1" x14ac:dyDescent="0.25">
      <c r="A3" s="784" t="s">
        <v>4</v>
      </c>
      <c r="B3" s="784"/>
      <c r="C3" s="784"/>
      <c r="D3" s="784"/>
      <c r="E3" s="784"/>
      <c r="R3" s="631"/>
      <c r="S3" s="631"/>
      <c r="T3" s="631"/>
    </row>
    <row r="4" spans="1:53" x14ac:dyDescent="0.25">
      <c r="A4" s="91"/>
      <c r="B4" s="51"/>
      <c r="C4" s="51"/>
      <c r="D4" s="51"/>
      <c r="E4" s="51"/>
      <c r="R4" s="712" t="s">
        <v>839</v>
      </c>
      <c r="S4" s="630"/>
      <c r="T4" s="630"/>
    </row>
    <row r="5" spans="1:53" ht="23.25" thickBot="1" x14ac:dyDescent="0.3">
      <c r="A5" s="185" t="s">
        <v>827</v>
      </c>
      <c r="B5" s="52"/>
      <c r="C5" s="52"/>
      <c r="D5" s="52"/>
      <c r="E5" s="53"/>
      <c r="F5" s="271"/>
      <c r="G5" s="271"/>
      <c r="H5" s="53"/>
      <c r="I5" s="425"/>
      <c r="J5" s="425"/>
      <c r="K5" s="425"/>
      <c r="L5" s="425"/>
      <c r="M5" s="425"/>
      <c r="N5" s="184"/>
      <c r="O5" s="184"/>
      <c r="P5" s="184"/>
      <c r="R5" s="713" t="s">
        <v>840</v>
      </c>
      <c r="S5" s="630"/>
      <c r="T5" s="630"/>
    </row>
    <row r="6" spans="1:53" ht="12" customHeight="1" x14ac:dyDescent="0.25">
      <c r="A6" s="766" t="s">
        <v>859</v>
      </c>
      <c r="B6" s="767"/>
      <c r="C6" s="768"/>
      <c r="D6" s="768"/>
      <c r="E6" s="767"/>
      <c r="F6" s="767"/>
      <c r="G6" s="53"/>
      <c r="I6" s="803" t="s">
        <v>828</v>
      </c>
      <c r="J6" s="804"/>
      <c r="K6" s="804"/>
      <c r="L6" s="804"/>
      <c r="M6" s="804"/>
      <c r="N6" s="804"/>
      <c r="O6" s="804"/>
      <c r="P6" s="805"/>
      <c r="Q6" s="809" t="s">
        <v>841</v>
      </c>
      <c r="R6" s="809"/>
      <c r="S6" s="809"/>
      <c r="T6" s="809"/>
      <c r="U6" s="809"/>
      <c r="V6" s="809"/>
      <c r="W6" s="809"/>
      <c r="X6" s="809"/>
      <c r="Y6" s="809"/>
      <c r="Z6" s="809"/>
      <c r="AA6" s="809"/>
      <c r="AB6" s="809"/>
      <c r="AC6" s="809"/>
      <c r="AD6" s="809"/>
      <c r="AE6" s="809"/>
      <c r="AF6" s="809"/>
      <c r="AG6" s="809"/>
      <c r="AH6" s="809"/>
      <c r="AI6" s="809"/>
      <c r="AJ6" s="809"/>
      <c r="AK6" s="809"/>
      <c r="AL6" s="809"/>
      <c r="AM6" s="809"/>
      <c r="AN6" s="809"/>
      <c r="AO6" s="809"/>
      <c r="AP6" s="809"/>
      <c r="AQ6" s="809"/>
      <c r="AR6" s="810"/>
      <c r="AS6" s="811" t="s">
        <v>865</v>
      </c>
      <c r="AT6" s="812"/>
      <c r="AU6" s="812"/>
      <c r="AV6" s="812"/>
      <c r="AW6" s="812"/>
      <c r="AX6" s="812"/>
      <c r="AY6" s="812"/>
      <c r="AZ6" s="812"/>
      <c r="BA6" s="813"/>
    </row>
    <row r="7" spans="1:53" ht="16.5" customHeight="1" thickBot="1" x14ac:dyDescent="0.3">
      <c r="A7" s="91"/>
      <c r="B7" s="6"/>
      <c r="C7"/>
      <c r="D7" s="10"/>
      <c r="E7" s="6"/>
      <c r="I7" s="806"/>
      <c r="J7" s="807"/>
      <c r="K7" s="807"/>
      <c r="L7" s="807"/>
      <c r="M7" s="807"/>
      <c r="N7" s="807"/>
      <c r="O7" s="807"/>
      <c r="P7" s="808"/>
      <c r="Q7" s="817" t="s">
        <v>282</v>
      </c>
      <c r="R7" s="817"/>
      <c r="S7" s="817"/>
      <c r="T7" s="817"/>
      <c r="U7" s="817"/>
      <c r="V7" s="818"/>
      <c r="W7" s="823" t="s">
        <v>283</v>
      </c>
      <c r="X7" s="817"/>
      <c r="Y7" s="817"/>
      <c r="Z7" s="818"/>
      <c r="AA7" s="785" t="s">
        <v>284</v>
      </c>
      <c r="AB7" s="785" t="s">
        <v>5</v>
      </c>
      <c r="AC7" s="785" t="s">
        <v>285</v>
      </c>
      <c r="AD7" s="826"/>
      <c r="AE7" s="826"/>
      <c r="AF7" s="827"/>
      <c r="AG7" s="785" t="s">
        <v>305</v>
      </c>
      <c r="AH7" s="832" t="s">
        <v>850</v>
      </c>
      <c r="AI7" s="833"/>
      <c r="AJ7" s="833"/>
      <c r="AK7" s="833"/>
      <c r="AL7" s="833"/>
      <c r="AM7" s="833"/>
      <c r="AN7" s="833"/>
      <c r="AO7" s="833"/>
      <c r="AP7" s="833"/>
      <c r="AQ7" s="833"/>
      <c r="AR7" s="834"/>
      <c r="AS7" s="814"/>
      <c r="AT7" s="815"/>
      <c r="AU7" s="815"/>
      <c r="AV7" s="815"/>
      <c r="AW7" s="815"/>
      <c r="AX7" s="815"/>
      <c r="AY7" s="815"/>
      <c r="AZ7" s="815"/>
      <c r="BA7" s="816"/>
    </row>
    <row r="8" spans="1:53" s="93" customFormat="1" ht="15" customHeight="1" x14ac:dyDescent="0.25">
      <c r="A8" s="120"/>
      <c r="I8" s="794" t="s">
        <v>6</v>
      </c>
      <c r="J8" s="797" t="s">
        <v>802</v>
      </c>
      <c r="K8" s="798"/>
      <c r="L8" s="798"/>
      <c r="M8" s="799"/>
      <c r="N8" s="773" t="s">
        <v>849</v>
      </c>
      <c r="O8" s="776" t="s">
        <v>803</v>
      </c>
      <c r="P8" s="777"/>
      <c r="Q8" s="819"/>
      <c r="R8" s="819"/>
      <c r="S8" s="819"/>
      <c r="T8" s="819"/>
      <c r="U8" s="819"/>
      <c r="V8" s="820"/>
      <c r="W8" s="824"/>
      <c r="X8" s="819"/>
      <c r="Y8" s="819"/>
      <c r="Z8" s="820"/>
      <c r="AA8" s="786"/>
      <c r="AB8" s="786"/>
      <c r="AC8" s="786"/>
      <c r="AD8" s="828"/>
      <c r="AE8" s="828"/>
      <c r="AF8" s="829"/>
      <c r="AG8" s="786"/>
      <c r="AH8" s="780" t="s">
        <v>286</v>
      </c>
      <c r="AI8" s="781"/>
      <c r="AJ8" s="837" t="s">
        <v>287</v>
      </c>
      <c r="AK8" s="835" t="s">
        <v>842</v>
      </c>
      <c r="AL8" s="836"/>
      <c r="AM8" s="837" t="s">
        <v>820</v>
      </c>
      <c r="AN8" s="780" t="s">
        <v>288</v>
      </c>
      <c r="AO8" s="781"/>
      <c r="AP8" s="788" t="s">
        <v>851</v>
      </c>
      <c r="AQ8" s="789"/>
      <c r="AR8" s="790"/>
      <c r="AS8" s="794" t="s">
        <v>6</v>
      </c>
      <c r="AT8" s="797" t="s">
        <v>802</v>
      </c>
      <c r="AU8" s="798"/>
      <c r="AV8" s="798"/>
      <c r="AW8" s="798"/>
      <c r="AX8" s="799"/>
      <c r="AY8" s="773" t="s">
        <v>849</v>
      </c>
      <c r="AZ8" s="776" t="s">
        <v>804</v>
      </c>
      <c r="BA8" s="777"/>
    </row>
    <row r="9" spans="1:53" s="94" customFormat="1" ht="15.75" thickBot="1" x14ac:dyDescent="0.25">
      <c r="A9" s="119" t="s">
        <v>771</v>
      </c>
      <c r="B9"/>
      <c r="C9"/>
      <c r="D9" s="12"/>
      <c r="E9"/>
      <c r="F9" s="60"/>
      <c r="G9" s="61"/>
      <c r="H9" s="61"/>
      <c r="I9" s="795"/>
      <c r="J9" s="800"/>
      <c r="K9" s="801"/>
      <c r="L9" s="801"/>
      <c r="M9" s="802"/>
      <c r="N9" s="774"/>
      <c r="O9" s="778"/>
      <c r="P9" s="779"/>
      <c r="Q9" s="821"/>
      <c r="R9" s="821"/>
      <c r="S9" s="821"/>
      <c r="T9" s="821"/>
      <c r="U9" s="821"/>
      <c r="V9" s="822"/>
      <c r="W9" s="825"/>
      <c r="X9" s="821"/>
      <c r="Y9" s="821"/>
      <c r="Z9" s="822"/>
      <c r="AA9" s="786"/>
      <c r="AB9" s="786"/>
      <c r="AC9" s="786"/>
      <c r="AD9" s="830"/>
      <c r="AE9" s="830"/>
      <c r="AF9" s="831"/>
      <c r="AG9" s="786"/>
      <c r="AH9" s="782"/>
      <c r="AI9" s="783"/>
      <c r="AJ9" s="838"/>
      <c r="AK9" s="634" t="s">
        <v>817</v>
      </c>
      <c r="AL9" s="634" t="s">
        <v>818</v>
      </c>
      <c r="AM9" s="838"/>
      <c r="AN9" s="782"/>
      <c r="AO9" s="783"/>
      <c r="AP9" s="791"/>
      <c r="AQ9" s="792"/>
      <c r="AR9" s="793"/>
      <c r="AS9" s="795"/>
      <c r="AT9" s="800"/>
      <c r="AU9" s="801"/>
      <c r="AV9" s="801"/>
      <c r="AW9" s="801"/>
      <c r="AX9" s="802"/>
      <c r="AY9" s="774"/>
      <c r="AZ9" s="778"/>
      <c r="BA9" s="779"/>
    </row>
    <row r="10" spans="1:53" s="94" customFormat="1" ht="34.5" customHeight="1" thickBot="1" x14ac:dyDescent="0.25">
      <c r="A10" s="62" t="s">
        <v>776</v>
      </c>
      <c r="B10" s="63" t="s">
        <v>547</v>
      </c>
      <c r="C10" s="63" t="s">
        <v>548</v>
      </c>
      <c r="D10" s="63" t="s">
        <v>264</v>
      </c>
      <c r="E10" s="166" t="s">
        <v>778</v>
      </c>
      <c r="F10" s="63" t="s">
        <v>0</v>
      </c>
      <c r="G10" s="124" t="s">
        <v>265</v>
      </c>
      <c r="H10" s="37" t="s">
        <v>276</v>
      </c>
      <c r="I10" s="796"/>
      <c r="J10" s="439" t="s">
        <v>274</v>
      </c>
      <c r="K10" s="431" t="s">
        <v>5</v>
      </c>
      <c r="L10" s="431" t="s">
        <v>1</v>
      </c>
      <c r="M10" s="431" t="s">
        <v>7</v>
      </c>
      <c r="N10" s="775"/>
      <c r="O10" s="434" t="s">
        <v>280</v>
      </c>
      <c r="P10" s="435" t="s">
        <v>281</v>
      </c>
      <c r="Q10" s="642" t="s">
        <v>289</v>
      </c>
      <c r="R10" s="433" t="s">
        <v>287</v>
      </c>
      <c r="S10" s="433" t="s">
        <v>819</v>
      </c>
      <c r="T10" s="433" t="s">
        <v>820</v>
      </c>
      <c r="U10" s="433" t="s">
        <v>288</v>
      </c>
      <c r="V10" s="433" t="s">
        <v>821</v>
      </c>
      <c r="W10" s="432" t="s">
        <v>290</v>
      </c>
      <c r="X10" s="433" t="s">
        <v>801</v>
      </c>
      <c r="Y10" s="432" t="s">
        <v>291</v>
      </c>
      <c r="Z10" s="433" t="s">
        <v>768</v>
      </c>
      <c r="AA10" s="787"/>
      <c r="AB10" s="787"/>
      <c r="AC10" s="787"/>
      <c r="AD10" s="433" t="s">
        <v>287</v>
      </c>
      <c r="AE10" s="433" t="s">
        <v>292</v>
      </c>
      <c r="AF10" s="433" t="s">
        <v>769</v>
      </c>
      <c r="AG10" s="787"/>
      <c r="AH10" s="436" t="s">
        <v>280</v>
      </c>
      <c r="AI10" s="437" t="s">
        <v>281</v>
      </c>
      <c r="AJ10" s="436" t="s">
        <v>280</v>
      </c>
      <c r="AK10" s="436" t="s">
        <v>280</v>
      </c>
      <c r="AL10" s="437" t="s">
        <v>281</v>
      </c>
      <c r="AM10" s="436" t="s">
        <v>280</v>
      </c>
      <c r="AN10" s="436" t="s">
        <v>280</v>
      </c>
      <c r="AO10" s="437" t="s">
        <v>281</v>
      </c>
      <c r="AP10" s="436" t="s">
        <v>280</v>
      </c>
      <c r="AQ10" s="437" t="s">
        <v>281</v>
      </c>
      <c r="AR10" s="438" t="s">
        <v>301</v>
      </c>
      <c r="AS10" s="796"/>
      <c r="AT10" s="38" t="s">
        <v>274</v>
      </c>
      <c r="AU10" s="439" t="s">
        <v>283</v>
      </c>
      <c r="AV10" s="431" t="s">
        <v>5</v>
      </c>
      <c r="AW10" s="431" t="s">
        <v>1</v>
      </c>
      <c r="AX10" s="431" t="s">
        <v>7</v>
      </c>
      <c r="AY10" s="775"/>
      <c r="AZ10" s="434" t="s">
        <v>280</v>
      </c>
      <c r="BA10" s="435" t="s">
        <v>281</v>
      </c>
    </row>
    <row r="11" spans="1:53" s="125" customFormat="1" ht="11.25" customHeight="1" thickBot="1" x14ac:dyDescent="0.25">
      <c r="A11" s="136" t="s">
        <v>549</v>
      </c>
      <c r="B11" s="137" t="s">
        <v>550</v>
      </c>
      <c r="C11" s="137" t="s">
        <v>266</v>
      </c>
      <c r="D11" s="137" t="s">
        <v>267</v>
      </c>
      <c r="E11" s="137" t="s">
        <v>551</v>
      </c>
      <c r="F11" s="137" t="s">
        <v>0</v>
      </c>
      <c r="G11" s="137" t="s">
        <v>552</v>
      </c>
      <c r="H11" s="138" t="s">
        <v>772</v>
      </c>
      <c r="I11" s="143" t="s">
        <v>268</v>
      </c>
      <c r="J11" s="144" t="s">
        <v>269</v>
      </c>
      <c r="K11" s="144" t="s">
        <v>270</v>
      </c>
      <c r="L11" s="144" t="s">
        <v>271</v>
      </c>
      <c r="M11" s="144" t="s">
        <v>272</v>
      </c>
      <c r="N11" s="429" t="s">
        <v>273</v>
      </c>
      <c r="O11" s="145" t="s">
        <v>553</v>
      </c>
      <c r="P11" s="183" t="s">
        <v>554</v>
      </c>
      <c r="Q11" s="643" t="s">
        <v>293</v>
      </c>
      <c r="R11" s="144" t="s">
        <v>293</v>
      </c>
      <c r="S11" s="144" t="s">
        <v>293</v>
      </c>
      <c r="T11" s="144" t="s">
        <v>293</v>
      </c>
      <c r="U11" s="144" t="s">
        <v>293</v>
      </c>
      <c r="V11" s="144" t="s">
        <v>293</v>
      </c>
      <c r="W11" s="144" t="s">
        <v>294</v>
      </c>
      <c r="X11" s="144" t="s">
        <v>294</v>
      </c>
      <c r="Y11" s="144" t="s">
        <v>295</v>
      </c>
      <c r="Z11" s="144" t="s">
        <v>294</v>
      </c>
      <c r="AA11" s="144" t="s">
        <v>296</v>
      </c>
      <c r="AB11" s="144" t="s">
        <v>297</v>
      </c>
      <c r="AC11" s="144" t="s">
        <v>298</v>
      </c>
      <c r="AD11" s="144" t="s">
        <v>300</v>
      </c>
      <c r="AE11" s="144" t="s">
        <v>299</v>
      </c>
      <c r="AF11" s="144" t="s">
        <v>299</v>
      </c>
      <c r="AG11" s="144" t="s">
        <v>306</v>
      </c>
      <c r="AH11" s="145" t="s">
        <v>302</v>
      </c>
      <c r="AI11" s="145" t="s">
        <v>303</v>
      </c>
      <c r="AJ11" s="145" t="s">
        <v>302</v>
      </c>
      <c r="AK11" s="145" t="s">
        <v>302</v>
      </c>
      <c r="AL11" s="145" t="s">
        <v>303</v>
      </c>
      <c r="AM11" s="145" t="s">
        <v>302</v>
      </c>
      <c r="AN11" s="145" t="s">
        <v>302</v>
      </c>
      <c r="AO11" s="145" t="s">
        <v>303</v>
      </c>
      <c r="AP11" s="145" t="s">
        <v>302</v>
      </c>
      <c r="AQ11" s="145" t="s">
        <v>303</v>
      </c>
      <c r="AR11" s="183" t="s">
        <v>304</v>
      </c>
      <c r="AS11" s="643" t="s">
        <v>268</v>
      </c>
      <c r="AT11" s="144" t="s">
        <v>269</v>
      </c>
      <c r="AU11" s="144" t="s">
        <v>275</v>
      </c>
      <c r="AV11" s="144" t="s">
        <v>270</v>
      </c>
      <c r="AW11" s="144" t="s">
        <v>271</v>
      </c>
      <c r="AX11" s="144" t="s">
        <v>272</v>
      </c>
      <c r="AY11" s="145" t="s">
        <v>273</v>
      </c>
      <c r="AZ11" s="145" t="s">
        <v>553</v>
      </c>
      <c r="BA11" s="183" t="s">
        <v>554</v>
      </c>
    </row>
    <row r="12" spans="1:53" s="98" customFormat="1" ht="14.1" customHeight="1" x14ac:dyDescent="0.2">
      <c r="A12" s="131">
        <v>1</v>
      </c>
      <c r="B12" s="132">
        <v>2323</v>
      </c>
      <c r="C12" s="133">
        <v>667000241</v>
      </c>
      <c r="D12" s="132">
        <v>71223461</v>
      </c>
      <c r="E12" s="132" t="s">
        <v>727</v>
      </c>
      <c r="F12" s="134">
        <v>3141</v>
      </c>
      <c r="G12" s="132" t="s">
        <v>311</v>
      </c>
      <c r="H12" s="135" t="s">
        <v>278</v>
      </c>
      <c r="I12" s="440">
        <v>3962940</v>
      </c>
      <c r="J12" s="731">
        <v>2914312</v>
      </c>
      <c r="K12" s="441">
        <v>985037</v>
      </c>
      <c r="L12" s="441">
        <v>29143</v>
      </c>
      <c r="M12" s="731">
        <v>34448</v>
      </c>
      <c r="N12" s="442">
        <v>9.3699999999999992</v>
      </c>
      <c r="O12" s="732">
        <v>0</v>
      </c>
      <c r="P12" s="733">
        <v>9.3699999999999992</v>
      </c>
      <c r="Q12" s="444">
        <f t="shared" ref="Q12" si="0">W12*-1</f>
        <v>-32500</v>
      </c>
      <c r="R12" s="445">
        <v>0</v>
      </c>
      <c r="S12" s="675">
        <v>0</v>
      </c>
      <c r="T12" s="445">
        <v>0</v>
      </c>
      <c r="U12" s="445">
        <v>0</v>
      </c>
      <c r="V12" s="445">
        <f>SUM(Q12:U12)</f>
        <v>-32500</v>
      </c>
      <c r="W12" s="445">
        <v>32500</v>
      </c>
      <c r="X12" s="445">
        <v>0</v>
      </c>
      <c r="Y12" s="445">
        <v>0</v>
      </c>
      <c r="Z12" s="445">
        <f t="shared" ref="Z12" si="1">SUM(W12:Y12)</f>
        <v>32500</v>
      </c>
      <c r="AA12" s="445">
        <f t="shared" ref="AA12" si="2">V12+Z12</f>
        <v>0</v>
      </c>
      <c r="AB12" s="147">
        <f t="shared" ref="AB12" si="3">ROUND((V12+W12+X12)*33.8%,0)</f>
        <v>0</v>
      </c>
      <c r="AC12" s="147">
        <f>ROUND(V12*1%,0)</f>
        <v>-325</v>
      </c>
      <c r="AD12" s="445">
        <v>0</v>
      </c>
      <c r="AE12" s="445">
        <v>0</v>
      </c>
      <c r="AF12" s="445">
        <f t="shared" ref="AF12" si="4">SUM(AD12:AE12)</f>
        <v>0</v>
      </c>
      <c r="AG12" s="445">
        <f t="shared" ref="AG12" si="5">AA12+AB12+AC12+AF12</f>
        <v>-325</v>
      </c>
      <c r="AH12" s="446">
        <v>0</v>
      </c>
      <c r="AI12" s="446">
        <v>-0.05</v>
      </c>
      <c r="AJ12" s="446">
        <v>0</v>
      </c>
      <c r="AK12" s="446">
        <v>0</v>
      </c>
      <c r="AL12" s="676">
        <v>0</v>
      </c>
      <c r="AM12" s="446">
        <v>0</v>
      </c>
      <c r="AN12" s="446">
        <v>0</v>
      </c>
      <c r="AO12" s="446">
        <v>1.45</v>
      </c>
      <c r="AP12" s="446">
        <f>AH12+AJ12+AK12+AM12+AN12</f>
        <v>0</v>
      </c>
      <c r="AQ12" s="446">
        <f>AI12+AL12+AO12</f>
        <v>1.4</v>
      </c>
      <c r="AR12" s="736">
        <f t="shared" ref="AR12" si="6">SUM(AP12:AQ12)</f>
        <v>1.4</v>
      </c>
      <c r="AS12" s="447">
        <f>I12+AG12</f>
        <v>3962615</v>
      </c>
      <c r="AT12" s="445">
        <f>J12+V12</f>
        <v>2881812</v>
      </c>
      <c r="AU12" s="445">
        <f>Z12</f>
        <v>32500</v>
      </c>
      <c r="AV12" s="445">
        <f>K12+AB12</f>
        <v>985037</v>
      </c>
      <c r="AW12" s="445">
        <f>L12+AC12</f>
        <v>28818</v>
      </c>
      <c r="AX12" s="445">
        <f>M12+AF12</f>
        <v>34448</v>
      </c>
      <c r="AY12" s="446">
        <f>N12+AR12</f>
        <v>10.77</v>
      </c>
      <c r="AZ12" s="446">
        <f>O12+AP12</f>
        <v>0</v>
      </c>
      <c r="BA12" s="448">
        <f>P12+AQ12</f>
        <v>10.77</v>
      </c>
    </row>
    <row r="13" spans="1:53" s="98" customFormat="1" ht="14.1" customHeight="1" x14ac:dyDescent="0.2">
      <c r="A13" s="122">
        <v>1</v>
      </c>
      <c r="B13" s="99">
        <v>2323</v>
      </c>
      <c r="C13" s="100">
        <v>667000241</v>
      </c>
      <c r="D13" s="99">
        <v>71223461</v>
      </c>
      <c r="E13" s="99" t="s">
        <v>728</v>
      </c>
      <c r="F13" s="101"/>
      <c r="G13" s="102"/>
      <c r="H13" s="103"/>
      <c r="I13" s="489">
        <f t="shared" ref="I13:P13" si="7">SUM(I12)</f>
        <v>3962940</v>
      </c>
      <c r="J13" s="485">
        <f t="shared" si="7"/>
        <v>2914312</v>
      </c>
      <c r="K13" s="485">
        <f t="shared" si="7"/>
        <v>985037</v>
      </c>
      <c r="L13" s="485">
        <f t="shared" si="7"/>
        <v>29143</v>
      </c>
      <c r="M13" s="485">
        <f t="shared" si="7"/>
        <v>34448</v>
      </c>
      <c r="N13" s="486">
        <f t="shared" si="7"/>
        <v>9.3699999999999992</v>
      </c>
      <c r="O13" s="486">
        <f t="shared" si="7"/>
        <v>0</v>
      </c>
      <c r="P13" s="105">
        <f t="shared" si="7"/>
        <v>9.3699999999999992</v>
      </c>
      <c r="Q13" s="491">
        <f t="shared" ref="Q13:BA13" si="8">SUM(Q12)</f>
        <v>-32500</v>
      </c>
      <c r="R13" s="491">
        <f t="shared" si="8"/>
        <v>0</v>
      </c>
      <c r="S13" s="485">
        <f t="shared" si="8"/>
        <v>0</v>
      </c>
      <c r="T13" s="485">
        <f t="shared" si="8"/>
        <v>0</v>
      </c>
      <c r="U13" s="485">
        <f t="shared" si="8"/>
        <v>0</v>
      </c>
      <c r="V13" s="485">
        <f t="shared" si="8"/>
        <v>-32500</v>
      </c>
      <c r="W13" s="485">
        <f t="shared" si="8"/>
        <v>32500</v>
      </c>
      <c r="X13" s="485">
        <f t="shared" si="8"/>
        <v>0</v>
      </c>
      <c r="Y13" s="485">
        <f t="shared" si="8"/>
        <v>0</v>
      </c>
      <c r="Z13" s="485">
        <f t="shared" si="8"/>
        <v>32500</v>
      </c>
      <c r="AA13" s="485">
        <f t="shared" si="8"/>
        <v>0</v>
      </c>
      <c r="AB13" s="485">
        <f t="shared" si="8"/>
        <v>0</v>
      </c>
      <c r="AC13" s="485">
        <f t="shared" si="8"/>
        <v>-325</v>
      </c>
      <c r="AD13" s="485">
        <f t="shared" si="8"/>
        <v>0</v>
      </c>
      <c r="AE13" s="485">
        <f t="shared" si="8"/>
        <v>0</v>
      </c>
      <c r="AF13" s="485">
        <f t="shared" si="8"/>
        <v>0</v>
      </c>
      <c r="AG13" s="485">
        <f t="shared" si="8"/>
        <v>-325</v>
      </c>
      <c r="AH13" s="486">
        <f t="shared" si="8"/>
        <v>0</v>
      </c>
      <c r="AI13" s="486">
        <f t="shared" si="8"/>
        <v>-0.05</v>
      </c>
      <c r="AJ13" s="486">
        <f t="shared" si="8"/>
        <v>0</v>
      </c>
      <c r="AK13" s="486">
        <f t="shared" si="8"/>
        <v>0</v>
      </c>
      <c r="AL13" s="486">
        <f t="shared" si="8"/>
        <v>0</v>
      </c>
      <c r="AM13" s="486">
        <f t="shared" si="8"/>
        <v>0</v>
      </c>
      <c r="AN13" s="486">
        <f t="shared" si="8"/>
        <v>0</v>
      </c>
      <c r="AO13" s="486">
        <f t="shared" si="8"/>
        <v>1.45</v>
      </c>
      <c r="AP13" s="486">
        <f t="shared" si="8"/>
        <v>0</v>
      </c>
      <c r="AQ13" s="486">
        <f t="shared" si="8"/>
        <v>1.4</v>
      </c>
      <c r="AR13" s="738">
        <f t="shared" si="8"/>
        <v>1.4</v>
      </c>
      <c r="AS13" s="489">
        <f t="shared" si="8"/>
        <v>3962615</v>
      </c>
      <c r="AT13" s="485">
        <f t="shared" si="8"/>
        <v>2881812</v>
      </c>
      <c r="AU13" s="485">
        <f t="shared" si="8"/>
        <v>32500</v>
      </c>
      <c r="AV13" s="485">
        <f t="shared" si="8"/>
        <v>985037</v>
      </c>
      <c r="AW13" s="485">
        <f t="shared" si="8"/>
        <v>28818</v>
      </c>
      <c r="AX13" s="485">
        <f t="shared" si="8"/>
        <v>34448</v>
      </c>
      <c r="AY13" s="486">
        <f t="shared" si="8"/>
        <v>10.77</v>
      </c>
      <c r="AZ13" s="486">
        <f t="shared" si="8"/>
        <v>0</v>
      </c>
      <c r="BA13" s="105">
        <f t="shared" si="8"/>
        <v>10.77</v>
      </c>
    </row>
    <row r="14" spans="1:53" s="98" customFormat="1" ht="14.1" customHeight="1" x14ac:dyDescent="0.2">
      <c r="A14" s="121">
        <v>2</v>
      </c>
      <c r="B14" s="78">
        <v>2314</v>
      </c>
      <c r="C14" s="95">
        <v>600080358</v>
      </c>
      <c r="D14" s="78">
        <v>46745751</v>
      </c>
      <c r="E14" s="78" t="s">
        <v>729</v>
      </c>
      <c r="F14" s="96">
        <v>3114</v>
      </c>
      <c r="G14" s="168" t="s">
        <v>546</v>
      </c>
      <c r="H14" s="97" t="s">
        <v>277</v>
      </c>
      <c r="I14" s="462">
        <v>11687716</v>
      </c>
      <c r="J14" s="16">
        <v>8569222</v>
      </c>
      <c r="K14" s="457">
        <v>2896397</v>
      </c>
      <c r="L14" s="457">
        <v>85692</v>
      </c>
      <c r="M14" s="16">
        <v>136405</v>
      </c>
      <c r="N14" s="458">
        <v>14.169499999999999</v>
      </c>
      <c r="O14" s="13">
        <v>10.7295</v>
      </c>
      <c r="P14" s="17">
        <v>3.44</v>
      </c>
      <c r="Q14" s="469">
        <f t="shared" ref="Q14:Q18" si="9">W14*-1</f>
        <v>-35100</v>
      </c>
      <c r="R14" s="460">
        <v>0</v>
      </c>
      <c r="S14" s="673">
        <v>0</v>
      </c>
      <c r="T14" s="460">
        <v>0</v>
      </c>
      <c r="U14" s="460">
        <v>87181</v>
      </c>
      <c r="V14" s="460">
        <f>SUM(Q14:U14)</f>
        <v>52081</v>
      </c>
      <c r="W14" s="460">
        <v>35100</v>
      </c>
      <c r="X14" s="460">
        <v>0</v>
      </c>
      <c r="Y14" s="460">
        <v>0</v>
      </c>
      <c r="Z14" s="460">
        <f t="shared" ref="Z14:Z18" si="10">SUM(W14:Y14)</f>
        <v>35100</v>
      </c>
      <c r="AA14" s="460">
        <f t="shared" ref="AA14:AA18" si="11">V14+Z14</f>
        <v>87181</v>
      </c>
      <c r="AB14" s="69">
        <f t="shared" ref="AB14:AB18" si="12">ROUND((V14+W14+X14)*33.8%,0)</f>
        <v>29467</v>
      </c>
      <c r="AC14" s="69">
        <f>ROUND(V14*1%,0)</f>
        <v>521</v>
      </c>
      <c r="AD14" s="460">
        <v>0</v>
      </c>
      <c r="AE14" s="460">
        <v>0</v>
      </c>
      <c r="AF14" s="460">
        <f t="shared" ref="AF14:AF18" si="13">SUM(AD14:AE14)</f>
        <v>0</v>
      </c>
      <c r="AG14" s="460">
        <f t="shared" ref="AG14:AG18" si="14">AA14+AB14+AC14+AF14</f>
        <v>117169</v>
      </c>
      <c r="AH14" s="461">
        <v>0</v>
      </c>
      <c r="AI14" s="461">
        <v>-0.11</v>
      </c>
      <c r="AJ14" s="461">
        <v>0</v>
      </c>
      <c r="AK14" s="461">
        <v>0</v>
      </c>
      <c r="AL14" s="674">
        <v>0</v>
      </c>
      <c r="AM14" s="461">
        <v>0</v>
      </c>
      <c r="AN14" s="461">
        <v>0.13</v>
      </c>
      <c r="AO14" s="461">
        <v>0</v>
      </c>
      <c r="AP14" s="461">
        <f t="shared" ref="AP14:AP18" si="15">AH14+AJ14+AK14+AM14+AN14</f>
        <v>0.13</v>
      </c>
      <c r="AQ14" s="461">
        <f t="shared" ref="AQ14:AQ18" si="16">AI14+AL14+AO14</f>
        <v>-0.11</v>
      </c>
      <c r="AR14" s="737">
        <f t="shared" ref="AR14:AR18" si="17">SUM(AP14:AQ14)</f>
        <v>2.0000000000000004E-2</v>
      </c>
      <c r="AS14" s="470">
        <f t="shared" ref="AS14:AS76" si="18">I14+AG14</f>
        <v>11804885</v>
      </c>
      <c r="AT14" s="460">
        <f t="shared" ref="AT14:AT76" si="19">J14+V14</f>
        <v>8621303</v>
      </c>
      <c r="AU14" s="460">
        <f t="shared" ref="AU14:AU76" si="20">Z14</f>
        <v>35100</v>
      </c>
      <c r="AV14" s="460">
        <f t="shared" ref="AV14:AV76" si="21">K14+AB14</f>
        <v>2925864</v>
      </c>
      <c r="AW14" s="460">
        <f t="shared" ref="AW14:AW76" si="22">L14+AC14</f>
        <v>86213</v>
      </c>
      <c r="AX14" s="460">
        <f t="shared" ref="AX14:AX76" si="23">M14+AF14</f>
        <v>136405</v>
      </c>
      <c r="AY14" s="461">
        <f t="shared" ref="AY14:AY76" si="24">N14+AR14</f>
        <v>14.189499999999999</v>
      </c>
      <c r="AZ14" s="461">
        <f t="shared" ref="AZ14:AZ76" si="25">O14+AP14</f>
        <v>10.859500000000001</v>
      </c>
      <c r="BA14" s="463">
        <f t="shared" ref="BA14:BA76" si="26">P14+AQ14</f>
        <v>3.33</v>
      </c>
    </row>
    <row r="15" spans="1:53" s="98" customFormat="1" ht="14.1" customHeight="1" x14ac:dyDescent="0.2">
      <c r="A15" s="121">
        <v>2</v>
      </c>
      <c r="B15" s="78">
        <v>2314</v>
      </c>
      <c r="C15" s="95">
        <v>600080358</v>
      </c>
      <c r="D15" s="78">
        <v>46745751</v>
      </c>
      <c r="E15" s="78" t="s">
        <v>729</v>
      </c>
      <c r="F15" s="96">
        <v>3114</v>
      </c>
      <c r="G15" s="44" t="s">
        <v>309</v>
      </c>
      <c r="H15" s="97" t="s">
        <v>277</v>
      </c>
      <c r="I15" s="462">
        <v>2277214</v>
      </c>
      <c r="J15" s="16">
        <v>1689328</v>
      </c>
      <c r="K15" s="457">
        <v>570993</v>
      </c>
      <c r="L15" s="457">
        <v>16893</v>
      </c>
      <c r="M15" s="16">
        <v>0</v>
      </c>
      <c r="N15" s="458">
        <v>4.4997999999999996</v>
      </c>
      <c r="O15" s="13">
        <v>4.4997999999999996</v>
      </c>
      <c r="P15" s="17">
        <v>0</v>
      </c>
      <c r="Q15" s="469">
        <f t="shared" si="9"/>
        <v>0</v>
      </c>
      <c r="R15" s="460">
        <v>0</v>
      </c>
      <c r="S15" s="673">
        <v>0</v>
      </c>
      <c r="T15" s="460">
        <v>0</v>
      </c>
      <c r="U15" s="460">
        <v>0</v>
      </c>
      <c r="V15" s="460">
        <f>SUM(Q15:U15)</f>
        <v>0</v>
      </c>
      <c r="W15" s="460">
        <v>0</v>
      </c>
      <c r="X15" s="460">
        <v>0</v>
      </c>
      <c r="Y15" s="460">
        <v>0</v>
      </c>
      <c r="Z15" s="460">
        <f t="shared" si="10"/>
        <v>0</v>
      </c>
      <c r="AA15" s="460">
        <f t="shared" si="11"/>
        <v>0</v>
      </c>
      <c r="AB15" s="69">
        <f t="shared" si="12"/>
        <v>0</v>
      </c>
      <c r="AC15" s="69">
        <f t="shared" ref="AC15:AC18" si="27">ROUND(V15*1%,0)</f>
        <v>0</v>
      </c>
      <c r="AD15" s="460">
        <v>0</v>
      </c>
      <c r="AE15" s="460">
        <v>0</v>
      </c>
      <c r="AF15" s="460">
        <f t="shared" si="13"/>
        <v>0</v>
      </c>
      <c r="AG15" s="460">
        <f t="shared" si="14"/>
        <v>0</v>
      </c>
      <c r="AH15" s="461">
        <v>0</v>
      </c>
      <c r="AI15" s="461">
        <v>0</v>
      </c>
      <c r="AJ15" s="461">
        <v>0</v>
      </c>
      <c r="AK15" s="461">
        <v>0</v>
      </c>
      <c r="AL15" s="674">
        <v>0</v>
      </c>
      <c r="AM15" s="461">
        <v>0</v>
      </c>
      <c r="AN15" s="461">
        <v>0</v>
      </c>
      <c r="AO15" s="461">
        <v>0</v>
      </c>
      <c r="AP15" s="461">
        <f t="shared" si="15"/>
        <v>0</v>
      </c>
      <c r="AQ15" s="461">
        <f t="shared" si="16"/>
        <v>0</v>
      </c>
      <c r="AR15" s="737">
        <f t="shared" si="17"/>
        <v>0</v>
      </c>
      <c r="AS15" s="470">
        <f t="shared" si="18"/>
        <v>2277214</v>
      </c>
      <c r="AT15" s="460">
        <f t="shared" si="19"/>
        <v>1689328</v>
      </c>
      <c r="AU15" s="460">
        <f t="shared" si="20"/>
        <v>0</v>
      </c>
      <c r="AV15" s="460">
        <f t="shared" si="21"/>
        <v>570993</v>
      </c>
      <c r="AW15" s="460">
        <f t="shared" si="22"/>
        <v>16893</v>
      </c>
      <c r="AX15" s="460">
        <f t="shared" si="23"/>
        <v>0</v>
      </c>
      <c r="AY15" s="461">
        <f t="shared" si="24"/>
        <v>4.4997999999999996</v>
      </c>
      <c r="AZ15" s="461">
        <f t="shared" si="25"/>
        <v>4.4997999999999996</v>
      </c>
      <c r="BA15" s="463">
        <f t="shared" si="26"/>
        <v>0</v>
      </c>
    </row>
    <row r="16" spans="1:53" s="98" customFormat="1" ht="14.1" customHeight="1" x14ac:dyDescent="0.2">
      <c r="A16" s="121">
        <v>2</v>
      </c>
      <c r="B16" s="78">
        <v>2314</v>
      </c>
      <c r="C16" s="95">
        <v>600080358</v>
      </c>
      <c r="D16" s="78">
        <v>46745751</v>
      </c>
      <c r="E16" s="78" t="s">
        <v>729</v>
      </c>
      <c r="F16" s="96">
        <v>3114</v>
      </c>
      <c r="G16" s="44" t="s">
        <v>308</v>
      </c>
      <c r="H16" s="97" t="s">
        <v>278</v>
      </c>
      <c r="I16" s="462">
        <v>0</v>
      </c>
      <c r="J16" s="591">
        <v>0</v>
      </c>
      <c r="K16" s="457">
        <v>0</v>
      </c>
      <c r="L16" s="457">
        <v>0</v>
      </c>
      <c r="M16" s="591">
        <v>0</v>
      </c>
      <c r="N16" s="458">
        <v>0</v>
      </c>
      <c r="O16" s="459">
        <v>0</v>
      </c>
      <c r="P16" s="717">
        <v>0</v>
      </c>
      <c r="Q16" s="469">
        <f t="shared" si="9"/>
        <v>0</v>
      </c>
      <c r="R16" s="460">
        <v>0</v>
      </c>
      <c r="S16" s="673">
        <v>0</v>
      </c>
      <c r="T16" s="460">
        <v>0</v>
      </c>
      <c r="U16" s="460">
        <v>0</v>
      </c>
      <c r="V16" s="460">
        <f>SUM(Q16:U16)</f>
        <v>0</v>
      </c>
      <c r="W16" s="460">
        <v>0</v>
      </c>
      <c r="X16" s="460">
        <v>0</v>
      </c>
      <c r="Y16" s="460">
        <v>0</v>
      </c>
      <c r="Z16" s="460">
        <f t="shared" si="10"/>
        <v>0</v>
      </c>
      <c r="AA16" s="460">
        <f t="shared" si="11"/>
        <v>0</v>
      </c>
      <c r="AB16" s="69">
        <f t="shared" si="12"/>
        <v>0</v>
      </c>
      <c r="AC16" s="69">
        <f t="shared" si="27"/>
        <v>0</v>
      </c>
      <c r="AD16" s="460">
        <v>0</v>
      </c>
      <c r="AE16" s="460">
        <v>0</v>
      </c>
      <c r="AF16" s="460">
        <f t="shared" si="13"/>
        <v>0</v>
      </c>
      <c r="AG16" s="460">
        <f t="shared" si="14"/>
        <v>0</v>
      </c>
      <c r="AH16" s="461">
        <v>0</v>
      </c>
      <c r="AI16" s="461">
        <v>0</v>
      </c>
      <c r="AJ16" s="461">
        <v>0</v>
      </c>
      <c r="AK16" s="461">
        <v>0</v>
      </c>
      <c r="AL16" s="674">
        <v>0</v>
      </c>
      <c r="AM16" s="461">
        <v>0</v>
      </c>
      <c r="AN16" s="461">
        <v>0</v>
      </c>
      <c r="AO16" s="461">
        <v>0</v>
      </c>
      <c r="AP16" s="461">
        <f t="shared" si="15"/>
        <v>0</v>
      </c>
      <c r="AQ16" s="461">
        <f t="shared" si="16"/>
        <v>0</v>
      </c>
      <c r="AR16" s="737">
        <f t="shared" si="17"/>
        <v>0</v>
      </c>
      <c r="AS16" s="470">
        <f t="shared" si="18"/>
        <v>0</v>
      </c>
      <c r="AT16" s="460">
        <f t="shared" si="19"/>
        <v>0</v>
      </c>
      <c r="AU16" s="460">
        <f t="shared" si="20"/>
        <v>0</v>
      </c>
      <c r="AV16" s="460">
        <f t="shared" si="21"/>
        <v>0</v>
      </c>
      <c r="AW16" s="460">
        <f t="shared" si="22"/>
        <v>0</v>
      </c>
      <c r="AX16" s="460">
        <f t="shared" si="23"/>
        <v>0</v>
      </c>
      <c r="AY16" s="461">
        <f t="shared" si="24"/>
        <v>0</v>
      </c>
      <c r="AZ16" s="461">
        <f t="shared" si="25"/>
        <v>0</v>
      </c>
      <c r="BA16" s="463">
        <f t="shared" si="26"/>
        <v>0</v>
      </c>
    </row>
    <row r="17" spans="1:53" s="98" customFormat="1" ht="14.1" customHeight="1" x14ac:dyDescent="0.2">
      <c r="A17" s="121">
        <v>2</v>
      </c>
      <c r="B17" s="78">
        <v>2314</v>
      </c>
      <c r="C17" s="95">
        <v>600080358</v>
      </c>
      <c r="D17" s="78">
        <v>46745751</v>
      </c>
      <c r="E17" s="78" t="s">
        <v>729</v>
      </c>
      <c r="F17" s="96">
        <v>3143</v>
      </c>
      <c r="G17" s="78" t="s">
        <v>616</v>
      </c>
      <c r="H17" s="97" t="s">
        <v>277</v>
      </c>
      <c r="I17" s="462">
        <v>782881</v>
      </c>
      <c r="J17" s="715">
        <v>580772</v>
      </c>
      <c r="K17" s="457">
        <v>196301</v>
      </c>
      <c r="L17" s="457">
        <v>5808</v>
      </c>
      <c r="M17" s="715">
        <v>0</v>
      </c>
      <c r="N17" s="458">
        <v>1.2068000000000001</v>
      </c>
      <c r="O17" s="716">
        <v>1.2068000000000001</v>
      </c>
      <c r="P17" s="718">
        <v>0</v>
      </c>
      <c r="Q17" s="469">
        <f t="shared" si="9"/>
        <v>0</v>
      </c>
      <c r="R17" s="460">
        <v>0</v>
      </c>
      <c r="S17" s="673">
        <v>0</v>
      </c>
      <c r="T17" s="460">
        <v>0</v>
      </c>
      <c r="U17" s="460">
        <v>0</v>
      </c>
      <c r="V17" s="460">
        <f>SUM(Q17:U17)</f>
        <v>0</v>
      </c>
      <c r="W17" s="460">
        <v>0</v>
      </c>
      <c r="X17" s="460">
        <v>0</v>
      </c>
      <c r="Y17" s="460">
        <v>0</v>
      </c>
      <c r="Z17" s="460">
        <f t="shared" si="10"/>
        <v>0</v>
      </c>
      <c r="AA17" s="460">
        <f t="shared" si="11"/>
        <v>0</v>
      </c>
      <c r="AB17" s="69">
        <f t="shared" si="12"/>
        <v>0</v>
      </c>
      <c r="AC17" s="69">
        <f t="shared" si="27"/>
        <v>0</v>
      </c>
      <c r="AD17" s="460">
        <v>0</v>
      </c>
      <c r="AE17" s="460">
        <v>0</v>
      </c>
      <c r="AF17" s="460">
        <f t="shared" si="13"/>
        <v>0</v>
      </c>
      <c r="AG17" s="460">
        <f t="shared" si="14"/>
        <v>0</v>
      </c>
      <c r="AH17" s="461">
        <v>0</v>
      </c>
      <c r="AI17" s="461">
        <v>0</v>
      </c>
      <c r="AJ17" s="461">
        <v>0</v>
      </c>
      <c r="AK17" s="461">
        <v>0</v>
      </c>
      <c r="AL17" s="674">
        <v>0</v>
      </c>
      <c r="AM17" s="461">
        <v>0</v>
      </c>
      <c r="AN17" s="461">
        <v>0</v>
      </c>
      <c r="AO17" s="461">
        <v>0</v>
      </c>
      <c r="AP17" s="461">
        <f t="shared" si="15"/>
        <v>0</v>
      </c>
      <c r="AQ17" s="461">
        <f t="shared" si="16"/>
        <v>0</v>
      </c>
      <c r="AR17" s="737">
        <f t="shared" si="17"/>
        <v>0</v>
      </c>
      <c r="AS17" s="470">
        <f t="shared" si="18"/>
        <v>782881</v>
      </c>
      <c r="AT17" s="460">
        <f t="shared" si="19"/>
        <v>580772</v>
      </c>
      <c r="AU17" s="460">
        <f t="shared" si="20"/>
        <v>0</v>
      </c>
      <c r="AV17" s="460">
        <f t="shared" si="21"/>
        <v>196301</v>
      </c>
      <c r="AW17" s="460">
        <f t="shared" si="22"/>
        <v>5808</v>
      </c>
      <c r="AX17" s="460">
        <f t="shared" si="23"/>
        <v>0</v>
      </c>
      <c r="AY17" s="461">
        <f t="shared" si="24"/>
        <v>1.2068000000000001</v>
      </c>
      <c r="AZ17" s="461">
        <f t="shared" si="25"/>
        <v>1.2068000000000001</v>
      </c>
      <c r="BA17" s="463">
        <f t="shared" si="26"/>
        <v>0</v>
      </c>
    </row>
    <row r="18" spans="1:53" s="98" customFormat="1" ht="14.1" customHeight="1" x14ac:dyDescent="0.2">
      <c r="A18" s="121">
        <v>2</v>
      </c>
      <c r="B18" s="78">
        <v>2314</v>
      </c>
      <c r="C18" s="95">
        <v>600080358</v>
      </c>
      <c r="D18" s="78">
        <v>46745751</v>
      </c>
      <c r="E18" s="78" t="s">
        <v>729</v>
      </c>
      <c r="F18" s="96">
        <v>3143</v>
      </c>
      <c r="G18" s="78" t="s">
        <v>617</v>
      </c>
      <c r="H18" s="97" t="s">
        <v>278</v>
      </c>
      <c r="I18" s="462">
        <v>16859</v>
      </c>
      <c r="J18" s="591">
        <v>12046</v>
      </c>
      <c r="K18" s="457">
        <v>4072</v>
      </c>
      <c r="L18" s="457">
        <v>120</v>
      </c>
      <c r="M18" s="591">
        <v>621</v>
      </c>
      <c r="N18" s="458">
        <v>0.05</v>
      </c>
      <c r="O18" s="459">
        <v>0</v>
      </c>
      <c r="P18" s="717">
        <v>0.05</v>
      </c>
      <c r="Q18" s="469">
        <f t="shared" si="9"/>
        <v>0</v>
      </c>
      <c r="R18" s="460">
        <v>0</v>
      </c>
      <c r="S18" s="673">
        <v>0</v>
      </c>
      <c r="T18" s="460">
        <v>0</v>
      </c>
      <c r="U18" s="460">
        <v>0</v>
      </c>
      <c r="V18" s="460">
        <f>SUM(Q18:U18)</f>
        <v>0</v>
      </c>
      <c r="W18" s="460">
        <v>0</v>
      </c>
      <c r="X18" s="460">
        <v>0</v>
      </c>
      <c r="Y18" s="460">
        <v>0</v>
      </c>
      <c r="Z18" s="460">
        <f t="shared" si="10"/>
        <v>0</v>
      </c>
      <c r="AA18" s="460">
        <f t="shared" si="11"/>
        <v>0</v>
      </c>
      <c r="AB18" s="69">
        <f t="shared" si="12"/>
        <v>0</v>
      </c>
      <c r="AC18" s="69">
        <f t="shared" si="27"/>
        <v>0</v>
      </c>
      <c r="AD18" s="460">
        <v>0</v>
      </c>
      <c r="AE18" s="460">
        <v>0</v>
      </c>
      <c r="AF18" s="460">
        <f t="shared" si="13"/>
        <v>0</v>
      </c>
      <c r="AG18" s="460">
        <f t="shared" si="14"/>
        <v>0</v>
      </c>
      <c r="AH18" s="461">
        <v>0</v>
      </c>
      <c r="AI18" s="461">
        <v>0</v>
      </c>
      <c r="AJ18" s="461">
        <v>0</v>
      </c>
      <c r="AK18" s="461">
        <v>0</v>
      </c>
      <c r="AL18" s="674">
        <v>0</v>
      </c>
      <c r="AM18" s="461">
        <v>0</v>
      </c>
      <c r="AN18" s="461">
        <v>0</v>
      </c>
      <c r="AO18" s="461">
        <v>0</v>
      </c>
      <c r="AP18" s="461">
        <f t="shared" si="15"/>
        <v>0</v>
      </c>
      <c r="AQ18" s="461">
        <f t="shared" si="16"/>
        <v>0</v>
      </c>
      <c r="AR18" s="737">
        <f t="shared" si="17"/>
        <v>0</v>
      </c>
      <c r="AS18" s="470">
        <f t="shared" si="18"/>
        <v>16859</v>
      </c>
      <c r="AT18" s="460">
        <f t="shared" si="19"/>
        <v>12046</v>
      </c>
      <c r="AU18" s="460">
        <f t="shared" si="20"/>
        <v>0</v>
      </c>
      <c r="AV18" s="460">
        <f t="shared" si="21"/>
        <v>4072</v>
      </c>
      <c r="AW18" s="460">
        <f t="shared" si="22"/>
        <v>120</v>
      </c>
      <c r="AX18" s="460">
        <f t="shared" si="23"/>
        <v>621</v>
      </c>
      <c r="AY18" s="461">
        <f t="shared" si="24"/>
        <v>0.05</v>
      </c>
      <c r="AZ18" s="461">
        <f t="shared" si="25"/>
        <v>0</v>
      </c>
      <c r="BA18" s="463">
        <f t="shared" si="26"/>
        <v>0.05</v>
      </c>
    </row>
    <row r="19" spans="1:53" s="98" customFormat="1" ht="14.1" customHeight="1" x14ac:dyDescent="0.2">
      <c r="A19" s="122">
        <v>2</v>
      </c>
      <c r="B19" s="99">
        <v>2314</v>
      </c>
      <c r="C19" s="100">
        <v>600080358</v>
      </c>
      <c r="D19" s="99">
        <v>46745751</v>
      </c>
      <c r="E19" s="99" t="s">
        <v>730</v>
      </c>
      <c r="F19" s="101"/>
      <c r="G19" s="102"/>
      <c r="H19" s="103"/>
      <c r="I19" s="489">
        <f t="shared" ref="I19:P19" si="28">SUM(I14:I18)</f>
        <v>14764670</v>
      </c>
      <c r="J19" s="485">
        <f t="shared" si="28"/>
        <v>10851368</v>
      </c>
      <c r="K19" s="485">
        <f t="shared" si="28"/>
        <v>3667763</v>
      </c>
      <c r="L19" s="485">
        <f t="shared" si="28"/>
        <v>108513</v>
      </c>
      <c r="M19" s="485">
        <f t="shared" si="28"/>
        <v>137026</v>
      </c>
      <c r="N19" s="486">
        <f t="shared" si="28"/>
        <v>19.926100000000002</v>
      </c>
      <c r="O19" s="486">
        <f t="shared" si="28"/>
        <v>16.4361</v>
      </c>
      <c r="P19" s="105">
        <f t="shared" si="28"/>
        <v>3.4899999999999998</v>
      </c>
      <c r="Q19" s="491">
        <f t="shared" ref="Q19:BA19" si="29">SUM(Q14:Q18)</f>
        <v>-35100</v>
      </c>
      <c r="R19" s="491">
        <f t="shared" si="29"/>
        <v>0</v>
      </c>
      <c r="S19" s="485">
        <f t="shared" si="29"/>
        <v>0</v>
      </c>
      <c r="T19" s="485">
        <f t="shared" si="29"/>
        <v>0</v>
      </c>
      <c r="U19" s="485">
        <f t="shared" si="29"/>
        <v>87181</v>
      </c>
      <c r="V19" s="485">
        <f t="shared" si="29"/>
        <v>52081</v>
      </c>
      <c r="W19" s="485">
        <f t="shared" si="29"/>
        <v>35100</v>
      </c>
      <c r="X19" s="485">
        <f t="shared" si="29"/>
        <v>0</v>
      </c>
      <c r="Y19" s="485">
        <f t="shared" si="29"/>
        <v>0</v>
      </c>
      <c r="Z19" s="485">
        <f t="shared" si="29"/>
        <v>35100</v>
      </c>
      <c r="AA19" s="485">
        <f t="shared" si="29"/>
        <v>87181</v>
      </c>
      <c r="AB19" s="485">
        <f t="shared" si="29"/>
        <v>29467</v>
      </c>
      <c r="AC19" s="485">
        <f t="shared" si="29"/>
        <v>521</v>
      </c>
      <c r="AD19" s="485">
        <f t="shared" si="29"/>
        <v>0</v>
      </c>
      <c r="AE19" s="485">
        <f t="shared" si="29"/>
        <v>0</v>
      </c>
      <c r="AF19" s="485">
        <f t="shared" si="29"/>
        <v>0</v>
      </c>
      <c r="AG19" s="485">
        <f t="shared" si="29"/>
        <v>117169</v>
      </c>
      <c r="AH19" s="486">
        <f t="shared" si="29"/>
        <v>0</v>
      </c>
      <c r="AI19" s="486">
        <f t="shared" si="29"/>
        <v>-0.11</v>
      </c>
      <c r="AJ19" s="486">
        <f t="shared" si="29"/>
        <v>0</v>
      </c>
      <c r="AK19" s="486">
        <f t="shared" si="29"/>
        <v>0</v>
      </c>
      <c r="AL19" s="486">
        <f t="shared" si="29"/>
        <v>0</v>
      </c>
      <c r="AM19" s="486">
        <f t="shared" si="29"/>
        <v>0</v>
      </c>
      <c r="AN19" s="486">
        <f t="shared" si="29"/>
        <v>0.13</v>
      </c>
      <c r="AO19" s="486">
        <f t="shared" si="29"/>
        <v>0</v>
      </c>
      <c r="AP19" s="486">
        <f t="shared" si="29"/>
        <v>0.13</v>
      </c>
      <c r="AQ19" s="486">
        <f t="shared" si="29"/>
        <v>-0.11</v>
      </c>
      <c r="AR19" s="738">
        <f t="shared" si="29"/>
        <v>2.0000000000000004E-2</v>
      </c>
      <c r="AS19" s="489">
        <f t="shared" si="29"/>
        <v>14881839</v>
      </c>
      <c r="AT19" s="485">
        <f t="shared" si="29"/>
        <v>10903449</v>
      </c>
      <c r="AU19" s="485">
        <f t="shared" si="29"/>
        <v>35100</v>
      </c>
      <c r="AV19" s="485">
        <f t="shared" si="29"/>
        <v>3697230</v>
      </c>
      <c r="AW19" s="485">
        <f t="shared" si="29"/>
        <v>109034</v>
      </c>
      <c r="AX19" s="485">
        <f t="shared" si="29"/>
        <v>137026</v>
      </c>
      <c r="AY19" s="486">
        <f t="shared" si="29"/>
        <v>19.946100000000001</v>
      </c>
      <c r="AZ19" s="486">
        <f t="shared" si="29"/>
        <v>16.566100000000002</v>
      </c>
      <c r="BA19" s="105">
        <f t="shared" si="29"/>
        <v>3.38</v>
      </c>
    </row>
    <row r="20" spans="1:53" s="98" customFormat="1" ht="14.1" customHeight="1" x14ac:dyDescent="0.2">
      <c r="A20" s="121">
        <v>3</v>
      </c>
      <c r="B20" s="104">
        <v>2448</v>
      </c>
      <c r="C20" s="95">
        <v>600080269</v>
      </c>
      <c r="D20" s="78">
        <v>63154617</v>
      </c>
      <c r="E20" s="78" t="s">
        <v>731</v>
      </c>
      <c r="F20" s="96">
        <v>3111</v>
      </c>
      <c r="G20" s="78" t="s">
        <v>307</v>
      </c>
      <c r="H20" s="97" t="s">
        <v>277</v>
      </c>
      <c r="I20" s="462">
        <v>16417592</v>
      </c>
      <c r="J20" s="16">
        <v>12112161</v>
      </c>
      <c r="K20" s="457">
        <v>4093910</v>
      </c>
      <c r="L20" s="457">
        <v>121121</v>
      </c>
      <c r="M20" s="16">
        <v>90400</v>
      </c>
      <c r="N20" s="458">
        <v>24.61</v>
      </c>
      <c r="O20" s="13">
        <v>20.61</v>
      </c>
      <c r="P20" s="17">
        <v>4</v>
      </c>
      <c r="Q20" s="469">
        <f t="shared" ref="Q20:Q27" si="30">W20*-1</f>
        <v>-195000</v>
      </c>
      <c r="R20" s="460">
        <v>0</v>
      </c>
      <c r="S20" s="673">
        <v>0</v>
      </c>
      <c r="T20" s="460">
        <v>0</v>
      </c>
      <c r="U20" s="460">
        <v>0</v>
      </c>
      <c r="V20" s="460">
        <f t="shared" ref="V20:V27" si="31">SUM(Q20:U20)</f>
        <v>-195000</v>
      </c>
      <c r="W20" s="460">
        <v>195000</v>
      </c>
      <c r="X20" s="460">
        <v>0</v>
      </c>
      <c r="Y20" s="460">
        <v>0</v>
      </c>
      <c r="Z20" s="460">
        <f t="shared" ref="Z20:Z27" si="32">SUM(W20:Y20)</f>
        <v>195000</v>
      </c>
      <c r="AA20" s="460">
        <f t="shared" ref="AA20:AA27" si="33">V20+Z20</f>
        <v>0</v>
      </c>
      <c r="AB20" s="69">
        <f t="shared" ref="AB20:AB27" si="34">ROUND((V20+W20+X20)*33.8%,0)</f>
        <v>0</v>
      </c>
      <c r="AC20" s="69">
        <f t="shared" ref="AC20:AC27" si="35">ROUND(V20*1%,0)</f>
        <v>-1950</v>
      </c>
      <c r="AD20" s="460">
        <v>0</v>
      </c>
      <c r="AE20" s="460">
        <v>0</v>
      </c>
      <c r="AF20" s="460">
        <f t="shared" ref="AF20:AF27" si="36">SUM(AD20:AE20)</f>
        <v>0</v>
      </c>
      <c r="AG20" s="460">
        <f t="shared" ref="AG20:AG27" si="37">AA20+AB20+AC20+AF20</f>
        <v>-1950</v>
      </c>
      <c r="AH20" s="461">
        <v>0</v>
      </c>
      <c r="AI20" s="461">
        <v>0</v>
      </c>
      <c r="AJ20" s="461">
        <v>0</v>
      </c>
      <c r="AK20" s="461">
        <v>0</v>
      </c>
      <c r="AL20" s="674">
        <v>0</v>
      </c>
      <c r="AM20" s="461">
        <v>0</v>
      </c>
      <c r="AN20" s="461">
        <v>0</v>
      </c>
      <c r="AO20" s="461">
        <v>0</v>
      </c>
      <c r="AP20" s="461">
        <f t="shared" ref="AP20:AP27" si="38">AH20+AJ20+AK20+AM20+AN20</f>
        <v>0</v>
      </c>
      <c r="AQ20" s="461">
        <f t="shared" ref="AQ20:AQ27" si="39">AI20+AL20+AO20</f>
        <v>0</v>
      </c>
      <c r="AR20" s="737">
        <f t="shared" ref="AR20:AR27" si="40">SUM(AP20:AQ20)</f>
        <v>0</v>
      </c>
      <c r="AS20" s="470">
        <f t="shared" si="18"/>
        <v>16415642</v>
      </c>
      <c r="AT20" s="460">
        <f t="shared" si="19"/>
        <v>11917161</v>
      </c>
      <c r="AU20" s="460">
        <f t="shared" si="20"/>
        <v>195000</v>
      </c>
      <c r="AV20" s="460">
        <f t="shared" si="21"/>
        <v>4093910</v>
      </c>
      <c r="AW20" s="460">
        <f t="shared" si="22"/>
        <v>119171</v>
      </c>
      <c r="AX20" s="460">
        <f t="shared" si="23"/>
        <v>90400</v>
      </c>
      <c r="AY20" s="461">
        <f t="shared" si="24"/>
        <v>24.61</v>
      </c>
      <c r="AZ20" s="461">
        <f t="shared" si="25"/>
        <v>20.61</v>
      </c>
      <c r="BA20" s="463">
        <f t="shared" si="26"/>
        <v>4</v>
      </c>
    </row>
    <row r="21" spans="1:53" s="98" customFormat="1" ht="14.1" customHeight="1" x14ac:dyDescent="0.2">
      <c r="A21" s="121">
        <v>3</v>
      </c>
      <c r="B21" s="104">
        <v>2448</v>
      </c>
      <c r="C21" s="95">
        <v>600080269</v>
      </c>
      <c r="D21" s="78">
        <v>63154617</v>
      </c>
      <c r="E21" s="78" t="s">
        <v>731</v>
      </c>
      <c r="F21" s="96">
        <v>3113</v>
      </c>
      <c r="G21" s="78" t="s">
        <v>310</v>
      </c>
      <c r="H21" s="97" t="s">
        <v>277</v>
      </c>
      <c r="I21" s="462">
        <v>61170276</v>
      </c>
      <c r="J21" s="16">
        <v>44489982</v>
      </c>
      <c r="K21" s="457">
        <v>15037614</v>
      </c>
      <c r="L21" s="457">
        <v>444900</v>
      </c>
      <c r="M21" s="16">
        <v>1197780</v>
      </c>
      <c r="N21" s="458">
        <v>74.260899999999992</v>
      </c>
      <c r="O21" s="13">
        <v>58.9009</v>
      </c>
      <c r="P21" s="17">
        <v>15.36</v>
      </c>
      <c r="Q21" s="469">
        <f t="shared" si="30"/>
        <v>-204750</v>
      </c>
      <c r="R21" s="460">
        <v>0</v>
      </c>
      <c r="S21" s="673">
        <v>0</v>
      </c>
      <c r="T21" s="460">
        <v>0</v>
      </c>
      <c r="U21" s="460">
        <v>0</v>
      </c>
      <c r="V21" s="460">
        <f t="shared" si="31"/>
        <v>-204750</v>
      </c>
      <c r="W21" s="460">
        <v>204750</v>
      </c>
      <c r="X21" s="460">
        <v>0</v>
      </c>
      <c r="Y21" s="460">
        <v>0</v>
      </c>
      <c r="Z21" s="460">
        <f t="shared" si="32"/>
        <v>204750</v>
      </c>
      <c r="AA21" s="460">
        <f t="shared" si="33"/>
        <v>0</v>
      </c>
      <c r="AB21" s="69">
        <f t="shared" si="34"/>
        <v>0</v>
      </c>
      <c r="AC21" s="69">
        <f t="shared" si="35"/>
        <v>-2048</v>
      </c>
      <c r="AD21" s="460">
        <v>0</v>
      </c>
      <c r="AE21" s="460">
        <v>0</v>
      </c>
      <c r="AF21" s="460">
        <f t="shared" si="36"/>
        <v>0</v>
      </c>
      <c r="AG21" s="460">
        <f t="shared" si="37"/>
        <v>-2048</v>
      </c>
      <c r="AH21" s="461">
        <v>-7.0000000000000007E-2</v>
      </c>
      <c r="AI21" s="461">
        <v>-0.12</v>
      </c>
      <c r="AJ21" s="461">
        <v>0</v>
      </c>
      <c r="AK21" s="461">
        <v>0</v>
      </c>
      <c r="AL21" s="674">
        <v>0</v>
      </c>
      <c r="AM21" s="461">
        <v>0</v>
      </c>
      <c r="AN21" s="461">
        <v>0</v>
      </c>
      <c r="AO21" s="461">
        <v>0</v>
      </c>
      <c r="AP21" s="461">
        <f t="shared" si="38"/>
        <v>-7.0000000000000007E-2</v>
      </c>
      <c r="AQ21" s="461">
        <f t="shared" si="39"/>
        <v>-0.12</v>
      </c>
      <c r="AR21" s="737">
        <f t="shared" si="40"/>
        <v>-0.19</v>
      </c>
      <c r="AS21" s="470">
        <f t="shared" si="18"/>
        <v>61168228</v>
      </c>
      <c r="AT21" s="460">
        <f t="shared" si="19"/>
        <v>44285232</v>
      </c>
      <c r="AU21" s="460">
        <f t="shared" si="20"/>
        <v>204750</v>
      </c>
      <c r="AV21" s="460">
        <f t="shared" si="21"/>
        <v>15037614</v>
      </c>
      <c r="AW21" s="460">
        <f t="shared" si="22"/>
        <v>442852</v>
      </c>
      <c r="AX21" s="460">
        <f t="shared" si="23"/>
        <v>1197780</v>
      </c>
      <c r="AY21" s="461">
        <f t="shared" si="24"/>
        <v>74.070899999999995</v>
      </c>
      <c r="AZ21" s="461">
        <f t="shared" si="25"/>
        <v>58.8309</v>
      </c>
      <c r="BA21" s="463">
        <f t="shared" si="26"/>
        <v>15.24</v>
      </c>
    </row>
    <row r="22" spans="1:53" s="98" customFormat="1" ht="14.1" customHeight="1" x14ac:dyDescent="0.2">
      <c r="A22" s="121">
        <v>3</v>
      </c>
      <c r="B22" s="78">
        <v>2448</v>
      </c>
      <c r="C22" s="95">
        <v>600080269</v>
      </c>
      <c r="D22" s="78">
        <v>63154617</v>
      </c>
      <c r="E22" s="78" t="s">
        <v>731</v>
      </c>
      <c r="F22" s="96">
        <v>3113</v>
      </c>
      <c r="G22" s="78" t="s">
        <v>308</v>
      </c>
      <c r="H22" s="97" t="s">
        <v>278</v>
      </c>
      <c r="I22" s="462">
        <v>0</v>
      </c>
      <c r="J22" s="591">
        <v>0</v>
      </c>
      <c r="K22" s="457">
        <v>0</v>
      </c>
      <c r="L22" s="457">
        <v>0</v>
      </c>
      <c r="M22" s="591">
        <v>0</v>
      </c>
      <c r="N22" s="458">
        <v>0</v>
      </c>
      <c r="O22" s="459">
        <v>0</v>
      </c>
      <c r="P22" s="717">
        <v>0</v>
      </c>
      <c r="Q22" s="469">
        <f t="shared" si="30"/>
        <v>0</v>
      </c>
      <c r="R22" s="460">
        <v>5780014</v>
      </c>
      <c r="S22" s="673">
        <v>0</v>
      </c>
      <c r="T22" s="460">
        <v>0</v>
      </c>
      <c r="U22" s="460">
        <v>0</v>
      </c>
      <c r="V22" s="460">
        <f t="shared" si="31"/>
        <v>5780014</v>
      </c>
      <c r="W22" s="460">
        <v>0</v>
      </c>
      <c r="X22" s="460">
        <v>0</v>
      </c>
      <c r="Y22" s="460">
        <v>0</v>
      </c>
      <c r="Z22" s="460">
        <f t="shared" si="32"/>
        <v>0</v>
      </c>
      <c r="AA22" s="460">
        <f t="shared" si="33"/>
        <v>5780014</v>
      </c>
      <c r="AB22" s="69">
        <f t="shared" si="34"/>
        <v>1953645</v>
      </c>
      <c r="AC22" s="69">
        <f t="shared" si="35"/>
        <v>57800</v>
      </c>
      <c r="AD22" s="460">
        <v>6000</v>
      </c>
      <c r="AE22" s="460">
        <v>0</v>
      </c>
      <c r="AF22" s="460">
        <f t="shared" si="36"/>
        <v>6000</v>
      </c>
      <c r="AG22" s="460">
        <f t="shared" si="37"/>
        <v>7797459</v>
      </c>
      <c r="AH22" s="461">
        <v>0</v>
      </c>
      <c r="AI22" s="461">
        <v>0</v>
      </c>
      <c r="AJ22" s="461">
        <v>16.5</v>
      </c>
      <c r="AK22" s="461">
        <v>0</v>
      </c>
      <c r="AL22" s="674">
        <v>0</v>
      </c>
      <c r="AM22" s="461">
        <v>0</v>
      </c>
      <c r="AN22" s="461">
        <v>0</v>
      </c>
      <c r="AO22" s="461">
        <v>0</v>
      </c>
      <c r="AP22" s="461">
        <f t="shared" si="38"/>
        <v>16.5</v>
      </c>
      <c r="AQ22" s="461">
        <f t="shared" si="39"/>
        <v>0</v>
      </c>
      <c r="AR22" s="737">
        <f t="shared" si="40"/>
        <v>16.5</v>
      </c>
      <c r="AS22" s="470">
        <f t="shared" si="18"/>
        <v>7797459</v>
      </c>
      <c r="AT22" s="460">
        <f t="shared" si="19"/>
        <v>5780014</v>
      </c>
      <c r="AU22" s="460">
        <f t="shared" si="20"/>
        <v>0</v>
      </c>
      <c r="AV22" s="460">
        <f t="shared" si="21"/>
        <v>1953645</v>
      </c>
      <c r="AW22" s="460">
        <f t="shared" si="22"/>
        <v>57800</v>
      </c>
      <c r="AX22" s="460">
        <f t="shared" si="23"/>
        <v>6000</v>
      </c>
      <c r="AY22" s="461">
        <f t="shared" si="24"/>
        <v>16.5</v>
      </c>
      <c r="AZ22" s="461">
        <f t="shared" si="25"/>
        <v>16.5</v>
      </c>
      <c r="BA22" s="463">
        <f t="shared" si="26"/>
        <v>0</v>
      </c>
    </row>
    <row r="23" spans="1:53" s="98" customFormat="1" ht="14.1" customHeight="1" x14ac:dyDescent="0.2">
      <c r="A23" s="121">
        <v>3</v>
      </c>
      <c r="B23" s="104">
        <v>2448</v>
      </c>
      <c r="C23" s="95">
        <v>600080269</v>
      </c>
      <c r="D23" s="78">
        <v>63154617</v>
      </c>
      <c r="E23" s="104" t="s">
        <v>731</v>
      </c>
      <c r="F23" s="96">
        <v>3141</v>
      </c>
      <c r="G23" s="78" t="s">
        <v>311</v>
      </c>
      <c r="H23" s="97" t="s">
        <v>278</v>
      </c>
      <c r="I23" s="462">
        <v>3903299</v>
      </c>
      <c r="J23" s="728">
        <v>2876177</v>
      </c>
      <c r="K23" s="457">
        <v>972148</v>
      </c>
      <c r="L23" s="457">
        <v>28762</v>
      </c>
      <c r="M23" s="728">
        <v>26212</v>
      </c>
      <c r="N23" s="458">
        <v>9.25</v>
      </c>
      <c r="O23" s="730">
        <v>0</v>
      </c>
      <c r="P23" s="734">
        <v>9.25</v>
      </c>
      <c r="Q23" s="469">
        <f t="shared" si="30"/>
        <v>-39000</v>
      </c>
      <c r="R23" s="460">
        <v>0</v>
      </c>
      <c r="S23" s="673">
        <v>0</v>
      </c>
      <c r="T23" s="460">
        <v>0</v>
      </c>
      <c r="U23" s="460">
        <v>0</v>
      </c>
      <c r="V23" s="460">
        <f t="shared" si="31"/>
        <v>-39000</v>
      </c>
      <c r="W23" s="460">
        <v>39000</v>
      </c>
      <c r="X23" s="460">
        <v>0</v>
      </c>
      <c r="Y23" s="460">
        <v>0</v>
      </c>
      <c r="Z23" s="460">
        <f t="shared" si="32"/>
        <v>39000</v>
      </c>
      <c r="AA23" s="460">
        <f t="shared" si="33"/>
        <v>0</v>
      </c>
      <c r="AB23" s="69">
        <f t="shared" si="34"/>
        <v>0</v>
      </c>
      <c r="AC23" s="69">
        <f t="shared" si="35"/>
        <v>-390</v>
      </c>
      <c r="AD23" s="460">
        <v>0</v>
      </c>
      <c r="AE23" s="460">
        <v>0</v>
      </c>
      <c r="AF23" s="460">
        <f t="shared" si="36"/>
        <v>0</v>
      </c>
      <c r="AG23" s="460">
        <f t="shared" si="37"/>
        <v>-390</v>
      </c>
      <c r="AH23" s="461">
        <v>0</v>
      </c>
      <c r="AI23" s="461">
        <v>0</v>
      </c>
      <c r="AJ23" s="461">
        <v>0</v>
      </c>
      <c r="AK23" s="461">
        <v>0</v>
      </c>
      <c r="AL23" s="674">
        <v>0</v>
      </c>
      <c r="AM23" s="461">
        <v>0</v>
      </c>
      <c r="AN23" s="461">
        <v>0</v>
      </c>
      <c r="AO23" s="461">
        <v>0</v>
      </c>
      <c r="AP23" s="461">
        <f t="shared" si="38"/>
        <v>0</v>
      </c>
      <c r="AQ23" s="461">
        <f t="shared" si="39"/>
        <v>0</v>
      </c>
      <c r="AR23" s="737">
        <f t="shared" si="40"/>
        <v>0</v>
      </c>
      <c r="AS23" s="470">
        <f t="shared" si="18"/>
        <v>3902909</v>
      </c>
      <c r="AT23" s="460">
        <f t="shared" si="19"/>
        <v>2837177</v>
      </c>
      <c r="AU23" s="460">
        <f t="shared" si="20"/>
        <v>39000</v>
      </c>
      <c r="AV23" s="460">
        <f t="shared" si="21"/>
        <v>972148</v>
      </c>
      <c r="AW23" s="460">
        <f t="shared" si="22"/>
        <v>28372</v>
      </c>
      <c r="AX23" s="460">
        <f t="shared" si="23"/>
        <v>26212</v>
      </c>
      <c r="AY23" s="461">
        <f t="shared" si="24"/>
        <v>9.25</v>
      </c>
      <c r="AZ23" s="461">
        <f t="shared" si="25"/>
        <v>0</v>
      </c>
      <c r="BA23" s="463">
        <f t="shared" si="26"/>
        <v>9.25</v>
      </c>
    </row>
    <row r="24" spans="1:53" s="98" customFormat="1" ht="14.1" customHeight="1" x14ac:dyDescent="0.2">
      <c r="A24" s="121">
        <v>3</v>
      </c>
      <c r="B24" s="78">
        <v>2448</v>
      </c>
      <c r="C24" s="95">
        <v>600080269</v>
      </c>
      <c r="D24" s="78">
        <v>63154617</v>
      </c>
      <c r="E24" s="78" t="s">
        <v>731</v>
      </c>
      <c r="F24" s="96">
        <v>3143</v>
      </c>
      <c r="G24" s="78" t="s">
        <v>616</v>
      </c>
      <c r="H24" s="97" t="s">
        <v>277</v>
      </c>
      <c r="I24" s="462">
        <v>4238403</v>
      </c>
      <c r="J24" s="715">
        <v>3144216</v>
      </c>
      <c r="K24" s="457">
        <v>1062745</v>
      </c>
      <c r="L24" s="457">
        <v>31442</v>
      </c>
      <c r="M24" s="715">
        <v>0</v>
      </c>
      <c r="N24" s="458">
        <v>6.3</v>
      </c>
      <c r="O24" s="716">
        <v>6.3</v>
      </c>
      <c r="P24" s="718">
        <v>0</v>
      </c>
      <c r="Q24" s="469">
        <f t="shared" si="30"/>
        <v>-48750</v>
      </c>
      <c r="R24" s="460">
        <v>0</v>
      </c>
      <c r="S24" s="673">
        <v>0</v>
      </c>
      <c r="T24" s="460">
        <v>0</v>
      </c>
      <c r="U24" s="460">
        <v>0</v>
      </c>
      <c r="V24" s="460">
        <f t="shared" si="31"/>
        <v>-48750</v>
      </c>
      <c r="W24" s="460">
        <v>48750</v>
      </c>
      <c r="X24" s="460">
        <v>0</v>
      </c>
      <c r="Y24" s="460">
        <v>0</v>
      </c>
      <c r="Z24" s="460">
        <f t="shared" si="32"/>
        <v>48750</v>
      </c>
      <c r="AA24" s="460">
        <f t="shared" si="33"/>
        <v>0</v>
      </c>
      <c r="AB24" s="69">
        <f t="shared" si="34"/>
        <v>0</v>
      </c>
      <c r="AC24" s="69">
        <f t="shared" si="35"/>
        <v>-488</v>
      </c>
      <c r="AD24" s="460">
        <v>0</v>
      </c>
      <c r="AE24" s="460">
        <v>0</v>
      </c>
      <c r="AF24" s="460">
        <f t="shared" si="36"/>
        <v>0</v>
      </c>
      <c r="AG24" s="460">
        <f t="shared" si="37"/>
        <v>-488</v>
      </c>
      <c r="AH24" s="461">
        <v>-7.0000000000000007E-2</v>
      </c>
      <c r="AI24" s="461">
        <v>0</v>
      </c>
      <c r="AJ24" s="461">
        <v>0</v>
      </c>
      <c r="AK24" s="461">
        <v>0</v>
      </c>
      <c r="AL24" s="674">
        <v>0</v>
      </c>
      <c r="AM24" s="461">
        <v>0</v>
      </c>
      <c r="AN24" s="461">
        <v>0</v>
      </c>
      <c r="AO24" s="461">
        <v>0</v>
      </c>
      <c r="AP24" s="461">
        <f t="shared" si="38"/>
        <v>-7.0000000000000007E-2</v>
      </c>
      <c r="AQ24" s="461">
        <f t="shared" si="39"/>
        <v>0</v>
      </c>
      <c r="AR24" s="737">
        <f t="shared" si="40"/>
        <v>-7.0000000000000007E-2</v>
      </c>
      <c r="AS24" s="470">
        <f t="shared" si="18"/>
        <v>4237915</v>
      </c>
      <c r="AT24" s="460">
        <f t="shared" si="19"/>
        <v>3095466</v>
      </c>
      <c r="AU24" s="460">
        <f t="shared" si="20"/>
        <v>48750</v>
      </c>
      <c r="AV24" s="460">
        <f t="shared" si="21"/>
        <v>1062745</v>
      </c>
      <c r="AW24" s="460">
        <f t="shared" si="22"/>
        <v>30954</v>
      </c>
      <c r="AX24" s="460">
        <f t="shared" si="23"/>
        <v>0</v>
      </c>
      <c r="AY24" s="461">
        <f t="shared" si="24"/>
        <v>6.2299999999999995</v>
      </c>
      <c r="AZ24" s="461">
        <f t="shared" si="25"/>
        <v>6.2299999999999995</v>
      </c>
      <c r="BA24" s="463">
        <f t="shared" si="26"/>
        <v>0</v>
      </c>
    </row>
    <row r="25" spans="1:53" s="98" customFormat="1" ht="14.1" customHeight="1" x14ac:dyDescent="0.2">
      <c r="A25" s="121">
        <v>3</v>
      </c>
      <c r="B25" s="78">
        <v>2448</v>
      </c>
      <c r="C25" s="95">
        <v>600080269</v>
      </c>
      <c r="D25" s="78">
        <v>63154617</v>
      </c>
      <c r="E25" s="78" t="s">
        <v>731</v>
      </c>
      <c r="F25" s="96">
        <v>3143</v>
      </c>
      <c r="G25" s="78" t="s">
        <v>617</v>
      </c>
      <c r="H25" s="97" t="s">
        <v>278</v>
      </c>
      <c r="I25" s="462">
        <v>154663</v>
      </c>
      <c r="J25" s="591">
        <v>110509</v>
      </c>
      <c r="K25" s="457">
        <v>37352</v>
      </c>
      <c r="L25" s="457">
        <v>1105</v>
      </c>
      <c r="M25" s="591">
        <v>5697</v>
      </c>
      <c r="N25" s="458">
        <v>0.44</v>
      </c>
      <c r="O25" s="459">
        <v>0</v>
      </c>
      <c r="P25" s="717">
        <v>0.44</v>
      </c>
      <c r="Q25" s="469">
        <f t="shared" si="30"/>
        <v>0</v>
      </c>
      <c r="R25" s="460">
        <v>0</v>
      </c>
      <c r="S25" s="673">
        <v>0</v>
      </c>
      <c r="T25" s="460">
        <v>0</v>
      </c>
      <c r="U25" s="460">
        <v>0</v>
      </c>
      <c r="V25" s="460">
        <f t="shared" si="31"/>
        <v>0</v>
      </c>
      <c r="W25" s="460">
        <v>0</v>
      </c>
      <c r="X25" s="460">
        <v>0</v>
      </c>
      <c r="Y25" s="460">
        <v>0</v>
      </c>
      <c r="Z25" s="460">
        <f t="shared" si="32"/>
        <v>0</v>
      </c>
      <c r="AA25" s="460">
        <f t="shared" si="33"/>
        <v>0</v>
      </c>
      <c r="AB25" s="69">
        <f t="shared" si="34"/>
        <v>0</v>
      </c>
      <c r="AC25" s="69">
        <f t="shared" si="35"/>
        <v>0</v>
      </c>
      <c r="AD25" s="460">
        <v>0</v>
      </c>
      <c r="AE25" s="460">
        <v>0</v>
      </c>
      <c r="AF25" s="460">
        <f t="shared" si="36"/>
        <v>0</v>
      </c>
      <c r="AG25" s="460">
        <f t="shared" si="37"/>
        <v>0</v>
      </c>
      <c r="AH25" s="461">
        <v>0</v>
      </c>
      <c r="AI25" s="461">
        <v>0</v>
      </c>
      <c r="AJ25" s="461">
        <v>0</v>
      </c>
      <c r="AK25" s="461">
        <v>0</v>
      </c>
      <c r="AL25" s="674">
        <v>0</v>
      </c>
      <c r="AM25" s="461">
        <v>0</v>
      </c>
      <c r="AN25" s="461">
        <v>0</v>
      </c>
      <c r="AO25" s="461">
        <v>0</v>
      </c>
      <c r="AP25" s="461">
        <f t="shared" si="38"/>
        <v>0</v>
      </c>
      <c r="AQ25" s="461">
        <f t="shared" si="39"/>
        <v>0</v>
      </c>
      <c r="AR25" s="737">
        <f t="shared" si="40"/>
        <v>0</v>
      </c>
      <c r="AS25" s="470">
        <f t="shared" si="18"/>
        <v>154663</v>
      </c>
      <c r="AT25" s="460">
        <f t="shared" si="19"/>
        <v>110509</v>
      </c>
      <c r="AU25" s="460">
        <f t="shared" si="20"/>
        <v>0</v>
      </c>
      <c r="AV25" s="460">
        <f t="shared" si="21"/>
        <v>37352</v>
      </c>
      <c r="AW25" s="460">
        <f t="shared" si="22"/>
        <v>1105</v>
      </c>
      <c r="AX25" s="460">
        <f t="shared" si="23"/>
        <v>5697</v>
      </c>
      <c r="AY25" s="461">
        <f t="shared" si="24"/>
        <v>0.44</v>
      </c>
      <c r="AZ25" s="461">
        <f t="shared" si="25"/>
        <v>0</v>
      </c>
      <c r="BA25" s="463">
        <f t="shared" si="26"/>
        <v>0.44</v>
      </c>
    </row>
    <row r="26" spans="1:53" s="98" customFormat="1" ht="14.1" customHeight="1" x14ac:dyDescent="0.2">
      <c r="A26" s="121">
        <v>3</v>
      </c>
      <c r="B26" s="78">
        <v>2448</v>
      </c>
      <c r="C26" s="95">
        <v>600080269</v>
      </c>
      <c r="D26" s="78">
        <v>63154617</v>
      </c>
      <c r="E26" s="78" t="s">
        <v>731</v>
      </c>
      <c r="F26" s="96">
        <v>3231</v>
      </c>
      <c r="G26" s="78" t="s">
        <v>312</v>
      </c>
      <c r="H26" s="97" t="s">
        <v>277</v>
      </c>
      <c r="I26" s="462">
        <v>9317766</v>
      </c>
      <c r="J26" s="16">
        <v>6897970</v>
      </c>
      <c r="K26" s="457">
        <v>2331514</v>
      </c>
      <c r="L26" s="457">
        <v>68980</v>
      </c>
      <c r="M26" s="16">
        <v>19302</v>
      </c>
      <c r="N26" s="458">
        <v>12.1548</v>
      </c>
      <c r="O26" s="13">
        <v>11.0052</v>
      </c>
      <c r="P26" s="17">
        <v>1.1496</v>
      </c>
      <c r="Q26" s="469">
        <f t="shared" si="30"/>
        <v>-97500</v>
      </c>
      <c r="R26" s="460">
        <v>0</v>
      </c>
      <c r="S26" s="673">
        <v>0</v>
      </c>
      <c r="T26" s="460">
        <v>0</v>
      </c>
      <c r="U26" s="460">
        <v>0</v>
      </c>
      <c r="V26" s="460">
        <f t="shared" si="31"/>
        <v>-97500</v>
      </c>
      <c r="W26" s="460">
        <v>97500</v>
      </c>
      <c r="X26" s="460">
        <v>0</v>
      </c>
      <c r="Y26" s="460">
        <v>0</v>
      </c>
      <c r="Z26" s="460">
        <f t="shared" si="32"/>
        <v>97500</v>
      </c>
      <c r="AA26" s="460">
        <f t="shared" si="33"/>
        <v>0</v>
      </c>
      <c r="AB26" s="69">
        <f t="shared" si="34"/>
        <v>0</v>
      </c>
      <c r="AC26" s="69">
        <f t="shared" si="35"/>
        <v>-975</v>
      </c>
      <c r="AD26" s="460">
        <v>0</v>
      </c>
      <c r="AE26" s="460">
        <v>0</v>
      </c>
      <c r="AF26" s="460">
        <f t="shared" si="36"/>
        <v>0</v>
      </c>
      <c r="AG26" s="460">
        <f t="shared" si="37"/>
        <v>-975</v>
      </c>
      <c r="AH26" s="461">
        <v>-0.11</v>
      </c>
      <c r="AI26" s="461">
        <v>-0.1</v>
      </c>
      <c r="AJ26" s="461">
        <v>0</v>
      </c>
      <c r="AK26" s="461">
        <v>0</v>
      </c>
      <c r="AL26" s="674">
        <v>0</v>
      </c>
      <c r="AM26" s="461">
        <v>0</v>
      </c>
      <c r="AN26" s="461">
        <v>0</v>
      </c>
      <c r="AO26" s="461">
        <v>0</v>
      </c>
      <c r="AP26" s="461">
        <f t="shared" si="38"/>
        <v>-0.11</v>
      </c>
      <c r="AQ26" s="461">
        <f t="shared" si="39"/>
        <v>-0.1</v>
      </c>
      <c r="AR26" s="737">
        <f t="shared" si="40"/>
        <v>-0.21000000000000002</v>
      </c>
      <c r="AS26" s="470">
        <f t="shared" si="18"/>
        <v>9316791</v>
      </c>
      <c r="AT26" s="460">
        <f t="shared" si="19"/>
        <v>6800470</v>
      </c>
      <c r="AU26" s="460">
        <f t="shared" si="20"/>
        <v>97500</v>
      </c>
      <c r="AV26" s="460">
        <f t="shared" si="21"/>
        <v>2331514</v>
      </c>
      <c r="AW26" s="460">
        <f t="shared" si="22"/>
        <v>68005</v>
      </c>
      <c r="AX26" s="460">
        <f t="shared" si="23"/>
        <v>19302</v>
      </c>
      <c r="AY26" s="461">
        <f t="shared" si="24"/>
        <v>11.944799999999999</v>
      </c>
      <c r="AZ26" s="461">
        <f t="shared" si="25"/>
        <v>10.895200000000001</v>
      </c>
      <c r="BA26" s="463">
        <f t="shared" si="26"/>
        <v>1.0495999999999999</v>
      </c>
    </row>
    <row r="27" spans="1:53" s="98" customFormat="1" ht="14.1" customHeight="1" x14ac:dyDescent="0.2">
      <c r="A27" s="121">
        <v>3</v>
      </c>
      <c r="B27" s="78">
        <v>2448</v>
      </c>
      <c r="C27" s="95">
        <v>600080269</v>
      </c>
      <c r="D27" s="78">
        <v>63154617</v>
      </c>
      <c r="E27" s="78" t="s">
        <v>731</v>
      </c>
      <c r="F27" s="96">
        <v>3233</v>
      </c>
      <c r="G27" s="78" t="s">
        <v>314</v>
      </c>
      <c r="H27" s="97" t="s">
        <v>278</v>
      </c>
      <c r="I27" s="462">
        <v>1922853</v>
      </c>
      <c r="J27" s="591">
        <v>1425078</v>
      </c>
      <c r="K27" s="457">
        <v>481676</v>
      </c>
      <c r="L27" s="457">
        <v>14251</v>
      </c>
      <c r="M27" s="591">
        <v>1848</v>
      </c>
      <c r="N27" s="458">
        <v>3.09</v>
      </c>
      <c r="O27" s="459">
        <v>2.21</v>
      </c>
      <c r="P27" s="717">
        <v>0.88</v>
      </c>
      <c r="Q27" s="469">
        <f t="shared" si="30"/>
        <v>0</v>
      </c>
      <c r="R27" s="460">
        <v>0</v>
      </c>
      <c r="S27" s="673">
        <v>0</v>
      </c>
      <c r="T27" s="460">
        <v>0</v>
      </c>
      <c r="U27" s="460">
        <v>0</v>
      </c>
      <c r="V27" s="460">
        <f t="shared" si="31"/>
        <v>0</v>
      </c>
      <c r="W27" s="460">
        <v>0</v>
      </c>
      <c r="X27" s="460">
        <v>0</v>
      </c>
      <c r="Y27" s="460">
        <v>0</v>
      </c>
      <c r="Z27" s="460">
        <f t="shared" si="32"/>
        <v>0</v>
      </c>
      <c r="AA27" s="460">
        <f t="shared" si="33"/>
        <v>0</v>
      </c>
      <c r="AB27" s="69">
        <f t="shared" si="34"/>
        <v>0</v>
      </c>
      <c r="AC27" s="69">
        <f t="shared" si="35"/>
        <v>0</v>
      </c>
      <c r="AD27" s="460">
        <v>0</v>
      </c>
      <c r="AE27" s="460">
        <v>0</v>
      </c>
      <c r="AF27" s="460">
        <f t="shared" si="36"/>
        <v>0</v>
      </c>
      <c r="AG27" s="460">
        <f t="shared" si="37"/>
        <v>0</v>
      </c>
      <c r="AH27" s="461">
        <v>0</v>
      </c>
      <c r="AI27" s="461">
        <v>0</v>
      </c>
      <c r="AJ27" s="461">
        <v>0</v>
      </c>
      <c r="AK27" s="461">
        <v>0</v>
      </c>
      <c r="AL27" s="674">
        <v>0</v>
      </c>
      <c r="AM27" s="461">
        <v>0</v>
      </c>
      <c r="AN27" s="461">
        <v>0</v>
      </c>
      <c r="AO27" s="461">
        <v>0</v>
      </c>
      <c r="AP27" s="461">
        <f t="shared" si="38"/>
        <v>0</v>
      </c>
      <c r="AQ27" s="461">
        <f t="shared" si="39"/>
        <v>0</v>
      </c>
      <c r="AR27" s="737">
        <f t="shared" si="40"/>
        <v>0</v>
      </c>
      <c r="AS27" s="470">
        <f t="shared" si="18"/>
        <v>1922853</v>
      </c>
      <c r="AT27" s="460">
        <f t="shared" si="19"/>
        <v>1425078</v>
      </c>
      <c r="AU27" s="460">
        <f t="shared" si="20"/>
        <v>0</v>
      </c>
      <c r="AV27" s="460">
        <f t="shared" si="21"/>
        <v>481676</v>
      </c>
      <c r="AW27" s="460">
        <f t="shared" si="22"/>
        <v>14251</v>
      </c>
      <c r="AX27" s="460">
        <f t="shared" si="23"/>
        <v>1848</v>
      </c>
      <c r="AY27" s="461">
        <f t="shared" si="24"/>
        <v>3.09</v>
      </c>
      <c r="AZ27" s="461">
        <f t="shared" si="25"/>
        <v>2.21</v>
      </c>
      <c r="BA27" s="463">
        <f t="shared" si="26"/>
        <v>0.88</v>
      </c>
    </row>
    <row r="28" spans="1:53" s="98" customFormat="1" ht="14.1" customHeight="1" x14ac:dyDescent="0.2">
      <c r="A28" s="122">
        <v>3</v>
      </c>
      <c r="B28" s="99">
        <v>2448</v>
      </c>
      <c r="C28" s="100">
        <v>600080269</v>
      </c>
      <c r="D28" s="99">
        <v>63154617</v>
      </c>
      <c r="E28" s="99" t="s">
        <v>732</v>
      </c>
      <c r="F28" s="101"/>
      <c r="G28" s="102"/>
      <c r="H28" s="103"/>
      <c r="I28" s="489">
        <f t="shared" ref="I28:P28" si="41">SUM(I20:I27)</f>
        <v>97124852</v>
      </c>
      <c r="J28" s="485">
        <f t="shared" si="41"/>
        <v>71056093</v>
      </c>
      <c r="K28" s="485">
        <f t="shared" si="41"/>
        <v>24016959</v>
      </c>
      <c r="L28" s="485">
        <f t="shared" si="41"/>
        <v>710561</v>
      </c>
      <c r="M28" s="485">
        <f t="shared" si="41"/>
        <v>1341239</v>
      </c>
      <c r="N28" s="486">
        <f t="shared" si="41"/>
        <v>130.10569999999998</v>
      </c>
      <c r="O28" s="486">
        <f t="shared" si="41"/>
        <v>99.026099999999985</v>
      </c>
      <c r="P28" s="105">
        <f t="shared" si="41"/>
        <v>31.079599999999999</v>
      </c>
      <c r="Q28" s="491">
        <f t="shared" ref="Q28:BA28" si="42">SUM(Q20:Q27)</f>
        <v>-585000</v>
      </c>
      <c r="R28" s="491">
        <f t="shared" si="42"/>
        <v>5780014</v>
      </c>
      <c r="S28" s="485">
        <f t="shared" si="42"/>
        <v>0</v>
      </c>
      <c r="T28" s="485">
        <f t="shared" si="42"/>
        <v>0</v>
      </c>
      <c r="U28" s="485">
        <f t="shared" si="42"/>
        <v>0</v>
      </c>
      <c r="V28" s="485">
        <f t="shared" si="42"/>
        <v>5195014</v>
      </c>
      <c r="W28" s="485">
        <f t="shared" si="42"/>
        <v>585000</v>
      </c>
      <c r="X28" s="485">
        <f t="shared" si="42"/>
        <v>0</v>
      </c>
      <c r="Y28" s="485">
        <f t="shared" si="42"/>
        <v>0</v>
      </c>
      <c r="Z28" s="485">
        <f t="shared" si="42"/>
        <v>585000</v>
      </c>
      <c r="AA28" s="485">
        <f t="shared" si="42"/>
        <v>5780014</v>
      </c>
      <c r="AB28" s="485">
        <f t="shared" si="42"/>
        <v>1953645</v>
      </c>
      <c r="AC28" s="485">
        <f t="shared" si="42"/>
        <v>51949</v>
      </c>
      <c r="AD28" s="485">
        <f t="shared" si="42"/>
        <v>6000</v>
      </c>
      <c r="AE28" s="485">
        <f t="shared" si="42"/>
        <v>0</v>
      </c>
      <c r="AF28" s="485">
        <f t="shared" si="42"/>
        <v>6000</v>
      </c>
      <c r="AG28" s="485">
        <f t="shared" si="42"/>
        <v>7791608</v>
      </c>
      <c r="AH28" s="486">
        <f t="shared" si="42"/>
        <v>-0.25</v>
      </c>
      <c r="AI28" s="486">
        <f t="shared" si="42"/>
        <v>-0.22</v>
      </c>
      <c r="AJ28" s="486">
        <f t="shared" si="42"/>
        <v>16.5</v>
      </c>
      <c r="AK28" s="486">
        <f t="shared" si="42"/>
        <v>0</v>
      </c>
      <c r="AL28" s="486">
        <f t="shared" si="42"/>
        <v>0</v>
      </c>
      <c r="AM28" s="486">
        <f t="shared" si="42"/>
        <v>0</v>
      </c>
      <c r="AN28" s="486">
        <f t="shared" si="42"/>
        <v>0</v>
      </c>
      <c r="AO28" s="486">
        <f t="shared" si="42"/>
        <v>0</v>
      </c>
      <c r="AP28" s="486">
        <f t="shared" si="42"/>
        <v>16.25</v>
      </c>
      <c r="AQ28" s="486">
        <f t="shared" si="42"/>
        <v>-0.22</v>
      </c>
      <c r="AR28" s="738">
        <f t="shared" si="42"/>
        <v>16.029999999999998</v>
      </c>
      <c r="AS28" s="489">
        <f t="shared" si="42"/>
        <v>104916460</v>
      </c>
      <c r="AT28" s="485">
        <f t="shared" si="42"/>
        <v>76251107</v>
      </c>
      <c r="AU28" s="485">
        <f t="shared" si="42"/>
        <v>585000</v>
      </c>
      <c r="AV28" s="485">
        <f t="shared" si="42"/>
        <v>25970604</v>
      </c>
      <c r="AW28" s="485">
        <f t="shared" si="42"/>
        <v>762510</v>
      </c>
      <c r="AX28" s="485">
        <f t="shared" si="42"/>
        <v>1347239</v>
      </c>
      <c r="AY28" s="486">
        <f t="shared" si="42"/>
        <v>146.13569999999999</v>
      </c>
      <c r="AZ28" s="486">
        <f t="shared" si="42"/>
        <v>115.2761</v>
      </c>
      <c r="BA28" s="105">
        <f t="shared" si="42"/>
        <v>30.859600000000004</v>
      </c>
    </row>
    <row r="29" spans="1:53" s="98" customFormat="1" ht="14.1" customHeight="1" x14ac:dyDescent="0.2">
      <c r="A29" s="121">
        <v>4</v>
      </c>
      <c r="B29" s="104">
        <v>2450</v>
      </c>
      <c r="C29" s="95">
        <v>600080234</v>
      </c>
      <c r="D29" s="78">
        <v>72745045</v>
      </c>
      <c r="E29" s="78" t="s">
        <v>733</v>
      </c>
      <c r="F29" s="96">
        <v>3111</v>
      </c>
      <c r="G29" s="78" t="s">
        <v>307</v>
      </c>
      <c r="H29" s="97" t="s">
        <v>277</v>
      </c>
      <c r="I29" s="462">
        <v>1450608</v>
      </c>
      <c r="J29" s="16">
        <v>1070777</v>
      </c>
      <c r="K29" s="457">
        <v>361923</v>
      </c>
      <c r="L29" s="457">
        <v>10708</v>
      </c>
      <c r="M29" s="16">
        <v>7200</v>
      </c>
      <c r="N29" s="458">
        <v>2.36</v>
      </c>
      <c r="O29" s="13">
        <v>2</v>
      </c>
      <c r="P29" s="17">
        <v>0.36</v>
      </c>
      <c r="Q29" s="469">
        <f t="shared" ref="Q29:Q34" si="43">W29*-1</f>
        <v>-24050</v>
      </c>
      <c r="R29" s="460">
        <v>0</v>
      </c>
      <c r="S29" s="673">
        <v>0</v>
      </c>
      <c r="T29" s="460">
        <v>0</v>
      </c>
      <c r="U29" s="460">
        <v>0</v>
      </c>
      <c r="V29" s="460">
        <f t="shared" ref="V29:V34" si="44">SUM(Q29:U29)</f>
        <v>-24050</v>
      </c>
      <c r="W29" s="460">
        <v>24050</v>
      </c>
      <c r="X29" s="460">
        <v>0</v>
      </c>
      <c r="Y29" s="460">
        <v>0</v>
      </c>
      <c r="Z29" s="460">
        <f t="shared" ref="Z29:Z34" si="45">SUM(W29:Y29)</f>
        <v>24050</v>
      </c>
      <c r="AA29" s="460">
        <f t="shared" ref="AA29:AA34" si="46">V29+Z29</f>
        <v>0</v>
      </c>
      <c r="AB29" s="69">
        <f t="shared" ref="AB29:AB34" si="47">ROUND((V29+W29+X29)*33.8%,0)</f>
        <v>0</v>
      </c>
      <c r="AC29" s="69">
        <f t="shared" ref="AC29:AC34" si="48">ROUND(V29*1%,0)</f>
        <v>-241</v>
      </c>
      <c r="AD29" s="460">
        <v>0</v>
      </c>
      <c r="AE29" s="460">
        <v>0</v>
      </c>
      <c r="AF29" s="460">
        <f t="shared" ref="AF29:AF34" si="49">SUM(AD29:AE29)</f>
        <v>0</v>
      </c>
      <c r="AG29" s="460">
        <f t="shared" ref="AG29:AG34" si="50">AA29+AB29+AC29+AF29</f>
        <v>-241</v>
      </c>
      <c r="AH29" s="461">
        <v>-0.03</v>
      </c>
      <c r="AI29" s="461">
        <v>0</v>
      </c>
      <c r="AJ29" s="461">
        <v>0</v>
      </c>
      <c r="AK29" s="461">
        <v>0</v>
      </c>
      <c r="AL29" s="674">
        <v>0</v>
      </c>
      <c r="AM29" s="461">
        <v>0</v>
      </c>
      <c r="AN29" s="461">
        <v>0</v>
      </c>
      <c r="AO29" s="461">
        <v>0</v>
      </c>
      <c r="AP29" s="461">
        <f t="shared" ref="AP29:AP34" si="51">AH29+AJ29+AK29+AM29+AN29</f>
        <v>-0.03</v>
      </c>
      <c r="AQ29" s="461">
        <f t="shared" ref="AQ29:AQ34" si="52">AI29+AL29+AO29</f>
        <v>0</v>
      </c>
      <c r="AR29" s="737">
        <f t="shared" ref="AR29:AR34" si="53">SUM(AP29:AQ29)</f>
        <v>-0.03</v>
      </c>
      <c r="AS29" s="470">
        <f t="shared" si="18"/>
        <v>1450367</v>
      </c>
      <c r="AT29" s="460">
        <f t="shared" si="19"/>
        <v>1046727</v>
      </c>
      <c r="AU29" s="460">
        <f t="shared" si="20"/>
        <v>24050</v>
      </c>
      <c r="AV29" s="460">
        <f t="shared" si="21"/>
        <v>361923</v>
      </c>
      <c r="AW29" s="460">
        <f t="shared" si="22"/>
        <v>10467</v>
      </c>
      <c r="AX29" s="460">
        <f t="shared" si="23"/>
        <v>7200</v>
      </c>
      <c r="AY29" s="461">
        <f t="shared" si="24"/>
        <v>2.33</v>
      </c>
      <c r="AZ29" s="461">
        <f t="shared" si="25"/>
        <v>1.97</v>
      </c>
      <c r="BA29" s="463">
        <f t="shared" si="26"/>
        <v>0.36</v>
      </c>
    </row>
    <row r="30" spans="1:53" s="98" customFormat="1" ht="14.1" customHeight="1" x14ac:dyDescent="0.2">
      <c r="A30" s="121">
        <v>4</v>
      </c>
      <c r="B30" s="106">
        <v>2450</v>
      </c>
      <c r="C30" s="95">
        <v>600080234</v>
      </c>
      <c r="D30" s="78">
        <v>72745045</v>
      </c>
      <c r="E30" s="106" t="s">
        <v>733</v>
      </c>
      <c r="F30" s="107">
        <v>3117</v>
      </c>
      <c r="G30" s="106" t="s">
        <v>325</v>
      </c>
      <c r="H30" s="97" t="s">
        <v>277</v>
      </c>
      <c r="I30" s="462">
        <v>2589343</v>
      </c>
      <c r="J30" s="16">
        <v>1893523</v>
      </c>
      <c r="K30" s="457">
        <v>640010</v>
      </c>
      <c r="L30" s="457">
        <v>18935</v>
      </c>
      <c r="M30" s="16">
        <v>36875</v>
      </c>
      <c r="N30" s="458">
        <v>3.3866999999999998</v>
      </c>
      <c r="O30" s="13">
        <v>2.5909</v>
      </c>
      <c r="P30" s="17">
        <v>0.79579999999999995</v>
      </c>
      <c r="Q30" s="469">
        <f t="shared" si="43"/>
        <v>-14300</v>
      </c>
      <c r="R30" s="460">
        <v>0</v>
      </c>
      <c r="S30" s="673">
        <v>0</v>
      </c>
      <c r="T30" s="460">
        <v>0</v>
      </c>
      <c r="U30" s="460">
        <v>0</v>
      </c>
      <c r="V30" s="460">
        <f t="shared" si="44"/>
        <v>-14300</v>
      </c>
      <c r="W30" s="460">
        <v>14300</v>
      </c>
      <c r="X30" s="460">
        <v>0</v>
      </c>
      <c r="Y30" s="460">
        <v>0</v>
      </c>
      <c r="Z30" s="460">
        <f t="shared" si="45"/>
        <v>14300</v>
      </c>
      <c r="AA30" s="460">
        <f t="shared" si="46"/>
        <v>0</v>
      </c>
      <c r="AB30" s="69">
        <f t="shared" si="47"/>
        <v>0</v>
      </c>
      <c r="AC30" s="69">
        <f t="shared" si="48"/>
        <v>-143</v>
      </c>
      <c r="AD30" s="460">
        <v>0</v>
      </c>
      <c r="AE30" s="460">
        <v>0</v>
      </c>
      <c r="AF30" s="460">
        <f t="shared" si="49"/>
        <v>0</v>
      </c>
      <c r="AG30" s="460">
        <f t="shared" si="50"/>
        <v>-143</v>
      </c>
      <c r="AH30" s="461">
        <v>-0.01</v>
      </c>
      <c r="AI30" s="461">
        <v>0</v>
      </c>
      <c r="AJ30" s="461">
        <v>0</v>
      </c>
      <c r="AK30" s="461">
        <v>0</v>
      </c>
      <c r="AL30" s="674">
        <v>0</v>
      </c>
      <c r="AM30" s="461">
        <v>0</v>
      </c>
      <c r="AN30" s="461">
        <v>0</v>
      </c>
      <c r="AO30" s="461">
        <v>0</v>
      </c>
      <c r="AP30" s="461">
        <f t="shared" si="51"/>
        <v>-0.01</v>
      </c>
      <c r="AQ30" s="461">
        <f t="shared" si="52"/>
        <v>0</v>
      </c>
      <c r="AR30" s="737">
        <f t="shared" si="53"/>
        <v>-0.01</v>
      </c>
      <c r="AS30" s="470">
        <f t="shared" si="18"/>
        <v>2589200</v>
      </c>
      <c r="AT30" s="460">
        <f t="shared" si="19"/>
        <v>1879223</v>
      </c>
      <c r="AU30" s="460">
        <f t="shared" si="20"/>
        <v>14300</v>
      </c>
      <c r="AV30" s="460">
        <f t="shared" si="21"/>
        <v>640010</v>
      </c>
      <c r="AW30" s="460">
        <f t="shared" si="22"/>
        <v>18792</v>
      </c>
      <c r="AX30" s="460">
        <f t="shared" si="23"/>
        <v>36875</v>
      </c>
      <c r="AY30" s="461">
        <f t="shared" si="24"/>
        <v>3.3767</v>
      </c>
      <c r="AZ30" s="461">
        <f t="shared" si="25"/>
        <v>2.5809000000000002</v>
      </c>
      <c r="BA30" s="463">
        <f t="shared" si="26"/>
        <v>0.79579999999999995</v>
      </c>
    </row>
    <row r="31" spans="1:53" s="98" customFormat="1" ht="14.1" customHeight="1" x14ac:dyDescent="0.2">
      <c r="A31" s="121">
        <v>4</v>
      </c>
      <c r="B31" s="104">
        <v>2450</v>
      </c>
      <c r="C31" s="95">
        <v>600080234</v>
      </c>
      <c r="D31" s="78">
        <v>72745045</v>
      </c>
      <c r="E31" s="104" t="s">
        <v>733</v>
      </c>
      <c r="F31" s="96">
        <v>3117</v>
      </c>
      <c r="G31" s="78" t="s">
        <v>308</v>
      </c>
      <c r="H31" s="97" t="s">
        <v>278</v>
      </c>
      <c r="I31" s="462">
        <v>0</v>
      </c>
      <c r="J31" s="591">
        <v>0</v>
      </c>
      <c r="K31" s="457">
        <v>0</v>
      </c>
      <c r="L31" s="457">
        <v>0</v>
      </c>
      <c r="M31" s="591">
        <v>0</v>
      </c>
      <c r="N31" s="458">
        <v>0</v>
      </c>
      <c r="O31" s="459">
        <v>0</v>
      </c>
      <c r="P31" s="717">
        <v>0</v>
      </c>
      <c r="Q31" s="469">
        <f t="shared" si="43"/>
        <v>0</v>
      </c>
      <c r="R31" s="460">
        <v>873899</v>
      </c>
      <c r="S31" s="673">
        <v>0</v>
      </c>
      <c r="T31" s="460">
        <v>0</v>
      </c>
      <c r="U31" s="460">
        <v>0</v>
      </c>
      <c r="V31" s="460">
        <f t="shared" si="44"/>
        <v>873899</v>
      </c>
      <c r="W31" s="460">
        <v>0</v>
      </c>
      <c r="X31" s="460">
        <v>0</v>
      </c>
      <c r="Y31" s="460">
        <v>0</v>
      </c>
      <c r="Z31" s="460">
        <f t="shared" si="45"/>
        <v>0</v>
      </c>
      <c r="AA31" s="460">
        <f t="shared" si="46"/>
        <v>873899</v>
      </c>
      <c r="AB31" s="69">
        <f t="shared" si="47"/>
        <v>295378</v>
      </c>
      <c r="AC31" s="69">
        <f t="shared" si="48"/>
        <v>8739</v>
      </c>
      <c r="AD31" s="460">
        <v>0</v>
      </c>
      <c r="AE31" s="460">
        <v>0</v>
      </c>
      <c r="AF31" s="460">
        <f t="shared" si="49"/>
        <v>0</v>
      </c>
      <c r="AG31" s="460">
        <f t="shared" si="50"/>
        <v>1178016</v>
      </c>
      <c r="AH31" s="461">
        <v>0</v>
      </c>
      <c r="AI31" s="461">
        <v>0</v>
      </c>
      <c r="AJ31" s="461">
        <v>2.4900000000000002</v>
      </c>
      <c r="AK31" s="461">
        <v>0</v>
      </c>
      <c r="AL31" s="674">
        <v>0</v>
      </c>
      <c r="AM31" s="461">
        <v>0</v>
      </c>
      <c r="AN31" s="461">
        <v>0</v>
      </c>
      <c r="AO31" s="461">
        <v>0</v>
      </c>
      <c r="AP31" s="461">
        <f t="shared" si="51"/>
        <v>2.4900000000000002</v>
      </c>
      <c r="AQ31" s="461">
        <f t="shared" si="52"/>
        <v>0</v>
      </c>
      <c r="AR31" s="737">
        <f t="shared" si="53"/>
        <v>2.4900000000000002</v>
      </c>
      <c r="AS31" s="470">
        <f t="shared" si="18"/>
        <v>1178016</v>
      </c>
      <c r="AT31" s="460">
        <f t="shared" si="19"/>
        <v>873899</v>
      </c>
      <c r="AU31" s="460">
        <f t="shared" si="20"/>
        <v>0</v>
      </c>
      <c r="AV31" s="460">
        <f t="shared" si="21"/>
        <v>295378</v>
      </c>
      <c r="AW31" s="460">
        <f t="shared" si="22"/>
        <v>8739</v>
      </c>
      <c r="AX31" s="460">
        <f t="shared" si="23"/>
        <v>0</v>
      </c>
      <c r="AY31" s="461">
        <f t="shared" si="24"/>
        <v>2.4900000000000002</v>
      </c>
      <c r="AZ31" s="461">
        <f t="shared" si="25"/>
        <v>2.4900000000000002</v>
      </c>
      <c r="BA31" s="463">
        <f t="shared" si="26"/>
        <v>0</v>
      </c>
    </row>
    <row r="32" spans="1:53" s="98" customFormat="1" ht="14.1" customHeight="1" x14ac:dyDescent="0.2">
      <c r="A32" s="121">
        <v>4</v>
      </c>
      <c r="B32" s="78">
        <v>2450</v>
      </c>
      <c r="C32" s="95">
        <v>600080234</v>
      </c>
      <c r="D32" s="78">
        <v>72745045</v>
      </c>
      <c r="E32" s="78" t="s">
        <v>733</v>
      </c>
      <c r="F32" s="96">
        <v>3141</v>
      </c>
      <c r="G32" s="78" t="s">
        <v>311</v>
      </c>
      <c r="H32" s="97" t="s">
        <v>278</v>
      </c>
      <c r="I32" s="462">
        <v>567609</v>
      </c>
      <c r="J32" s="728">
        <v>419493</v>
      </c>
      <c r="K32" s="457">
        <v>141789</v>
      </c>
      <c r="L32" s="457">
        <v>4195</v>
      </c>
      <c r="M32" s="728">
        <v>2132</v>
      </c>
      <c r="N32" s="458">
        <v>1.35</v>
      </c>
      <c r="O32" s="730">
        <v>0</v>
      </c>
      <c r="P32" s="729">
        <v>1.35</v>
      </c>
      <c r="Q32" s="469">
        <f t="shared" si="43"/>
        <v>-11050</v>
      </c>
      <c r="R32" s="460">
        <v>0</v>
      </c>
      <c r="S32" s="673">
        <v>0</v>
      </c>
      <c r="T32" s="460">
        <v>0</v>
      </c>
      <c r="U32" s="460">
        <v>0</v>
      </c>
      <c r="V32" s="460">
        <f t="shared" si="44"/>
        <v>-11050</v>
      </c>
      <c r="W32" s="460">
        <v>11050</v>
      </c>
      <c r="X32" s="460">
        <v>0</v>
      </c>
      <c r="Y32" s="460">
        <v>0</v>
      </c>
      <c r="Z32" s="460">
        <f t="shared" si="45"/>
        <v>11050</v>
      </c>
      <c r="AA32" s="460">
        <f t="shared" si="46"/>
        <v>0</v>
      </c>
      <c r="AB32" s="69">
        <f t="shared" si="47"/>
        <v>0</v>
      </c>
      <c r="AC32" s="69">
        <f t="shared" si="48"/>
        <v>-111</v>
      </c>
      <c r="AD32" s="460">
        <v>0</v>
      </c>
      <c r="AE32" s="460">
        <v>0</v>
      </c>
      <c r="AF32" s="460">
        <f t="shared" si="49"/>
        <v>0</v>
      </c>
      <c r="AG32" s="460">
        <f t="shared" si="50"/>
        <v>-111</v>
      </c>
      <c r="AH32" s="461">
        <v>0</v>
      </c>
      <c r="AI32" s="461">
        <v>-0.01</v>
      </c>
      <c r="AJ32" s="461">
        <v>0</v>
      </c>
      <c r="AK32" s="461">
        <v>0</v>
      </c>
      <c r="AL32" s="674">
        <v>0</v>
      </c>
      <c r="AM32" s="461">
        <v>0</v>
      </c>
      <c r="AN32" s="461">
        <v>0</v>
      </c>
      <c r="AO32" s="461">
        <v>0</v>
      </c>
      <c r="AP32" s="461">
        <f t="shared" si="51"/>
        <v>0</v>
      </c>
      <c r="AQ32" s="461">
        <f t="shared" si="52"/>
        <v>-0.01</v>
      </c>
      <c r="AR32" s="737">
        <f t="shared" si="53"/>
        <v>-0.01</v>
      </c>
      <c r="AS32" s="470">
        <f t="shared" si="18"/>
        <v>567498</v>
      </c>
      <c r="AT32" s="460">
        <f t="shared" si="19"/>
        <v>408443</v>
      </c>
      <c r="AU32" s="460">
        <f t="shared" si="20"/>
        <v>11050</v>
      </c>
      <c r="AV32" s="460">
        <f t="shared" si="21"/>
        <v>141789</v>
      </c>
      <c r="AW32" s="460">
        <f t="shared" si="22"/>
        <v>4084</v>
      </c>
      <c r="AX32" s="460">
        <f t="shared" si="23"/>
        <v>2132</v>
      </c>
      <c r="AY32" s="461">
        <f t="shared" si="24"/>
        <v>1.34</v>
      </c>
      <c r="AZ32" s="461">
        <f t="shared" si="25"/>
        <v>0</v>
      </c>
      <c r="BA32" s="463">
        <f t="shared" si="26"/>
        <v>1.34</v>
      </c>
    </row>
    <row r="33" spans="1:53" s="98" customFormat="1" ht="14.1" customHeight="1" x14ac:dyDescent="0.2">
      <c r="A33" s="121">
        <v>4</v>
      </c>
      <c r="B33" s="78">
        <v>2450</v>
      </c>
      <c r="C33" s="95">
        <v>600080234</v>
      </c>
      <c r="D33" s="78">
        <v>72745045</v>
      </c>
      <c r="E33" s="78" t="s">
        <v>733</v>
      </c>
      <c r="F33" s="96">
        <v>3143</v>
      </c>
      <c r="G33" s="78" t="s">
        <v>616</v>
      </c>
      <c r="H33" s="97" t="s">
        <v>277</v>
      </c>
      <c r="I33" s="462">
        <v>626362</v>
      </c>
      <c r="J33" s="715">
        <v>464660</v>
      </c>
      <c r="K33" s="457">
        <v>157055</v>
      </c>
      <c r="L33" s="457">
        <v>4647</v>
      </c>
      <c r="M33" s="715">
        <v>0</v>
      </c>
      <c r="N33" s="458">
        <v>1</v>
      </c>
      <c r="O33" s="716">
        <v>1</v>
      </c>
      <c r="P33" s="718">
        <v>0</v>
      </c>
      <c r="Q33" s="469">
        <f t="shared" si="43"/>
        <v>-7800</v>
      </c>
      <c r="R33" s="460">
        <v>0</v>
      </c>
      <c r="S33" s="673">
        <v>0</v>
      </c>
      <c r="T33" s="460">
        <v>0</v>
      </c>
      <c r="U33" s="460">
        <v>0</v>
      </c>
      <c r="V33" s="460">
        <f t="shared" si="44"/>
        <v>-7800</v>
      </c>
      <c r="W33" s="460">
        <v>7800</v>
      </c>
      <c r="X33" s="460">
        <v>0</v>
      </c>
      <c r="Y33" s="460">
        <v>0</v>
      </c>
      <c r="Z33" s="460">
        <f t="shared" si="45"/>
        <v>7800</v>
      </c>
      <c r="AA33" s="460">
        <f t="shared" si="46"/>
        <v>0</v>
      </c>
      <c r="AB33" s="69">
        <f t="shared" si="47"/>
        <v>0</v>
      </c>
      <c r="AC33" s="69">
        <f t="shared" si="48"/>
        <v>-78</v>
      </c>
      <c r="AD33" s="460">
        <v>0</v>
      </c>
      <c r="AE33" s="460">
        <v>0</v>
      </c>
      <c r="AF33" s="460">
        <f t="shared" si="49"/>
        <v>0</v>
      </c>
      <c r="AG33" s="460">
        <f t="shared" si="50"/>
        <v>-78</v>
      </c>
      <c r="AH33" s="461">
        <v>0</v>
      </c>
      <c r="AI33" s="461">
        <v>0</v>
      </c>
      <c r="AJ33" s="461">
        <v>0</v>
      </c>
      <c r="AK33" s="461">
        <v>0</v>
      </c>
      <c r="AL33" s="674">
        <v>0</v>
      </c>
      <c r="AM33" s="461">
        <v>0</v>
      </c>
      <c r="AN33" s="461">
        <v>0</v>
      </c>
      <c r="AO33" s="461">
        <v>0</v>
      </c>
      <c r="AP33" s="461">
        <f t="shared" si="51"/>
        <v>0</v>
      </c>
      <c r="AQ33" s="461">
        <f t="shared" si="52"/>
        <v>0</v>
      </c>
      <c r="AR33" s="737">
        <f t="shared" si="53"/>
        <v>0</v>
      </c>
      <c r="AS33" s="470">
        <f t="shared" si="18"/>
        <v>626284</v>
      </c>
      <c r="AT33" s="460">
        <f t="shared" si="19"/>
        <v>456860</v>
      </c>
      <c r="AU33" s="460">
        <f t="shared" si="20"/>
        <v>7800</v>
      </c>
      <c r="AV33" s="460">
        <f t="shared" si="21"/>
        <v>157055</v>
      </c>
      <c r="AW33" s="460">
        <f t="shared" si="22"/>
        <v>4569</v>
      </c>
      <c r="AX33" s="460">
        <f t="shared" si="23"/>
        <v>0</v>
      </c>
      <c r="AY33" s="461">
        <f t="shared" si="24"/>
        <v>1</v>
      </c>
      <c r="AZ33" s="461">
        <f t="shared" si="25"/>
        <v>1</v>
      </c>
      <c r="BA33" s="463">
        <f t="shared" si="26"/>
        <v>0</v>
      </c>
    </row>
    <row r="34" spans="1:53" s="98" customFormat="1" ht="14.1" customHeight="1" x14ac:dyDescent="0.2">
      <c r="A34" s="121">
        <v>4</v>
      </c>
      <c r="B34" s="78">
        <v>2450</v>
      </c>
      <c r="C34" s="95">
        <v>600080234</v>
      </c>
      <c r="D34" s="78">
        <v>72745045</v>
      </c>
      <c r="E34" s="78" t="s">
        <v>733</v>
      </c>
      <c r="F34" s="96">
        <v>3143</v>
      </c>
      <c r="G34" s="78" t="s">
        <v>617</v>
      </c>
      <c r="H34" s="97" t="s">
        <v>278</v>
      </c>
      <c r="I34" s="462">
        <v>16125</v>
      </c>
      <c r="J34" s="673">
        <v>11522</v>
      </c>
      <c r="K34" s="457">
        <v>3894</v>
      </c>
      <c r="L34" s="457">
        <v>115</v>
      </c>
      <c r="M34" s="673">
        <v>594</v>
      </c>
      <c r="N34" s="458">
        <v>0.05</v>
      </c>
      <c r="O34" s="459">
        <v>0</v>
      </c>
      <c r="P34" s="717">
        <v>0.05</v>
      </c>
      <c r="Q34" s="469">
        <f t="shared" si="43"/>
        <v>0</v>
      </c>
      <c r="R34" s="460">
        <v>0</v>
      </c>
      <c r="S34" s="673">
        <v>0</v>
      </c>
      <c r="T34" s="460">
        <v>0</v>
      </c>
      <c r="U34" s="460">
        <v>0</v>
      </c>
      <c r="V34" s="460">
        <f t="shared" si="44"/>
        <v>0</v>
      </c>
      <c r="W34" s="460">
        <v>0</v>
      </c>
      <c r="X34" s="460">
        <v>0</v>
      </c>
      <c r="Y34" s="460">
        <v>0</v>
      </c>
      <c r="Z34" s="460">
        <f t="shared" si="45"/>
        <v>0</v>
      </c>
      <c r="AA34" s="460">
        <f t="shared" si="46"/>
        <v>0</v>
      </c>
      <c r="AB34" s="69">
        <f t="shared" si="47"/>
        <v>0</v>
      </c>
      <c r="AC34" s="69">
        <f t="shared" si="48"/>
        <v>0</v>
      </c>
      <c r="AD34" s="460">
        <v>0</v>
      </c>
      <c r="AE34" s="460">
        <v>0</v>
      </c>
      <c r="AF34" s="460">
        <f t="shared" si="49"/>
        <v>0</v>
      </c>
      <c r="AG34" s="460">
        <f t="shared" si="50"/>
        <v>0</v>
      </c>
      <c r="AH34" s="461">
        <v>0</v>
      </c>
      <c r="AI34" s="461">
        <v>0</v>
      </c>
      <c r="AJ34" s="461">
        <v>0</v>
      </c>
      <c r="AK34" s="461">
        <v>0</v>
      </c>
      <c r="AL34" s="674">
        <v>0</v>
      </c>
      <c r="AM34" s="461">
        <v>0</v>
      </c>
      <c r="AN34" s="461">
        <v>0</v>
      </c>
      <c r="AO34" s="461">
        <v>0</v>
      </c>
      <c r="AP34" s="461">
        <f t="shared" si="51"/>
        <v>0</v>
      </c>
      <c r="AQ34" s="461">
        <f t="shared" si="52"/>
        <v>0</v>
      </c>
      <c r="AR34" s="737">
        <f t="shared" si="53"/>
        <v>0</v>
      </c>
      <c r="AS34" s="470">
        <f t="shared" si="18"/>
        <v>16125</v>
      </c>
      <c r="AT34" s="460">
        <f t="shared" si="19"/>
        <v>11522</v>
      </c>
      <c r="AU34" s="460">
        <f t="shared" si="20"/>
        <v>0</v>
      </c>
      <c r="AV34" s="460">
        <f t="shared" si="21"/>
        <v>3894</v>
      </c>
      <c r="AW34" s="460">
        <f t="shared" si="22"/>
        <v>115</v>
      </c>
      <c r="AX34" s="460">
        <f t="shared" si="23"/>
        <v>594</v>
      </c>
      <c r="AY34" s="461">
        <f t="shared" si="24"/>
        <v>0.05</v>
      </c>
      <c r="AZ34" s="461">
        <f t="shared" si="25"/>
        <v>0</v>
      </c>
      <c r="BA34" s="463">
        <f t="shared" si="26"/>
        <v>0.05</v>
      </c>
    </row>
    <row r="35" spans="1:53" s="98" customFormat="1" ht="14.1" customHeight="1" x14ac:dyDescent="0.2">
      <c r="A35" s="122">
        <v>4</v>
      </c>
      <c r="B35" s="99">
        <v>2450</v>
      </c>
      <c r="C35" s="100">
        <v>600080234</v>
      </c>
      <c r="D35" s="99">
        <v>72745045</v>
      </c>
      <c r="E35" s="99" t="s">
        <v>734</v>
      </c>
      <c r="F35" s="108"/>
      <c r="G35" s="102"/>
      <c r="H35" s="103"/>
      <c r="I35" s="489">
        <f t="shared" ref="I35:P35" si="54">SUM(I29:I34)</f>
        <v>5250047</v>
      </c>
      <c r="J35" s="485">
        <f t="shared" si="54"/>
        <v>3859975</v>
      </c>
      <c r="K35" s="485">
        <f t="shared" si="54"/>
        <v>1304671</v>
      </c>
      <c r="L35" s="485">
        <f t="shared" si="54"/>
        <v>38600</v>
      </c>
      <c r="M35" s="485">
        <f t="shared" si="54"/>
        <v>46801</v>
      </c>
      <c r="N35" s="486">
        <f t="shared" si="54"/>
        <v>8.1467000000000009</v>
      </c>
      <c r="O35" s="486">
        <f t="shared" si="54"/>
        <v>5.5908999999999995</v>
      </c>
      <c r="P35" s="105">
        <f t="shared" si="54"/>
        <v>2.5557999999999996</v>
      </c>
      <c r="Q35" s="491">
        <f t="shared" ref="Q35:BA35" si="55">SUM(Q29:Q34)</f>
        <v>-57200</v>
      </c>
      <c r="R35" s="491">
        <f t="shared" si="55"/>
        <v>873899</v>
      </c>
      <c r="S35" s="485">
        <f t="shared" si="55"/>
        <v>0</v>
      </c>
      <c r="T35" s="485">
        <f t="shared" si="55"/>
        <v>0</v>
      </c>
      <c r="U35" s="485">
        <f t="shared" si="55"/>
        <v>0</v>
      </c>
      <c r="V35" s="485">
        <f t="shared" si="55"/>
        <v>816699</v>
      </c>
      <c r="W35" s="485">
        <f t="shared" si="55"/>
        <v>57200</v>
      </c>
      <c r="X35" s="485">
        <f t="shared" si="55"/>
        <v>0</v>
      </c>
      <c r="Y35" s="485">
        <f t="shared" si="55"/>
        <v>0</v>
      </c>
      <c r="Z35" s="485">
        <f t="shared" si="55"/>
        <v>57200</v>
      </c>
      <c r="AA35" s="485">
        <f t="shared" si="55"/>
        <v>873899</v>
      </c>
      <c r="AB35" s="485">
        <f t="shared" si="55"/>
        <v>295378</v>
      </c>
      <c r="AC35" s="485">
        <f t="shared" si="55"/>
        <v>8166</v>
      </c>
      <c r="AD35" s="485">
        <f t="shared" si="55"/>
        <v>0</v>
      </c>
      <c r="AE35" s="485">
        <f t="shared" si="55"/>
        <v>0</v>
      </c>
      <c r="AF35" s="485">
        <f t="shared" si="55"/>
        <v>0</v>
      </c>
      <c r="AG35" s="485">
        <f t="shared" si="55"/>
        <v>1177443</v>
      </c>
      <c r="AH35" s="486">
        <f t="shared" si="55"/>
        <v>-0.04</v>
      </c>
      <c r="AI35" s="486">
        <f t="shared" si="55"/>
        <v>-0.01</v>
      </c>
      <c r="AJ35" s="486">
        <f t="shared" si="55"/>
        <v>2.4900000000000002</v>
      </c>
      <c r="AK35" s="486">
        <f t="shared" si="55"/>
        <v>0</v>
      </c>
      <c r="AL35" s="486">
        <f t="shared" si="55"/>
        <v>0</v>
      </c>
      <c r="AM35" s="486">
        <f t="shared" si="55"/>
        <v>0</v>
      </c>
      <c r="AN35" s="486">
        <f t="shared" si="55"/>
        <v>0</v>
      </c>
      <c r="AO35" s="486">
        <f t="shared" si="55"/>
        <v>0</v>
      </c>
      <c r="AP35" s="486">
        <f t="shared" si="55"/>
        <v>2.4500000000000002</v>
      </c>
      <c r="AQ35" s="486">
        <f t="shared" si="55"/>
        <v>-0.01</v>
      </c>
      <c r="AR35" s="738">
        <f t="shared" si="55"/>
        <v>2.4400000000000004</v>
      </c>
      <c r="AS35" s="489">
        <f t="shared" si="55"/>
        <v>6427490</v>
      </c>
      <c r="AT35" s="485">
        <f t="shared" si="55"/>
        <v>4676674</v>
      </c>
      <c r="AU35" s="485">
        <f t="shared" si="55"/>
        <v>57200</v>
      </c>
      <c r="AV35" s="485">
        <f t="shared" si="55"/>
        <v>1600049</v>
      </c>
      <c r="AW35" s="485">
        <f t="shared" si="55"/>
        <v>46766</v>
      </c>
      <c r="AX35" s="485">
        <f t="shared" si="55"/>
        <v>46801</v>
      </c>
      <c r="AY35" s="486">
        <f t="shared" si="55"/>
        <v>10.5867</v>
      </c>
      <c r="AZ35" s="486">
        <f t="shared" si="55"/>
        <v>8.0409000000000006</v>
      </c>
      <c r="BA35" s="105">
        <f t="shared" si="55"/>
        <v>2.5457999999999998</v>
      </c>
    </row>
    <row r="36" spans="1:53" s="98" customFormat="1" ht="14.1" customHeight="1" x14ac:dyDescent="0.2">
      <c r="A36" s="121">
        <v>5</v>
      </c>
      <c r="B36" s="104">
        <v>2451</v>
      </c>
      <c r="C36" s="95">
        <v>650037901</v>
      </c>
      <c r="D36" s="78">
        <v>72744880</v>
      </c>
      <c r="E36" s="78" t="s">
        <v>735</v>
      </c>
      <c r="F36" s="96">
        <v>3111</v>
      </c>
      <c r="G36" s="78" t="s">
        <v>307</v>
      </c>
      <c r="H36" s="97" t="s">
        <v>277</v>
      </c>
      <c r="I36" s="462">
        <v>1546884</v>
      </c>
      <c r="J36" s="16">
        <v>1141309</v>
      </c>
      <c r="K36" s="457">
        <v>385762</v>
      </c>
      <c r="L36" s="457">
        <v>11413</v>
      </c>
      <c r="M36" s="16">
        <v>8400</v>
      </c>
      <c r="N36" s="458">
        <v>2.4</v>
      </c>
      <c r="O36" s="13">
        <v>2</v>
      </c>
      <c r="P36" s="17">
        <v>0.4</v>
      </c>
      <c r="Q36" s="469">
        <f t="shared" ref="Q36:Q41" si="56">W36*-1</f>
        <v>0</v>
      </c>
      <c r="R36" s="460">
        <v>0</v>
      </c>
      <c r="S36" s="673">
        <v>0</v>
      </c>
      <c r="T36" s="460">
        <v>0</v>
      </c>
      <c r="U36" s="460">
        <v>0</v>
      </c>
      <c r="V36" s="460">
        <f t="shared" ref="V36:V41" si="57">SUM(Q36:U36)</f>
        <v>0</v>
      </c>
      <c r="W36" s="460">
        <v>0</v>
      </c>
      <c r="X36" s="460">
        <v>0</v>
      </c>
      <c r="Y36" s="460">
        <v>0</v>
      </c>
      <c r="Z36" s="460">
        <f t="shared" ref="Z36:Z41" si="58">SUM(W36:Y36)</f>
        <v>0</v>
      </c>
      <c r="AA36" s="460">
        <f t="shared" ref="AA36:AA41" si="59">V36+Z36</f>
        <v>0</v>
      </c>
      <c r="AB36" s="69">
        <f t="shared" ref="AB36:AB41" si="60">ROUND((V36+W36+X36)*33.8%,0)</f>
        <v>0</v>
      </c>
      <c r="AC36" s="69">
        <f t="shared" ref="AC36:AC41" si="61">ROUND(V36*1%,0)</f>
        <v>0</v>
      </c>
      <c r="AD36" s="460">
        <v>0</v>
      </c>
      <c r="AE36" s="460">
        <v>0</v>
      </c>
      <c r="AF36" s="460">
        <f t="shared" ref="AF36:AF41" si="62">SUM(AD36:AE36)</f>
        <v>0</v>
      </c>
      <c r="AG36" s="460">
        <f t="shared" ref="AG36:AG41" si="63">AA36+AB36+AC36+AF36</f>
        <v>0</v>
      </c>
      <c r="AH36" s="461">
        <v>0</v>
      </c>
      <c r="AI36" s="461">
        <v>0</v>
      </c>
      <c r="AJ36" s="461">
        <v>0</v>
      </c>
      <c r="AK36" s="461">
        <v>0</v>
      </c>
      <c r="AL36" s="674">
        <v>0</v>
      </c>
      <c r="AM36" s="461">
        <v>0</v>
      </c>
      <c r="AN36" s="461">
        <v>0</v>
      </c>
      <c r="AO36" s="461">
        <v>0</v>
      </c>
      <c r="AP36" s="461">
        <f t="shared" ref="AP36:AP41" si="64">AH36+AJ36+AK36+AM36+AN36</f>
        <v>0</v>
      </c>
      <c r="AQ36" s="461">
        <f t="shared" ref="AQ36:AQ41" si="65">AI36+AL36+AO36</f>
        <v>0</v>
      </c>
      <c r="AR36" s="737">
        <f t="shared" ref="AR36:AR41" si="66">SUM(AP36:AQ36)</f>
        <v>0</v>
      </c>
      <c r="AS36" s="470">
        <f t="shared" si="18"/>
        <v>1546884</v>
      </c>
      <c r="AT36" s="460">
        <f t="shared" si="19"/>
        <v>1141309</v>
      </c>
      <c r="AU36" s="460">
        <f t="shared" si="20"/>
        <v>0</v>
      </c>
      <c r="AV36" s="460">
        <f t="shared" si="21"/>
        <v>385762</v>
      </c>
      <c r="AW36" s="460">
        <f t="shared" si="22"/>
        <v>11413</v>
      </c>
      <c r="AX36" s="460">
        <f t="shared" si="23"/>
        <v>8400</v>
      </c>
      <c r="AY36" s="461">
        <f t="shared" si="24"/>
        <v>2.4</v>
      </c>
      <c r="AZ36" s="461">
        <f t="shared" si="25"/>
        <v>2</v>
      </c>
      <c r="BA36" s="463">
        <f t="shared" si="26"/>
        <v>0.4</v>
      </c>
    </row>
    <row r="37" spans="1:53" s="98" customFormat="1" ht="14.1" customHeight="1" x14ac:dyDescent="0.2">
      <c r="A37" s="121">
        <v>5</v>
      </c>
      <c r="B37" s="106">
        <v>2451</v>
      </c>
      <c r="C37" s="95">
        <v>650037901</v>
      </c>
      <c r="D37" s="78">
        <v>72744880</v>
      </c>
      <c r="E37" s="106" t="s">
        <v>735</v>
      </c>
      <c r="F37" s="107">
        <v>3117</v>
      </c>
      <c r="G37" s="106" t="s">
        <v>325</v>
      </c>
      <c r="H37" s="97" t="s">
        <v>277</v>
      </c>
      <c r="I37" s="462">
        <v>4041699</v>
      </c>
      <c r="J37" s="16">
        <v>2947958</v>
      </c>
      <c r="K37" s="457">
        <v>996411</v>
      </c>
      <c r="L37" s="457">
        <v>29480</v>
      </c>
      <c r="M37" s="16">
        <v>67850</v>
      </c>
      <c r="N37" s="458">
        <v>5.65</v>
      </c>
      <c r="O37" s="13">
        <v>4</v>
      </c>
      <c r="P37" s="17">
        <v>1.6500000000000001</v>
      </c>
      <c r="Q37" s="469">
        <f t="shared" si="56"/>
        <v>0</v>
      </c>
      <c r="R37" s="460">
        <v>0</v>
      </c>
      <c r="S37" s="673">
        <v>0</v>
      </c>
      <c r="T37" s="460">
        <v>0</v>
      </c>
      <c r="U37" s="460">
        <v>0</v>
      </c>
      <c r="V37" s="460">
        <f t="shared" si="57"/>
        <v>0</v>
      </c>
      <c r="W37" s="460">
        <v>0</v>
      </c>
      <c r="X37" s="460">
        <v>0</v>
      </c>
      <c r="Y37" s="460">
        <v>0</v>
      </c>
      <c r="Z37" s="460">
        <f t="shared" si="58"/>
        <v>0</v>
      </c>
      <c r="AA37" s="460">
        <f t="shared" si="59"/>
        <v>0</v>
      </c>
      <c r="AB37" s="69">
        <f t="shared" si="60"/>
        <v>0</v>
      </c>
      <c r="AC37" s="69">
        <f t="shared" si="61"/>
        <v>0</v>
      </c>
      <c r="AD37" s="460">
        <v>0</v>
      </c>
      <c r="AE37" s="460">
        <v>0</v>
      </c>
      <c r="AF37" s="460">
        <f t="shared" si="62"/>
        <v>0</v>
      </c>
      <c r="AG37" s="460">
        <f t="shared" si="63"/>
        <v>0</v>
      </c>
      <c r="AH37" s="461">
        <v>0</v>
      </c>
      <c r="AI37" s="461">
        <v>0</v>
      </c>
      <c r="AJ37" s="461">
        <v>0</v>
      </c>
      <c r="AK37" s="461">
        <v>0</v>
      </c>
      <c r="AL37" s="674">
        <v>0</v>
      </c>
      <c r="AM37" s="461">
        <v>0</v>
      </c>
      <c r="AN37" s="461">
        <v>0</v>
      </c>
      <c r="AO37" s="461">
        <v>0</v>
      </c>
      <c r="AP37" s="461">
        <f t="shared" si="64"/>
        <v>0</v>
      </c>
      <c r="AQ37" s="461">
        <f t="shared" si="65"/>
        <v>0</v>
      </c>
      <c r="AR37" s="737">
        <f t="shared" si="66"/>
        <v>0</v>
      </c>
      <c r="AS37" s="470">
        <f t="shared" si="18"/>
        <v>4041699</v>
      </c>
      <c r="AT37" s="460">
        <f t="shared" si="19"/>
        <v>2947958</v>
      </c>
      <c r="AU37" s="460">
        <f t="shared" si="20"/>
        <v>0</v>
      </c>
      <c r="AV37" s="460">
        <f t="shared" si="21"/>
        <v>996411</v>
      </c>
      <c r="AW37" s="460">
        <f t="shared" si="22"/>
        <v>29480</v>
      </c>
      <c r="AX37" s="460">
        <f t="shared" si="23"/>
        <v>67850</v>
      </c>
      <c r="AY37" s="461">
        <f t="shared" si="24"/>
        <v>5.65</v>
      </c>
      <c r="AZ37" s="461">
        <f t="shared" si="25"/>
        <v>4</v>
      </c>
      <c r="BA37" s="463">
        <f t="shared" si="26"/>
        <v>1.6500000000000001</v>
      </c>
    </row>
    <row r="38" spans="1:53" s="98" customFormat="1" ht="14.1" customHeight="1" x14ac:dyDescent="0.2">
      <c r="A38" s="121">
        <v>5</v>
      </c>
      <c r="B38" s="104">
        <v>2451</v>
      </c>
      <c r="C38" s="95">
        <v>650037901</v>
      </c>
      <c r="D38" s="78">
        <v>72744880</v>
      </c>
      <c r="E38" s="104" t="s">
        <v>735</v>
      </c>
      <c r="F38" s="96">
        <v>3117</v>
      </c>
      <c r="G38" s="78" t="s">
        <v>308</v>
      </c>
      <c r="H38" s="97" t="s">
        <v>278</v>
      </c>
      <c r="I38" s="462">
        <v>0</v>
      </c>
      <c r="J38" s="591">
        <v>0</v>
      </c>
      <c r="K38" s="457">
        <v>0</v>
      </c>
      <c r="L38" s="457">
        <v>0</v>
      </c>
      <c r="M38" s="591">
        <v>0</v>
      </c>
      <c r="N38" s="458">
        <v>0</v>
      </c>
      <c r="O38" s="459">
        <v>0</v>
      </c>
      <c r="P38" s="717">
        <v>0</v>
      </c>
      <c r="Q38" s="469">
        <f t="shared" si="56"/>
        <v>0</v>
      </c>
      <c r="R38" s="460">
        <v>676086</v>
      </c>
      <c r="S38" s="673">
        <v>0</v>
      </c>
      <c r="T38" s="460">
        <v>0</v>
      </c>
      <c r="U38" s="460">
        <v>0</v>
      </c>
      <c r="V38" s="460">
        <f t="shared" si="57"/>
        <v>676086</v>
      </c>
      <c r="W38" s="460">
        <v>0</v>
      </c>
      <c r="X38" s="460">
        <v>0</v>
      </c>
      <c r="Y38" s="460">
        <v>0</v>
      </c>
      <c r="Z38" s="460">
        <f t="shared" si="58"/>
        <v>0</v>
      </c>
      <c r="AA38" s="460">
        <f t="shared" si="59"/>
        <v>676086</v>
      </c>
      <c r="AB38" s="69">
        <f t="shared" si="60"/>
        <v>228517</v>
      </c>
      <c r="AC38" s="69">
        <f t="shared" si="61"/>
        <v>6761</v>
      </c>
      <c r="AD38" s="460">
        <v>1250</v>
      </c>
      <c r="AE38" s="460">
        <v>0</v>
      </c>
      <c r="AF38" s="460">
        <f t="shared" si="62"/>
        <v>1250</v>
      </c>
      <c r="AG38" s="460">
        <f t="shared" si="63"/>
        <v>912614</v>
      </c>
      <c r="AH38" s="461">
        <v>0</v>
      </c>
      <c r="AI38" s="461">
        <v>0</v>
      </c>
      <c r="AJ38" s="461">
        <v>1.73</v>
      </c>
      <c r="AK38" s="461">
        <v>0</v>
      </c>
      <c r="AL38" s="674">
        <v>0</v>
      </c>
      <c r="AM38" s="461">
        <v>0</v>
      </c>
      <c r="AN38" s="461">
        <v>0</v>
      </c>
      <c r="AO38" s="461">
        <v>0</v>
      </c>
      <c r="AP38" s="461">
        <f t="shared" si="64"/>
        <v>1.73</v>
      </c>
      <c r="AQ38" s="461">
        <f t="shared" si="65"/>
        <v>0</v>
      </c>
      <c r="AR38" s="737">
        <f t="shared" si="66"/>
        <v>1.73</v>
      </c>
      <c r="AS38" s="470">
        <f t="shared" si="18"/>
        <v>912614</v>
      </c>
      <c r="AT38" s="460">
        <f t="shared" si="19"/>
        <v>676086</v>
      </c>
      <c r="AU38" s="460">
        <f t="shared" si="20"/>
        <v>0</v>
      </c>
      <c r="AV38" s="460">
        <f t="shared" si="21"/>
        <v>228517</v>
      </c>
      <c r="AW38" s="460">
        <f t="shared" si="22"/>
        <v>6761</v>
      </c>
      <c r="AX38" s="460">
        <f t="shared" si="23"/>
        <v>1250</v>
      </c>
      <c r="AY38" s="461">
        <f t="shared" si="24"/>
        <v>1.73</v>
      </c>
      <c r="AZ38" s="461">
        <f t="shared" si="25"/>
        <v>1.73</v>
      </c>
      <c r="BA38" s="463">
        <f t="shared" si="26"/>
        <v>0</v>
      </c>
    </row>
    <row r="39" spans="1:53" s="98" customFormat="1" ht="14.1" customHeight="1" x14ac:dyDescent="0.2">
      <c r="A39" s="121">
        <v>5</v>
      </c>
      <c r="B39" s="78">
        <v>2451</v>
      </c>
      <c r="C39" s="95">
        <v>650037901</v>
      </c>
      <c r="D39" s="78">
        <v>72744880</v>
      </c>
      <c r="E39" s="78" t="s">
        <v>735</v>
      </c>
      <c r="F39" s="96">
        <v>3141</v>
      </c>
      <c r="G39" s="78" t="s">
        <v>311</v>
      </c>
      <c r="H39" s="97" t="s">
        <v>278</v>
      </c>
      <c r="I39" s="462">
        <v>790258</v>
      </c>
      <c r="J39" s="728">
        <v>583776</v>
      </c>
      <c r="K39" s="457">
        <v>197316</v>
      </c>
      <c r="L39" s="457">
        <v>5838</v>
      </c>
      <c r="M39" s="728">
        <v>3328</v>
      </c>
      <c r="N39" s="458">
        <v>1.88</v>
      </c>
      <c r="O39" s="730">
        <v>0</v>
      </c>
      <c r="P39" s="729">
        <v>1.88</v>
      </c>
      <c r="Q39" s="469">
        <f t="shared" si="56"/>
        <v>0</v>
      </c>
      <c r="R39" s="460">
        <v>0</v>
      </c>
      <c r="S39" s="673">
        <v>0</v>
      </c>
      <c r="T39" s="460">
        <v>0</v>
      </c>
      <c r="U39" s="460">
        <v>0</v>
      </c>
      <c r="V39" s="460">
        <f t="shared" si="57"/>
        <v>0</v>
      </c>
      <c r="W39" s="460">
        <v>0</v>
      </c>
      <c r="X39" s="460">
        <v>0</v>
      </c>
      <c r="Y39" s="460">
        <v>0</v>
      </c>
      <c r="Z39" s="460">
        <f t="shared" si="58"/>
        <v>0</v>
      </c>
      <c r="AA39" s="460">
        <f t="shared" si="59"/>
        <v>0</v>
      </c>
      <c r="AB39" s="69">
        <f t="shared" si="60"/>
        <v>0</v>
      </c>
      <c r="AC39" s="69">
        <f t="shared" si="61"/>
        <v>0</v>
      </c>
      <c r="AD39" s="460">
        <v>0</v>
      </c>
      <c r="AE39" s="460">
        <v>0</v>
      </c>
      <c r="AF39" s="460">
        <f t="shared" si="62"/>
        <v>0</v>
      </c>
      <c r="AG39" s="460">
        <f t="shared" si="63"/>
        <v>0</v>
      </c>
      <c r="AH39" s="461">
        <v>0</v>
      </c>
      <c r="AI39" s="461">
        <v>0</v>
      </c>
      <c r="AJ39" s="461">
        <v>0</v>
      </c>
      <c r="AK39" s="461">
        <v>0</v>
      </c>
      <c r="AL39" s="674">
        <v>0</v>
      </c>
      <c r="AM39" s="461">
        <v>0</v>
      </c>
      <c r="AN39" s="461">
        <v>0</v>
      </c>
      <c r="AO39" s="461">
        <v>0</v>
      </c>
      <c r="AP39" s="461">
        <f t="shared" si="64"/>
        <v>0</v>
      </c>
      <c r="AQ39" s="461">
        <f t="shared" si="65"/>
        <v>0</v>
      </c>
      <c r="AR39" s="737">
        <f t="shared" si="66"/>
        <v>0</v>
      </c>
      <c r="AS39" s="470">
        <f t="shared" si="18"/>
        <v>790258</v>
      </c>
      <c r="AT39" s="460">
        <f t="shared" si="19"/>
        <v>583776</v>
      </c>
      <c r="AU39" s="460">
        <f t="shared" si="20"/>
        <v>0</v>
      </c>
      <c r="AV39" s="460">
        <f t="shared" si="21"/>
        <v>197316</v>
      </c>
      <c r="AW39" s="460">
        <f t="shared" si="22"/>
        <v>5838</v>
      </c>
      <c r="AX39" s="460">
        <f t="shared" si="23"/>
        <v>3328</v>
      </c>
      <c r="AY39" s="461">
        <f t="shared" si="24"/>
        <v>1.88</v>
      </c>
      <c r="AZ39" s="461">
        <f t="shared" si="25"/>
        <v>0</v>
      </c>
      <c r="BA39" s="463">
        <f t="shared" si="26"/>
        <v>1.88</v>
      </c>
    </row>
    <row r="40" spans="1:53" s="98" customFormat="1" ht="14.1" customHeight="1" x14ac:dyDescent="0.2">
      <c r="A40" s="121">
        <v>5</v>
      </c>
      <c r="B40" s="78">
        <v>2451</v>
      </c>
      <c r="C40" s="95">
        <v>650037901</v>
      </c>
      <c r="D40" s="78">
        <v>72744880</v>
      </c>
      <c r="E40" s="78" t="s">
        <v>735</v>
      </c>
      <c r="F40" s="96">
        <v>3143</v>
      </c>
      <c r="G40" s="78" t="s">
        <v>616</v>
      </c>
      <c r="H40" s="97" t="s">
        <v>277</v>
      </c>
      <c r="I40" s="462">
        <v>595845</v>
      </c>
      <c r="J40" s="715">
        <v>442022</v>
      </c>
      <c r="K40" s="457">
        <v>149403</v>
      </c>
      <c r="L40" s="457">
        <v>4420</v>
      </c>
      <c r="M40" s="715">
        <v>0</v>
      </c>
      <c r="N40" s="458">
        <v>1</v>
      </c>
      <c r="O40" s="716">
        <v>1</v>
      </c>
      <c r="P40" s="718">
        <v>0</v>
      </c>
      <c r="Q40" s="469">
        <f t="shared" si="56"/>
        <v>0</v>
      </c>
      <c r="R40" s="460">
        <v>0</v>
      </c>
      <c r="S40" s="673">
        <v>0</v>
      </c>
      <c r="T40" s="460">
        <v>0</v>
      </c>
      <c r="U40" s="460">
        <v>0</v>
      </c>
      <c r="V40" s="460">
        <f t="shared" si="57"/>
        <v>0</v>
      </c>
      <c r="W40" s="460">
        <v>0</v>
      </c>
      <c r="X40" s="460">
        <v>0</v>
      </c>
      <c r="Y40" s="460">
        <v>0</v>
      </c>
      <c r="Z40" s="460">
        <f t="shared" si="58"/>
        <v>0</v>
      </c>
      <c r="AA40" s="460">
        <f t="shared" si="59"/>
        <v>0</v>
      </c>
      <c r="AB40" s="69">
        <f t="shared" si="60"/>
        <v>0</v>
      </c>
      <c r="AC40" s="69">
        <f t="shared" si="61"/>
        <v>0</v>
      </c>
      <c r="AD40" s="460">
        <v>0</v>
      </c>
      <c r="AE40" s="460">
        <v>0</v>
      </c>
      <c r="AF40" s="460">
        <f t="shared" si="62"/>
        <v>0</v>
      </c>
      <c r="AG40" s="460">
        <f t="shared" si="63"/>
        <v>0</v>
      </c>
      <c r="AH40" s="461">
        <v>0</v>
      </c>
      <c r="AI40" s="461">
        <v>0</v>
      </c>
      <c r="AJ40" s="461">
        <v>0</v>
      </c>
      <c r="AK40" s="461">
        <v>0</v>
      </c>
      <c r="AL40" s="674">
        <v>0</v>
      </c>
      <c r="AM40" s="461">
        <v>0</v>
      </c>
      <c r="AN40" s="461">
        <v>0</v>
      </c>
      <c r="AO40" s="461">
        <v>0</v>
      </c>
      <c r="AP40" s="461">
        <f t="shared" si="64"/>
        <v>0</v>
      </c>
      <c r="AQ40" s="461">
        <f t="shared" si="65"/>
        <v>0</v>
      </c>
      <c r="AR40" s="737">
        <f t="shared" si="66"/>
        <v>0</v>
      </c>
      <c r="AS40" s="470">
        <f t="shared" si="18"/>
        <v>595845</v>
      </c>
      <c r="AT40" s="460">
        <f t="shared" si="19"/>
        <v>442022</v>
      </c>
      <c r="AU40" s="460">
        <f t="shared" si="20"/>
        <v>0</v>
      </c>
      <c r="AV40" s="460">
        <f t="shared" si="21"/>
        <v>149403</v>
      </c>
      <c r="AW40" s="460">
        <f t="shared" si="22"/>
        <v>4420</v>
      </c>
      <c r="AX40" s="460">
        <f t="shared" si="23"/>
        <v>0</v>
      </c>
      <c r="AY40" s="461">
        <f t="shared" si="24"/>
        <v>1</v>
      </c>
      <c r="AZ40" s="461">
        <f t="shared" si="25"/>
        <v>1</v>
      </c>
      <c r="BA40" s="463">
        <f t="shared" si="26"/>
        <v>0</v>
      </c>
    </row>
    <row r="41" spans="1:53" s="98" customFormat="1" ht="14.1" customHeight="1" x14ac:dyDescent="0.2">
      <c r="A41" s="121">
        <v>5</v>
      </c>
      <c r="B41" s="78">
        <v>2451</v>
      </c>
      <c r="C41" s="95">
        <v>650037901</v>
      </c>
      <c r="D41" s="78">
        <v>72744880</v>
      </c>
      <c r="E41" s="78" t="s">
        <v>735</v>
      </c>
      <c r="F41" s="96">
        <v>3143</v>
      </c>
      <c r="G41" s="78" t="s">
        <v>617</v>
      </c>
      <c r="H41" s="97" t="s">
        <v>278</v>
      </c>
      <c r="I41" s="462">
        <v>21990</v>
      </c>
      <c r="J41" s="673">
        <v>15712</v>
      </c>
      <c r="K41" s="457">
        <v>5311</v>
      </c>
      <c r="L41" s="457">
        <v>157</v>
      </c>
      <c r="M41" s="673">
        <v>810</v>
      </c>
      <c r="N41" s="458">
        <v>0.06</v>
      </c>
      <c r="O41" s="459">
        <v>0</v>
      </c>
      <c r="P41" s="717">
        <v>0.06</v>
      </c>
      <c r="Q41" s="469">
        <f t="shared" si="56"/>
        <v>0</v>
      </c>
      <c r="R41" s="460">
        <v>0</v>
      </c>
      <c r="S41" s="673">
        <v>0</v>
      </c>
      <c r="T41" s="460">
        <v>0</v>
      </c>
      <c r="U41" s="460">
        <v>0</v>
      </c>
      <c r="V41" s="460">
        <f t="shared" si="57"/>
        <v>0</v>
      </c>
      <c r="W41" s="460">
        <v>0</v>
      </c>
      <c r="X41" s="460">
        <v>0</v>
      </c>
      <c r="Y41" s="460">
        <v>0</v>
      </c>
      <c r="Z41" s="460">
        <f t="shared" si="58"/>
        <v>0</v>
      </c>
      <c r="AA41" s="460">
        <f t="shared" si="59"/>
        <v>0</v>
      </c>
      <c r="AB41" s="69">
        <f t="shared" si="60"/>
        <v>0</v>
      </c>
      <c r="AC41" s="69">
        <f t="shared" si="61"/>
        <v>0</v>
      </c>
      <c r="AD41" s="460">
        <v>0</v>
      </c>
      <c r="AE41" s="460">
        <v>0</v>
      </c>
      <c r="AF41" s="460">
        <f t="shared" si="62"/>
        <v>0</v>
      </c>
      <c r="AG41" s="460">
        <f t="shared" si="63"/>
        <v>0</v>
      </c>
      <c r="AH41" s="461">
        <v>0</v>
      </c>
      <c r="AI41" s="461">
        <v>0</v>
      </c>
      <c r="AJ41" s="461">
        <v>0</v>
      </c>
      <c r="AK41" s="461">
        <v>0</v>
      </c>
      <c r="AL41" s="674">
        <v>0</v>
      </c>
      <c r="AM41" s="461">
        <v>0</v>
      </c>
      <c r="AN41" s="461">
        <v>0</v>
      </c>
      <c r="AO41" s="461">
        <v>0</v>
      </c>
      <c r="AP41" s="461">
        <f t="shared" si="64"/>
        <v>0</v>
      </c>
      <c r="AQ41" s="461">
        <f t="shared" si="65"/>
        <v>0</v>
      </c>
      <c r="AR41" s="737">
        <f t="shared" si="66"/>
        <v>0</v>
      </c>
      <c r="AS41" s="470">
        <f t="shared" si="18"/>
        <v>21990</v>
      </c>
      <c r="AT41" s="460">
        <f t="shared" si="19"/>
        <v>15712</v>
      </c>
      <c r="AU41" s="460">
        <f t="shared" si="20"/>
        <v>0</v>
      </c>
      <c r="AV41" s="460">
        <f t="shared" si="21"/>
        <v>5311</v>
      </c>
      <c r="AW41" s="460">
        <f t="shared" si="22"/>
        <v>157</v>
      </c>
      <c r="AX41" s="460">
        <f t="shared" si="23"/>
        <v>810</v>
      </c>
      <c r="AY41" s="461">
        <f t="shared" si="24"/>
        <v>0.06</v>
      </c>
      <c r="AZ41" s="461">
        <f t="shared" si="25"/>
        <v>0</v>
      </c>
      <c r="BA41" s="463">
        <f t="shared" si="26"/>
        <v>0.06</v>
      </c>
    </row>
    <row r="42" spans="1:53" s="98" customFormat="1" ht="14.1" customHeight="1" x14ac:dyDescent="0.2">
      <c r="A42" s="122">
        <v>5</v>
      </c>
      <c r="B42" s="99">
        <v>2451</v>
      </c>
      <c r="C42" s="100">
        <v>650037901</v>
      </c>
      <c r="D42" s="99">
        <v>72744880</v>
      </c>
      <c r="E42" s="99" t="s">
        <v>736</v>
      </c>
      <c r="F42" s="108"/>
      <c r="G42" s="102"/>
      <c r="H42" s="103"/>
      <c r="I42" s="489">
        <f t="shared" ref="I42:P42" si="67">SUM(I36:I41)</f>
        <v>6996676</v>
      </c>
      <c r="J42" s="485">
        <f t="shared" si="67"/>
        <v>5130777</v>
      </c>
      <c r="K42" s="485">
        <f t="shared" si="67"/>
        <v>1734203</v>
      </c>
      <c r="L42" s="485">
        <f t="shared" si="67"/>
        <v>51308</v>
      </c>
      <c r="M42" s="485">
        <f t="shared" si="67"/>
        <v>80388</v>
      </c>
      <c r="N42" s="486">
        <f t="shared" si="67"/>
        <v>10.99</v>
      </c>
      <c r="O42" s="486">
        <f t="shared" si="67"/>
        <v>7</v>
      </c>
      <c r="P42" s="105">
        <f t="shared" si="67"/>
        <v>3.99</v>
      </c>
      <c r="Q42" s="491">
        <f t="shared" ref="Q42:BA42" si="68">SUM(Q36:Q41)</f>
        <v>0</v>
      </c>
      <c r="R42" s="491">
        <f t="shared" si="68"/>
        <v>676086</v>
      </c>
      <c r="S42" s="485">
        <f t="shared" si="68"/>
        <v>0</v>
      </c>
      <c r="T42" s="485">
        <f t="shared" si="68"/>
        <v>0</v>
      </c>
      <c r="U42" s="485">
        <f t="shared" si="68"/>
        <v>0</v>
      </c>
      <c r="V42" s="485">
        <f t="shared" si="68"/>
        <v>676086</v>
      </c>
      <c r="W42" s="485">
        <f t="shared" si="68"/>
        <v>0</v>
      </c>
      <c r="X42" s="485">
        <f t="shared" si="68"/>
        <v>0</v>
      </c>
      <c r="Y42" s="485">
        <f t="shared" si="68"/>
        <v>0</v>
      </c>
      <c r="Z42" s="485">
        <f t="shared" si="68"/>
        <v>0</v>
      </c>
      <c r="AA42" s="485">
        <f t="shared" si="68"/>
        <v>676086</v>
      </c>
      <c r="AB42" s="485">
        <f t="shared" si="68"/>
        <v>228517</v>
      </c>
      <c r="AC42" s="485">
        <f t="shared" si="68"/>
        <v>6761</v>
      </c>
      <c r="AD42" s="485">
        <f t="shared" si="68"/>
        <v>1250</v>
      </c>
      <c r="AE42" s="485">
        <f t="shared" si="68"/>
        <v>0</v>
      </c>
      <c r="AF42" s="485">
        <f t="shared" si="68"/>
        <v>1250</v>
      </c>
      <c r="AG42" s="485">
        <f t="shared" si="68"/>
        <v>912614</v>
      </c>
      <c r="AH42" s="486">
        <f t="shared" si="68"/>
        <v>0</v>
      </c>
      <c r="AI42" s="486">
        <f t="shared" si="68"/>
        <v>0</v>
      </c>
      <c r="AJ42" s="486">
        <f t="shared" si="68"/>
        <v>1.73</v>
      </c>
      <c r="AK42" s="486">
        <f t="shared" si="68"/>
        <v>0</v>
      </c>
      <c r="AL42" s="486">
        <f t="shared" si="68"/>
        <v>0</v>
      </c>
      <c r="AM42" s="486">
        <f t="shared" si="68"/>
        <v>0</v>
      </c>
      <c r="AN42" s="486">
        <f t="shared" si="68"/>
        <v>0</v>
      </c>
      <c r="AO42" s="486">
        <f t="shared" si="68"/>
        <v>0</v>
      </c>
      <c r="AP42" s="486">
        <f t="shared" si="68"/>
        <v>1.73</v>
      </c>
      <c r="AQ42" s="486">
        <f t="shared" si="68"/>
        <v>0</v>
      </c>
      <c r="AR42" s="738">
        <f t="shared" si="68"/>
        <v>1.73</v>
      </c>
      <c r="AS42" s="489">
        <f t="shared" si="68"/>
        <v>7909290</v>
      </c>
      <c r="AT42" s="485">
        <f t="shared" si="68"/>
        <v>5806863</v>
      </c>
      <c r="AU42" s="485">
        <f t="shared" si="68"/>
        <v>0</v>
      </c>
      <c r="AV42" s="485">
        <f t="shared" si="68"/>
        <v>1962720</v>
      </c>
      <c r="AW42" s="485">
        <f t="shared" si="68"/>
        <v>58069</v>
      </c>
      <c r="AX42" s="485">
        <f t="shared" si="68"/>
        <v>81638</v>
      </c>
      <c r="AY42" s="486">
        <f t="shared" si="68"/>
        <v>12.72</v>
      </c>
      <c r="AZ42" s="486">
        <f t="shared" si="68"/>
        <v>8.73</v>
      </c>
      <c r="BA42" s="105">
        <f t="shared" si="68"/>
        <v>3.99</v>
      </c>
    </row>
    <row r="43" spans="1:53" s="98" customFormat="1" ht="14.1" customHeight="1" x14ac:dyDescent="0.2">
      <c r="A43" s="121">
        <v>6</v>
      </c>
      <c r="B43" s="104">
        <v>2453</v>
      </c>
      <c r="C43" s="95">
        <v>600079686</v>
      </c>
      <c r="D43" s="78">
        <v>72743603</v>
      </c>
      <c r="E43" s="78" t="s">
        <v>737</v>
      </c>
      <c r="F43" s="96">
        <v>3111</v>
      </c>
      <c r="G43" s="78" t="s">
        <v>307</v>
      </c>
      <c r="H43" s="97" t="s">
        <v>277</v>
      </c>
      <c r="I43" s="462">
        <v>3389120</v>
      </c>
      <c r="J43" s="16">
        <v>2500238</v>
      </c>
      <c r="K43" s="457">
        <v>845080</v>
      </c>
      <c r="L43" s="457">
        <v>25002</v>
      </c>
      <c r="M43" s="16">
        <v>18800</v>
      </c>
      <c r="N43" s="458">
        <v>4.9935</v>
      </c>
      <c r="O43" s="13">
        <v>4.1935000000000002</v>
      </c>
      <c r="P43" s="17">
        <v>0.8</v>
      </c>
      <c r="Q43" s="469">
        <f t="shared" ref="Q43:Q48" si="69">W43*-1</f>
        <v>0</v>
      </c>
      <c r="R43" s="460">
        <v>0</v>
      </c>
      <c r="S43" s="673">
        <v>0</v>
      </c>
      <c r="T43" s="460">
        <v>0</v>
      </c>
      <c r="U43" s="460">
        <v>0</v>
      </c>
      <c r="V43" s="460">
        <f t="shared" ref="V43:V48" si="70">SUM(Q43:U43)</f>
        <v>0</v>
      </c>
      <c r="W43" s="460">
        <v>0</v>
      </c>
      <c r="X43" s="460">
        <v>0</v>
      </c>
      <c r="Y43" s="460">
        <v>0</v>
      </c>
      <c r="Z43" s="460">
        <f t="shared" ref="Z43:Z48" si="71">SUM(W43:Y43)</f>
        <v>0</v>
      </c>
      <c r="AA43" s="460">
        <f t="shared" ref="AA43:AA48" si="72">V43+Z43</f>
        <v>0</v>
      </c>
      <c r="AB43" s="69">
        <f t="shared" ref="AB43:AB48" si="73">ROUND((V43+W43+X43)*33.8%,0)</f>
        <v>0</v>
      </c>
      <c r="AC43" s="69">
        <f t="shared" ref="AC43:AC48" si="74">ROUND(V43*1%,0)</f>
        <v>0</v>
      </c>
      <c r="AD43" s="460">
        <v>0</v>
      </c>
      <c r="AE43" s="460">
        <v>0</v>
      </c>
      <c r="AF43" s="460">
        <f t="shared" ref="AF43:AF48" si="75">SUM(AD43:AE43)</f>
        <v>0</v>
      </c>
      <c r="AG43" s="460">
        <f t="shared" ref="AG43:AG48" si="76">AA43+AB43+AC43+AF43</f>
        <v>0</v>
      </c>
      <c r="AH43" s="461">
        <v>0</v>
      </c>
      <c r="AI43" s="461">
        <v>0</v>
      </c>
      <c r="AJ43" s="461">
        <v>0</v>
      </c>
      <c r="AK43" s="461">
        <v>0</v>
      </c>
      <c r="AL43" s="674">
        <v>0</v>
      </c>
      <c r="AM43" s="461">
        <v>0</v>
      </c>
      <c r="AN43" s="461">
        <v>0</v>
      </c>
      <c r="AO43" s="461">
        <v>0</v>
      </c>
      <c r="AP43" s="461">
        <f t="shared" ref="AP43:AP48" si="77">AH43+AJ43+AK43+AM43+AN43</f>
        <v>0</v>
      </c>
      <c r="AQ43" s="461">
        <f t="shared" ref="AQ43:AQ48" si="78">AI43+AL43+AO43</f>
        <v>0</v>
      </c>
      <c r="AR43" s="737">
        <f t="shared" ref="AR43:AR48" si="79">SUM(AP43:AQ43)</f>
        <v>0</v>
      </c>
      <c r="AS43" s="470">
        <f t="shared" si="18"/>
        <v>3389120</v>
      </c>
      <c r="AT43" s="460">
        <f t="shared" si="19"/>
        <v>2500238</v>
      </c>
      <c r="AU43" s="460">
        <f t="shared" si="20"/>
        <v>0</v>
      </c>
      <c r="AV43" s="460">
        <f t="shared" si="21"/>
        <v>845080</v>
      </c>
      <c r="AW43" s="460">
        <f t="shared" si="22"/>
        <v>25002</v>
      </c>
      <c r="AX43" s="460">
        <f t="shared" si="23"/>
        <v>18800</v>
      </c>
      <c r="AY43" s="461">
        <f t="shared" si="24"/>
        <v>4.9935</v>
      </c>
      <c r="AZ43" s="461">
        <f t="shared" si="25"/>
        <v>4.1935000000000002</v>
      </c>
      <c r="BA43" s="463">
        <f t="shared" si="26"/>
        <v>0.8</v>
      </c>
    </row>
    <row r="44" spans="1:53" s="98" customFormat="1" ht="14.1" customHeight="1" x14ac:dyDescent="0.2">
      <c r="A44" s="121">
        <v>6</v>
      </c>
      <c r="B44" s="106">
        <v>2453</v>
      </c>
      <c r="C44" s="95">
        <v>600079686</v>
      </c>
      <c r="D44" s="78">
        <v>72743603</v>
      </c>
      <c r="E44" s="106" t="s">
        <v>737</v>
      </c>
      <c r="F44" s="107">
        <v>3117</v>
      </c>
      <c r="G44" s="106" t="s">
        <v>325</v>
      </c>
      <c r="H44" s="97" t="s">
        <v>277</v>
      </c>
      <c r="I44" s="462">
        <v>5900938</v>
      </c>
      <c r="J44" s="16">
        <v>4286730</v>
      </c>
      <c r="K44" s="457">
        <v>1448916</v>
      </c>
      <c r="L44" s="457">
        <v>42867</v>
      </c>
      <c r="M44" s="16">
        <v>122425</v>
      </c>
      <c r="N44" s="458">
        <v>8.1372999999999998</v>
      </c>
      <c r="O44" s="13">
        <v>6.1273</v>
      </c>
      <c r="P44" s="17">
        <v>2.0099999999999998</v>
      </c>
      <c r="Q44" s="469">
        <f t="shared" si="69"/>
        <v>-4828</v>
      </c>
      <c r="R44" s="460">
        <v>0</v>
      </c>
      <c r="S44" s="673">
        <v>0</v>
      </c>
      <c r="T44" s="460">
        <v>0</v>
      </c>
      <c r="U44" s="460">
        <v>0</v>
      </c>
      <c r="V44" s="460">
        <f t="shared" si="70"/>
        <v>-4828</v>
      </c>
      <c r="W44" s="460">
        <v>4828</v>
      </c>
      <c r="X44" s="460">
        <v>37140</v>
      </c>
      <c r="Y44" s="460">
        <v>0</v>
      </c>
      <c r="Z44" s="460">
        <f t="shared" si="71"/>
        <v>41968</v>
      </c>
      <c r="AA44" s="460">
        <f t="shared" si="72"/>
        <v>37140</v>
      </c>
      <c r="AB44" s="69">
        <f t="shared" si="73"/>
        <v>12553</v>
      </c>
      <c r="AC44" s="69">
        <f t="shared" si="74"/>
        <v>-48</v>
      </c>
      <c r="AD44" s="460">
        <v>0</v>
      </c>
      <c r="AE44" s="460">
        <v>0</v>
      </c>
      <c r="AF44" s="460">
        <f t="shared" si="75"/>
        <v>0</v>
      </c>
      <c r="AG44" s="460">
        <f t="shared" si="76"/>
        <v>49645</v>
      </c>
      <c r="AH44" s="461">
        <v>0</v>
      </c>
      <c r="AI44" s="461">
        <v>0</v>
      </c>
      <c r="AJ44" s="461">
        <v>0</v>
      </c>
      <c r="AK44" s="461">
        <v>0</v>
      </c>
      <c r="AL44" s="674">
        <v>0</v>
      </c>
      <c r="AM44" s="461">
        <v>0</v>
      </c>
      <c r="AN44" s="461">
        <v>0</v>
      </c>
      <c r="AO44" s="461">
        <v>0</v>
      </c>
      <c r="AP44" s="461">
        <f t="shared" si="77"/>
        <v>0</v>
      </c>
      <c r="AQ44" s="461">
        <f t="shared" si="78"/>
        <v>0</v>
      </c>
      <c r="AR44" s="737">
        <f t="shared" si="79"/>
        <v>0</v>
      </c>
      <c r="AS44" s="470">
        <f t="shared" si="18"/>
        <v>5950583</v>
      </c>
      <c r="AT44" s="460">
        <f t="shared" si="19"/>
        <v>4281902</v>
      </c>
      <c r="AU44" s="460">
        <f t="shared" si="20"/>
        <v>41968</v>
      </c>
      <c r="AV44" s="460">
        <f t="shared" si="21"/>
        <v>1461469</v>
      </c>
      <c r="AW44" s="460">
        <f t="shared" si="22"/>
        <v>42819</v>
      </c>
      <c r="AX44" s="460">
        <f t="shared" si="23"/>
        <v>122425</v>
      </c>
      <c r="AY44" s="461">
        <f t="shared" si="24"/>
        <v>8.1372999999999998</v>
      </c>
      <c r="AZ44" s="461">
        <f t="shared" si="25"/>
        <v>6.1273</v>
      </c>
      <c r="BA44" s="463">
        <f t="shared" si="26"/>
        <v>2.0099999999999998</v>
      </c>
    </row>
    <row r="45" spans="1:53" s="98" customFormat="1" ht="14.1" customHeight="1" x14ac:dyDescent="0.2">
      <c r="A45" s="121">
        <v>6</v>
      </c>
      <c r="B45" s="104">
        <v>2453</v>
      </c>
      <c r="C45" s="95">
        <v>600079686</v>
      </c>
      <c r="D45" s="78">
        <v>72743603</v>
      </c>
      <c r="E45" s="104" t="s">
        <v>737</v>
      </c>
      <c r="F45" s="96">
        <v>3117</v>
      </c>
      <c r="G45" s="78" t="s">
        <v>308</v>
      </c>
      <c r="H45" s="97" t="s">
        <v>278</v>
      </c>
      <c r="I45" s="462">
        <v>0</v>
      </c>
      <c r="J45" s="591">
        <v>0</v>
      </c>
      <c r="K45" s="457">
        <v>0</v>
      </c>
      <c r="L45" s="457">
        <v>0</v>
      </c>
      <c r="M45" s="591">
        <v>0</v>
      </c>
      <c r="N45" s="458">
        <v>0</v>
      </c>
      <c r="O45" s="459">
        <v>0</v>
      </c>
      <c r="P45" s="717">
        <v>0</v>
      </c>
      <c r="Q45" s="469">
        <f t="shared" si="69"/>
        <v>0</v>
      </c>
      <c r="R45" s="460">
        <v>1224244</v>
      </c>
      <c r="S45" s="673">
        <v>0</v>
      </c>
      <c r="T45" s="460">
        <v>0</v>
      </c>
      <c r="U45" s="460">
        <v>0</v>
      </c>
      <c r="V45" s="460">
        <f t="shared" si="70"/>
        <v>1224244</v>
      </c>
      <c r="W45" s="460">
        <v>0</v>
      </c>
      <c r="X45" s="460">
        <v>0</v>
      </c>
      <c r="Y45" s="460">
        <v>0</v>
      </c>
      <c r="Z45" s="460">
        <f t="shared" si="71"/>
        <v>0</v>
      </c>
      <c r="AA45" s="460">
        <f t="shared" si="72"/>
        <v>1224244</v>
      </c>
      <c r="AB45" s="69">
        <f t="shared" si="73"/>
        <v>413794</v>
      </c>
      <c r="AC45" s="69">
        <f t="shared" si="74"/>
        <v>12242</v>
      </c>
      <c r="AD45" s="460">
        <v>0</v>
      </c>
      <c r="AE45" s="460">
        <v>0</v>
      </c>
      <c r="AF45" s="460">
        <f t="shared" si="75"/>
        <v>0</v>
      </c>
      <c r="AG45" s="460">
        <f t="shared" si="76"/>
        <v>1650280</v>
      </c>
      <c r="AH45" s="461">
        <v>0</v>
      </c>
      <c r="AI45" s="461">
        <v>0</v>
      </c>
      <c r="AJ45" s="461">
        <v>3.87</v>
      </c>
      <c r="AK45" s="461">
        <v>0</v>
      </c>
      <c r="AL45" s="674">
        <v>0</v>
      </c>
      <c r="AM45" s="461">
        <v>0</v>
      </c>
      <c r="AN45" s="461">
        <v>0</v>
      </c>
      <c r="AO45" s="461">
        <v>0</v>
      </c>
      <c r="AP45" s="461">
        <f t="shared" si="77"/>
        <v>3.87</v>
      </c>
      <c r="AQ45" s="461">
        <f t="shared" si="78"/>
        <v>0</v>
      </c>
      <c r="AR45" s="737">
        <f t="shared" si="79"/>
        <v>3.87</v>
      </c>
      <c r="AS45" s="470">
        <f t="shared" si="18"/>
        <v>1650280</v>
      </c>
      <c r="AT45" s="460">
        <f t="shared" si="19"/>
        <v>1224244</v>
      </c>
      <c r="AU45" s="460">
        <f t="shared" si="20"/>
        <v>0</v>
      </c>
      <c r="AV45" s="460">
        <f t="shared" si="21"/>
        <v>413794</v>
      </c>
      <c r="AW45" s="460">
        <f t="shared" si="22"/>
        <v>12242</v>
      </c>
      <c r="AX45" s="460">
        <f t="shared" si="23"/>
        <v>0</v>
      </c>
      <c r="AY45" s="461">
        <f t="shared" si="24"/>
        <v>3.87</v>
      </c>
      <c r="AZ45" s="461">
        <f t="shared" si="25"/>
        <v>3.87</v>
      </c>
      <c r="BA45" s="463">
        <f t="shared" si="26"/>
        <v>0</v>
      </c>
    </row>
    <row r="46" spans="1:53" s="98" customFormat="1" ht="14.1" customHeight="1" x14ac:dyDescent="0.2">
      <c r="A46" s="121">
        <v>6</v>
      </c>
      <c r="B46" s="78">
        <v>2453</v>
      </c>
      <c r="C46" s="95">
        <v>600079686</v>
      </c>
      <c r="D46" s="78">
        <v>72743603</v>
      </c>
      <c r="E46" s="78" t="s">
        <v>737</v>
      </c>
      <c r="F46" s="96">
        <v>3141</v>
      </c>
      <c r="G46" s="78" t="s">
        <v>311</v>
      </c>
      <c r="H46" s="97" t="s">
        <v>278</v>
      </c>
      <c r="I46" s="462">
        <v>511516</v>
      </c>
      <c r="J46" s="728">
        <v>376461</v>
      </c>
      <c r="K46" s="457">
        <v>127244</v>
      </c>
      <c r="L46" s="457">
        <v>3765</v>
      </c>
      <c r="M46" s="728">
        <v>4046</v>
      </c>
      <c r="N46" s="458">
        <v>1.21</v>
      </c>
      <c r="O46" s="730">
        <v>0</v>
      </c>
      <c r="P46" s="729">
        <v>1.21</v>
      </c>
      <c r="Q46" s="469">
        <f t="shared" si="69"/>
        <v>0</v>
      </c>
      <c r="R46" s="460">
        <v>0</v>
      </c>
      <c r="S46" s="673">
        <v>0</v>
      </c>
      <c r="T46" s="460">
        <v>0</v>
      </c>
      <c r="U46" s="460">
        <v>0</v>
      </c>
      <c r="V46" s="460">
        <f t="shared" si="70"/>
        <v>0</v>
      </c>
      <c r="W46" s="460">
        <v>0</v>
      </c>
      <c r="X46" s="460">
        <v>0</v>
      </c>
      <c r="Y46" s="460">
        <v>0</v>
      </c>
      <c r="Z46" s="460">
        <f t="shared" si="71"/>
        <v>0</v>
      </c>
      <c r="AA46" s="460">
        <f t="shared" si="72"/>
        <v>0</v>
      </c>
      <c r="AB46" s="69">
        <f t="shared" si="73"/>
        <v>0</v>
      </c>
      <c r="AC46" s="69">
        <f t="shared" si="74"/>
        <v>0</v>
      </c>
      <c r="AD46" s="460">
        <v>0</v>
      </c>
      <c r="AE46" s="460">
        <v>0</v>
      </c>
      <c r="AF46" s="460">
        <f t="shared" si="75"/>
        <v>0</v>
      </c>
      <c r="AG46" s="460">
        <f t="shared" si="76"/>
        <v>0</v>
      </c>
      <c r="AH46" s="461">
        <v>0</v>
      </c>
      <c r="AI46" s="461">
        <v>0</v>
      </c>
      <c r="AJ46" s="461">
        <v>0</v>
      </c>
      <c r="AK46" s="461">
        <v>0</v>
      </c>
      <c r="AL46" s="674">
        <v>0</v>
      </c>
      <c r="AM46" s="461">
        <v>0</v>
      </c>
      <c r="AN46" s="461">
        <v>0</v>
      </c>
      <c r="AO46" s="461">
        <v>0</v>
      </c>
      <c r="AP46" s="461">
        <f t="shared" si="77"/>
        <v>0</v>
      </c>
      <c r="AQ46" s="461">
        <f t="shared" si="78"/>
        <v>0</v>
      </c>
      <c r="AR46" s="737">
        <f t="shared" si="79"/>
        <v>0</v>
      </c>
      <c r="AS46" s="470">
        <f t="shared" si="18"/>
        <v>511516</v>
      </c>
      <c r="AT46" s="460">
        <f t="shared" si="19"/>
        <v>376461</v>
      </c>
      <c r="AU46" s="460">
        <f t="shared" si="20"/>
        <v>0</v>
      </c>
      <c r="AV46" s="460">
        <f t="shared" si="21"/>
        <v>127244</v>
      </c>
      <c r="AW46" s="460">
        <f t="shared" si="22"/>
        <v>3765</v>
      </c>
      <c r="AX46" s="460">
        <f t="shared" si="23"/>
        <v>4046</v>
      </c>
      <c r="AY46" s="461">
        <f t="shared" si="24"/>
        <v>1.21</v>
      </c>
      <c r="AZ46" s="461">
        <f t="shared" si="25"/>
        <v>0</v>
      </c>
      <c r="BA46" s="463">
        <f t="shared" si="26"/>
        <v>1.21</v>
      </c>
    </row>
    <row r="47" spans="1:53" s="98" customFormat="1" ht="14.1" customHeight="1" x14ac:dyDescent="0.2">
      <c r="A47" s="121">
        <v>6</v>
      </c>
      <c r="B47" s="78">
        <v>2453</v>
      </c>
      <c r="C47" s="95">
        <v>600079686</v>
      </c>
      <c r="D47" s="78">
        <v>72743603</v>
      </c>
      <c r="E47" s="78" t="s">
        <v>737</v>
      </c>
      <c r="F47" s="96">
        <v>3143</v>
      </c>
      <c r="G47" s="78" t="s">
        <v>616</v>
      </c>
      <c r="H47" s="97" t="s">
        <v>277</v>
      </c>
      <c r="I47" s="462">
        <v>1186182</v>
      </c>
      <c r="J47" s="715">
        <v>879957</v>
      </c>
      <c r="K47" s="457">
        <v>297425</v>
      </c>
      <c r="L47" s="457">
        <v>8800</v>
      </c>
      <c r="M47" s="715">
        <v>0</v>
      </c>
      <c r="N47" s="458">
        <v>1.8214999999999999</v>
      </c>
      <c r="O47" s="716">
        <v>1.8214999999999999</v>
      </c>
      <c r="P47" s="718">
        <v>0</v>
      </c>
      <c r="Q47" s="469">
        <f t="shared" si="69"/>
        <v>-22750</v>
      </c>
      <c r="R47" s="460">
        <v>0</v>
      </c>
      <c r="S47" s="673">
        <v>0</v>
      </c>
      <c r="T47" s="460">
        <v>0</v>
      </c>
      <c r="U47" s="460">
        <v>0</v>
      </c>
      <c r="V47" s="460">
        <f t="shared" si="70"/>
        <v>-22750</v>
      </c>
      <c r="W47" s="460">
        <v>22750</v>
      </c>
      <c r="X47" s="460">
        <v>0</v>
      </c>
      <c r="Y47" s="460">
        <v>0</v>
      </c>
      <c r="Z47" s="460">
        <f t="shared" si="71"/>
        <v>22750</v>
      </c>
      <c r="AA47" s="460">
        <f t="shared" si="72"/>
        <v>0</v>
      </c>
      <c r="AB47" s="69">
        <f t="shared" si="73"/>
        <v>0</v>
      </c>
      <c r="AC47" s="69">
        <f t="shared" si="74"/>
        <v>-228</v>
      </c>
      <c r="AD47" s="460">
        <v>0</v>
      </c>
      <c r="AE47" s="460">
        <v>0</v>
      </c>
      <c r="AF47" s="460">
        <f t="shared" si="75"/>
        <v>0</v>
      </c>
      <c r="AG47" s="460">
        <f t="shared" si="76"/>
        <v>-228</v>
      </c>
      <c r="AH47" s="461">
        <v>0</v>
      </c>
      <c r="AI47" s="461">
        <v>0</v>
      </c>
      <c r="AJ47" s="461">
        <v>0</v>
      </c>
      <c r="AK47" s="461">
        <v>0</v>
      </c>
      <c r="AL47" s="674">
        <v>0</v>
      </c>
      <c r="AM47" s="461">
        <v>0</v>
      </c>
      <c r="AN47" s="461">
        <v>0</v>
      </c>
      <c r="AO47" s="461">
        <v>0</v>
      </c>
      <c r="AP47" s="461">
        <f t="shared" si="77"/>
        <v>0</v>
      </c>
      <c r="AQ47" s="461">
        <f t="shared" si="78"/>
        <v>0</v>
      </c>
      <c r="AR47" s="737">
        <f t="shared" si="79"/>
        <v>0</v>
      </c>
      <c r="AS47" s="470">
        <f t="shared" si="18"/>
        <v>1185954</v>
      </c>
      <c r="AT47" s="460">
        <f t="shared" si="19"/>
        <v>857207</v>
      </c>
      <c r="AU47" s="460">
        <f t="shared" si="20"/>
        <v>22750</v>
      </c>
      <c r="AV47" s="460">
        <f t="shared" si="21"/>
        <v>297425</v>
      </c>
      <c r="AW47" s="460">
        <f t="shared" si="22"/>
        <v>8572</v>
      </c>
      <c r="AX47" s="460">
        <f t="shared" si="23"/>
        <v>0</v>
      </c>
      <c r="AY47" s="461">
        <f t="shared" si="24"/>
        <v>1.8214999999999999</v>
      </c>
      <c r="AZ47" s="461">
        <f t="shared" si="25"/>
        <v>1.8214999999999999</v>
      </c>
      <c r="BA47" s="463">
        <f t="shared" si="26"/>
        <v>0</v>
      </c>
    </row>
    <row r="48" spans="1:53" s="98" customFormat="1" ht="14.1" customHeight="1" x14ac:dyDescent="0.2">
      <c r="A48" s="121">
        <v>6</v>
      </c>
      <c r="B48" s="78">
        <v>2453</v>
      </c>
      <c r="C48" s="95">
        <v>600079686</v>
      </c>
      <c r="D48" s="78">
        <v>72743603</v>
      </c>
      <c r="E48" s="78" t="s">
        <v>737</v>
      </c>
      <c r="F48" s="96">
        <v>3143</v>
      </c>
      <c r="G48" s="78" t="s">
        <v>617</v>
      </c>
      <c r="H48" s="97" t="s">
        <v>278</v>
      </c>
      <c r="I48" s="462">
        <v>43979</v>
      </c>
      <c r="J48" s="673">
        <v>31424</v>
      </c>
      <c r="K48" s="457">
        <v>10621</v>
      </c>
      <c r="L48" s="457">
        <v>314</v>
      </c>
      <c r="M48" s="673">
        <v>1620</v>
      </c>
      <c r="N48" s="458">
        <v>0.13</v>
      </c>
      <c r="O48" s="459">
        <v>0</v>
      </c>
      <c r="P48" s="717">
        <v>0.13</v>
      </c>
      <c r="Q48" s="469">
        <f t="shared" si="69"/>
        <v>0</v>
      </c>
      <c r="R48" s="460">
        <v>0</v>
      </c>
      <c r="S48" s="673">
        <v>0</v>
      </c>
      <c r="T48" s="460">
        <v>0</v>
      </c>
      <c r="U48" s="460">
        <v>0</v>
      </c>
      <c r="V48" s="460">
        <f t="shared" si="70"/>
        <v>0</v>
      </c>
      <c r="W48" s="460">
        <v>0</v>
      </c>
      <c r="X48" s="460">
        <v>0</v>
      </c>
      <c r="Y48" s="460">
        <v>0</v>
      </c>
      <c r="Z48" s="460">
        <f t="shared" si="71"/>
        <v>0</v>
      </c>
      <c r="AA48" s="460">
        <f t="shared" si="72"/>
        <v>0</v>
      </c>
      <c r="AB48" s="69">
        <f t="shared" si="73"/>
        <v>0</v>
      </c>
      <c r="AC48" s="69">
        <f t="shared" si="74"/>
        <v>0</v>
      </c>
      <c r="AD48" s="460">
        <v>0</v>
      </c>
      <c r="AE48" s="460">
        <v>0</v>
      </c>
      <c r="AF48" s="460">
        <f t="shared" si="75"/>
        <v>0</v>
      </c>
      <c r="AG48" s="460">
        <f t="shared" si="76"/>
        <v>0</v>
      </c>
      <c r="AH48" s="461">
        <v>0</v>
      </c>
      <c r="AI48" s="461">
        <v>0</v>
      </c>
      <c r="AJ48" s="461">
        <v>0</v>
      </c>
      <c r="AK48" s="461">
        <v>0</v>
      </c>
      <c r="AL48" s="674">
        <v>0</v>
      </c>
      <c r="AM48" s="461">
        <v>0</v>
      </c>
      <c r="AN48" s="461">
        <v>0</v>
      </c>
      <c r="AO48" s="461">
        <v>0</v>
      </c>
      <c r="AP48" s="461">
        <f t="shared" si="77"/>
        <v>0</v>
      </c>
      <c r="AQ48" s="461">
        <f t="shared" si="78"/>
        <v>0</v>
      </c>
      <c r="AR48" s="737">
        <f t="shared" si="79"/>
        <v>0</v>
      </c>
      <c r="AS48" s="470">
        <f t="shared" si="18"/>
        <v>43979</v>
      </c>
      <c r="AT48" s="460">
        <f t="shared" si="19"/>
        <v>31424</v>
      </c>
      <c r="AU48" s="460">
        <f t="shared" si="20"/>
        <v>0</v>
      </c>
      <c r="AV48" s="460">
        <f t="shared" si="21"/>
        <v>10621</v>
      </c>
      <c r="AW48" s="460">
        <f t="shared" si="22"/>
        <v>314</v>
      </c>
      <c r="AX48" s="460">
        <f t="shared" si="23"/>
        <v>1620</v>
      </c>
      <c r="AY48" s="461">
        <f t="shared" si="24"/>
        <v>0.13</v>
      </c>
      <c r="AZ48" s="461">
        <f t="shared" si="25"/>
        <v>0</v>
      </c>
      <c r="BA48" s="463">
        <f t="shared" si="26"/>
        <v>0.13</v>
      </c>
    </row>
    <row r="49" spans="1:53" s="98" customFormat="1" ht="14.1" customHeight="1" x14ac:dyDescent="0.2">
      <c r="A49" s="122">
        <v>6</v>
      </c>
      <c r="B49" s="99">
        <v>2453</v>
      </c>
      <c r="C49" s="100">
        <v>600079686</v>
      </c>
      <c r="D49" s="99">
        <v>72743603</v>
      </c>
      <c r="E49" s="99" t="s">
        <v>738</v>
      </c>
      <c r="F49" s="108"/>
      <c r="G49" s="102"/>
      <c r="H49" s="103"/>
      <c r="I49" s="489">
        <f t="shared" ref="I49:P49" si="80">SUM(I43:I48)</f>
        <v>11031735</v>
      </c>
      <c r="J49" s="485">
        <f t="shared" si="80"/>
        <v>8074810</v>
      </c>
      <c r="K49" s="485">
        <f t="shared" si="80"/>
        <v>2729286</v>
      </c>
      <c r="L49" s="485">
        <f t="shared" si="80"/>
        <v>80748</v>
      </c>
      <c r="M49" s="485">
        <f t="shared" si="80"/>
        <v>146891</v>
      </c>
      <c r="N49" s="486">
        <f t="shared" si="80"/>
        <v>16.292300000000001</v>
      </c>
      <c r="O49" s="486">
        <f t="shared" si="80"/>
        <v>12.142300000000001</v>
      </c>
      <c r="P49" s="105">
        <f t="shared" si="80"/>
        <v>4.1499999999999995</v>
      </c>
      <c r="Q49" s="491">
        <f t="shared" ref="Q49:BA49" si="81">SUM(Q43:Q48)</f>
        <v>-27578</v>
      </c>
      <c r="R49" s="491">
        <f t="shared" si="81"/>
        <v>1224244</v>
      </c>
      <c r="S49" s="485">
        <f t="shared" si="81"/>
        <v>0</v>
      </c>
      <c r="T49" s="485">
        <f t="shared" si="81"/>
        <v>0</v>
      </c>
      <c r="U49" s="485">
        <f t="shared" si="81"/>
        <v>0</v>
      </c>
      <c r="V49" s="485">
        <f t="shared" si="81"/>
        <v>1196666</v>
      </c>
      <c r="W49" s="485">
        <f t="shared" si="81"/>
        <v>27578</v>
      </c>
      <c r="X49" s="485">
        <f t="shared" si="81"/>
        <v>37140</v>
      </c>
      <c r="Y49" s="485">
        <f t="shared" si="81"/>
        <v>0</v>
      </c>
      <c r="Z49" s="485">
        <f t="shared" si="81"/>
        <v>64718</v>
      </c>
      <c r="AA49" s="485">
        <f t="shared" si="81"/>
        <v>1261384</v>
      </c>
      <c r="AB49" s="485">
        <f t="shared" si="81"/>
        <v>426347</v>
      </c>
      <c r="AC49" s="485">
        <f t="shared" si="81"/>
        <v>11966</v>
      </c>
      <c r="AD49" s="485">
        <f t="shared" si="81"/>
        <v>0</v>
      </c>
      <c r="AE49" s="485">
        <f t="shared" si="81"/>
        <v>0</v>
      </c>
      <c r="AF49" s="485">
        <f t="shared" si="81"/>
        <v>0</v>
      </c>
      <c r="AG49" s="485">
        <f t="shared" si="81"/>
        <v>1699697</v>
      </c>
      <c r="AH49" s="486">
        <f t="shared" si="81"/>
        <v>0</v>
      </c>
      <c r="AI49" s="486">
        <f t="shared" si="81"/>
        <v>0</v>
      </c>
      <c r="AJ49" s="486">
        <f t="shared" si="81"/>
        <v>3.87</v>
      </c>
      <c r="AK49" s="486">
        <f t="shared" si="81"/>
        <v>0</v>
      </c>
      <c r="AL49" s="486">
        <f t="shared" si="81"/>
        <v>0</v>
      </c>
      <c r="AM49" s="486">
        <f t="shared" si="81"/>
        <v>0</v>
      </c>
      <c r="AN49" s="486">
        <f t="shared" si="81"/>
        <v>0</v>
      </c>
      <c r="AO49" s="486">
        <f t="shared" si="81"/>
        <v>0</v>
      </c>
      <c r="AP49" s="486">
        <f t="shared" si="81"/>
        <v>3.87</v>
      </c>
      <c r="AQ49" s="486">
        <f t="shared" si="81"/>
        <v>0</v>
      </c>
      <c r="AR49" s="738">
        <f t="shared" si="81"/>
        <v>3.87</v>
      </c>
      <c r="AS49" s="489">
        <f t="shared" si="81"/>
        <v>12731432</v>
      </c>
      <c r="AT49" s="485">
        <f t="shared" si="81"/>
        <v>9271476</v>
      </c>
      <c r="AU49" s="485">
        <f t="shared" si="81"/>
        <v>64718</v>
      </c>
      <c r="AV49" s="485">
        <f t="shared" si="81"/>
        <v>3155633</v>
      </c>
      <c r="AW49" s="485">
        <f t="shared" si="81"/>
        <v>92714</v>
      </c>
      <c r="AX49" s="485">
        <f t="shared" si="81"/>
        <v>146891</v>
      </c>
      <c r="AY49" s="486">
        <f t="shared" si="81"/>
        <v>20.162300000000002</v>
      </c>
      <c r="AZ49" s="486">
        <f t="shared" si="81"/>
        <v>16.0123</v>
      </c>
      <c r="BA49" s="105">
        <f t="shared" si="81"/>
        <v>4.1499999999999995</v>
      </c>
    </row>
    <row r="50" spans="1:53" s="98" customFormat="1" ht="14.1" customHeight="1" x14ac:dyDescent="0.2">
      <c r="A50" s="121">
        <v>7</v>
      </c>
      <c r="B50" s="104">
        <v>2320</v>
      </c>
      <c r="C50" s="95">
        <v>650034180</v>
      </c>
      <c r="D50" s="78">
        <v>72755369</v>
      </c>
      <c r="E50" s="78" t="s">
        <v>739</v>
      </c>
      <c r="F50" s="96">
        <v>3111</v>
      </c>
      <c r="G50" s="78" t="s">
        <v>307</v>
      </c>
      <c r="H50" s="97" t="s">
        <v>277</v>
      </c>
      <c r="I50" s="462">
        <v>3054669</v>
      </c>
      <c r="J50" s="16">
        <v>2254799</v>
      </c>
      <c r="K50" s="457">
        <v>762122</v>
      </c>
      <c r="L50" s="457">
        <v>22548</v>
      </c>
      <c r="M50" s="16">
        <v>15200</v>
      </c>
      <c r="N50" s="458">
        <v>4.72</v>
      </c>
      <c r="O50" s="13">
        <v>4</v>
      </c>
      <c r="P50" s="17">
        <v>0.72</v>
      </c>
      <c r="Q50" s="469">
        <f t="shared" ref="Q50:Q55" si="82">W50*-1</f>
        <v>-9750</v>
      </c>
      <c r="R50" s="460">
        <v>0</v>
      </c>
      <c r="S50" s="673">
        <v>0</v>
      </c>
      <c r="T50" s="460">
        <v>0</v>
      </c>
      <c r="U50" s="460">
        <v>0</v>
      </c>
      <c r="V50" s="460">
        <f t="shared" ref="V50:V55" si="83">SUM(Q50:U50)</f>
        <v>-9750</v>
      </c>
      <c r="W50" s="460">
        <v>9750</v>
      </c>
      <c r="X50" s="460">
        <v>0</v>
      </c>
      <c r="Y50" s="460">
        <v>0</v>
      </c>
      <c r="Z50" s="460">
        <f t="shared" ref="Z50:Z55" si="84">SUM(W50:Y50)</f>
        <v>9750</v>
      </c>
      <c r="AA50" s="460">
        <f t="shared" ref="AA50:AA55" si="85">V50+Z50</f>
        <v>0</v>
      </c>
      <c r="AB50" s="69">
        <f t="shared" ref="AB50:AB55" si="86">ROUND((V50+W50+X50)*33.8%,0)</f>
        <v>0</v>
      </c>
      <c r="AC50" s="69">
        <f t="shared" ref="AC50:AC55" si="87">ROUND(V50*1%,0)</f>
        <v>-98</v>
      </c>
      <c r="AD50" s="460">
        <v>0</v>
      </c>
      <c r="AE50" s="460">
        <v>0</v>
      </c>
      <c r="AF50" s="460">
        <f t="shared" ref="AF50:AF55" si="88">SUM(AD50:AE50)</f>
        <v>0</v>
      </c>
      <c r="AG50" s="460">
        <f t="shared" ref="AG50:AG55" si="89">AA50+AB50+AC50+AF50</f>
        <v>-98</v>
      </c>
      <c r="AH50" s="461">
        <v>0</v>
      </c>
      <c r="AI50" s="461">
        <v>0</v>
      </c>
      <c r="AJ50" s="461">
        <v>0</v>
      </c>
      <c r="AK50" s="461">
        <v>0</v>
      </c>
      <c r="AL50" s="674">
        <v>0</v>
      </c>
      <c r="AM50" s="461">
        <v>0</v>
      </c>
      <c r="AN50" s="461">
        <v>0</v>
      </c>
      <c r="AO50" s="461">
        <v>0</v>
      </c>
      <c r="AP50" s="461">
        <f t="shared" ref="AP50:AP55" si="90">AH50+AJ50+AK50+AM50+AN50</f>
        <v>0</v>
      </c>
      <c r="AQ50" s="461">
        <f t="shared" ref="AQ50:AQ55" si="91">AI50+AL50+AO50</f>
        <v>0</v>
      </c>
      <c r="AR50" s="737">
        <f t="shared" ref="AR50:AR55" si="92">SUM(AP50:AQ50)</f>
        <v>0</v>
      </c>
      <c r="AS50" s="470">
        <f t="shared" si="18"/>
        <v>3054571</v>
      </c>
      <c r="AT50" s="460">
        <f t="shared" si="19"/>
        <v>2245049</v>
      </c>
      <c r="AU50" s="460">
        <f t="shared" si="20"/>
        <v>9750</v>
      </c>
      <c r="AV50" s="460">
        <f t="shared" si="21"/>
        <v>762122</v>
      </c>
      <c r="AW50" s="460">
        <f t="shared" si="22"/>
        <v>22450</v>
      </c>
      <c r="AX50" s="460">
        <f t="shared" si="23"/>
        <v>15200</v>
      </c>
      <c r="AY50" s="461">
        <f t="shared" si="24"/>
        <v>4.72</v>
      </c>
      <c r="AZ50" s="461">
        <f t="shared" si="25"/>
        <v>4</v>
      </c>
      <c r="BA50" s="463">
        <f t="shared" si="26"/>
        <v>0.72</v>
      </c>
    </row>
    <row r="51" spans="1:53" s="98" customFormat="1" ht="14.1" customHeight="1" x14ac:dyDescent="0.2">
      <c r="A51" s="121">
        <v>7</v>
      </c>
      <c r="B51" s="106">
        <v>2320</v>
      </c>
      <c r="C51" s="95">
        <v>650034180</v>
      </c>
      <c r="D51" s="78">
        <v>72755369</v>
      </c>
      <c r="E51" s="106" t="s">
        <v>739</v>
      </c>
      <c r="F51" s="107">
        <v>3117</v>
      </c>
      <c r="G51" s="106" t="s">
        <v>310</v>
      </c>
      <c r="H51" s="97" t="s">
        <v>277</v>
      </c>
      <c r="I51" s="462">
        <v>4569730</v>
      </c>
      <c r="J51" s="16">
        <v>3330920</v>
      </c>
      <c r="K51" s="457">
        <v>1125851</v>
      </c>
      <c r="L51" s="457">
        <v>33309</v>
      </c>
      <c r="M51" s="16">
        <v>79650</v>
      </c>
      <c r="N51" s="458">
        <v>6.2320000000000002</v>
      </c>
      <c r="O51" s="13">
        <v>4.1820000000000004</v>
      </c>
      <c r="P51" s="17">
        <v>2.0499999999999998</v>
      </c>
      <c r="Q51" s="469">
        <f t="shared" si="82"/>
        <v>-32500</v>
      </c>
      <c r="R51" s="460">
        <v>0</v>
      </c>
      <c r="S51" s="673">
        <v>0</v>
      </c>
      <c r="T51" s="460">
        <v>0</v>
      </c>
      <c r="U51" s="460">
        <v>0</v>
      </c>
      <c r="V51" s="460">
        <f t="shared" si="83"/>
        <v>-32500</v>
      </c>
      <c r="W51" s="460">
        <v>32500</v>
      </c>
      <c r="X51" s="460">
        <v>0</v>
      </c>
      <c r="Y51" s="460">
        <v>0</v>
      </c>
      <c r="Z51" s="460">
        <f t="shared" si="84"/>
        <v>32500</v>
      </c>
      <c r="AA51" s="460">
        <f t="shared" si="85"/>
        <v>0</v>
      </c>
      <c r="AB51" s="69">
        <f t="shared" si="86"/>
        <v>0</v>
      </c>
      <c r="AC51" s="69">
        <f t="shared" si="87"/>
        <v>-325</v>
      </c>
      <c r="AD51" s="460">
        <v>0</v>
      </c>
      <c r="AE51" s="460">
        <v>0</v>
      </c>
      <c r="AF51" s="460">
        <f t="shared" si="88"/>
        <v>0</v>
      </c>
      <c r="AG51" s="460">
        <f t="shared" si="89"/>
        <v>-325</v>
      </c>
      <c r="AH51" s="461">
        <v>0</v>
      </c>
      <c r="AI51" s="461">
        <v>0</v>
      </c>
      <c r="AJ51" s="461">
        <v>0</v>
      </c>
      <c r="AK51" s="461">
        <v>0</v>
      </c>
      <c r="AL51" s="674">
        <v>0</v>
      </c>
      <c r="AM51" s="461">
        <v>0</v>
      </c>
      <c r="AN51" s="461">
        <v>0</v>
      </c>
      <c r="AO51" s="461">
        <v>0</v>
      </c>
      <c r="AP51" s="461">
        <f t="shared" si="90"/>
        <v>0</v>
      </c>
      <c r="AQ51" s="461">
        <f t="shared" si="91"/>
        <v>0</v>
      </c>
      <c r="AR51" s="737">
        <f t="shared" si="92"/>
        <v>0</v>
      </c>
      <c r="AS51" s="470">
        <f t="shared" si="18"/>
        <v>4569405</v>
      </c>
      <c r="AT51" s="460">
        <f t="shared" si="19"/>
        <v>3298420</v>
      </c>
      <c r="AU51" s="460">
        <f t="shared" si="20"/>
        <v>32500</v>
      </c>
      <c r="AV51" s="460">
        <f t="shared" si="21"/>
        <v>1125851</v>
      </c>
      <c r="AW51" s="460">
        <f t="shared" si="22"/>
        <v>32984</v>
      </c>
      <c r="AX51" s="460">
        <f t="shared" si="23"/>
        <v>79650</v>
      </c>
      <c r="AY51" s="461">
        <f t="shared" si="24"/>
        <v>6.2320000000000002</v>
      </c>
      <c r="AZ51" s="461">
        <f t="shared" si="25"/>
        <v>4.1820000000000004</v>
      </c>
      <c r="BA51" s="463">
        <f t="shared" si="26"/>
        <v>2.0499999999999998</v>
      </c>
    </row>
    <row r="52" spans="1:53" s="98" customFormat="1" ht="14.1" customHeight="1" x14ac:dyDescent="0.2">
      <c r="A52" s="121">
        <v>7</v>
      </c>
      <c r="B52" s="104">
        <v>2320</v>
      </c>
      <c r="C52" s="95">
        <v>650034180</v>
      </c>
      <c r="D52" s="78">
        <v>72755369</v>
      </c>
      <c r="E52" s="104" t="s">
        <v>739</v>
      </c>
      <c r="F52" s="96">
        <v>3117</v>
      </c>
      <c r="G52" s="78" t="s">
        <v>308</v>
      </c>
      <c r="H52" s="97" t="s">
        <v>278</v>
      </c>
      <c r="I52" s="462">
        <v>0</v>
      </c>
      <c r="J52" s="591">
        <v>0</v>
      </c>
      <c r="K52" s="457">
        <v>0</v>
      </c>
      <c r="L52" s="457">
        <v>0</v>
      </c>
      <c r="M52" s="591">
        <v>0</v>
      </c>
      <c r="N52" s="458">
        <v>0</v>
      </c>
      <c r="O52" s="459">
        <v>0</v>
      </c>
      <c r="P52" s="717">
        <v>0</v>
      </c>
      <c r="Q52" s="469">
        <f t="shared" si="82"/>
        <v>0</v>
      </c>
      <c r="R52" s="460">
        <v>162308</v>
      </c>
      <c r="S52" s="673">
        <v>0</v>
      </c>
      <c r="T52" s="460">
        <v>0</v>
      </c>
      <c r="U52" s="460">
        <v>0</v>
      </c>
      <c r="V52" s="460">
        <f t="shared" si="83"/>
        <v>162308</v>
      </c>
      <c r="W52" s="460">
        <v>0</v>
      </c>
      <c r="X52" s="460">
        <v>0</v>
      </c>
      <c r="Y52" s="460">
        <v>0</v>
      </c>
      <c r="Z52" s="460">
        <f t="shared" si="84"/>
        <v>0</v>
      </c>
      <c r="AA52" s="460">
        <f t="shared" si="85"/>
        <v>162308</v>
      </c>
      <c r="AB52" s="69">
        <f t="shared" si="86"/>
        <v>54860</v>
      </c>
      <c r="AC52" s="69">
        <f t="shared" si="87"/>
        <v>1623</v>
      </c>
      <c r="AD52" s="460">
        <v>0</v>
      </c>
      <c r="AE52" s="460">
        <v>0</v>
      </c>
      <c r="AF52" s="460">
        <f t="shared" si="88"/>
        <v>0</v>
      </c>
      <c r="AG52" s="460">
        <f t="shared" si="89"/>
        <v>218791</v>
      </c>
      <c r="AH52" s="461">
        <v>0</v>
      </c>
      <c r="AI52" s="461">
        <v>0</v>
      </c>
      <c r="AJ52" s="461">
        <v>0.64</v>
      </c>
      <c r="AK52" s="461">
        <v>0</v>
      </c>
      <c r="AL52" s="674">
        <v>0</v>
      </c>
      <c r="AM52" s="461">
        <v>0</v>
      </c>
      <c r="AN52" s="461">
        <v>0</v>
      </c>
      <c r="AO52" s="461">
        <v>0</v>
      </c>
      <c r="AP52" s="461">
        <f t="shared" si="90"/>
        <v>0.64</v>
      </c>
      <c r="AQ52" s="461">
        <f t="shared" si="91"/>
        <v>0</v>
      </c>
      <c r="AR52" s="737">
        <f t="shared" si="92"/>
        <v>0.64</v>
      </c>
      <c r="AS52" s="470">
        <f t="shared" si="18"/>
        <v>218791</v>
      </c>
      <c r="AT52" s="460">
        <f t="shared" si="19"/>
        <v>162308</v>
      </c>
      <c r="AU52" s="460">
        <f t="shared" si="20"/>
        <v>0</v>
      </c>
      <c r="AV52" s="460">
        <f t="shared" si="21"/>
        <v>54860</v>
      </c>
      <c r="AW52" s="460">
        <f t="shared" si="22"/>
        <v>1623</v>
      </c>
      <c r="AX52" s="460">
        <f t="shared" si="23"/>
        <v>0</v>
      </c>
      <c r="AY52" s="461">
        <f t="shared" si="24"/>
        <v>0.64</v>
      </c>
      <c r="AZ52" s="461">
        <f t="shared" si="25"/>
        <v>0.64</v>
      </c>
      <c r="BA52" s="463">
        <f t="shared" si="26"/>
        <v>0</v>
      </c>
    </row>
    <row r="53" spans="1:53" s="98" customFormat="1" ht="14.1" customHeight="1" x14ac:dyDescent="0.2">
      <c r="A53" s="121">
        <v>7</v>
      </c>
      <c r="B53" s="78">
        <v>2320</v>
      </c>
      <c r="C53" s="95">
        <v>650034180</v>
      </c>
      <c r="D53" s="78">
        <v>72755369</v>
      </c>
      <c r="E53" s="78" t="s">
        <v>739</v>
      </c>
      <c r="F53" s="96">
        <v>3141</v>
      </c>
      <c r="G53" s="78" t="s">
        <v>311</v>
      </c>
      <c r="H53" s="97" t="s">
        <v>278</v>
      </c>
      <c r="I53" s="462">
        <v>994339</v>
      </c>
      <c r="J53" s="728">
        <v>734439</v>
      </c>
      <c r="K53" s="457">
        <v>248240</v>
      </c>
      <c r="L53" s="457">
        <v>7344</v>
      </c>
      <c r="M53" s="728">
        <v>4316</v>
      </c>
      <c r="N53" s="458">
        <v>2.3600000000000003</v>
      </c>
      <c r="O53" s="730">
        <v>0</v>
      </c>
      <c r="P53" s="734">
        <v>2.3600000000000003</v>
      </c>
      <c r="Q53" s="469">
        <f t="shared" si="82"/>
        <v>0</v>
      </c>
      <c r="R53" s="460">
        <v>0</v>
      </c>
      <c r="S53" s="673">
        <v>0</v>
      </c>
      <c r="T53" s="460">
        <v>0</v>
      </c>
      <c r="U53" s="460">
        <v>0</v>
      </c>
      <c r="V53" s="460">
        <f t="shared" si="83"/>
        <v>0</v>
      </c>
      <c r="W53" s="460">
        <v>0</v>
      </c>
      <c r="X53" s="460">
        <v>0</v>
      </c>
      <c r="Y53" s="460">
        <v>0</v>
      </c>
      <c r="Z53" s="460">
        <f t="shared" si="84"/>
        <v>0</v>
      </c>
      <c r="AA53" s="460">
        <f t="shared" si="85"/>
        <v>0</v>
      </c>
      <c r="AB53" s="69">
        <f t="shared" si="86"/>
        <v>0</v>
      </c>
      <c r="AC53" s="69">
        <f t="shared" si="87"/>
        <v>0</v>
      </c>
      <c r="AD53" s="460">
        <v>0</v>
      </c>
      <c r="AE53" s="460">
        <v>0</v>
      </c>
      <c r="AF53" s="460">
        <f t="shared" si="88"/>
        <v>0</v>
      </c>
      <c r="AG53" s="460">
        <f t="shared" si="89"/>
        <v>0</v>
      </c>
      <c r="AH53" s="461">
        <v>0</v>
      </c>
      <c r="AI53" s="461">
        <v>0</v>
      </c>
      <c r="AJ53" s="461">
        <v>0</v>
      </c>
      <c r="AK53" s="461">
        <v>0</v>
      </c>
      <c r="AL53" s="674">
        <v>0</v>
      </c>
      <c r="AM53" s="461">
        <v>0</v>
      </c>
      <c r="AN53" s="461">
        <v>0</v>
      </c>
      <c r="AO53" s="461">
        <v>0</v>
      </c>
      <c r="AP53" s="461">
        <f t="shared" si="90"/>
        <v>0</v>
      </c>
      <c r="AQ53" s="461">
        <f t="shared" si="91"/>
        <v>0</v>
      </c>
      <c r="AR53" s="737">
        <f t="shared" si="92"/>
        <v>0</v>
      </c>
      <c r="AS53" s="470">
        <f t="shared" si="18"/>
        <v>994339</v>
      </c>
      <c r="AT53" s="460">
        <f t="shared" si="19"/>
        <v>734439</v>
      </c>
      <c r="AU53" s="460">
        <f t="shared" si="20"/>
        <v>0</v>
      </c>
      <c r="AV53" s="460">
        <f t="shared" si="21"/>
        <v>248240</v>
      </c>
      <c r="AW53" s="460">
        <f t="shared" si="22"/>
        <v>7344</v>
      </c>
      <c r="AX53" s="460">
        <f t="shared" si="23"/>
        <v>4316</v>
      </c>
      <c r="AY53" s="461">
        <f t="shared" si="24"/>
        <v>2.3600000000000003</v>
      </c>
      <c r="AZ53" s="461">
        <f t="shared" si="25"/>
        <v>0</v>
      </c>
      <c r="BA53" s="463">
        <f t="shared" si="26"/>
        <v>2.3600000000000003</v>
      </c>
    </row>
    <row r="54" spans="1:53" s="98" customFormat="1" ht="14.1" customHeight="1" x14ac:dyDescent="0.2">
      <c r="A54" s="121">
        <v>7</v>
      </c>
      <c r="B54" s="78">
        <v>2320</v>
      </c>
      <c r="C54" s="95">
        <v>650034180</v>
      </c>
      <c r="D54" s="78">
        <v>72755369</v>
      </c>
      <c r="E54" s="78" t="s">
        <v>739</v>
      </c>
      <c r="F54" s="96">
        <v>3143</v>
      </c>
      <c r="G54" s="78" t="s">
        <v>616</v>
      </c>
      <c r="H54" s="97" t="s">
        <v>277</v>
      </c>
      <c r="I54" s="462">
        <v>861851</v>
      </c>
      <c r="J54" s="715">
        <v>639355</v>
      </c>
      <c r="K54" s="457">
        <v>216102</v>
      </c>
      <c r="L54" s="457">
        <v>6394</v>
      </c>
      <c r="M54" s="715">
        <v>0</v>
      </c>
      <c r="N54" s="458">
        <v>1.4582999999999999</v>
      </c>
      <c r="O54" s="716">
        <v>1.4582999999999999</v>
      </c>
      <c r="P54" s="718">
        <v>0</v>
      </c>
      <c r="Q54" s="469">
        <f t="shared" si="82"/>
        <v>-9750</v>
      </c>
      <c r="R54" s="460">
        <v>0</v>
      </c>
      <c r="S54" s="673">
        <v>0</v>
      </c>
      <c r="T54" s="460">
        <v>0</v>
      </c>
      <c r="U54" s="460">
        <v>0</v>
      </c>
      <c r="V54" s="460">
        <f t="shared" si="83"/>
        <v>-9750</v>
      </c>
      <c r="W54" s="460">
        <v>9750</v>
      </c>
      <c r="X54" s="460">
        <v>0</v>
      </c>
      <c r="Y54" s="460">
        <v>0</v>
      </c>
      <c r="Z54" s="460">
        <f t="shared" si="84"/>
        <v>9750</v>
      </c>
      <c r="AA54" s="460">
        <f t="shared" si="85"/>
        <v>0</v>
      </c>
      <c r="AB54" s="69">
        <f t="shared" si="86"/>
        <v>0</v>
      </c>
      <c r="AC54" s="69">
        <f t="shared" si="87"/>
        <v>-98</v>
      </c>
      <c r="AD54" s="460">
        <v>0</v>
      </c>
      <c r="AE54" s="460">
        <v>0</v>
      </c>
      <c r="AF54" s="460">
        <f t="shared" si="88"/>
        <v>0</v>
      </c>
      <c r="AG54" s="460">
        <f t="shared" si="89"/>
        <v>-98</v>
      </c>
      <c r="AH54" s="461">
        <v>0</v>
      </c>
      <c r="AI54" s="461">
        <v>0</v>
      </c>
      <c r="AJ54" s="461">
        <v>0</v>
      </c>
      <c r="AK54" s="461">
        <v>0</v>
      </c>
      <c r="AL54" s="674">
        <v>0</v>
      </c>
      <c r="AM54" s="461">
        <v>0</v>
      </c>
      <c r="AN54" s="461">
        <v>0</v>
      </c>
      <c r="AO54" s="461">
        <v>0</v>
      </c>
      <c r="AP54" s="461">
        <f t="shared" si="90"/>
        <v>0</v>
      </c>
      <c r="AQ54" s="461">
        <f t="shared" si="91"/>
        <v>0</v>
      </c>
      <c r="AR54" s="737">
        <f t="shared" si="92"/>
        <v>0</v>
      </c>
      <c r="AS54" s="470">
        <f t="shared" si="18"/>
        <v>861753</v>
      </c>
      <c r="AT54" s="460">
        <f t="shared" si="19"/>
        <v>629605</v>
      </c>
      <c r="AU54" s="460">
        <f t="shared" si="20"/>
        <v>9750</v>
      </c>
      <c r="AV54" s="460">
        <f t="shared" si="21"/>
        <v>216102</v>
      </c>
      <c r="AW54" s="460">
        <f t="shared" si="22"/>
        <v>6296</v>
      </c>
      <c r="AX54" s="460">
        <f t="shared" si="23"/>
        <v>0</v>
      </c>
      <c r="AY54" s="461">
        <f t="shared" si="24"/>
        <v>1.4582999999999999</v>
      </c>
      <c r="AZ54" s="461">
        <f t="shared" si="25"/>
        <v>1.4582999999999999</v>
      </c>
      <c r="BA54" s="463">
        <f t="shared" si="26"/>
        <v>0</v>
      </c>
    </row>
    <row r="55" spans="1:53" s="98" customFormat="1" ht="14.1" customHeight="1" x14ac:dyDescent="0.2">
      <c r="A55" s="121">
        <v>7</v>
      </c>
      <c r="B55" s="78">
        <v>2320</v>
      </c>
      <c r="C55" s="95">
        <v>650034180</v>
      </c>
      <c r="D55" s="78">
        <v>72755369</v>
      </c>
      <c r="E55" s="78" t="s">
        <v>739</v>
      </c>
      <c r="F55" s="96">
        <v>3143</v>
      </c>
      <c r="G55" s="78" t="s">
        <v>617</v>
      </c>
      <c r="H55" s="97" t="s">
        <v>278</v>
      </c>
      <c r="I55" s="462">
        <v>32985</v>
      </c>
      <c r="J55" s="673">
        <v>23568</v>
      </c>
      <c r="K55" s="457">
        <v>7966</v>
      </c>
      <c r="L55" s="457">
        <v>236</v>
      </c>
      <c r="M55" s="673">
        <v>1215</v>
      </c>
      <c r="N55" s="458">
        <v>0.09</v>
      </c>
      <c r="O55" s="459">
        <v>0</v>
      </c>
      <c r="P55" s="717">
        <v>0.09</v>
      </c>
      <c r="Q55" s="469">
        <f t="shared" si="82"/>
        <v>0</v>
      </c>
      <c r="R55" s="460">
        <v>0</v>
      </c>
      <c r="S55" s="673">
        <v>0</v>
      </c>
      <c r="T55" s="460">
        <v>0</v>
      </c>
      <c r="U55" s="460">
        <v>0</v>
      </c>
      <c r="V55" s="460">
        <f t="shared" si="83"/>
        <v>0</v>
      </c>
      <c r="W55" s="460">
        <v>0</v>
      </c>
      <c r="X55" s="460">
        <v>0</v>
      </c>
      <c r="Y55" s="460">
        <v>0</v>
      </c>
      <c r="Z55" s="460">
        <f t="shared" si="84"/>
        <v>0</v>
      </c>
      <c r="AA55" s="460">
        <f t="shared" si="85"/>
        <v>0</v>
      </c>
      <c r="AB55" s="69">
        <f t="shared" si="86"/>
        <v>0</v>
      </c>
      <c r="AC55" s="69">
        <f t="shared" si="87"/>
        <v>0</v>
      </c>
      <c r="AD55" s="460">
        <v>0</v>
      </c>
      <c r="AE55" s="460">
        <v>0</v>
      </c>
      <c r="AF55" s="460">
        <f t="shared" si="88"/>
        <v>0</v>
      </c>
      <c r="AG55" s="460">
        <f t="shared" si="89"/>
        <v>0</v>
      </c>
      <c r="AH55" s="461">
        <v>0</v>
      </c>
      <c r="AI55" s="461">
        <v>0</v>
      </c>
      <c r="AJ55" s="461">
        <v>0</v>
      </c>
      <c r="AK55" s="461">
        <v>0</v>
      </c>
      <c r="AL55" s="674">
        <v>0</v>
      </c>
      <c r="AM55" s="461">
        <v>0</v>
      </c>
      <c r="AN55" s="461">
        <v>0</v>
      </c>
      <c r="AO55" s="461">
        <v>0</v>
      </c>
      <c r="AP55" s="461">
        <f t="shared" si="90"/>
        <v>0</v>
      </c>
      <c r="AQ55" s="461">
        <f t="shared" si="91"/>
        <v>0</v>
      </c>
      <c r="AR55" s="737">
        <f t="shared" si="92"/>
        <v>0</v>
      </c>
      <c r="AS55" s="470">
        <f t="shared" si="18"/>
        <v>32985</v>
      </c>
      <c r="AT55" s="460">
        <f t="shared" si="19"/>
        <v>23568</v>
      </c>
      <c r="AU55" s="460">
        <f t="shared" si="20"/>
        <v>0</v>
      </c>
      <c r="AV55" s="460">
        <f t="shared" si="21"/>
        <v>7966</v>
      </c>
      <c r="AW55" s="460">
        <f t="shared" si="22"/>
        <v>236</v>
      </c>
      <c r="AX55" s="460">
        <f t="shared" si="23"/>
        <v>1215</v>
      </c>
      <c r="AY55" s="461">
        <f t="shared" si="24"/>
        <v>0.09</v>
      </c>
      <c r="AZ55" s="461">
        <f t="shared" si="25"/>
        <v>0</v>
      </c>
      <c r="BA55" s="463">
        <f t="shared" si="26"/>
        <v>0.09</v>
      </c>
    </row>
    <row r="56" spans="1:53" s="98" customFormat="1" ht="14.1" customHeight="1" x14ac:dyDescent="0.2">
      <c r="A56" s="122">
        <v>7</v>
      </c>
      <c r="B56" s="99">
        <v>2320</v>
      </c>
      <c r="C56" s="100">
        <v>650034180</v>
      </c>
      <c r="D56" s="99">
        <v>72755369</v>
      </c>
      <c r="E56" s="99" t="s">
        <v>740</v>
      </c>
      <c r="F56" s="108"/>
      <c r="G56" s="102"/>
      <c r="H56" s="103"/>
      <c r="I56" s="489">
        <f t="shared" ref="I56:P56" si="93">SUM(I50:I55)</f>
        <v>9513574</v>
      </c>
      <c r="J56" s="485">
        <f t="shared" si="93"/>
        <v>6983081</v>
      </c>
      <c r="K56" s="485">
        <f t="shared" si="93"/>
        <v>2360281</v>
      </c>
      <c r="L56" s="485">
        <f t="shared" si="93"/>
        <v>69831</v>
      </c>
      <c r="M56" s="485">
        <f t="shared" si="93"/>
        <v>100381</v>
      </c>
      <c r="N56" s="486">
        <f t="shared" si="93"/>
        <v>14.860300000000001</v>
      </c>
      <c r="O56" s="486">
        <f t="shared" si="93"/>
        <v>9.6402999999999999</v>
      </c>
      <c r="P56" s="105">
        <f t="shared" si="93"/>
        <v>5.22</v>
      </c>
      <c r="Q56" s="491">
        <f t="shared" ref="Q56:BA56" si="94">SUM(Q50:Q55)</f>
        <v>-52000</v>
      </c>
      <c r="R56" s="491">
        <f t="shared" si="94"/>
        <v>162308</v>
      </c>
      <c r="S56" s="485">
        <f t="shared" si="94"/>
        <v>0</v>
      </c>
      <c r="T56" s="485">
        <f t="shared" si="94"/>
        <v>0</v>
      </c>
      <c r="U56" s="485">
        <f t="shared" si="94"/>
        <v>0</v>
      </c>
      <c r="V56" s="485">
        <f t="shared" si="94"/>
        <v>110308</v>
      </c>
      <c r="W56" s="485">
        <f t="shared" si="94"/>
        <v>52000</v>
      </c>
      <c r="X56" s="485">
        <f t="shared" si="94"/>
        <v>0</v>
      </c>
      <c r="Y56" s="485">
        <f t="shared" si="94"/>
        <v>0</v>
      </c>
      <c r="Z56" s="485">
        <f t="shared" si="94"/>
        <v>52000</v>
      </c>
      <c r="AA56" s="485">
        <f t="shared" si="94"/>
        <v>162308</v>
      </c>
      <c r="AB56" s="485">
        <f t="shared" si="94"/>
        <v>54860</v>
      </c>
      <c r="AC56" s="485">
        <f t="shared" si="94"/>
        <v>1102</v>
      </c>
      <c r="AD56" s="485">
        <f t="shared" si="94"/>
        <v>0</v>
      </c>
      <c r="AE56" s="485">
        <f t="shared" si="94"/>
        <v>0</v>
      </c>
      <c r="AF56" s="485">
        <f t="shared" si="94"/>
        <v>0</v>
      </c>
      <c r="AG56" s="485">
        <f t="shared" si="94"/>
        <v>218270</v>
      </c>
      <c r="AH56" s="486">
        <f t="shared" si="94"/>
        <v>0</v>
      </c>
      <c r="AI56" s="486">
        <f t="shared" si="94"/>
        <v>0</v>
      </c>
      <c r="AJ56" s="486">
        <f t="shared" si="94"/>
        <v>0.64</v>
      </c>
      <c r="AK56" s="486">
        <f t="shared" si="94"/>
        <v>0</v>
      </c>
      <c r="AL56" s="486">
        <f t="shared" si="94"/>
        <v>0</v>
      </c>
      <c r="AM56" s="486">
        <f t="shared" si="94"/>
        <v>0</v>
      </c>
      <c r="AN56" s="486">
        <f t="shared" si="94"/>
        <v>0</v>
      </c>
      <c r="AO56" s="486">
        <f t="shared" si="94"/>
        <v>0</v>
      </c>
      <c r="AP56" s="486">
        <f t="shared" si="94"/>
        <v>0.64</v>
      </c>
      <c r="AQ56" s="486">
        <f t="shared" si="94"/>
        <v>0</v>
      </c>
      <c r="AR56" s="738">
        <f t="shared" si="94"/>
        <v>0.64</v>
      </c>
      <c r="AS56" s="489">
        <f t="shared" si="94"/>
        <v>9731844</v>
      </c>
      <c r="AT56" s="485">
        <f t="shared" si="94"/>
        <v>7093389</v>
      </c>
      <c r="AU56" s="485">
        <f t="shared" si="94"/>
        <v>52000</v>
      </c>
      <c r="AV56" s="485">
        <f t="shared" si="94"/>
        <v>2415141</v>
      </c>
      <c r="AW56" s="485">
        <f t="shared" si="94"/>
        <v>70933</v>
      </c>
      <c r="AX56" s="485">
        <f t="shared" si="94"/>
        <v>100381</v>
      </c>
      <c r="AY56" s="486">
        <f t="shared" si="94"/>
        <v>15.500300000000001</v>
      </c>
      <c r="AZ56" s="486">
        <f t="shared" si="94"/>
        <v>10.2803</v>
      </c>
      <c r="BA56" s="105">
        <f t="shared" si="94"/>
        <v>5.22</v>
      </c>
    </row>
    <row r="57" spans="1:53" s="98" customFormat="1" ht="14.1" customHeight="1" x14ac:dyDescent="0.2">
      <c r="A57" s="121">
        <v>8</v>
      </c>
      <c r="B57" s="104">
        <v>2455</v>
      </c>
      <c r="C57" s="95">
        <v>600080145</v>
      </c>
      <c r="D57" s="78">
        <v>72741601</v>
      </c>
      <c r="E57" s="78" t="s">
        <v>741</v>
      </c>
      <c r="F57" s="96">
        <v>3111</v>
      </c>
      <c r="G57" s="78" t="s">
        <v>307</v>
      </c>
      <c r="H57" s="97" t="s">
        <v>277</v>
      </c>
      <c r="I57" s="462">
        <v>1554736</v>
      </c>
      <c r="J57" s="16">
        <v>1148024</v>
      </c>
      <c r="K57" s="457">
        <v>388032</v>
      </c>
      <c r="L57" s="457">
        <v>11480</v>
      </c>
      <c r="M57" s="16">
        <v>7200</v>
      </c>
      <c r="N57" s="458">
        <v>2.36</v>
      </c>
      <c r="O57" s="13">
        <v>2</v>
      </c>
      <c r="P57" s="17">
        <v>0.36</v>
      </c>
      <c r="Q57" s="469">
        <f t="shared" ref="Q57:Q62" si="95">W57*-1</f>
        <v>0</v>
      </c>
      <c r="R57" s="460">
        <v>0</v>
      </c>
      <c r="S57" s="673">
        <v>0</v>
      </c>
      <c r="T57" s="460">
        <v>0</v>
      </c>
      <c r="U57" s="460">
        <v>0</v>
      </c>
      <c r="V57" s="460">
        <f t="shared" ref="V57:V62" si="96">SUM(Q57:U57)</f>
        <v>0</v>
      </c>
      <c r="W57" s="460">
        <v>0</v>
      </c>
      <c r="X57" s="460">
        <v>0</v>
      </c>
      <c r="Y57" s="460">
        <v>0</v>
      </c>
      <c r="Z57" s="460">
        <f t="shared" ref="Z57:Z62" si="97">SUM(W57:Y57)</f>
        <v>0</v>
      </c>
      <c r="AA57" s="460">
        <f t="shared" ref="AA57:AA62" si="98">V57+Z57</f>
        <v>0</v>
      </c>
      <c r="AB57" s="69">
        <f t="shared" ref="AB57:AB62" si="99">ROUND((V57+W57+X57)*33.8%,0)</f>
        <v>0</v>
      </c>
      <c r="AC57" s="69">
        <f t="shared" ref="AC57:AC62" si="100">ROUND(V57*1%,0)</f>
        <v>0</v>
      </c>
      <c r="AD57" s="460">
        <v>0</v>
      </c>
      <c r="AE57" s="460">
        <v>0</v>
      </c>
      <c r="AF57" s="460">
        <f t="shared" ref="AF57:AF62" si="101">SUM(AD57:AE57)</f>
        <v>0</v>
      </c>
      <c r="AG57" s="460">
        <f t="shared" ref="AG57:AG62" si="102">AA57+AB57+AC57+AF57</f>
        <v>0</v>
      </c>
      <c r="AH57" s="461">
        <v>0</v>
      </c>
      <c r="AI57" s="461">
        <v>0</v>
      </c>
      <c r="AJ57" s="461">
        <v>0</v>
      </c>
      <c r="AK57" s="461">
        <v>0</v>
      </c>
      <c r="AL57" s="674">
        <v>0</v>
      </c>
      <c r="AM57" s="461">
        <v>0</v>
      </c>
      <c r="AN57" s="461">
        <v>0</v>
      </c>
      <c r="AO57" s="461">
        <v>0</v>
      </c>
      <c r="AP57" s="461">
        <f t="shared" ref="AP57:AP62" si="103">AH57+AJ57+AK57+AM57+AN57</f>
        <v>0</v>
      </c>
      <c r="AQ57" s="461">
        <f t="shared" ref="AQ57:AQ62" si="104">AI57+AL57+AO57</f>
        <v>0</v>
      </c>
      <c r="AR57" s="737">
        <f t="shared" ref="AR57:AR62" si="105">SUM(AP57:AQ57)</f>
        <v>0</v>
      </c>
      <c r="AS57" s="470">
        <f t="shared" si="18"/>
        <v>1554736</v>
      </c>
      <c r="AT57" s="460">
        <f t="shared" si="19"/>
        <v>1148024</v>
      </c>
      <c r="AU57" s="460">
        <f t="shared" si="20"/>
        <v>0</v>
      </c>
      <c r="AV57" s="460">
        <f t="shared" si="21"/>
        <v>388032</v>
      </c>
      <c r="AW57" s="460">
        <f t="shared" si="22"/>
        <v>11480</v>
      </c>
      <c r="AX57" s="460">
        <f t="shared" si="23"/>
        <v>7200</v>
      </c>
      <c r="AY57" s="461">
        <f t="shared" si="24"/>
        <v>2.36</v>
      </c>
      <c r="AZ57" s="461">
        <f t="shared" si="25"/>
        <v>2</v>
      </c>
      <c r="BA57" s="463">
        <f t="shared" si="26"/>
        <v>0.36</v>
      </c>
    </row>
    <row r="58" spans="1:53" s="98" customFormat="1" ht="14.1" customHeight="1" x14ac:dyDescent="0.2">
      <c r="A58" s="121">
        <v>8</v>
      </c>
      <c r="B58" s="106">
        <v>2455</v>
      </c>
      <c r="C58" s="95">
        <v>600080145</v>
      </c>
      <c r="D58" s="78">
        <v>72741601</v>
      </c>
      <c r="E58" s="106" t="s">
        <v>741</v>
      </c>
      <c r="F58" s="107">
        <v>3117</v>
      </c>
      <c r="G58" s="106" t="s">
        <v>325</v>
      </c>
      <c r="H58" s="97" t="s">
        <v>277</v>
      </c>
      <c r="I58" s="462">
        <v>3325749</v>
      </c>
      <c r="J58" s="16">
        <v>2427781</v>
      </c>
      <c r="K58" s="457">
        <v>820590</v>
      </c>
      <c r="L58" s="457">
        <v>24278</v>
      </c>
      <c r="M58" s="16">
        <v>53100</v>
      </c>
      <c r="N58" s="458">
        <v>4.4421999999999997</v>
      </c>
      <c r="O58" s="13">
        <v>3.3635999999999999</v>
      </c>
      <c r="P58" s="17">
        <v>1.0786</v>
      </c>
      <c r="Q58" s="469">
        <f t="shared" si="95"/>
        <v>0</v>
      </c>
      <c r="R58" s="460">
        <v>0</v>
      </c>
      <c r="S58" s="673">
        <v>0</v>
      </c>
      <c r="T58" s="460">
        <v>0</v>
      </c>
      <c r="U58" s="460">
        <v>0</v>
      </c>
      <c r="V58" s="460">
        <f t="shared" si="96"/>
        <v>0</v>
      </c>
      <c r="W58" s="460">
        <v>0</v>
      </c>
      <c r="X58" s="460">
        <v>0</v>
      </c>
      <c r="Y58" s="460">
        <v>0</v>
      </c>
      <c r="Z58" s="460">
        <f t="shared" si="97"/>
        <v>0</v>
      </c>
      <c r="AA58" s="460">
        <f t="shared" si="98"/>
        <v>0</v>
      </c>
      <c r="AB58" s="69">
        <f t="shared" si="99"/>
        <v>0</v>
      </c>
      <c r="AC58" s="69">
        <f t="shared" si="100"/>
        <v>0</v>
      </c>
      <c r="AD58" s="460">
        <v>0</v>
      </c>
      <c r="AE58" s="460">
        <v>0</v>
      </c>
      <c r="AF58" s="460">
        <f t="shared" si="101"/>
        <v>0</v>
      </c>
      <c r="AG58" s="460">
        <f t="shared" si="102"/>
        <v>0</v>
      </c>
      <c r="AH58" s="461">
        <v>0</v>
      </c>
      <c r="AI58" s="461">
        <v>0</v>
      </c>
      <c r="AJ58" s="461">
        <v>0</v>
      </c>
      <c r="AK58" s="461">
        <v>0</v>
      </c>
      <c r="AL58" s="674">
        <v>0</v>
      </c>
      <c r="AM58" s="461">
        <v>0</v>
      </c>
      <c r="AN58" s="461">
        <v>0</v>
      </c>
      <c r="AO58" s="461">
        <v>0</v>
      </c>
      <c r="AP58" s="461">
        <f t="shared" si="103"/>
        <v>0</v>
      </c>
      <c r="AQ58" s="461">
        <f t="shared" si="104"/>
        <v>0</v>
      </c>
      <c r="AR58" s="737">
        <f t="shared" si="105"/>
        <v>0</v>
      </c>
      <c r="AS58" s="470">
        <f t="shared" si="18"/>
        <v>3325749</v>
      </c>
      <c r="AT58" s="460">
        <f t="shared" si="19"/>
        <v>2427781</v>
      </c>
      <c r="AU58" s="460">
        <f t="shared" si="20"/>
        <v>0</v>
      </c>
      <c r="AV58" s="460">
        <f t="shared" si="21"/>
        <v>820590</v>
      </c>
      <c r="AW58" s="460">
        <f t="shared" si="22"/>
        <v>24278</v>
      </c>
      <c r="AX58" s="460">
        <f t="shared" si="23"/>
        <v>53100</v>
      </c>
      <c r="AY58" s="461">
        <f t="shared" si="24"/>
        <v>4.4421999999999997</v>
      </c>
      <c r="AZ58" s="461">
        <f t="shared" si="25"/>
        <v>3.3635999999999999</v>
      </c>
      <c r="BA58" s="463">
        <f t="shared" si="26"/>
        <v>1.0786</v>
      </c>
    </row>
    <row r="59" spans="1:53" s="98" customFormat="1" ht="14.1" customHeight="1" x14ac:dyDescent="0.2">
      <c r="A59" s="121">
        <v>8</v>
      </c>
      <c r="B59" s="104">
        <v>2455</v>
      </c>
      <c r="C59" s="95">
        <v>600080145</v>
      </c>
      <c r="D59" s="78">
        <v>72741601</v>
      </c>
      <c r="E59" s="104" t="s">
        <v>741</v>
      </c>
      <c r="F59" s="96">
        <v>3117</v>
      </c>
      <c r="G59" s="78" t="s">
        <v>308</v>
      </c>
      <c r="H59" s="97" t="s">
        <v>278</v>
      </c>
      <c r="I59" s="462">
        <v>0</v>
      </c>
      <c r="J59" s="591">
        <v>0</v>
      </c>
      <c r="K59" s="457">
        <v>0</v>
      </c>
      <c r="L59" s="457">
        <v>0</v>
      </c>
      <c r="M59" s="591">
        <v>0</v>
      </c>
      <c r="N59" s="458">
        <v>0</v>
      </c>
      <c r="O59" s="459">
        <v>0</v>
      </c>
      <c r="P59" s="717">
        <v>0</v>
      </c>
      <c r="Q59" s="469">
        <f t="shared" si="95"/>
        <v>0</v>
      </c>
      <c r="R59" s="460">
        <v>196359</v>
      </c>
      <c r="S59" s="673">
        <v>0</v>
      </c>
      <c r="T59" s="460">
        <v>0</v>
      </c>
      <c r="U59" s="460">
        <v>0</v>
      </c>
      <c r="V59" s="460">
        <f t="shared" si="96"/>
        <v>196359</v>
      </c>
      <c r="W59" s="460">
        <v>0</v>
      </c>
      <c r="X59" s="460">
        <v>0</v>
      </c>
      <c r="Y59" s="460">
        <v>0</v>
      </c>
      <c r="Z59" s="460">
        <f t="shared" si="97"/>
        <v>0</v>
      </c>
      <c r="AA59" s="460">
        <f t="shared" si="98"/>
        <v>196359</v>
      </c>
      <c r="AB59" s="69">
        <f t="shared" si="99"/>
        <v>66369</v>
      </c>
      <c r="AC59" s="69">
        <f t="shared" si="100"/>
        <v>1964</v>
      </c>
      <c r="AD59" s="460">
        <v>0</v>
      </c>
      <c r="AE59" s="460">
        <v>0</v>
      </c>
      <c r="AF59" s="460">
        <f t="shared" si="101"/>
        <v>0</v>
      </c>
      <c r="AG59" s="460">
        <f t="shared" si="102"/>
        <v>264692</v>
      </c>
      <c r="AH59" s="461">
        <v>0</v>
      </c>
      <c r="AI59" s="461">
        <v>0</v>
      </c>
      <c r="AJ59" s="461">
        <v>0.55000000000000004</v>
      </c>
      <c r="AK59" s="461">
        <v>0</v>
      </c>
      <c r="AL59" s="674">
        <v>0</v>
      </c>
      <c r="AM59" s="461">
        <v>0</v>
      </c>
      <c r="AN59" s="461">
        <v>0</v>
      </c>
      <c r="AO59" s="461">
        <v>0</v>
      </c>
      <c r="AP59" s="461">
        <f t="shared" si="103"/>
        <v>0.55000000000000004</v>
      </c>
      <c r="AQ59" s="461">
        <f t="shared" si="104"/>
        <v>0</v>
      </c>
      <c r="AR59" s="737">
        <f t="shared" si="105"/>
        <v>0.55000000000000004</v>
      </c>
      <c r="AS59" s="470">
        <f t="shared" si="18"/>
        <v>264692</v>
      </c>
      <c r="AT59" s="460">
        <f t="shared" si="19"/>
        <v>196359</v>
      </c>
      <c r="AU59" s="460">
        <f t="shared" si="20"/>
        <v>0</v>
      </c>
      <c r="AV59" s="460">
        <f t="shared" si="21"/>
        <v>66369</v>
      </c>
      <c r="AW59" s="460">
        <f t="shared" si="22"/>
        <v>1964</v>
      </c>
      <c r="AX59" s="460">
        <f t="shared" si="23"/>
        <v>0</v>
      </c>
      <c r="AY59" s="461">
        <f t="shared" si="24"/>
        <v>0.55000000000000004</v>
      </c>
      <c r="AZ59" s="461">
        <f t="shared" si="25"/>
        <v>0.55000000000000004</v>
      </c>
      <c r="BA59" s="463">
        <f t="shared" si="26"/>
        <v>0</v>
      </c>
    </row>
    <row r="60" spans="1:53" s="98" customFormat="1" ht="14.1" customHeight="1" x14ac:dyDescent="0.2">
      <c r="A60" s="121">
        <v>8</v>
      </c>
      <c r="B60" s="78">
        <v>2455</v>
      </c>
      <c r="C60" s="95">
        <v>600080145</v>
      </c>
      <c r="D60" s="78">
        <v>72741601</v>
      </c>
      <c r="E60" s="78" t="s">
        <v>741</v>
      </c>
      <c r="F60" s="96">
        <v>3141</v>
      </c>
      <c r="G60" s="78" t="s">
        <v>311</v>
      </c>
      <c r="H60" s="97" t="s">
        <v>278</v>
      </c>
      <c r="I60" s="462">
        <v>697782</v>
      </c>
      <c r="J60" s="728">
        <v>515559</v>
      </c>
      <c r="K60" s="457">
        <v>174259</v>
      </c>
      <c r="L60" s="457">
        <v>5156</v>
      </c>
      <c r="M60" s="728">
        <v>2808</v>
      </c>
      <c r="N60" s="458">
        <v>1.66</v>
      </c>
      <c r="O60" s="730">
        <v>0</v>
      </c>
      <c r="P60" s="729">
        <v>1.66</v>
      </c>
      <c r="Q60" s="469">
        <f t="shared" si="95"/>
        <v>0</v>
      </c>
      <c r="R60" s="460">
        <v>0</v>
      </c>
      <c r="S60" s="673">
        <v>0</v>
      </c>
      <c r="T60" s="460">
        <v>0</v>
      </c>
      <c r="U60" s="460">
        <v>0</v>
      </c>
      <c r="V60" s="460">
        <f t="shared" si="96"/>
        <v>0</v>
      </c>
      <c r="W60" s="460">
        <v>0</v>
      </c>
      <c r="X60" s="460">
        <v>0</v>
      </c>
      <c r="Y60" s="460">
        <v>0</v>
      </c>
      <c r="Z60" s="460">
        <f t="shared" si="97"/>
        <v>0</v>
      </c>
      <c r="AA60" s="460">
        <f t="shared" si="98"/>
        <v>0</v>
      </c>
      <c r="AB60" s="69">
        <f t="shared" si="99"/>
        <v>0</v>
      </c>
      <c r="AC60" s="69">
        <f t="shared" si="100"/>
        <v>0</v>
      </c>
      <c r="AD60" s="460">
        <v>0</v>
      </c>
      <c r="AE60" s="460">
        <v>0</v>
      </c>
      <c r="AF60" s="460">
        <f t="shared" si="101"/>
        <v>0</v>
      </c>
      <c r="AG60" s="460">
        <f t="shared" si="102"/>
        <v>0</v>
      </c>
      <c r="AH60" s="461">
        <v>0</v>
      </c>
      <c r="AI60" s="461">
        <v>0</v>
      </c>
      <c r="AJ60" s="461">
        <v>0</v>
      </c>
      <c r="AK60" s="461">
        <v>0</v>
      </c>
      <c r="AL60" s="674">
        <v>0</v>
      </c>
      <c r="AM60" s="461">
        <v>0</v>
      </c>
      <c r="AN60" s="461">
        <v>0</v>
      </c>
      <c r="AO60" s="461">
        <v>0</v>
      </c>
      <c r="AP60" s="461">
        <f t="shared" si="103"/>
        <v>0</v>
      </c>
      <c r="AQ60" s="461">
        <f t="shared" si="104"/>
        <v>0</v>
      </c>
      <c r="AR60" s="737">
        <f t="shared" si="105"/>
        <v>0</v>
      </c>
      <c r="AS60" s="470">
        <f t="shared" si="18"/>
        <v>697782</v>
      </c>
      <c r="AT60" s="460">
        <f t="shared" si="19"/>
        <v>515559</v>
      </c>
      <c r="AU60" s="460">
        <f t="shared" si="20"/>
        <v>0</v>
      </c>
      <c r="AV60" s="460">
        <f t="shared" si="21"/>
        <v>174259</v>
      </c>
      <c r="AW60" s="460">
        <f t="shared" si="22"/>
        <v>5156</v>
      </c>
      <c r="AX60" s="460">
        <f t="shared" si="23"/>
        <v>2808</v>
      </c>
      <c r="AY60" s="461">
        <f t="shared" si="24"/>
        <v>1.66</v>
      </c>
      <c r="AZ60" s="461">
        <f t="shared" si="25"/>
        <v>0</v>
      </c>
      <c r="BA60" s="463">
        <f t="shared" si="26"/>
        <v>1.66</v>
      </c>
    </row>
    <row r="61" spans="1:53" s="98" customFormat="1" ht="14.1" customHeight="1" x14ac:dyDescent="0.2">
      <c r="A61" s="121">
        <v>8</v>
      </c>
      <c r="B61" s="78">
        <v>2455</v>
      </c>
      <c r="C61" s="95">
        <v>600080145</v>
      </c>
      <c r="D61" s="78">
        <v>72741601</v>
      </c>
      <c r="E61" s="78" t="s">
        <v>741</v>
      </c>
      <c r="F61" s="96">
        <v>3143</v>
      </c>
      <c r="G61" s="78" t="s">
        <v>616</v>
      </c>
      <c r="H61" s="97" t="s">
        <v>277</v>
      </c>
      <c r="I61" s="462">
        <v>921530</v>
      </c>
      <c r="J61" s="715">
        <v>683628</v>
      </c>
      <c r="K61" s="457">
        <v>231066</v>
      </c>
      <c r="L61" s="457">
        <v>6836</v>
      </c>
      <c r="M61" s="715">
        <v>0</v>
      </c>
      <c r="N61" s="458">
        <v>1.5713999999999999</v>
      </c>
      <c r="O61" s="716">
        <v>1.5713999999999999</v>
      </c>
      <c r="P61" s="718">
        <v>0</v>
      </c>
      <c r="Q61" s="469">
        <f t="shared" si="95"/>
        <v>0</v>
      </c>
      <c r="R61" s="460">
        <v>0</v>
      </c>
      <c r="S61" s="673">
        <v>0</v>
      </c>
      <c r="T61" s="460">
        <v>0</v>
      </c>
      <c r="U61" s="460">
        <v>0</v>
      </c>
      <c r="V61" s="460">
        <f t="shared" si="96"/>
        <v>0</v>
      </c>
      <c r="W61" s="460">
        <v>0</v>
      </c>
      <c r="X61" s="460">
        <v>0</v>
      </c>
      <c r="Y61" s="460">
        <v>0</v>
      </c>
      <c r="Z61" s="460">
        <f t="shared" si="97"/>
        <v>0</v>
      </c>
      <c r="AA61" s="460">
        <f t="shared" si="98"/>
        <v>0</v>
      </c>
      <c r="AB61" s="69">
        <f t="shared" si="99"/>
        <v>0</v>
      </c>
      <c r="AC61" s="69">
        <f t="shared" si="100"/>
        <v>0</v>
      </c>
      <c r="AD61" s="460">
        <v>0</v>
      </c>
      <c r="AE61" s="460">
        <v>0</v>
      </c>
      <c r="AF61" s="460">
        <f t="shared" si="101"/>
        <v>0</v>
      </c>
      <c r="AG61" s="460">
        <f t="shared" si="102"/>
        <v>0</v>
      </c>
      <c r="AH61" s="461">
        <v>0</v>
      </c>
      <c r="AI61" s="461">
        <v>0</v>
      </c>
      <c r="AJ61" s="461">
        <v>0</v>
      </c>
      <c r="AK61" s="461">
        <v>0</v>
      </c>
      <c r="AL61" s="674">
        <v>0</v>
      </c>
      <c r="AM61" s="461">
        <v>0</v>
      </c>
      <c r="AN61" s="461">
        <v>0</v>
      </c>
      <c r="AO61" s="461">
        <v>0</v>
      </c>
      <c r="AP61" s="461">
        <f t="shared" si="103"/>
        <v>0</v>
      </c>
      <c r="AQ61" s="461">
        <f t="shared" si="104"/>
        <v>0</v>
      </c>
      <c r="AR61" s="737">
        <f t="shared" si="105"/>
        <v>0</v>
      </c>
      <c r="AS61" s="470">
        <f t="shared" si="18"/>
        <v>921530</v>
      </c>
      <c r="AT61" s="460">
        <f t="shared" si="19"/>
        <v>683628</v>
      </c>
      <c r="AU61" s="460">
        <f t="shared" si="20"/>
        <v>0</v>
      </c>
      <c r="AV61" s="460">
        <f t="shared" si="21"/>
        <v>231066</v>
      </c>
      <c r="AW61" s="460">
        <f t="shared" si="22"/>
        <v>6836</v>
      </c>
      <c r="AX61" s="460">
        <f t="shared" si="23"/>
        <v>0</v>
      </c>
      <c r="AY61" s="461">
        <f t="shared" si="24"/>
        <v>1.5713999999999999</v>
      </c>
      <c r="AZ61" s="461">
        <f t="shared" si="25"/>
        <v>1.5713999999999999</v>
      </c>
      <c r="BA61" s="463">
        <f t="shared" si="26"/>
        <v>0</v>
      </c>
    </row>
    <row r="62" spans="1:53" s="98" customFormat="1" ht="14.1" customHeight="1" x14ac:dyDescent="0.2">
      <c r="A62" s="121">
        <v>8</v>
      </c>
      <c r="B62" s="78">
        <v>2455</v>
      </c>
      <c r="C62" s="95">
        <v>600080145</v>
      </c>
      <c r="D62" s="78">
        <v>72741601</v>
      </c>
      <c r="E62" s="78" t="s">
        <v>741</v>
      </c>
      <c r="F62" s="96">
        <v>3143</v>
      </c>
      <c r="G62" s="78" t="s">
        <v>617</v>
      </c>
      <c r="H62" s="97" t="s">
        <v>278</v>
      </c>
      <c r="I62" s="462">
        <v>26389</v>
      </c>
      <c r="J62" s="673">
        <v>18855</v>
      </c>
      <c r="K62" s="457">
        <v>6373</v>
      </c>
      <c r="L62" s="457">
        <v>189</v>
      </c>
      <c r="M62" s="673">
        <v>972</v>
      </c>
      <c r="N62" s="458">
        <v>0.08</v>
      </c>
      <c r="O62" s="459">
        <v>0</v>
      </c>
      <c r="P62" s="717">
        <v>0.08</v>
      </c>
      <c r="Q62" s="469">
        <f t="shared" si="95"/>
        <v>0</v>
      </c>
      <c r="R62" s="460">
        <v>0</v>
      </c>
      <c r="S62" s="673">
        <v>0</v>
      </c>
      <c r="T62" s="460">
        <v>0</v>
      </c>
      <c r="U62" s="460">
        <v>0</v>
      </c>
      <c r="V62" s="460">
        <f t="shared" si="96"/>
        <v>0</v>
      </c>
      <c r="W62" s="460">
        <v>0</v>
      </c>
      <c r="X62" s="460">
        <v>0</v>
      </c>
      <c r="Y62" s="460">
        <v>0</v>
      </c>
      <c r="Z62" s="460">
        <f t="shared" si="97"/>
        <v>0</v>
      </c>
      <c r="AA62" s="460">
        <f t="shared" si="98"/>
        <v>0</v>
      </c>
      <c r="AB62" s="69">
        <f t="shared" si="99"/>
        <v>0</v>
      </c>
      <c r="AC62" s="69">
        <f t="shared" si="100"/>
        <v>0</v>
      </c>
      <c r="AD62" s="460">
        <v>0</v>
      </c>
      <c r="AE62" s="460">
        <v>0</v>
      </c>
      <c r="AF62" s="460">
        <f t="shared" si="101"/>
        <v>0</v>
      </c>
      <c r="AG62" s="460">
        <f t="shared" si="102"/>
        <v>0</v>
      </c>
      <c r="AH62" s="461">
        <v>0</v>
      </c>
      <c r="AI62" s="461">
        <v>0</v>
      </c>
      <c r="AJ62" s="461">
        <v>0</v>
      </c>
      <c r="AK62" s="461">
        <v>0</v>
      </c>
      <c r="AL62" s="674">
        <v>0</v>
      </c>
      <c r="AM62" s="461">
        <v>0</v>
      </c>
      <c r="AN62" s="461">
        <v>0</v>
      </c>
      <c r="AO62" s="461">
        <v>0</v>
      </c>
      <c r="AP62" s="461">
        <f t="shared" si="103"/>
        <v>0</v>
      </c>
      <c r="AQ62" s="461">
        <f t="shared" si="104"/>
        <v>0</v>
      </c>
      <c r="AR62" s="737">
        <f t="shared" si="105"/>
        <v>0</v>
      </c>
      <c r="AS62" s="470">
        <f t="shared" si="18"/>
        <v>26389</v>
      </c>
      <c r="AT62" s="460">
        <f t="shared" si="19"/>
        <v>18855</v>
      </c>
      <c r="AU62" s="460">
        <f t="shared" si="20"/>
        <v>0</v>
      </c>
      <c r="AV62" s="460">
        <f t="shared" si="21"/>
        <v>6373</v>
      </c>
      <c r="AW62" s="460">
        <f t="shared" si="22"/>
        <v>189</v>
      </c>
      <c r="AX62" s="460">
        <f t="shared" si="23"/>
        <v>972</v>
      </c>
      <c r="AY62" s="461">
        <f t="shared" si="24"/>
        <v>0.08</v>
      </c>
      <c r="AZ62" s="461">
        <f t="shared" si="25"/>
        <v>0</v>
      </c>
      <c r="BA62" s="463">
        <f t="shared" si="26"/>
        <v>0.08</v>
      </c>
    </row>
    <row r="63" spans="1:53" s="98" customFormat="1" ht="14.1" customHeight="1" x14ac:dyDescent="0.2">
      <c r="A63" s="122">
        <v>8</v>
      </c>
      <c r="B63" s="99">
        <v>2455</v>
      </c>
      <c r="C63" s="100">
        <v>600080145</v>
      </c>
      <c r="D63" s="99">
        <v>72741601</v>
      </c>
      <c r="E63" s="99" t="s">
        <v>742</v>
      </c>
      <c r="F63" s="108"/>
      <c r="G63" s="102"/>
      <c r="H63" s="103"/>
      <c r="I63" s="489">
        <f t="shared" ref="I63:P63" si="106">SUM(I57:I62)</f>
        <v>6526186</v>
      </c>
      <c r="J63" s="485">
        <f t="shared" si="106"/>
        <v>4793847</v>
      </c>
      <c r="K63" s="485">
        <f t="shared" si="106"/>
        <v>1620320</v>
      </c>
      <c r="L63" s="485">
        <f t="shared" si="106"/>
        <v>47939</v>
      </c>
      <c r="M63" s="485">
        <f t="shared" si="106"/>
        <v>64080</v>
      </c>
      <c r="N63" s="486">
        <f t="shared" si="106"/>
        <v>10.1136</v>
      </c>
      <c r="O63" s="486">
        <f t="shared" si="106"/>
        <v>6.9349999999999996</v>
      </c>
      <c r="P63" s="105">
        <f t="shared" si="106"/>
        <v>3.1786000000000003</v>
      </c>
      <c r="Q63" s="491">
        <f t="shared" ref="Q63:BA63" si="107">SUM(Q57:Q62)</f>
        <v>0</v>
      </c>
      <c r="R63" s="491">
        <f t="shared" si="107"/>
        <v>196359</v>
      </c>
      <c r="S63" s="485">
        <f t="shared" si="107"/>
        <v>0</v>
      </c>
      <c r="T63" s="485">
        <f t="shared" si="107"/>
        <v>0</v>
      </c>
      <c r="U63" s="485">
        <f t="shared" si="107"/>
        <v>0</v>
      </c>
      <c r="V63" s="485">
        <f t="shared" si="107"/>
        <v>196359</v>
      </c>
      <c r="W63" s="485">
        <f t="shared" si="107"/>
        <v>0</v>
      </c>
      <c r="X63" s="485">
        <f t="shared" si="107"/>
        <v>0</v>
      </c>
      <c r="Y63" s="485">
        <f t="shared" si="107"/>
        <v>0</v>
      </c>
      <c r="Z63" s="485">
        <f t="shared" si="107"/>
        <v>0</v>
      </c>
      <c r="AA63" s="485">
        <f t="shared" si="107"/>
        <v>196359</v>
      </c>
      <c r="AB63" s="485">
        <f t="shared" si="107"/>
        <v>66369</v>
      </c>
      <c r="AC63" s="485">
        <f t="shared" si="107"/>
        <v>1964</v>
      </c>
      <c r="AD63" s="485">
        <f t="shared" si="107"/>
        <v>0</v>
      </c>
      <c r="AE63" s="485">
        <f t="shared" si="107"/>
        <v>0</v>
      </c>
      <c r="AF63" s="485">
        <f t="shared" si="107"/>
        <v>0</v>
      </c>
      <c r="AG63" s="485">
        <f t="shared" si="107"/>
        <v>264692</v>
      </c>
      <c r="AH63" s="486">
        <f t="shared" si="107"/>
        <v>0</v>
      </c>
      <c r="AI63" s="486">
        <f t="shared" si="107"/>
        <v>0</v>
      </c>
      <c r="AJ63" s="486">
        <f t="shared" si="107"/>
        <v>0.55000000000000004</v>
      </c>
      <c r="AK63" s="486">
        <f t="shared" si="107"/>
        <v>0</v>
      </c>
      <c r="AL63" s="486">
        <f t="shared" si="107"/>
        <v>0</v>
      </c>
      <c r="AM63" s="486">
        <f t="shared" si="107"/>
        <v>0</v>
      </c>
      <c r="AN63" s="486">
        <f t="shared" si="107"/>
        <v>0</v>
      </c>
      <c r="AO63" s="486">
        <f t="shared" si="107"/>
        <v>0</v>
      </c>
      <c r="AP63" s="486">
        <f t="shared" si="107"/>
        <v>0.55000000000000004</v>
      </c>
      <c r="AQ63" s="486">
        <f t="shared" si="107"/>
        <v>0</v>
      </c>
      <c r="AR63" s="738">
        <f t="shared" si="107"/>
        <v>0.55000000000000004</v>
      </c>
      <c r="AS63" s="489">
        <f t="shared" si="107"/>
        <v>6790878</v>
      </c>
      <c r="AT63" s="485">
        <f t="shared" si="107"/>
        <v>4990206</v>
      </c>
      <c r="AU63" s="485">
        <f t="shared" si="107"/>
        <v>0</v>
      </c>
      <c r="AV63" s="485">
        <f t="shared" si="107"/>
        <v>1686689</v>
      </c>
      <c r="AW63" s="485">
        <f t="shared" si="107"/>
        <v>49903</v>
      </c>
      <c r="AX63" s="485">
        <f t="shared" si="107"/>
        <v>64080</v>
      </c>
      <c r="AY63" s="486">
        <f t="shared" si="107"/>
        <v>10.663599999999999</v>
      </c>
      <c r="AZ63" s="486">
        <f t="shared" si="107"/>
        <v>7.4849999999999994</v>
      </c>
      <c r="BA63" s="105">
        <f t="shared" si="107"/>
        <v>3.1786000000000003</v>
      </c>
    </row>
    <row r="64" spans="1:53" s="98" customFormat="1" ht="14.1" customHeight="1" x14ac:dyDescent="0.2">
      <c r="A64" s="121">
        <v>9</v>
      </c>
      <c r="B64" s="104">
        <v>2456</v>
      </c>
      <c r="C64" s="95">
        <v>600079732</v>
      </c>
      <c r="D64" s="78">
        <v>70695911</v>
      </c>
      <c r="E64" s="78" t="s">
        <v>743</v>
      </c>
      <c r="F64" s="96">
        <v>3111</v>
      </c>
      <c r="G64" s="78" t="s">
        <v>307</v>
      </c>
      <c r="H64" s="97" t="s">
        <v>277</v>
      </c>
      <c r="I64" s="462">
        <v>9139932</v>
      </c>
      <c r="J64" s="16">
        <v>6746241</v>
      </c>
      <c r="K64" s="457">
        <v>2280229</v>
      </c>
      <c r="L64" s="457">
        <v>67462</v>
      </c>
      <c r="M64" s="16">
        <v>46000</v>
      </c>
      <c r="N64" s="458">
        <v>13.9611</v>
      </c>
      <c r="O64" s="13">
        <v>11.8011</v>
      </c>
      <c r="P64" s="17">
        <v>2.16</v>
      </c>
      <c r="Q64" s="469">
        <f t="shared" ref="Q64:Q69" si="108">W64*-1</f>
        <v>-6500</v>
      </c>
      <c r="R64" s="460">
        <v>0</v>
      </c>
      <c r="S64" s="673">
        <v>0</v>
      </c>
      <c r="T64" s="460">
        <v>0</v>
      </c>
      <c r="U64" s="460">
        <v>0</v>
      </c>
      <c r="V64" s="460">
        <f t="shared" ref="V64:V69" si="109">SUM(Q64:U64)</f>
        <v>-6500</v>
      </c>
      <c r="W64" s="460">
        <v>6500</v>
      </c>
      <c r="X64" s="460">
        <v>0</v>
      </c>
      <c r="Y64" s="460">
        <v>0</v>
      </c>
      <c r="Z64" s="460">
        <f t="shared" ref="Z64:Z69" si="110">SUM(W64:Y64)</f>
        <v>6500</v>
      </c>
      <c r="AA64" s="460">
        <f t="shared" ref="AA64:AA69" si="111">V64+Z64</f>
        <v>0</v>
      </c>
      <c r="AB64" s="69">
        <f t="shared" ref="AB64:AB69" si="112">ROUND((V64+W64+X64)*33.8%,0)</f>
        <v>0</v>
      </c>
      <c r="AC64" s="69">
        <f t="shared" ref="AC64:AC69" si="113">ROUND(V64*1%,0)</f>
        <v>-65</v>
      </c>
      <c r="AD64" s="460">
        <v>0</v>
      </c>
      <c r="AE64" s="460">
        <v>0</v>
      </c>
      <c r="AF64" s="460">
        <f t="shared" ref="AF64:AF69" si="114">SUM(AD64:AE64)</f>
        <v>0</v>
      </c>
      <c r="AG64" s="460">
        <f t="shared" ref="AG64:AG69" si="115">AA64+AB64+AC64+AF64</f>
        <v>-65</v>
      </c>
      <c r="AH64" s="461">
        <v>0</v>
      </c>
      <c r="AI64" s="461">
        <v>0</v>
      </c>
      <c r="AJ64" s="461">
        <v>0</v>
      </c>
      <c r="AK64" s="461">
        <v>0</v>
      </c>
      <c r="AL64" s="674">
        <v>0</v>
      </c>
      <c r="AM64" s="461">
        <v>0</v>
      </c>
      <c r="AN64" s="461">
        <v>0</v>
      </c>
      <c r="AO64" s="461">
        <v>0</v>
      </c>
      <c r="AP64" s="461">
        <f t="shared" ref="AP64:AP69" si="116">AH64+AJ64+AK64+AM64+AN64</f>
        <v>0</v>
      </c>
      <c r="AQ64" s="461">
        <f t="shared" ref="AQ64:AQ69" si="117">AI64+AL64+AO64</f>
        <v>0</v>
      </c>
      <c r="AR64" s="737">
        <f t="shared" ref="AR64:AR69" si="118">SUM(AP64:AQ64)</f>
        <v>0</v>
      </c>
      <c r="AS64" s="470">
        <f t="shared" si="18"/>
        <v>9139867</v>
      </c>
      <c r="AT64" s="460">
        <f t="shared" si="19"/>
        <v>6739741</v>
      </c>
      <c r="AU64" s="460">
        <f t="shared" si="20"/>
        <v>6500</v>
      </c>
      <c r="AV64" s="460">
        <f t="shared" si="21"/>
        <v>2280229</v>
      </c>
      <c r="AW64" s="460">
        <f t="shared" si="22"/>
        <v>67397</v>
      </c>
      <c r="AX64" s="460">
        <f t="shared" si="23"/>
        <v>46000</v>
      </c>
      <c r="AY64" s="461">
        <f t="shared" si="24"/>
        <v>13.9611</v>
      </c>
      <c r="AZ64" s="461">
        <f t="shared" si="25"/>
        <v>11.8011</v>
      </c>
      <c r="BA64" s="463">
        <f t="shared" si="26"/>
        <v>2.16</v>
      </c>
    </row>
    <row r="65" spans="1:53" s="98" customFormat="1" ht="14.1" customHeight="1" x14ac:dyDescent="0.2">
      <c r="A65" s="121">
        <v>9</v>
      </c>
      <c r="B65" s="78">
        <v>2456</v>
      </c>
      <c r="C65" s="95">
        <v>600079732</v>
      </c>
      <c r="D65" s="78">
        <v>70695911</v>
      </c>
      <c r="E65" s="78" t="s">
        <v>743</v>
      </c>
      <c r="F65" s="96">
        <v>3113</v>
      </c>
      <c r="G65" s="78" t="s">
        <v>310</v>
      </c>
      <c r="H65" s="97" t="s">
        <v>277</v>
      </c>
      <c r="I65" s="462">
        <v>24940314</v>
      </c>
      <c r="J65" s="16">
        <v>18180207</v>
      </c>
      <c r="K65" s="457">
        <v>6144910</v>
      </c>
      <c r="L65" s="457">
        <v>181802</v>
      </c>
      <c r="M65" s="16">
        <v>433395</v>
      </c>
      <c r="N65" s="458">
        <v>31.745899999999999</v>
      </c>
      <c r="O65" s="13">
        <v>24.395900000000001</v>
      </c>
      <c r="P65" s="17">
        <v>7.35</v>
      </c>
      <c r="Q65" s="469">
        <f t="shared" si="108"/>
        <v>-78000</v>
      </c>
      <c r="R65" s="460">
        <v>0</v>
      </c>
      <c r="S65" s="673">
        <v>0</v>
      </c>
      <c r="T65" s="460">
        <v>0</v>
      </c>
      <c r="U65" s="460">
        <v>0</v>
      </c>
      <c r="V65" s="460">
        <f t="shared" si="109"/>
        <v>-78000</v>
      </c>
      <c r="W65" s="460">
        <v>78000</v>
      </c>
      <c r="X65" s="460">
        <v>0</v>
      </c>
      <c r="Y65" s="460">
        <v>0</v>
      </c>
      <c r="Z65" s="460">
        <f t="shared" si="110"/>
        <v>78000</v>
      </c>
      <c r="AA65" s="460">
        <f t="shared" si="111"/>
        <v>0</v>
      </c>
      <c r="AB65" s="69">
        <f t="shared" si="112"/>
        <v>0</v>
      </c>
      <c r="AC65" s="69">
        <f t="shared" si="113"/>
        <v>-780</v>
      </c>
      <c r="AD65" s="460">
        <v>0</v>
      </c>
      <c r="AE65" s="460">
        <v>0</v>
      </c>
      <c r="AF65" s="460">
        <f t="shared" si="114"/>
        <v>0</v>
      </c>
      <c r="AG65" s="460">
        <f t="shared" si="115"/>
        <v>-780</v>
      </c>
      <c r="AH65" s="461">
        <v>0</v>
      </c>
      <c r="AI65" s="461">
        <v>-0.04</v>
      </c>
      <c r="AJ65" s="461">
        <v>0</v>
      </c>
      <c r="AK65" s="461">
        <v>0</v>
      </c>
      <c r="AL65" s="674">
        <v>0</v>
      </c>
      <c r="AM65" s="461">
        <v>0</v>
      </c>
      <c r="AN65" s="461">
        <v>0</v>
      </c>
      <c r="AO65" s="461">
        <v>0</v>
      </c>
      <c r="AP65" s="461">
        <f t="shared" si="116"/>
        <v>0</v>
      </c>
      <c r="AQ65" s="461">
        <f t="shared" si="117"/>
        <v>-0.04</v>
      </c>
      <c r="AR65" s="737">
        <f t="shared" si="118"/>
        <v>-0.04</v>
      </c>
      <c r="AS65" s="470">
        <f t="shared" si="18"/>
        <v>24939534</v>
      </c>
      <c r="AT65" s="460">
        <f t="shared" si="19"/>
        <v>18102207</v>
      </c>
      <c r="AU65" s="460">
        <f t="shared" si="20"/>
        <v>78000</v>
      </c>
      <c r="AV65" s="460">
        <f t="shared" si="21"/>
        <v>6144910</v>
      </c>
      <c r="AW65" s="460">
        <f t="shared" si="22"/>
        <v>181022</v>
      </c>
      <c r="AX65" s="460">
        <f t="shared" si="23"/>
        <v>433395</v>
      </c>
      <c r="AY65" s="461">
        <f t="shared" si="24"/>
        <v>31.7059</v>
      </c>
      <c r="AZ65" s="461">
        <f t="shared" si="25"/>
        <v>24.395900000000001</v>
      </c>
      <c r="BA65" s="463">
        <f t="shared" si="26"/>
        <v>7.31</v>
      </c>
    </row>
    <row r="66" spans="1:53" s="98" customFormat="1" ht="14.1" customHeight="1" x14ac:dyDescent="0.2">
      <c r="A66" s="121">
        <v>9</v>
      </c>
      <c r="B66" s="104">
        <v>2456</v>
      </c>
      <c r="C66" s="95">
        <v>600079732</v>
      </c>
      <c r="D66" s="78">
        <v>70695911</v>
      </c>
      <c r="E66" s="104" t="s">
        <v>743</v>
      </c>
      <c r="F66" s="96">
        <v>3113</v>
      </c>
      <c r="G66" s="78" t="s">
        <v>308</v>
      </c>
      <c r="H66" s="97" t="s">
        <v>278</v>
      </c>
      <c r="I66" s="462">
        <v>0</v>
      </c>
      <c r="J66" s="591">
        <v>0</v>
      </c>
      <c r="K66" s="457">
        <v>0</v>
      </c>
      <c r="L66" s="457">
        <v>0</v>
      </c>
      <c r="M66" s="591">
        <v>0</v>
      </c>
      <c r="N66" s="458">
        <v>0</v>
      </c>
      <c r="O66" s="459">
        <v>0</v>
      </c>
      <c r="P66" s="717">
        <v>0</v>
      </c>
      <c r="Q66" s="469">
        <f t="shared" si="108"/>
        <v>0</v>
      </c>
      <c r="R66" s="460">
        <v>2753392</v>
      </c>
      <c r="S66" s="673">
        <v>0</v>
      </c>
      <c r="T66" s="460">
        <v>0</v>
      </c>
      <c r="U66" s="460">
        <v>0</v>
      </c>
      <c r="V66" s="460">
        <f t="shared" si="109"/>
        <v>2753392</v>
      </c>
      <c r="W66" s="460">
        <v>0</v>
      </c>
      <c r="X66" s="460">
        <v>0</v>
      </c>
      <c r="Y66" s="460">
        <v>0</v>
      </c>
      <c r="Z66" s="460">
        <f t="shared" si="110"/>
        <v>0</v>
      </c>
      <c r="AA66" s="460">
        <f t="shared" si="111"/>
        <v>2753392</v>
      </c>
      <c r="AB66" s="69">
        <f t="shared" si="112"/>
        <v>930646</v>
      </c>
      <c r="AC66" s="69">
        <f t="shared" si="113"/>
        <v>27534</v>
      </c>
      <c r="AD66" s="460">
        <v>0</v>
      </c>
      <c r="AE66" s="460">
        <v>0</v>
      </c>
      <c r="AF66" s="460">
        <f t="shared" si="114"/>
        <v>0</v>
      </c>
      <c r="AG66" s="460">
        <f t="shared" si="115"/>
        <v>3711572</v>
      </c>
      <c r="AH66" s="461">
        <v>0</v>
      </c>
      <c r="AI66" s="461">
        <v>0</v>
      </c>
      <c r="AJ66" s="461">
        <v>8.17</v>
      </c>
      <c r="AK66" s="461">
        <v>0</v>
      </c>
      <c r="AL66" s="674">
        <v>0</v>
      </c>
      <c r="AM66" s="461">
        <v>0</v>
      </c>
      <c r="AN66" s="461">
        <v>0</v>
      </c>
      <c r="AO66" s="461">
        <v>0</v>
      </c>
      <c r="AP66" s="461">
        <f t="shared" si="116"/>
        <v>8.17</v>
      </c>
      <c r="AQ66" s="461">
        <f t="shared" si="117"/>
        <v>0</v>
      </c>
      <c r="AR66" s="737">
        <f t="shared" si="118"/>
        <v>8.17</v>
      </c>
      <c r="AS66" s="470">
        <f t="shared" si="18"/>
        <v>3711572</v>
      </c>
      <c r="AT66" s="460">
        <f t="shared" si="19"/>
        <v>2753392</v>
      </c>
      <c r="AU66" s="460">
        <f t="shared" si="20"/>
        <v>0</v>
      </c>
      <c r="AV66" s="460">
        <f t="shared" si="21"/>
        <v>930646</v>
      </c>
      <c r="AW66" s="460">
        <f t="shared" si="22"/>
        <v>27534</v>
      </c>
      <c r="AX66" s="460">
        <f t="shared" si="23"/>
        <v>0</v>
      </c>
      <c r="AY66" s="461">
        <f t="shared" si="24"/>
        <v>8.17</v>
      </c>
      <c r="AZ66" s="461">
        <f t="shared" si="25"/>
        <v>8.17</v>
      </c>
      <c r="BA66" s="463">
        <f t="shared" si="26"/>
        <v>0</v>
      </c>
    </row>
    <row r="67" spans="1:53" s="98" customFormat="1" ht="14.1" customHeight="1" x14ac:dyDescent="0.2">
      <c r="A67" s="121">
        <v>9</v>
      </c>
      <c r="B67" s="78">
        <v>2456</v>
      </c>
      <c r="C67" s="95">
        <v>600079732</v>
      </c>
      <c r="D67" s="78">
        <v>70695911</v>
      </c>
      <c r="E67" s="78" t="s">
        <v>743</v>
      </c>
      <c r="F67" s="96">
        <v>3141</v>
      </c>
      <c r="G67" s="78" t="s">
        <v>311</v>
      </c>
      <c r="H67" s="97" t="s">
        <v>278</v>
      </c>
      <c r="I67" s="462">
        <v>3072145</v>
      </c>
      <c r="J67" s="728">
        <v>2264573</v>
      </c>
      <c r="K67" s="457">
        <v>765426</v>
      </c>
      <c r="L67" s="457">
        <v>22646</v>
      </c>
      <c r="M67" s="728">
        <v>19500</v>
      </c>
      <c r="N67" s="458">
        <v>7.2799999999999994</v>
      </c>
      <c r="O67" s="730">
        <v>0</v>
      </c>
      <c r="P67" s="734">
        <v>7.2799999999999994</v>
      </c>
      <c r="Q67" s="469">
        <f t="shared" si="108"/>
        <v>-6500</v>
      </c>
      <c r="R67" s="460">
        <v>0</v>
      </c>
      <c r="S67" s="673">
        <v>0</v>
      </c>
      <c r="T67" s="460">
        <v>0</v>
      </c>
      <c r="U67" s="460">
        <v>0</v>
      </c>
      <c r="V67" s="460">
        <f t="shared" si="109"/>
        <v>-6500</v>
      </c>
      <c r="W67" s="460">
        <v>6500</v>
      </c>
      <c r="X67" s="460">
        <v>0</v>
      </c>
      <c r="Y67" s="460">
        <v>0</v>
      </c>
      <c r="Z67" s="460">
        <f t="shared" si="110"/>
        <v>6500</v>
      </c>
      <c r="AA67" s="460">
        <f t="shared" si="111"/>
        <v>0</v>
      </c>
      <c r="AB67" s="69">
        <f t="shared" si="112"/>
        <v>0</v>
      </c>
      <c r="AC67" s="69">
        <f t="shared" si="113"/>
        <v>-65</v>
      </c>
      <c r="AD67" s="460">
        <v>0</v>
      </c>
      <c r="AE67" s="460">
        <v>0</v>
      </c>
      <c r="AF67" s="460">
        <f t="shared" si="114"/>
        <v>0</v>
      </c>
      <c r="AG67" s="460">
        <f t="shared" si="115"/>
        <v>-65</v>
      </c>
      <c r="AH67" s="461">
        <v>0</v>
      </c>
      <c r="AI67" s="461">
        <v>0</v>
      </c>
      <c r="AJ67" s="461">
        <v>0</v>
      </c>
      <c r="AK67" s="461">
        <v>0</v>
      </c>
      <c r="AL67" s="674">
        <v>0</v>
      </c>
      <c r="AM67" s="461">
        <v>0</v>
      </c>
      <c r="AN67" s="461">
        <v>0</v>
      </c>
      <c r="AO67" s="461">
        <v>0</v>
      </c>
      <c r="AP67" s="461">
        <f t="shared" si="116"/>
        <v>0</v>
      </c>
      <c r="AQ67" s="461">
        <f t="shared" si="117"/>
        <v>0</v>
      </c>
      <c r="AR67" s="737">
        <f t="shared" si="118"/>
        <v>0</v>
      </c>
      <c r="AS67" s="470">
        <f t="shared" si="18"/>
        <v>3072080</v>
      </c>
      <c r="AT67" s="460">
        <f t="shared" si="19"/>
        <v>2258073</v>
      </c>
      <c r="AU67" s="460">
        <f t="shared" si="20"/>
        <v>6500</v>
      </c>
      <c r="AV67" s="460">
        <f t="shared" si="21"/>
        <v>765426</v>
      </c>
      <c r="AW67" s="460">
        <f t="shared" si="22"/>
        <v>22581</v>
      </c>
      <c r="AX67" s="460">
        <f t="shared" si="23"/>
        <v>19500</v>
      </c>
      <c r="AY67" s="461">
        <f t="shared" si="24"/>
        <v>7.2799999999999994</v>
      </c>
      <c r="AZ67" s="461">
        <f t="shared" si="25"/>
        <v>0</v>
      </c>
      <c r="BA67" s="463">
        <f t="shared" si="26"/>
        <v>7.2799999999999994</v>
      </c>
    </row>
    <row r="68" spans="1:53" s="98" customFormat="1" ht="14.1" customHeight="1" x14ac:dyDescent="0.2">
      <c r="A68" s="121">
        <v>9</v>
      </c>
      <c r="B68" s="78">
        <v>2456</v>
      </c>
      <c r="C68" s="95">
        <v>600079732</v>
      </c>
      <c r="D68" s="78">
        <v>70695911</v>
      </c>
      <c r="E68" s="78" t="s">
        <v>743</v>
      </c>
      <c r="F68" s="96">
        <v>3143</v>
      </c>
      <c r="G68" s="78" t="s">
        <v>616</v>
      </c>
      <c r="H68" s="97" t="s">
        <v>277</v>
      </c>
      <c r="I68" s="462">
        <v>1927368</v>
      </c>
      <c r="J68" s="715">
        <v>1429798</v>
      </c>
      <c r="K68" s="457">
        <v>483272</v>
      </c>
      <c r="L68" s="457">
        <v>14298</v>
      </c>
      <c r="M68" s="715">
        <v>0</v>
      </c>
      <c r="N68" s="458">
        <v>2.7273000000000001</v>
      </c>
      <c r="O68" s="716">
        <v>2.7273000000000001</v>
      </c>
      <c r="P68" s="718">
        <v>0</v>
      </c>
      <c r="Q68" s="469">
        <f t="shared" si="108"/>
        <v>-13000</v>
      </c>
      <c r="R68" s="460">
        <v>0</v>
      </c>
      <c r="S68" s="673">
        <v>0</v>
      </c>
      <c r="T68" s="460">
        <v>0</v>
      </c>
      <c r="U68" s="460">
        <v>0</v>
      </c>
      <c r="V68" s="460">
        <f t="shared" si="109"/>
        <v>-13000</v>
      </c>
      <c r="W68" s="460">
        <v>13000</v>
      </c>
      <c r="X68" s="460">
        <v>0</v>
      </c>
      <c r="Y68" s="460">
        <v>0</v>
      </c>
      <c r="Z68" s="460">
        <f t="shared" si="110"/>
        <v>13000</v>
      </c>
      <c r="AA68" s="460">
        <f t="shared" si="111"/>
        <v>0</v>
      </c>
      <c r="AB68" s="69">
        <f t="shared" si="112"/>
        <v>0</v>
      </c>
      <c r="AC68" s="69">
        <f t="shared" si="113"/>
        <v>-130</v>
      </c>
      <c r="AD68" s="460">
        <v>0</v>
      </c>
      <c r="AE68" s="460">
        <v>0</v>
      </c>
      <c r="AF68" s="460">
        <f t="shared" si="114"/>
        <v>0</v>
      </c>
      <c r="AG68" s="460">
        <f t="shared" si="115"/>
        <v>-130</v>
      </c>
      <c r="AH68" s="461">
        <v>0</v>
      </c>
      <c r="AI68" s="461">
        <v>0</v>
      </c>
      <c r="AJ68" s="461">
        <v>0</v>
      </c>
      <c r="AK68" s="461">
        <v>0</v>
      </c>
      <c r="AL68" s="674">
        <v>0</v>
      </c>
      <c r="AM68" s="461">
        <v>0</v>
      </c>
      <c r="AN68" s="461">
        <v>0</v>
      </c>
      <c r="AO68" s="461">
        <v>0</v>
      </c>
      <c r="AP68" s="461">
        <f t="shared" si="116"/>
        <v>0</v>
      </c>
      <c r="AQ68" s="461">
        <f t="shared" si="117"/>
        <v>0</v>
      </c>
      <c r="AR68" s="737">
        <f t="shared" si="118"/>
        <v>0</v>
      </c>
      <c r="AS68" s="470">
        <f t="shared" si="18"/>
        <v>1927238</v>
      </c>
      <c r="AT68" s="460">
        <f t="shared" si="19"/>
        <v>1416798</v>
      </c>
      <c r="AU68" s="460">
        <f t="shared" si="20"/>
        <v>13000</v>
      </c>
      <c r="AV68" s="460">
        <f t="shared" si="21"/>
        <v>483272</v>
      </c>
      <c r="AW68" s="460">
        <f t="shared" si="22"/>
        <v>14168</v>
      </c>
      <c r="AX68" s="460">
        <f t="shared" si="23"/>
        <v>0</v>
      </c>
      <c r="AY68" s="461">
        <f t="shared" si="24"/>
        <v>2.7273000000000001</v>
      </c>
      <c r="AZ68" s="461">
        <f t="shared" si="25"/>
        <v>2.7273000000000001</v>
      </c>
      <c r="BA68" s="463">
        <f t="shared" si="26"/>
        <v>0</v>
      </c>
    </row>
    <row r="69" spans="1:53" s="98" customFormat="1" ht="14.1" customHeight="1" x14ac:dyDescent="0.2">
      <c r="A69" s="121">
        <v>9</v>
      </c>
      <c r="B69" s="78">
        <v>2456</v>
      </c>
      <c r="C69" s="95">
        <v>600079732</v>
      </c>
      <c r="D69" s="78">
        <v>70695911</v>
      </c>
      <c r="E69" s="78" t="s">
        <v>743</v>
      </c>
      <c r="F69" s="96">
        <v>3143</v>
      </c>
      <c r="G69" s="78" t="s">
        <v>617</v>
      </c>
      <c r="H69" s="97" t="s">
        <v>278</v>
      </c>
      <c r="I69" s="462">
        <v>65237</v>
      </c>
      <c r="J69" s="673">
        <v>46613</v>
      </c>
      <c r="K69" s="457">
        <v>15755</v>
      </c>
      <c r="L69" s="457">
        <v>466</v>
      </c>
      <c r="M69" s="673">
        <v>2403</v>
      </c>
      <c r="N69" s="458">
        <v>0.19</v>
      </c>
      <c r="O69" s="459">
        <v>0</v>
      </c>
      <c r="P69" s="717">
        <v>0.19</v>
      </c>
      <c r="Q69" s="469">
        <f t="shared" si="108"/>
        <v>0</v>
      </c>
      <c r="R69" s="460">
        <v>0</v>
      </c>
      <c r="S69" s="673">
        <v>0</v>
      </c>
      <c r="T69" s="460">
        <v>0</v>
      </c>
      <c r="U69" s="460">
        <v>0</v>
      </c>
      <c r="V69" s="460">
        <f t="shared" si="109"/>
        <v>0</v>
      </c>
      <c r="W69" s="460">
        <v>0</v>
      </c>
      <c r="X69" s="460">
        <v>0</v>
      </c>
      <c r="Y69" s="460">
        <v>0</v>
      </c>
      <c r="Z69" s="460">
        <f t="shared" si="110"/>
        <v>0</v>
      </c>
      <c r="AA69" s="460">
        <f t="shared" si="111"/>
        <v>0</v>
      </c>
      <c r="AB69" s="69">
        <f t="shared" si="112"/>
        <v>0</v>
      </c>
      <c r="AC69" s="69">
        <f t="shared" si="113"/>
        <v>0</v>
      </c>
      <c r="AD69" s="460">
        <v>0</v>
      </c>
      <c r="AE69" s="460">
        <v>0</v>
      </c>
      <c r="AF69" s="460">
        <f t="shared" si="114"/>
        <v>0</v>
      </c>
      <c r="AG69" s="460">
        <f t="shared" si="115"/>
        <v>0</v>
      </c>
      <c r="AH69" s="461">
        <v>0</v>
      </c>
      <c r="AI69" s="461">
        <v>0</v>
      </c>
      <c r="AJ69" s="461">
        <v>0</v>
      </c>
      <c r="AK69" s="461">
        <v>0</v>
      </c>
      <c r="AL69" s="674">
        <v>0</v>
      </c>
      <c r="AM69" s="461">
        <v>0</v>
      </c>
      <c r="AN69" s="461">
        <v>0</v>
      </c>
      <c r="AO69" s="461">
        <v>0</v>
      </c>
      <c r="AP69" s="461">
        <f t="shared" si="116"/>
        <v>0</v>
      </c>
      <c r="AQ69" s="461">
        <f t="shared" si="117"/>
        <v>0</v>
      </c>
      <c r="AR69" s="737">
        <f t="shared" si="118"/>
        <v>0</v>
      </c>
      <c r="AS69" s="470">
        <f t="shared" si="18"/>
        <v>65237</v>
      </c>
      <c r="AT69" s="460">
        <f t="shared" si="19"/>
        <v>46613</v>
      </c>
      <c r="AU69" s="460">
        <f t="shared" si="20"/>
        <v>0</v>
      </c>
      <c r="AV69" s="460">
        <f t="shared" si="21"/>
        <v>15755</v>
      </c>
      <c r="AW69" s="460">
        <f t="shared" si="22"/>
        <v>466</v>
      </c>
      <c r="AX69" s="460">
        <f t="shared" si="23"/>
        <v>2403</v>
      </c>
      <c r="AY69" s="461">
        <f t="shared" si="24"/>
        <v>0.19</v>
      </c>
      <c r="AZ69" s="461">
        <f t="shared" si="25"/>
        <v>0</v>
      </c>
      <c r="BA69" s="463">
        <f t="shared" si="26"/>
        <v>0.19</v>
      </c>
    </row>
    <row r="70" spans="1:53" s="98" customFormat="1" ht="14.1" customHeight="1" x14ac:dyDescent="0.2">
      <c r="A70" s="122">
        <v>9</v>
      </c>
      <c r="B70" s="99">
        <v>2456</v>
      </c>
      <c r="C70" s="100">
        <v>600079732</v>
      </c>
      <c r="D70" s="99">
        <v>70695911</v>
      </c>
      <c r="E70" s="99" t="s">
        <v>744</v>
      </c>
      <c r="F70" s="101"/>
      <c r="G70" s="102"/>
      <c r="H70" s="103"/>
      <c r="I70" s="489">
        <f t="shared" ref="I70:P70" si="119">SUM(I64:I69)</f>
        <v>39144996</v>
      </c>
      <c r="J70" s="485">
        <f t="shared" si="119"/>
        <v>28667432</v>
      </c>
      <c r="K70" s="485">
        <f t="shared" si="119"/>
        <v>9689592</v>
      </c>
      <c r="L70" s="485">
        <f t="shared" si="119"/>
        <v>286674</v>
      </c>
      <c r="M70" s="485">
        <f t="shared" si="119"/>
        <v>501298</v>
      </c>
      <c r="N70" s="486">
        <f t="shared" si="119"/>
        <v>55.904299999999999</v>
      </c>
      <c r="O70" s="486">
        <f t="shared" si="119"/>
        <v>38.924300000000002</v>
      </c>
      <c r="P70" s="105">
        <f t="shared" si="119"/>
        <v>16.98</v>
      </c>
      <c r="Q70" s="491">
        <f t="shared" ref="Q70:BA70" si="120">SUM(Q64:Q69)</f>
        <v>-104000</v>
      </c>
      <c r="R70" s="491">
        <f t="shared" si="120"/>
        <v>2753392</v>
      </c>
      <c r="S70" s="485">
        <f t="shared" si="120"/>
        <v>0</v>
      </c>
      <c r="T70" s="485">
        <f t="shared" si="120"/>
        <v>0</v>
      </c>
      <c r="U70" s="485">
        <f t="shared" si="120"/>
        <v>0</v>
      </c>
      <c r="V70" s="485">
        <f t="shared" si="120"/>
        <v>2649392</v>
      </c>
      <c r="W70" s="485">
        <f t="shared" si="120"/>
        <v>104000</v>
      </c>
      <c r="X70" s="485">
        <f t="shared" si="120"/>
        <v>0</v>
      </c>
      <c r="Y70" s="485">
        <f t="shared" si="120"/>
        <v>0</v>
      </c>
      <c r="Z70" s="485">
        <f t="shared" si="120"/>
        <v>104000</v>
      </c>
      <c r="AA70" s="485">
        <f t="shared" si="120"/>
        <v>2753392</v>
      </c>
      <c r="AB70" s="485">
        <f t="shared" si="120"/>
        <v>930646</v>
      </c>
      <c r="AC70" s="485">
        <f t="shared" si="120"/>
        <v>26494</v>
      </c>
      <c r="AD70" s="485">
        <f t="shared" si="120"/>
        <v>0</v>
      </c>
      <c r="AE70" s="485">
        <f t="shared" si="120"/>
        <v>0</v>
      </c>
      <c r="AF70" s="485">
        <f t="shared" si="120"/>
        <v>0</v>
      </c>
      <c r="AG70" s="485">
        <f t="shared" si="120"/>
        <v>3710532</v>
      </c>
      <c r="AH70" s="486">
        <f t="shared" si="120"/>
        <v>0</v>
      </c>
      <c r="AI70" s="486">
        <f t="shared" si="120"/>
        <v>-0.04</v>
      </c>
      <c r="AJ70" s="486">
        <f t="shared" si="120"/>
        <v>8.17</v>
      </c>
      <c r="AK70" s="486">
        <f t="shared" si="120"/>
        <v>0</v>
      </c>
      <c r="AL70" s="486">
        <f t="shared" si="120"/>
        <v>0</v>
      </c>
      <c r="AM70" s="486">
        <f t="shared" si="120"/>
        <v>0</v>
      </c>
      <c r="AN70" s="486">
        <f t="shared" si="120"/>
        <v>0</v>
      </c>
      <c r="AO70" s="486">
        <f t="shared" si="120"/>
        <v>0</v>
      </c>
      <c r="AP70" s="486">
        <f t="shared" si="120"/>
        <v>8.17</v>
      </c>
      <c r="AQ70" s="486">
        <f t="shared" si="120"/>
        <v>-0.04</v>
      </c>
      <c r="AR70" s="738">
        <f t="shared" si="120"/>
        <v>8.1300000000000008</v>
      </c>
      <c r="AS70" s="489">
        <f t="shared" si="120"/>
        <v>42855528</v>
      </c>
      <c r="AT70" s="485">
        <f t="shared" si="120"/>
        <v>31316824</v>
      </c>
      <c r="AU70" s="485">
        <f t="shared" si="120"/>
        <v>104000</v>
      </c>
      <c r="AV70" s="485">
        <f t="shared" si="120"/>
        <v>10620238</v>
      </c>
      <c r="AW70" s="485">
        <f t="shared" si="120"/>
        <v>313168</v>
      </c>
      <c r="AX70" s="485">
        <f t="shared" si="120"/>
        <v>501298</v>
      </c>
      <c r="AY70" s="486">
        <f t="shared" si="120"/>
        <v>64.034300000000002</v>
      </c>
      <c r="AZ70" s="486">
        <f t="shared" si="120"/>
        <v>47.094300000000004</v>
      </c>
      <c r="BA70" s="105">
        <f t="shared" si="120"/>
        <v>16.940000000000001</v>
      </c>
    </row>
    <row r="71" spans="1:53" s="98" customFormat="1" ht="14.1" customHeight="1" x14ac:dyDescent="0.2">
      <c r="A71" s="121">
        <v>10</v>
      </c>
      <c r="B71" s="104">
        <v>2462</v>
      </c>
      <c r="C71" s="95">
        <v>600079813</v>
      </c>
      <c r="D71" s="78">
        <v>72744600</v>
      </c>
      <c r="E71" s="78" t="s">
        <v>745</v>
      </c>
      <c r="F71" s="96">
        <v>3111</v>
      </c>
      <c r="G71" s="78" t="s">
        <v>307</v>
      </c>
      <c r="H71" s="97" t="s">
        <v>277</v>
      </c>
      <c r="I71" s="462">
        <v>1527445</v>
      </c>
      <c r="J71" s="16">
        <v>1128075</v>
      </c>
      <c r="K71" s="457">
        <v>381289</v>
      </c>
      <c r="L71" s="457">
        <v>11281</v>
      </c>
      <c r="M71" s="16">
        <v>6800</v>
      </c>
      <c r="N71" s="458">
        <v>2.36</v>
      </c>
      <c r="O71" s="13">
        <v>2</v>
      </c>
      <c r="P71" s="17">
        <v>0.36</v>
      </c>
      <c r="Q71" s="469">
        <f t="shared" ref="Q71:Q76" si="121">W71*-1</f>
        <v>0</v>
      </c>
      <c r="R71" s="460">
        <v>0</v>
      </c>
      <c r="S71" s="673">
        <v>0</v>
      </c>
      <c r="T71" s="460">
        <v>0</v>
      </c>
      <c r="U71" s="460">
        <v>0</v>
      </c>
      <c r="V71" s="460">
        <f t="shared" ref="V71:V76" si="122">SUM(Q71:U71)</f>
        <v>0</v>
      </c>
      <c r="W71" s="460">
        <v>0</v>
      </c>
      <c r="X71" s="460">
        <v>0</v>
      </c>
      <c r="Y71" s="460">
        <v>0</v>
      </c>
      <c r="Z71" s="460">
        <f t="shared" ref="Z71:Z76" si="123">SUM(W71:Y71)</f>
        <v>0</v>
      </c>
      <c r="AA71" s="460">
        <f t="shared" ref="AA71:AA76" si="124">V71+Z71</f>
        <v>0</v>
      </c>
      <c r="AB71" s="69">
        <f t="shared" ref="AB71:AB76" si="125">ROUND((V71+W71+X71)*33.8%,0)</f>
        <v>0</v>
      </c>
      <c r="AC71" s="69">
        <f t="shared" ref="AC71:AC76" si="126">ROUND(V71*1%,0)</f>
        <v>0</v>
      </c>
      <c r="AD71" s="460">
        <v>0</v>
      </c>
      <c r="AE71" s="460">
        <v>0</v>
      </c>
      <c r="AF71" s="460">
        <f t="shared" ref="AF71:AF76" si="127">SUM(AD71:AE71)</f>
        <v>0</v>
      </c>
      <c r="AG71" s="460">
        <f t="shared" ref="AG71:AG76" si="128">AA71+AB71+AC71+AF71</f>
        <v>0</v>
      </c>
      <c r="AH71" s="461">
        <v>0</v>
      </c>
      <c r="AI71" s="461">
        <v>0</v>
      </c>
      <c r="AJ71" s="461">
        <v>0</v>
      </c>
      <c r="AK71" s="461">
        <v>0</v>
      </c>
      <c r="AL71" s="674">
        <v>0</v>
      </c>
      <c r="AM71" s="461">
        <v>0</v>
      </c>
      <c r="AN71" s="461">
        <v>0</v>
      </c>
      <c r="AO71" s="461">
        <v>0</v>
      </c>
      <c r="AP71" s="461">
        <f t="shared" ref="AP71:AP76" si="129">AH71+AJ71+AK71+AM71+AN71</f>
        <v>0</v>
      </c>
      <c r="AQ71" s="461">
        <f t="shared" ref="AQ71:AQ76" si="130">AI71+AL71+AO71</f>
        <v>0</v>
      </c>
      <c r="AR71" s="737">
        <f t="shared" ref="AR71:AR76" si="131">SUM(AP71:AQ71)</f>
        <v>0</v>
      </c>
      <c r="AS71" s="470">
        <f t="shared" si="18"/>
        <v>1527445</v>
      </c>
      <c r="AT71" s="460">
        <f t="shared" si="19"/>
        <v>1128075</v>
      </c>
      <c r="AU71" s="460">
        <f t="shared" si="20"/>
        <v>0</v>
      </c>
      <c r="AV71" s="460">
        <f t="shared" si="21"/>
        <v>381289</v>
      </c>
      <c r="AW71" s="460">
        <f t="shared" si="22"/>
        <v>11281</v>
      </c>
      <c r="AX71" s="460">
        <f t="shared" si="23"/>
        <v>6800</v>
      </c>
      <c r="AY71" s="461">
        <f t="shared" si="24"/>
        <v>2.36</v>
      </c>
      <c r="AZ71" s="461">
        <f t="shared" si="25"/>
        <v>2</v>
      </c>
      <c r="BA71" s="463">
        <f t="shared" si="26"/>
        <v>0.36</v>
      </c>
    </row>
    <row r="72" spans="1:53" s="98" customFormat="1" ht="14.1" customHeight="1" x14ac:dyDescent="0.2">
      <c r="A72" s="121">
        <v>10</v>
      </c>
      <c r="B72" s="106">
        <v>2462</v>
      </c>
      <c r="C72" s="95">
        <v>600079813</v>
      </c>
      <c r="D72" s="78">
        <v>72744600</v>
      </c>
      <c r="E72" s="106" t="s">
        <v>745</v>
      </c>
      <c r="F72" s="107">
        <v>3117</v>
      </c>
      <c r="G72" s="106" t="s">
        <v>325</v>
      </c>
      <c r="H72" s="97" t="s">
        <v>277</v>
      </c>
      <c r="I72" s="462">
        <v>3560279</v>
      </c>
      <c r="J72" s="16">
        <v>2565600</v>
      </c>
      <c r="K72" s="457">
        <v>867173</v>
      </c>
      <c r="L72" s="457">
        <v>25656</v>
      </c>
      <c r="M72" s="16">
        <v>101850</v>
      </c>
      <c r="N72" s="458">
        <v>5.0928000000000004</v>
      </c>
      <c r="O72" s="13">
        <v>3.7995000000000001</v>
      </c>
      <c r="P72" s="17">
        <v>1.2932999999999999</v>
      </c>
      <c r="Q72" s="469">
        <f t="shared" si="121"/>
        <v>-58500</v>
      </c>
      <c r="R72" s="460">
        <v>0</v>
      </c>
      <c r="S72" s="673">
        <v>0</v>
      </c>
      <c r="T72" s="460">
        <v>0</v>
      </c>
      <c r="U72" s="460">
        <v>0</v>
      </c>
      <c r="V72" s="460">
        <f t="shared" si="122"/>
        <v>-58500</v>
      </c>
      <c r="W72" s="460">
        <v>58500</v>
      </c>
      <c r="X72" s="460">
        <v>0</v>
      </c>
      <c r="Y72" s="460">
        <v>0</v>
      </c>
      <c r="Z72" s="460">
        <f t="shared" si="123"/>
        <v>58500</v>
      </c>
      <c r="AA72" s="460">
        <f t="shared" si="124"/>
        <v>0</v>
      </c>
      <c r="AB72" s="69">
        <f t="shared" si="125"/>
        <v>0</v>
      </c>
      <c r="AC72" s="69">
        <f t="shared" si="126"/>
        <v>-585</v>
      </c>
      <c r="AD72" s="460">
        <v>0</v>
      </c>
      <c r="AE72" s="460">
        <v>0</v>
      </c>
      <c r="AF72" s="460">
        <f t="shared" si="127"/>
        <v>0</v>
      </c>
      <c r="AG72" s="460">
        <f t="shared" si="128"/>
        <v>-585</v>
      </c>
      <c r="AH72" s="461">
        <v>-7.0000000000000007E-2</v>
      </c>
      <c r="AI72" s="461">
        <v>-0.05</v>
      </c>
      <c r="AJ72" s="461">
        <v>0</v>
      </c>
      <c r="AK72" s="461">
        <v>0</v>
      </c>
      <c r="AL72" s="674">
        <v>0</v>
      </c>
      <c r="AM72" s="461">
        <v>0</v>
      </c>
      <c r="AN72" s="461">
        <v>0</v>
      </c>
      <c r="AO72" s="461">
        <v>0</v>
      </c>
      <c r="AP72" s="461">
        <f t="shared" si="129"/>
        <v>-7.0000000000000007E-2</v>
      </c>
      <c r="AQ72" s="461">
        <f t="shared" si="130"/>
        <v>-0.05</v>
      </c>
      <c r="AR72" s="737">
        <f t="shared" si="131"/>
        <v>-0.12000000000000001</v>
      </c>
      <c r="AS72" s="470">
        <f t="shared" si="18"/>
        <v>3559694</v>
      </c>
      <c r="AT72" s="460">
        <f t="shared" si="19"/>
        <v>2507100</v>
      </c>
      <c r="AU72" s="460">
        <f t="shared" si="20"/>
        <v>58500</v>
      </c>
      <c r="AV72" s="460">
        <f t="shared" si="21"/>
        <v>867173</v>
      </c>
      <c r="AW72" s="460">
        <f t="shared" si="22"/>
        <v>25071</v>
      </c>
      <c r="AX72" s="460">
        <f t="shared" si="23"/>
        <v>101850</v>
      </c>
      <c r="AY72" s="461">
        <f t="shared" si="24"/>
        <v>4.9728000000000003</v>
      </c>
      <c r="AZ72" s="461">
        <f t="shared" si="25"/>
        <v>3.7295000000000003</v>
      </c>
      <c r="BA72" s="463">
        <f t="shared" si="26"/>
        <v>1.2432999999999998</v>
      </c>
    </row>
    <row r="73" spans="1:53" s="98" customFormat="1" ht="14.1" customHeight="1" x14ac:dyDescent="0.2">
      <c r="A73" s="121">
        <v>10</v>
      </c>
      <c r="B73" s="104">
        <v>2462</v>
      </c>
      <c r="C73" s="95">
        <v>600079813</v>
      </c>
      <c r="D73" s="78">
        <v>72744600</v>
      </c>
      <c r="E73" s="104" t="s">
        <v>745</v>
      </c>
      <c r="F73" s="96">
        <v>3117</v>
      </c>
      <c r="G73" s="78" t="s">
        <v>308</v>
      </c>
      <c r="H73" s="97" t="s">
        <v>278</v>
      </c>
      <c r="I73" s="462">
        <v>0</v>
      </c>
      <c r="J73" s="591">
        <v>0</v>
      </c>
      <c r="K73" s="457">
        <v>0</v>
      </c>
      <c r="L73" s="457">
        <v>0</v>
      </c>
      <c r="M73" s="591">
        <v>0</v>
      </c>
      <c r="N73" s="458">
        <v>0</v>
      </c>
      <c r="O73" s="459">
        <v>0</v>
      </c>
      <c r="P73" s="717">
        <v>0</v>
      </c>
      <c r="Q73" s="469">
        <f t="shared" si="121"/>
        <v>0</v>
      </c>
      <c r="R73" s="460">
        <v>1468909</v>
      </c>
      <c r="S73" s="673">
        <v>0</v>
      </c>
      <c r="T73" s="460">
        <v>0</v>
      </c>
      <c r="U73" s="460">
        <v>0</v>
      </c>
      <c r="V73" s="460">
        <f t="shared" si="122"/>
        <v>1468909</v>
      </c>
      <c r="W73" s="460">
        <v>0</v>
      </c>
      <c r="X73" s="460">
        <v>0</v>
      </c>
      <c r="Y73" s="460">
        <v>0</v>
      </c>
      <c r="Z73" s="460">
        <f t="shared" si="123"/>
        <v>0</v>
      </c>
      <c r="AA73" s="460">
        <f t="shared" si="124"/>
        <v>1468909</v>
      </c>
      <c r="AB73" s="69">
        <f t="shared" si="125"/>
        <v>496491</v>
      </c>
      <c r="AC73" s="69">
        <f t="shared" si="126"/>
        <v>14689</v>
      </c>
      <c r="AD73" s="460">
        <v>0</v>
      </c>
      <c r="AE73" s="460">
        <v>0</v>
      </c>
      <c r="AF73" s="460">
        <f t="shared" si="127"/>
        <v>0</v>
      </c>
      <c r="AG73" s="460">
        <f t="shared" si="128"/>
        <v>1980089</v>
      </c>
      <c r="AH73" s="461">
        <v>0</v>
      </c>
      <c r="AI73" s="461">
        <v>0</v>
      </c>
      <c r="AJ73" s="461">
        <v>4.09</v>
      </c>
      <c r="AK73" s="461">
        <v>0</v>
      </c>
      <c r="AL73" s="674">
        <v>0</v>
      </c>
      <c r="AM73" s="461">
        <v>0</v>
      </c>
      <c r="AN73" s="461">
        <v>0</v>
      </c>
      <c r="AO73" s="461">
        <v>0</v>
      </c>
      <c r="AP73" s="461">
        <f t="shared" si="129"/>
        <v>4.09</v>
      </c>
      <c r="AQ73" s="461">
        <f t="shared" si="130"/>
        <v>0</v>
      </c>
      <c r="AR73" s="737">
        <f t="shared" si="131"/>
        <v>4.09</v>
      </c>
      <c r="AS73" s="470">
        <f t="shared" si="18"/>
        <v>1980089</v>
      </c>
      <c r="AT73" s="460">
        <f t="shared" si="19"/>
        <v>1468909</v>
      </c>
      <c r="AU73" s="460">
        <f t="shared" si="20"/>
        <v>0</v>
      </c>
      <c r="AV73" s="460">
        <f t="shared" si="21"/>
        <v>496491</v>
      </c>
      <c r="AW73" s="460">
        <f t="shared" si="22"/>
        <v>14689</v>
      </c>
      <c r="AX73" s="460">
        <f t="shared" si="23"/>
        <v>0</v>
      </c>
      <c r="AY73" s="461">
        <f t="shared" si="24"/>
        <v>4.09</v>
      </c>
      <c r="AZ73" s="461">
        <f t="shared" si="25"/>
        <v>4.09</v>
      </c>
      <c r="BA73" s="463">
        <f t="shared" si="26"/>
        <v>0</v>
      </c>
    </row>
    <row r="74" spans="1:53" s="98" customFormat="1" ht="14.1" customHeight="1" x14ac:dyDescent="0.2">
      <c r="A74" s="121">
        <v>10</v>
      </c>
      <c r="B74" s="78">
        <v>2462</v>
      </c>
      <c r="C74" s="95">
        <v>600079813</v>
      </c>
      <c r="D74" s="78">
        <v>72744600</v>
      </c>
      <c r="E74" s="78" t="s">
        <v>745</v>
      </c>
      <c r="F74" s="96">
        <v>3141</v>
      </c>
      <c r="G74" s="78" t="s">
        <v>311</v>
      </c>
      <c r="H74" s="97" t="s">
        <v>278</v>
      </c>
      <c r="I74" s="462">
        <v>608318</v>
      </c>
      <c r="J74" s="728">
        <v>449539</v>
      </c>
      <c r="K74" s="457">
        <v>151944</v>
      </c>
      <c r="L74" s="457">
        <v>4495</v>
      </c>
      <c r="M74" s="728">
        <v>2340</v>
      </c>
      <c r="N74" s="458">
        <v>1.44</v>
      </c>
      <c r="O74" s="730">
        <v>0</v>
      </c>
      <c r="P74" s="729">
        <v>1.44</v>
      </c>
      <c r="Q74" s="469">
        <f t="shared" si="121"/>
        <v>0</v>
      </c>
      <c r="R74" s="460">
        <v>0</v>
      </c>
      <c r="S74" s="673">
        <v>0</v>
      </c>
      <c r="T74" s="460">
        <v>0</v>
      </c>
      <c r="U74" s="460">
        <v>0</v>
      </c>
      <c r="V74" s="460">
        <f t="shared" si="122"/>
        <v>0</v>
      </c>
      <c r="W74" s="460">
        <v>0</v>
      </c>
      <c r="X74" s="460">
        <v>0</v>
      </c>
      <c r="Y74" s="460">
        <v>0</v>
      </c>
      <c r="Z74" s="460">
        <f t="shared" si="123"/>
        <v>0</v>
      </c>
      <c r="AA74" s="460">
        <f t="shared" si="124"/>
        <v>0</v>
      </c>
      <c r="AB74" s="69">
        <f t="shared" si="125"/>
        <v>0</v>
      </c>
      <c r="AC74" s="69">
        <f t="shared" si="126"/>
        <v>0</v>
      </c>
      <c r="AD74" s="460">
        <v>0</v>
      </c>
      <c r="AE74" s="460">
        <v>0</v>
      </c>
      <c r="AF74" s="460">
        <f t="shared" si="127"/>
        <v>0</v>
      </c>
      <c r="AG74" s="460">
        <f t="shared" si="128"/>
        <v>0</v>
      </c>
      <c r="AH74" s="461">
        <v>0</v>
      </c>
      <c r="AI74" s="461">
        <v>0</v>
      </c>
      <c r="AJ74" s="461">
        <v>0</v>
      </c>
      <c r="AK74" s="461">
        <v>0</v>
      </c>
      <c r="AL74" s="674">
        <v>0</v>
      </c>
      <c r="AM74" s="461">
        <v>0</v>
      </c>
      <c r="AN74" s="461">
        <v>0</v>
      </c>
      <c r="AO74" s="461">
        <v>0</v>
      </c>
      <c r="AP74" s="461">
        <f t="shared" si="129"/>
        <v>0</v>
      </c>
      <c r="AQ74" s="461">
        <f t="shared" si="130"/>
        <v>0</v>
      </c>
      <c r="AR74" s="737">
        <f t="shared" si="131"/>
        <v>0</v>
      </c>
      <c r="AS74" s="470">
        <f t="shared" si="18"/>
        <v>608318</v>
      </c>
      <c r="AT74" s="460">
        <f t="shared" si="19"/>
        <v>449539</v>
      </c>
      <c r="AU74" s="460">
        <f t="shared" si="20"/>
        <v>0</v>
      </c>
      <c r="AV74" s="460">
        <f t="shared" si="21"/>
        <v>151944</v>
      </c>
      <c r="AW74" s="460">
        <f t="shared" si="22"/>
        <v>4495</v>
      </c>
      <c r="AX74" s="460">
        <f t="shared" si="23"/>
        <v>2340</v>
      </c>
      <c r="AY74" s="461">
        <f t="shared" si="24"/>
        <v>1.44</v>
      </c>
      <c r="AZ74" s="461">
        <f t="shared" si="25"/>
        <v>0</v>
      </c>
      <c r="BA74" s="463">
        <f t="shared" si="26"/>
        <v>1.44</v>
      </c>
    </row>
    <row r="75" spans="1:53" s="98" customFormat="1" ht="14.1" customHeight="1" x14ac:dyDescent="0.2">
      <c r="A75" s="121">
        <v>10</v>
      </c>
      <c r="B75" s="78">
        <v>2462</v>
      </c>
      <c r="C75" s="95">
        <v>600079813</v>
      </c>
      <c r="D75" s="78">
        <v>72744600</v>
      </c>
      <c r="E75" s="78" t="s">
        <v>745</v>
      </c>
      <c r="F75" s="96">
        <v>3143</v>
      </c>
      <c r="G75" s="78" t="s">
        <v>616</v>
      </c>
      <c r="H75" s="97" t="s">
        <v>277</v>
      </c>
      <c r="I75" s="462">
        <v>735793</v>
      </c>
      <c r="J75" s="715">
        <v>545841</v>
      </c>
      <c r="K75" s="457">
        <v>184494</v>
      </c>
      <c r="L75" s="457">
        <v>5458</v>
      </c>
      <c r="M75" s="715">
        <v>0</v>
      </c>
      <c r="N75" s="458">
        <v>1.1499999999999999</v>
      </c>
      <c r="O75" s="716">
        <v>1.1499999999999999</v>
      </c>
      <c r="P75" s="718">
        <v>0</v>
      </c>
      <c r="Q75" s="469">
        <f t="shared" si="121"/>
        <v>0</v>
      </c>
      <c r="R75" s="460">
        <v>0</v>
      </c>
      <c r="S75" s="673">
        <v>0</v>
      </c>
      <c r="T75" s="460">
        <v>0</v>
      </c>
      <c r="U75" s="460">
        <v>-19861</v>
      </c>
      <c r="V75" s="460">
        <f t="shared" si="122"/>
        <v>-19861</v>
      </c>
      <c r="W75" s="460">
        <v>0</v>
      </c>
      <c r="X75" s="460">
        <v>0</v>
      </c>
      <c r="Y75" s="460">
        <v>0</v>
      </c>
      <c r="Z75" s="460">
        <f t="shared" si="123"/>
        <v>0</v>
      </c>
      <c r="AA75" s="460">
        <f t="shared" si="124"/>
        <v>-19861</v>
      </c>
      <c r="AB75" s="69">
        <f t="shared" si="125"/>
        <v>-6713</v>
      </c>
      <c r="AC75" s="69">
        <f t="shared" si="126"/>
        <v>-199</v>
      </c>
      <c r="AD75" s="460">
        <v>0</v>
      </c>
      <c r="AE75" s="460">
        <v>0</v>
      </c>
      <c r="AF75" s="460">
        <f t="shared" si="127"/>
        <v>0</v>
      </c>
      <c r="AG75" s="460">
        <f t="shared" si="128"/>
        <v>-26773</v>
      </c>
      <c r="AH75" s="461">
        <v>0</v>
      </c>
      <c r="AI75" s="461">
        <v>0</v>
      </c>
      <c r="AJ75" s="461">
        <v>0</v>
      </c>
      <c r="AK75" s="461">
        <v>0</v>
      </c>
      <c r="AL75" s="674">
        <v>0</v>
      </c>
      <c r="AM75" s="461">
        <v>0</v>
      </c>
      <c r="AN75" s="461">
        <v>0</v>
      </c>
      <c r="AO75" s="461">
        <v>0</v>
      </c>
      <c r="AP75" s="461">
        <f t="shared" si="129"/>
        <v>0</v>
      </c>
      <c r="AQ75" s="461">
        <f t="shared" si="130"/>
        <v>0</v>
      </c>
      <c r="AR75" s="737">
        <f t="shared" si="131"/>
        <v>0</v>
      </c>
      <c r="AS75" s="470">
        <f t="shared" si="18"/>
        <v>709020</v>
      </c>
      <c r="AT75" s="460">
        <f t="shared" si="19"/>
        <v>525980</v>
      </c>
      <c r="AU75" s="460">
        <f t="shared" si="20"/>
        <v>0</v>
      </c>
      <c r="AV75" s="460">
        <f t="shared" si="21"/>
        <v>177781</v>
      </c>
      <c r="AW75" s="460">
        <f t="shared" si="22"/>
        <v>5259</v>
      </c>
      <c r="AX75" s="460">
        <f t="shared" si="23"/>
        <v>0</v>
      </c>
      <c r="AY75" s="461">
        <f t="shared" si="24"/>
        <v>1.1499999999999999</v>
      </c>
      <c r="AZ75" s="461">
        <f t="shared" si="25"/>
        <v>1.1499999999999999</v>
      </c>
      <c r="BA75" s="463">
        <f t="shared" si="26"/>
        <v>0</v>
      </c>
    </row>
    <row r="76" spans="1:53" s="98" customFormat="1" ht="14.1" customHeight="1" x14ac:dyDescent="0.2">
      <c r="A76" s="121">
        <v>10</v>
      </c>
      <c r="B76" s="78">
        <v>2462</v>
      </c>
      <c r="C76" s="95">
        <v>600079813</v>
      </c>
      <c r="D76" s="78">
        <v>72744600</v>
      </c>
      <c r="E76" s="78" t="s">
        <v>745</v>
      </c>
      <c r="F76" s="96">
        <v>3143</v>
      </c>
      <c r="G76" s="78" t="s">
        <v>617</v>
      </c>
      <c r="H76" s="97" t="s">
        <v>278</v>
      </c>
      <c r="I76" s="462">
        <v>17593</v>
      </c>
      <c r="J76" s="673">
        <v>12570</v>
      </c>
      <c r="K76" s="457">
        <v>4249</v>
      </c>
      <c r="L76" s="457">
        <v>126</v>
      </c>
      <c r="M76" s="673">
        <v>648</v>
      </c>
      <c r="N76" s="458">
        <v>0.05</v>
      </c>
      <c r="O76" s="459">
        <v>0</v>
      </c>
      <c r="P76" s="717">
        <v>0.05</v>
      </c>
      <c r="Q76" s="469">
        <f t="shared" si="121"/>
        <v>0</v>
      </c>
      <c r="R76" s="460">
        <v>0</v>
      </c>
      <c r="S76" s="673">
        <v>0</v>
      </c>
      <c r="T76" s="460">
        <v>0</v>
      </c>
      <c r="U76" s="460">
        <v>0</v>
      </c>
      <c r="V76" s="460">
        <f t="shared" si="122"/>
        <v>0</v>
      </c>
      <c r="W76" s="460">
        <v>0</v>
      </c>
      <c r="X76" s="460">
        <v>0</v>
      </c>
      <c r="Y76" s="460">
        <v>0</v>
      </c>
      <c r="Z76" s="460">
        <f t="shared" si="123"/>
        <v>0</v>
      </c>
      <c r="AA76" s="460">
        <f t="shared" si="124"/>
        <v>0</v>
      </c>
      <c r="AB76" s="69">
        <f t="shared" si="125"/>
        <v>0</v>
      </c>
      <c r="AC76" s="69">
        <f t="shared" si="126"/>
        <v>0</v>
      </c>
      <c r="AD76" s="460">
        <v>0</v>
      </c>
      <c r="AE76" s="460">
        <v>0</v>
      </c>
      <c r="AF76" s="460">
        <f t="shared" si="127"/>
        <v>0</v>
      </c>
      <c r="AG76" s="460">
        <f t="shared" si="128"/>
        <v>0</v>
      </c>
      <c r="AH76" s="461">
        <v>0</v>
      </c>
      <c r="AI76" s="461">
        <v>0</v>
      </c>
      <c r="AJ76" s="461">
        <v>0</v>
      </c>
      <c r="AK76" s="461">
        <v>0</v>
      </c>
      <c r="AL76" s="674">
        <v>0</v>
      </c>
      <c r="AM76" s="461">
        <v>0</v>
      </c>
      <c r="AN76" s="461">
        <v>0</v>
      </c>
      <c r="AO76" s="461">
        <v>0</v>
      </c>
      <c r="AP76" s="461">
        <f t="shared" si="129"/>
        <v>0</v>
      </c>
      <c r="AQ76" s="461">
        <f t="shared" si="130"/>
        <v>0</v>
      </c>
      <c r="AR76" s="737">
        <f t="shared" si="131"/>
        <v>0</v>
      </c>
      <c r="AS76" s="470">
        <f t="shared" si="18"/>
        <v>17593</v>
      </c>
      <c r="AT76" s="460">
        <f t="shared" si="19"/>
        <v>12570</v>
      </c>
      <c r="AU76" s="460">
        <f t="shared" si="20"/>
        <v>0</v>
      </c>
      <c r="AV76" s="460">
        <f t="shared" si="21"/>
        <v>4249</v>
      </c>
      <c r="AW76" s="460">
        <f t="shared" si="22"/>
        <v>126</v>
      </c>
      <c r="AX76" s="460">
        <f t="shared" si="23"/>
        <v>648</v>
      </c>
      <c r="AY76" s="461">
        <f t="shared" si="24"/>
        <v>0.05</v>
      </c>
      <c r="AZ76" s="461">
        <f t="shared" si="25"/>
        <v>0</v>
      </c>
      <c r="BA76" s="463">
        <f t="shared" si="26"/>
        <v>0.05</v>
      </c>
    </row>
    <row r="77" spans="1:53" s="98" customFormat="1" ht="14.1" customHeight="1" x14ac:dyDescent="0.2">
      <c r="A77" s="122">
        <v>10</v>
      </c>
      <c r="B77" s="99">
        <v>2462</v>
      </c>
      <c r="C77" s="100">
        <v>600079813</v>
      </c>
      <c r="D77" s="99">
        <v>72744600</v>
      </c>
      <c r="E77" s="99" t="s">
        <v>746</v>
      </c>
      <c r="F77" s="108"/>
      <c r="G77" s="102"/>
      <c r="H77" s="103"/>
      <c r="I77" s="489">
        <f t="shared" ref="I77:P77" si="132">SUM(I71:I76)</f>
        <v>6449428</v>
      </c>
      <c r="J77" s="485">
        <f t="shared" si="132"/>
        <v>4701625</v>
      </c>
      <c r="K77" s="485">
        <f t="shared" si="132"/>
        <v>1589149</v>
      </c>
      <c r="L77" s="485">
        <f t="shared" si="132"/>
        <v>47016</v>
      </c>
      <c r="M77" s="485">
        <f t="shared" si="132"/>
        <v>111638</v>
      </c>
      <c r="N77" s="486">
        <f t="shared" si="132"/>
        <v>10.0928</v>
      </c>
      <c r="O77" s="486">
        <f t="shared" si="132"/>
        <v>6.9495000000000005</v>
      </c>
      <c r="P77" s="105">
        <f t="shared" si="132"/>
        <v>3.1432999999999995</v>
      </c>
      <c r="Q77" s="491">
        <f t="shared" ref="Q77:BA77" si="133">SUM(Q71:Q76)</f>
        <v>-58500</v>
      </c>
      <c r="R77" s="491">
        <f t="shared" si="133"/>
        <v>1468909</v>
      </c>
      <c r="S77" s="485">
        <f t="shared" si="133"/>
        <v>0</v>
      </c>
      <c r="T77" s="485">
        <f t="shared" si="133"/>
        <v>0</v>
      </c>
      <c r="U77" s="485">
        <f t="shared" si="133"/>
        <v>-19861</v>
      </c>
      <c r="V77" s="485">
        <f t="shared" si="133"/>
        <v>1390548</v>
      </c>
      <c r="W77" s="485">
        <f t="shared" si="133"/>
        <v>58500</v>
      </c>
      <c r="X77" s="485">
        <f t="shared" si="133"/>
        <v>0</v>
      </c>
      <c r="Y77" s="485">
        <f t="shared" si="133"/>
        <v>0</v>
      </c>
      <c r="Z77" s="485">
        <f t="shared" si="133"/>
        <v>58500</v>
      </c>
      <c r="AA77" s="485">
        <f t="shared" si="133"/>
        <v>1449048</v>
      </c>
      <c r="AB77" s="485">
        <f t="shared" si="133"/>
        <v>489778</v>
      </c>
      <c r="AC77" s="485">
        <f t="shared" si="133"/>
        <v>13905</v>
      </c>
      <c r="AD77" s="485">
        <f t="shared" si="133"/>
        <v>0</v>
      </c>
      <c r="AE77" s="485">
        <f t="shared" si="133"/>
        <v>0</v>
      </c>
      <c r="AF77" s="485">
        <f t="shared" si="133"/>
        <v>0</v>
      </c>
      <c r="AG77" s="485">
        <f t="shared" si="133"/>
        <v>1952731</v>
      </c>
      <c r="AH77" s="486">
        <f t="shared" si="133"/>
        <v>-7.0000000000000007E-2</v>
      </c>
      <c r="AI77" s="486">
        <f t="shared" si="133"/>
        <v>-0.05</v>
      </c>
      <c r="AJ77" s="486">
        <f t="shared" si="133"/>
        <v>4.09</v>
      </c>
      <c r="AK77" s="486">
        <f t="shared" si="133"/>
        <v>0</v>
      </c>
      <c r="AL77" s="486">
        <f t="shared" si="133"/>
        <v>0</v>
      </c>
      <c r="AM77" s="486">
        <f t="shared" si="133"/>
        <v>0</v>
      </c>
      <c r="AN77" s="486">
        <f t="shared" si="133"/>
        <v>0</v>
      </c>
      <c r="AO77" s="486">
        <f t="shared" si="133"/>
        <v>0</v>
      </c>
      <c r="AP77" s="486">
        <f t="shared" si="133"/>
        <v>4.0199999999999996</v>
      </c>
      <c r="AQ77" s="486">
        <f t="shared" si="133"/>
        <v>-0.05</v>
      </c>
      <c r="AR77" s="738">
        <f t="shared" si="133"/>
        <v>3.9699999999999998</v>
      </c>
      <c r="AS77" s="489">
        <f t="shared" si="133"/>
        <v>8402159</v>
      </c>
      <c r="AT77" s="485">
        <f t="shared" si="133"/>
        <v>6092173</v>
      </c>
      <c r="AU77" s="485">
        <f t="shared" si="133"/>
        <v>58500</v>
      </c>
      <c r="AV77" s="485">
        <f t="shared" si="133"/>
        <v>2078927</v>
      </c>
      <c r="AW77" s="485">
        <f t="shared" si="133"/>
        <v>60921</v>
      </c>
      <c r="AX77" s="485">
        <f t="shared" si="133"/>
        <v>111638</v>
      </c>
      <c r="AY77" s="486">
        <f t="shared" si="133"/>
        <v>14.062800000000001</v>
      </c>
      <c r="AZ77" s="486">
        <f t="shared" si="133"/>
        <v>10.9695</v>
      </c>
      <c r="BA77" s="105">
        <f t="shared" si="133"/>
        <v>3.0932999999999997</v>
      </c>
    </row>
    <row r="78" spans="1:53" s="98" customFormat="1" ht="14.1" customHeight="1" x14ac:dyDescent="0.2">
      <c r="A78" s="121">
        <v>11</v>
      </c>
      <c r="B78" s="104">
        <v>2464</v>
      </c>
      <c r="C78" s="95">
        <v>600080081</v>
      </c>
      <c r="D78" s="78">
        <v>72753846</v>
      </c>
      <c r="E78" s="78" t="s">
        <v>747</v>
      </c>
      <c r="F78" s="96">
        <v>3111</v>
      </c>
      <c r="G78" s="78" t="s">
        <v>307</v>
      </c>
      <c r="H78" s="97" t="s">
        <v>277</v>
      </c>
      <c r="I78" s="462">
        <v>1697793</v>
      </c>
      <c r="J78" s="16">
        <v>1254446</v>
      </c>
      <c r="K78" s="457">
        <v>424003</v>
      </c>
      <c r="L78" s="457">
        <v>12544</v>
      </c>
      <c r="M78" s="16">
        <v>6800</v>
      </c>
      <c r="N78" s="458">
        <v>2.6162000000000001</v>
      </c>
      <c r="O78" s="13">
        <v>2.2562000000000002</v>
      </c>
      <c r="P78" s="17">
        <v>0.36</v>
      </c>
      <c r="Q78" s="469">
        <f t="shared" ref="Q78:Q83" si="134">W78*-1</f>
        <v>0</v>
      </c>
      <c r="R78" s="460">
        <v>0</v>
      </c>
      <c r="S78" s="673">
        <v>0</v>
      </c>
      <c r="T78" s="460">
        <v>0</v>
      </c>
      <c r="U78" s="460">
        <v>0</v>
      </c>
      <c r="V78" s="460">
        <f t="shared" ref="V78:V83" si="135">SUM(Q78:U78)</f>
        <v>0</v>
      </c>
      <c r="W78" s="460">
        <v>0</v>
      </c>
      <c r="X78" s="460">
        <v>0</v>
      </c>
      <c r="Y78" s="460">
        <v>0</v>
      </c>
      <c r="Z78" s="460">
        <f t="shared" ref="Z78:Z83" si="136">SUM(W78:Y78)</f>
        <v>0</v>
      </c>
      <c r="AA78" s="460">
        <f t="shared" ref="AA78:AA83" si="137">V78+Z78</f>
        <v>0</v>
      </c>
      <c r="AB78" s="69">
        <f t="shared" ref="AB78:AB83" si="138">ROUND((V78+W78+X78)*33.8%,0)</f>
        <v>0</v>
      </c>
      <c r="AC78" s="69">
        <f t="shared" ref="AC78:AC83" si="139">ROUND(V78*1%,0)</f>
        <v>0</v>
      </c>
      <c r="AD78" s="460">
        <v>0</v>
      </c>
      <c r="AE78" s="460">
        <v>0</v>
      </c>
      <c r="AF78" s="460">
        <f t="shared" ref="AF78:AF83" si="140">SUM(AD78:AE78)</f>
        <v>0</v>
      </c>
      <c r="AG78" s="460">
        <f t="shared" ref="AG78:AG83" si="141">AA78+AB78+AC78+AF78</f>
        <v>0</v>
      </c>
      <c r="AH78" s="461">
        <v>0</v>
      </c>
      <c r="AI78" s="461">
        <v>0</v>
      </c>
      <c r="AJ78" s="461">
        <v>0</v>
      </c>
      <c r="AK78" s="461">
        <v>0</v>
      </c>
      <c r="AL78" s="674">
        <v>0</v>
      </c>
      <c r="AM78" s="461">
        <v>0</v>
      </c>
      <c r="AN78" s="461">
        <v>0</v>
      </c>
      <c r="AO78" s="461">
        <v>0</v>
      </c>
      <c r="AP78" s="461">
        <f t="shared" ref="AP78:AP83" si="142">AH78+AJ78+AK78+AM78+AN78</f>
        <v>0</v>
      </c>
      <c r="AQ78" s="461">
        <f t="shared" ref="AQ78:AQ83" si="143">AI78+AL78+AO78</f>
        <v>0</v>
      </c>
      <c r="AR78" s="737">
        <f t="shared" ref="AR78:AR83" si="144">SUM(AP78:AQ78)</f>
        <v>0</v>
      </c>
      <c r="AS78" s="470">
        <f t="shared" ref="AS78:AS129" si="145">I78+AG78</f>
        <v>1697793</v>
      </c>
      <c r="AT78" s="460">
        <f t="shared" ref="AT78:AT129" si="146">J78+V78</f>
        <v>1254446</v>
      </c>
      <c r="AU78" s="460">
        <f t="shared" ref="AU78:AU129" si="147">Z78</f>
        <v>0</v>
      </c>
      <c r="AV78" s="460">
        <f t="shared" ref="AV78:AV129" si="148">K78+AB78</f>
        <v>424003</v>
      </c>
      <c r="AW78" s="460">
        <f t="shared" ref="AW78:AW129" si="149">L78+AC78</f>
        <v>12544</v>
      </c>
      <c r="AX78" s="460">
        <f t="shared" ref="AX78:AX129" si="150">M78+AF78</f>
        <v>6800</v>
      </c>
      <c r="AY78" s="461">
        <f t="shared" ref="AY78:AY129" si="151">N78+AR78</f>
        <v>2.6162000000000001</v>
      </c>
      <c r="AZ78" s="461">
        <f t="shared" ref="AZ78:AZ129" si="152">O78+AP78</f>
        <v>2.2562000000000002</v>
      </c>
      <c r="BA78" s="463">
        <f t="shared" ref="BA78:BA129" si="153">P78+AQ78</f>
        <v>0.36</v>
      </c>
    </row>
    <row r="79" spans="1:53" s="98" customFormat="1" ht="14.1" customHeight="1" x14ac:dyDescent="0.2">
      <c r="A79" s="121">
        <v>11</v>
      </c>
      <c r="B79" s="106">
        <v>2464</v>
      </c>
      <c r="C79" s="95">
        <v>600080081</v>
      </c>
      <c r="D79" s="78">
        <v>72753846</v>
      </c>
      <c r="E79" s="106" t="s">
        <v>747</v>
      </c>
      <c r="F79" s="107">
        <v>3117</v>
      </c>
      <c r="G79" s="106" t="s">
        <v>325</v>
      </c>
      <c r="H79" s="97" t="s">
        <v>277</v>
      </c>
      <c r="I79" s="462">
        <v>1185396</v>
      </c>
      <c r="J79" s="16">
        <v>868432</v>
      </c>
      <c r="K79" s="457">
        <v>293529</v>
      </c>
      <c r="L79" s="457">
        <v>8685</v>
      </c>
      <c r="M79" s="16">
        <v>14750</v>
      </c>
      <c r="N79" s="458">
        <v>1.7430000000000001</v>
      </c>
      <c r="O79" s="13">
        <v>1.2430000000000001</v>
      </c>
      <c r="P79" s="17">
        <v>0.5</v>
      </c>
      <c r="Q79" s="469">
        <f t="shared" si="134"/>
        <v>-39000</v>
      </c>
      <c r="R79" s="460">
        <v>0</v>
      </c>
      <c r="S79" s="673">
        <v>0</v>
      </c>
      <c r="T79" s="460">
        <v>0</v>
      </c>
      <c r="U79" s="460">
        <v>0</v>
      </c>
      <c r="V79" s="460">
        <f t="shared" si="135"/>
        <v>-39000</v>
      </c>
      <c r="W79" s="460">
        <v>39000</v>
      </c>
      <c r="X79" s="460">
        <v>0</v>
      </c>
      <c r="Y79" s="460">
        <v>0</v>
      </c>
      <c r="Z79" s="460">
        <f t="shared" si="136"/>
        <v>39000</v>
      </c>
      <c r="AA79" s="460">
        <f t="shared" si="137"/>
        <v>0</v>
      </c>
      <c r="AB79" s="69">
        <f t="shared" si="138"/>
        <v>0</v>
      </c>
      <c r="AC79" s="69">
        <f t="shared" si="139"/>
        <v>-390</v>
      </c>
      <c r="AD79" s="460">
        <v>0</v>
      </c>
      <c r="AE79" s="460">
        <v>0</v>
      </c>
      <c r="AF79" s="460">
        <f t="shared" si="140"/>
        <v>0</v>
      </c>
      <c r="AG79" s="460">
        <f t="shared" si="141"/>
        <v>-390</v>
      </c>
      <c r="AH79" s="461">
        <v>0</v>
      </c>
      <c r="AI79" s="461">
        <v>-0.12</v>
      </c>
      <c r="AJ79" s="461">
        <v>0</v>
      </c>
      <c r="AK79" s="461">
        <v>0</v>
      </c>
      <c r="AL79" s="674">
        <v>0</v>
      </c>
      <c r="AM79" s="461">
        <v>0</v>
      </c>
      <c r="AN79" s="461">
        <v>0</v>
      </c>
      <c r="AO79" s="461">
        <v>0</v>
      </c>
      <c r="AP79" s="461">
        <f t="shared" si="142"/>
        <v>0</v>
      </c>
      <c r="AQ79" s="461">
        <f t="shared" si="143"/>
        <v>-0.12</v>
      </c>
      <c r="AR79" s="737">
        <f t="shared" si="144"/>
        <v>-0.12</v>
      </c>
      <c r="AS79" s="470">
        <f t="shared" si="145"/>
        <v>1185006</v>
      </c>
      <c r="AT79" s="460">
        <f t="shared" si="146"/>
        <v>829432</v>
      </c>
      <c r="AU79" s="460">
        <f t="shared" si="147"/>
        <v>39000</v>
      </c>
      <c r="AV79" s="460">
        <f t="shared" si="148"/>
        <v>293529</v>
      </c>
      <c r="AW79" s="460">
        <f t="shared" si="149"/>
        <v>8295</v>
      </c>
      <c r="AX79" s="460">
        <f t="shared" si="150"/>
        <v>14750</v>
      </c>
      <c r="AY79" s="461">
        <f t="shared" si="151"/>
        <v>1.6230000000000002</v>
      </c>
      <c r="AZ79" s="461">
        <f t="shared" si="152"/>
        <v>1.2430000000000001</v>
      </c>
      <c r="BA79" s="463">
        <f t="shared" si="153"/>
        <v>0.38</v>
      </c>
    </row>
    <row r="80" spans="1:53" s="98" customFormat="1" ht="14.1" customHeight="1" x14ac:dyDescent="0.2">
      <c r="A80" s="121">
        <v>11</v>
      </c>
      <c r="B80" s="104">
        <v>2464</v>
      </c>
      <c r="C80" s="95">
        <v>600080081</v>
      </c>
      <c r="D80" s="78">
        <v>72753846</v>
      </c>
      <c r="E80" s="104" t="s">
        <v>747</v>
      </c>
      <c r="F80" s="96">
        <v>3117</v>
      </c>
      <c r="G80" s="78" t="s">
        <v>308</v>
      </c>
      <c r="H80" s="97" t="s">
        <v>278</v>
      </c>
      <c r="I80" s="462">
        <v>0</v>
      </c>
      <c r="J80" s="591">
        <v>0</v>
      </c>
      <c r="K80" s="457">
        <v>0</v>
      </c>
      <c r="L80" s="457">
        <v>0</v>
      </c>
      <c r="M80" s="591">
        <v>0</v>
      </c>
      <c r="N80" s="458">
        <v>0</v>
      </c>
      <c r="O80" s="459">
        <v>0</v>
      </c>
      <c r="P80" s="717">
        <v>0</v>
      </c>
      <c r="Q80" s="469">
        <f t="shared" si="134"/>
        <v>0</v>
      </c>
      <c r="R80" s="460">
        <v>590928</v>
      </c>
      <c r="S80" s="673">
        <v>0</v>
      </c>
      <c r="T80" s="460">
        <v>0</v>
      </c>
      <c r="U80" s="460">
        <v>0</v>
      </c>
      <c r="V80" s="460">
        <f t="shared" si="135"/>
        <v>590928</v>
      </c>
      <c r="W80" s="460">
        <v>0</v>
      </c>
      <c r="X80" s="460">
        <v>0</v>
      </c>
      <c r="Y80" s="460">
        <v>0</v>
      </c>
      <c r="Z80" s="460">
        <f t="shared" si="136"/>
        <v>0</v>
      </c>
      <c r="AA80" s="460">
        <f t="shared" si="137"/>
        <v>590928</v>
      </c>
      <c r="AB80" s="69">
        <f t="shared" si="138"/>
        <v>199734</v>
      </c>
      <c r="AC80" s="69">
        <f t="shared" si="139"/>
        <v>5909</v>
      </c>
      <c r="AD80" s="460">
        <v>0</v>
      </c>
      <c r="AE80" s="460">
        <v>0</v>
      </c>
      <c r="AF80" s="460">
        <f t="shared" si="140"/>
        <v>0</v>
      </c>
      <c r="AG80" s="460">
        <f t="shared" si="141"/>
        <v>796571</v>
      </c>
      <c r="AH80" s="461">
        <v>0</v>
      </c>
      <c r="AI80" s="461">
        <v>0</v>
      </c>
      <c r="AJ80" s="461">
        <v>1.69</v>
      </c>
      <c r="AK80" s="461">
        <v>0</v>
      </c>
      <c r="AL80" s="674">
        <v>0</v>
      </c>
      <c r="AM80" s="461">
        <v>0</v>
      </c>
      <c r="AN80" s="461">
        <v>0</v>
      </c>
      <c r="AO80" s="461">
        <v>0</v>
      </c>
      <c r="AP80" s="461">
        <f t="shared" si="142"/>
        <v>1.69</v>
      </c>
      <c r="AQ80" s="461">
        <f t="shared" si="143"/>
        <v>0</v>
      </c>
      <c r="AR80" s="737">
        <f t="shared" si="144"/>
        <v>1.69</v>
      </c>
      <c r="AS80" s="470">
        <f t="shared" si="145"/>
        <v>796571</v>
      </c>
      <c r="AT80" s="460">
        <f t="shared" si="146"/>
        <v>590928</v>
      </c>
      <c r="AU80" s="460">
        <f t="shared" si="147"/>
        <v>0</v>
      </c>
      <c r="AV80" s="460">
        <f t="shared" si="148"/>
        <v>199734</v>
      </c>
      <c r="AW80" s="460">
        <f t="shared" si="149"/>
        <v>5909</v>
      </c>
      <c r="AX80" s="460">
        <f t="shared" si="150"/>
        <v>0</v>
      </c>
      <c r="AY80" s="461">
        <f t="shared" si="151"/>
        <v>1.69</v>
      </c>
      <c r="AZ80" s="461">
        <f t="shared" si="152"/>
        <v>1.69</v>
      </c>
      <c r="BA80" s="463">
        <f t="shared" si="153"/>
        <v>0</v>
      </c>
    </row>
    <row r="81" spans="1:53" s="98" customFormat="1" ht="14.1" customHeight="1" x14ac:dyDescent="0.2">
      <c r="A81" s="121">
        <v>11</v>
      </c>
      <c r="B81" s="78">
        <v>2464</v>
      </c>
      <c r="C81" s="95">
        <v>600080081</v>
      </c>
      <c r="D81" s="78">
        <v>72753846</v>
      </c>
      <c r="E81" s="78" t="s">
        <v>747</v>
      </c>
      <c r="F81" s="96">
        <v>3141</v>
      </c>
      <c r="G81" s="78" t="s">
        <v>311</v>
      </c>
      <c r="H81" s="97" t="s">
        <v>278</v>
      </c>
      <c r="I81" s="462">
        <v>405182</v>
      </c>
      <c r="J81" s="728">
        <v>299539</v>
      </c>
      <c r="K81" s="457">
        <v>101244</v>
      </c>
      <c r="L81" s="457">
        <v>2995</v>
      </c>
      <c r="M81" s="728">
        <v>1404</v>
      </c>
      <c r="N81" s="458">
        <v>0.96</v>
      </c>
      <c r="O81" s="730">
        <v>0</v>
      </c>
      <c r="P81" s="729">
        <v>0.96</v>
      </c>
      <c r="Q81" s="469">
        <f t="shared" si="134"/>
        <v>0</v>
      </c>
      <c r="R81" s="460">
        <v>0</v>
      </c>
      <c r="S81" s="673">
        <v>0</v>
      </c>
      <c r="T81" s="460">
        <v>0</v>
      </c>
      <c r="U81" s="460">
        <v>0</v>
      </c>
      <c r="V81" s="460">
        <f t="shared" si="135"/>
        <v>0</v>
      </c>
      <c r="W81" s="460">
        <v>0</v>
      </c>
      <c r="X81" s="460">
        <v>0</v>
      </c>
      <c r="Y81" s="460">
        <v>0</v>
      </c>
      <c r="Z81" s="460">
        <f t="shared" si="136"/>
        <v>0</v>
      </c>
      <c r="AA81" s="460">
        <f t="shared" si="137"/>
        <v>0</v>
      </c>
      <c r="AB81" s="69">
        <f t="shared" si="138"/>
        <v>0</v>
      </c>
      <c r="AC81" s="69">
        <f t="shared" si="139"/>
        <v>0</v>
      </c>
      <c r="AD81" s="460">
        <v>0</v>
      </c>
      <c r="AE81" s="460">
        <v>0</v>
      </c>
      <c r="AF81" s="460">
        <f t="shared" si="140"/>
        <v>0</v>
      </c>
      <c r="AG81" s="460">
        <f t="shared" si="141"/>
        <v>0</v>
      </c>
      <c r="AH81" s="461">
        <v>0</v>
      </c>
      <c r="AI81" s="461">
        <v>0</v>
      </c>
      <c r="AJ81" s="461">
        <v>0</v>
      </c>
      <c r="AK81" s="461">
        <v>0</v>
      </c>
      <c r="AL81" s="674">
        <v>0</v>
      </c>
      <c r="AM81" s="461">
        <v>0</v>
      </c>
      <c r="AN81" s="461">
        <v>0</v>
      </c>
      <c r="AO81" s="461">
        <v>0</v>
      </c>
      <c r="AP81" s="461">
        <f t="shared" si="142"/>
        <v>0</v>
      </c>
      <c r="AQ81" s="461">
        <f t="shared" si="143"/>
        <v>0</v>
      </c>
      <c r="AR81" s="737">
        <f t="shared" si="144"/>
        <v>0</v>
      </c>
      <c r="AS81" s="470">
        <f t="shared" si="145"/>
        <v>405182</v>
      </c>
      <c r="AT81" s="460">
        <f t="shared" si="146"/>
        <v>299539</v>
      </c>
      <c r="AU81" s="460">
        <f t="shared" si="147"/>
        <v>0</v>
      </c>
      <c r="AV81" s="460">
        <f t="shared" si="148"/>
        <v>101244</v>
      </c>
      <c r="AW81" s="460">
        <f t="shared" si="149"/>
        <v>2995</v>
      </c>
      <c r="AX81" s="460">
        <f t="shared" si="150"/>
        <v>1404</v>
      </c>
      <c r="AY81" s="461">
        <f t="shared" si="151"/>
        <v>0.96</v>
      </c>
      <c r="AZ81" s="461">
        <f t="shared" si="152"/>
        <v>0</v>
      </c>
      <c r="BA81" s="463">
        <f t="shared" si="153"/>
        <v>0.96</v>
      </c>
    </row>
    <row r="82" spans="1:53" s="98" customFormat="1" ht="14.1" customHeight="1" x14ac:dyDescent="0.2">
      <c r="A82" s="121">
        <v>11</v>
      </c>
      <c r="B82" s="78">
        <v>2464</v>
      </c>
      <c r="C82" s="95">
        <v>600080081</v>
      </c>
      <c r="D82" s="78">
        <v>72753846</v>
      </c>
      <c r="E82" s="78" t="s">
        <v>747</v>
      </c>
      <c r="F82" s="96">
        <v>3143</v>
      </c>
      <c r="G82" s="78" t="s">
        <v>616</v>
      </c>
      <c r="H82" s="97" t="s">
        <v>277</v>
      </c>
      <c r="I82" s="462">
        <v>552276</v>
      </c>
      <c r="J82" s="715">
        <v>409700</v>
      </c>
      <c r="K82" s="457">
        <v>138479</v>
      </c>
      <c r="L82" s="457">
        <v>4097</v>
      </c>
      <c r="M82" s="715">
        <v>0</v>
      </c>
      <c r="N82" s="458">
        <v>1.0832999999999999</v>
      </c>
      <c r="O82" s="716">
        <v>1.0832999999999999</v>
      </c>
      <c r="P82" s="718">
        <v>0</v>
      </c>
      <c r="Q82" s="469">
        <f t="shared" si="134"/>
        <v>0</v>
      </c>
      <c r="R82" s="460">
        <v>0</v>
      </c>
      <c r="S82" s="673">
        <v>0</v>
      </c>
      <c r="T82" s="460">
        <v>0</v>
      </c>
      <c r="U82" s="460">
        <v>0</v>
      </c>
      <c r="V82" s="460">
        <f t="shared" si="135"/>
        <v>0</v>
      </c>
      <c r="W82" s="460">
        <v>0</v>
      </c>
      <c r="X82" s="460">
        <v>0</v>
      </c>
      <c r="Y82" s="460">
        <v>0</v>
      </c>
      <c r="Z82" s="460">
        <f t="shared" si="136"/>
        <v>0</v>
      </c>
      <c r="AA82" s="460">
        <f t="shared" si="137"/>
        <v>0</v>
      </c>
      <c r="AB82" s="69">
        <f t="shared" si="138"/>
        <v>0</v>
      </c>
      <c r="AC82" s="69">
        <f t="shared" si="139"/>
        <v>0</v>
      </c>
      <c r="AD82" s="460">
        <v>0</v>
      </c>
      <c r="AE82" s="460">
        <v>0</v>
      </c>
      <c r="AF82" s="460">
        <f t="shared" si="140"/>
        <v>0</v>
      </c>
      <c r="AG82" s="460">
        <f t="shared" si="141"/>
        <v>0</v>
      </c>
      <c r="AH82" s="461">
        <v>0</v>
      </c>
      <c r="AI82" s="461">
        <v>0</v>
      </c>
      <c r="AJ82" s="461">
        <v>0</v>
      </c>
      <c r="AK82" s="461">
        <v>0</v>
      </c>
      <c r="AL82" s="674">
        <v>0</v>
      </c>
      <c r="AM82" s="461">
        <v>0</v>
      </c>
      <c r="AN82" s="461">
        <v>0</v>
      </c>
      <c r="AO82" s="461">
        <v>0</v>
      </c>
      <c r="AP82" s="461">
        <f t="shared" si="142"/>
        <v>0</v>
      </c>
      <c r="AQ82" s="461">
        <f t="shared" si="143"/>
        <v>0</v>
      </c>
      <c r="AR82" s="737">
        <f t="shared" si="144"/>
        <v>0</v>
      </c>
      <c r="AS82" s="470">
        <f t="shared" si="145"/>
        <v>552276</v>
      </c>
      <c r="AT82" s="460">
        <f t="shared" si="146"/>
        <v>409700</v>
      </c>
      <c r="AU82" s="460">
        <f t="shared" si="147"/>
        <v>0</v>
      </c>
      <c r="AV82" s="460">
        <f t="shared" si="148"/>
        <v>138479</v>
      </c>
      <c r="AW82" s="460">
        <f t="shared" si="149"/>
        <v>4097</v>
      </c>
      <c r="AX82" s="460">
        <f t="shared" si="150"/>
        <v>0</v>
      </c>
      <c r="AY82" s="461">
        <f t="shared" si="151"/>
        <v>1.0832999999999999</v>
      </c>
      <c r="AZ82" s="461">
        <f t="shared" si="152"/>
        <v>1.0832999999999999</v>
      </c>
      <c r="BA82" s="463">
        <f t="shared" si="153"/>
        <v>0</v>
      </c>
    </row>
    <row r="83" spans="1:53" s="98" customFormat="1" ht="14.1" customHeight="1" x14ac:dyDescent="0.2">
      <c r="A83" s="121">
        <v>11</v>
      </c>
      <c r="B83" s="78">
        <v>2464</v>
      </c>
      <c r="C83" s="95">
        <v>600080081</v>
      </c>
      <c r="D83" s="78">
        <v>72753846</v>
      </c>
      <c r="E83" s="78" t="s">
        <v>747</v>
      </c>
      <c r="F83" s="96">
        <v>3143</v>
      </c>
      <c r="G83" s="78" t="s">
        <v>617</v>
      </c>
      <c r="H83" s="97" t="s">
        <v>278</v>
      </c>
      <c r="I83" s="462">
        <v>7329</v>
      </c>
      <c r="J83" s="673">
        <v>5237</v>
      </c>
      <c r="K83" s="457">
        <v>1770</v>
      </c>
      <c r="L83" s="457">
        <v>52</v>
      </c>
      <c r="M83" s="673">
        <v>270</v>
      </c>
      <c r="N83" s="458">
        <v>0.02</v>
      </c>
      <c r="O83" s="459">
        <v>0</v>
      </c>
      <c r="P83" s="717">
        <v>0.02</v>
      </c>
      <c r="Q83" s="469">
        <f t="shared" si="134"/>
        <v>0</v>
      </c>
      <c r="R83" s="460">
        <v>0</v>
      </c>
      <c r="S83" s="673">
        <v>0</v>
      </c>
      <c r="T83" s="460">
        <v>0</v>
      </c>
      <c r="U83" s="460">
        <v>0</v>
      </c>
      <c r="V83" s="460">
        <f t="shared" si="135"/>
        <v>0</v>
      </c>
      <c r="W83" s="460">
        <v>0</v>
      </c>
      <c r="X83" s="460">
        <v>0</v>
      </c>
      <c r="Y83" s="460">
        <v>0</v>
      </c>
      <c r="Z83" s="460">
        <f t="shared" si="136"/>
        <v>0</v>
      </c>
      <c r="AA83" s="460">
        <f t="shared" si="137"/>
        <v>0</v>
      </c>
      <c r="AB83" s="69">
        <f t="shared" si="138"/>
        <v>0</v>
      </c>
      <c r="AC83" s="69">
        <f t="shared" si="139"/>
        <v>0</v>
      </c>
      <c r="AD83" s="460">
        <v>0</v>
      </c>
      <c r="AE83" s="460">
        <v>0</v>
      </c>
      <c r="AF83" s="460">
        <f t="shared" si="140"/>
        <v>0</v>
      </c>
      <c r="AG83" s="460">
        <f t="shared" si="141"/>
        <v>0</v>
      </c>
      <c r="AH83" s="461">
        <v>0</v>
      </c>
      <c r="AI83" s="461">
        <v>0</v>
      </c>
      <c r="AJ83" s="461">
        <v>0</v>
      </c>
      <c r="AK83" s="461">
        <v>0</v>
      </c>
      <c r="AL83" s="674">
        <v>0</v>
      </c>
      <c r="AM83" s="461">
        <v>0</v>
      </c>
      <c r="AN83" s="461">
        <v>0</v>
      </c>
      <c r="AO83" s="461">
        <v>0</v>
      </c>
      <c r="AP83" s="461">
        <f t="shared" si="142"/>
        <v>0</v>
      </c>
      <c r="AQ83" s="461">
        <f t="shared" si="143"/>
        <v>0</v>
      </c>
      <c r="AR83" s="737">
        <f t="shared" si="144"/>
        <v>0</v>
      </c>
      <c r="AS83" s="470">
        <f t="shared" si="145"/>
        <v>7329</v>
      </c>
      <c r="AT83" s="460">
        <f t="shared" si="146"/>
        <v>5237</v>
      </c>
      <c r="AU83" s="460">
        <f t="shared" si="147"/>
        <v>0</v>
      </c>
      <c r="AV83" s="460">
        <f t="shared" si="148"/>
        <v>1770</v>
      </c>
      <c r="AW83" s="460">
        <f t="shared" si="149"/>
        <v>52</v>
      </c>
      <c r="AX83" s="460">
        <f t="shared" si="150"/>
        <v>270</v>
      </c>
      <c r="AY83" s="461">
        <f t="shared" si="151"/>
        <v>0.02</v>
      </c>
      <c r="AZ83" s="461">
        <f t="shared" si="152"/>
        <v>0</v>
      </c>
      <c r="BA83" s="463">
        <f t="shared" si="153"/>
        <v>0.02</v>
      </c>
    </row>
    <row r="84" spans="1:53" s="98" customFormat="1" ht="14.1" customHeight="1" x14ac:dyDescent="0.2">
      <c r="A84" s="122">
        <v>11</v>
      </c>
      <c r="B84" s="99">
        <v>2464</v>
      </c>
      <c r="C84" s="100">
        <v>600080081</v>
      </c>
      <c r="D84" s="99">
        <v>72753846</v>
      </c>
      <c r="E84" s="99" t="s">
        <v>748</v>
      </c>
      <c r="F84" s="108"/>
      <c r="G84" s="102"/>
      <c r="H84" s="103"/>
      <c r="I84" s="489">
        <f t="shared" ref="I84:P84" si="154">SUM(I78:I83)</f>
        <v>3847976</v>
      </c>
      <c r="J84" s="485">
        <f t="shared" si="154"/>
        <v>2837354</v>
      </c>
      <c r="K84" s="485">
        <f t="shared" si="154"/>
        <v>959025</v>
      </c>
      <c r="L84" s="485">
        <f t="shared" si="154"/>
        <v>28373</v>
      </c>
      <c r="M84" s="485">
        <f t="shared" si="154"/>
        <v>23224</v>
      </c>
      <c r="N84" s="486">
        <f t="shared" si="154"/>
        <v>6.4224999999999994</v>
      </c>
      <c r="O84" s="486">
        <f t="shared" si="154"/>
        <v>4.5824999999999996</v>
      </c>
      <c r="P84" s="105">
        <f t="shared" si="154"/>
        <v>1.8399999999999999</v>
      </c>
      <c r="Q84" s="491">
        <f t="shared" ref="Q84:BA84" si="155">SUM(Q78:Q83)</f>
        <v>-39000</v>
      </c>
      <c r="R84" s="491">
        <f t="shared" si="155"/>
        <v>590928</v>
      </c>
      <c r="S84" s="485">
        <f t="shared" si="155"/>
        <v>0</v>
      </c>
      <c r="T84" s="485">
        <f t="shared" si="155"/>
        <v>0</v>
      </c>
      <c r="U84" s="485">
        <f t="shared" si="155"/>
        <v>0</v>
      </c>
      <c r="V84" s="485">
        <f t="shared" si="155"/>
        <v>551928</v>
      </c>
      <c r="W84" s="485">
        <f t="shared" si="155"/>
        <v>39000</v>
      </c>
      <c r="X84" s="485">
        <f t="shared" si="155"/>
        <v>0</v>
      </c>
      <c r="Y84" s="485">
        <f t="shared" si="155"/>
        <v>0</v>
      </c>
      <c r="Z84" s="485">
        <f t="shared" si="155"/>
        <v>39000</v>
      </c>
      <c r="AA84" s="485">
        <f t="shared" si="155"/>
        <v>590928</v>
      </c>
      <c r="AB84" s="485">
        <f t="shared" si="155"/>
        <v>199734</v>
      </c>
      <c r="AC84" s="485">
        <f t="shared" si="155"/>
        <v>5519</v>
      </c>
      <c r="AD84" s="485">
        <f t="shared" si="155"/>
        <v>0</v>
      </c>
      <c r="AE84" s="485">
        <f t="shared" si="155"/>
        <v>0</v>
      </c>
      <c r="AF84" s="485">
        <f t="shared" si="155"/>
        <v>0</v>
      </c>
      <c r="AG84" s="485">
        <f t="shared" si="155"/>
        <v>796181</v>
      </c>
      <c r="AH84" s="486">
        <f t="shared" si="155"/>
        <v>0</v>
      </c>
      <c r="AI84" s="486">
        <f t="shared" si="155"/>
        <v>-0.12</v>
      </c>
      <c r="AJ84" s="486">
        <f t="shared" si="155"/>
        <v>1.69</v>
      </c>
      <c r="AK84" s="486">
        <f t="shared" si="155"/>
        <v>0</v>
      </c>
      <c r="AL84" s="486">
        <f t="shared" si="155"/>
        <v>0</v>
      </c>
      <c r="AM84" s="486">
        <f t="shared" si="155"/>
        <v>0</v>
      </c>
      <c r="AN84" s="486">
        <f t="shared" si="155"/>
        <v>0</v>
      </c>
      <c r="AO84" s="486">
        <f t="shared" si="155"/>
        <v>0</v>
      </c>
      <c r="AP84" s="486">
        <f t="shared" si="155"/>
        <v>1.69</v>
      </c>
      <c r="AQ84" s="486">
        <f t="shared" si="155"/>
        <v>-0.12</v>
      </c>
      <c r="AR84" s="738">
        <f t="shared" si="155"/>
        <v>1.5699999999999998</v>
      </c>
      <c r="AS84" s="489">
        <f t="shared" si="155"/>
        <v>4644157</v>
      </c>
      <c r="AT84" s="485">
        <f t="shared" si="155"/>
        <v>3389282</v>
      </c>
      <c r="AU84" s="485">
        <f t="shared" si="155"/>
        <v>39000</v>
      </c>
      <c r="AV84" s="485">
        <f t="shared" si="155"/>
        <v>1158759</v>
      </c>
      <c r="AW84" s="485">
        <f t="shared" si="155"/>
        <v>33892</v>
      </c>
      <c r="AX84" s="485">
        <f t="shared" si="155"/>
        <v>23224</v>
      </c>
      <c r="AY84" s="486">
        <f t="shared" si="155"/>
        <v>7.9924999999999997</v>
      </c>
      <c r="AZ84" s="486">
        <f t="shared" si="155"/>
        <v>6.2724999999999991</v>
      </c>
      <c r="BA84" s="105">
        <f t="shared" si="155"/>
        <v>1.72</v>
      </c>
    </row>
    <row r="85" spans="1:53" s="98" customFormat="1" ht="14.1" customHeight="1" x14ac:dyDescent="0.2">
      <c r="A85" s="121">
        <v>12</v>
      </c>
      <c r="B85" s="104">
        <v>2467</v>
      </c>
      <c r="C85" s="95">
        <v>600079708</v>
      </c>
      <c r="D85" s="78">
        <v>71012303</v>
      </c>
      <c r="E85" s="78" t="s">
        <v>749</v>
      </c>
      <c r="F85" s="96">
        <v>3111</v>
      </c>
      <c r="G85" s="78" t="s">
        <v>307</v>
      </c>
      <c r="H85" s="97" t="s">
        <v>277</v>
      </c>
      <c r="I85" s="462">
        <v>1607544</v>
      </c>
      <c r="J85" s="16">
        <v>1186309</v>
      </c>
      <c r="K85" s="457">
        <v>400972</v>
      </c>
      <c r="L85" s="457">
        <v>11863</v>
      </c>
      <c r="M85" s="16">
        <v>8400</v>
      </c>
      <c r="N85" s="458">
        <v>2.4</v>
      </c>
      <c r="O85" s="13">
        <v>2</v>
      </c>
      <c r="P85" s="17">
        <v>0.4</v>
      </c>
      <c r="Q85" s="469">
        <f t="shared" ref="Q85:Q90" si="156">W85*-1</f>
        <v>0</v>
      </c>
      <c r="R85" s="460">
        <v>0</v>
      </c>
      <c r="S85" s="673">
        <v>0</v>
      </c>
      <c r="T85" s="460">
        <v>0</v>
      </c>
      <c r="U85" s="460">
        <v>0</v>
      </c>
      <c r="V85" s="460">
        <f t="shared" ref="V85:V90" si="157">SUM(Q85:U85)</f>
        <v>0</v>
      </c>
      <c r="W85" s="460">
        <v>0</v>
      </c>
      <c r="X85" s="460">
        <v>0</v>
      </c>
      <c r="Y85" s="460">
        <v>0</v>
      </c>
      <c r="Z85" s="460">
        <f t="shared" ref="Z85:Z90" si="158">SUM(W85:Y85)</f>
        <v>0</v>
      </c>
      <c r="AA85" s="460">
        <f t="shared" ref="AA85:AA90" si="159">V85+Z85</f>
        <v>0</v>
      </c>
      <c r="AB85" s="69">
        <f t="shared" ref="AB85:AB90" si="160">ROUND((V85+W85+X85)*33.8%,0)</f>
        <v>0</v>
      </c>
      <c r="AC85" s="69">
        <f t="shared" ref="AC85:AC90" si="161">ROUND(V85*1%,0)</f>
        <v>0</v>
      </c>
      <c r="AD85" s="460">
        <v>0</v>
      </c>
      <c r="AE85" s="460">
        <v>0</v>
      </c>
      <c r="AF85" s="460">
        <f t="shared" ref="AF85:AF90" si="162">SUM(AD85:AE85)</f>
        <v>0</v>
      </c>
      <c r="AG85" s="460">
        <f t="shared" ref="AG85:AG90" si="163">AA85+AB85+AC85+AF85</f>
        <v>0</v>
      </c>
      <c r="AH85" s="461">
        <v>0</v>
      </c>
      <c r="AI85" s="461">
        <v>0</v>
      </c>
      <c r="AJ85" s="461">
        <v>0</v>
      </c>
      <c r="AK85" s="461">
        <v>0</v>
      </c>
      <c r="AL85" s="674">
        <v>0</v>
      </c>
      <c r="AM85" s="461">
        <v>0</v>
      </c>
      <c r="AN85" s="461">
        <v>0</v>
      </c>
      <c r="AO85" s="461">
        <v>0</v>
      </c>
      <c r="AP85" s="461">
        <f t="shared" ref="AP85:AP90" si="164">AH85+AJ85+AK85+AM85+AN85</f>
        <v>0</v>
      </c>
      <c r="AQ85" s="461">
        <f t="shared" ref="AQ85:AQ90" si="165">AI85+AL85+AO85</f>
        <v>0</v>
      </c>
      <c r="AR85" s="737">
        <f t="shared" ref="AR85:AR90" si="166">SUM(AP85:AQ85)</f>
        <v>0</v>
      </c>
      <c r="AS85" s="470">
        <f t="shared" si="145"/>
        <v>1607544</v>
      </c>
      <c r="AT85" s="460">
        <f t="shared" si="146"/>
        <v>1186309</v>
      </c>
      <c r="AU85" s="460">
        <f t="shared" si="147"/>
        <v>0</v>
      </c>
      <c r="AV85" s="460">
        <f t="shared" si="148"/>
        <v>400972</v>
      </c>
      <c r="AW85" s="460">
        <f t="shared" si="149"/>
        <v>11863</v>
      </c>
      <c r="AX85" s="460">
        <f t="shared" si="150"/>
        <v>8400</v>
      </c>
      <c r="AY85" s="461">
        <f t="shared" si="151"/>
        <v>2.4</v>
      </c>
      <c r="AZ85" s="461">
        <f t="shared" si="152"/>
        <v>2</v>
      </c>
      <c r="BA85" s="463">
        <f t="shared" si="153"/>
        <v>0.4</v>
      </c>
    </row>
    <row r="86" spans="1:53" s="98" customFormat="1" ht="14.1" customHeight="1" x14ac:dyDescent="0.2">
      <c r="A86" s="121">
        <v>12</v>
      </c>
      <c r="B86" s="106">
        <v>2467</v>
      </c>
      <c r="C86" s="95">
        <v>600079708</v>
      </c>
      <c r="D86" s="78">
        <v>71012303</v>
      </c>
      <c r="E86" s="106" t="s">
        <v>749</v>
      </c>
      <c r="F86" s="107">
        <v>3117</v>
      </c>
      <c r="G86" s="106" t="s">
        <v>325</v>
      </c>
      <c r="H86" s="97" t="s">
        <v>277</v>
      </c>
      <c r="I86" s="462">
        <v>1639019</v>
      </c>
      <c r="J86" s="16">
        <v>1203852</v>
      </c>
      <c r="K86" s="457">
        <v>406903</v>
      </c>
      <c r="L86" s="457">
        <v>12039</v>
      </c>
      <c r="M86" s="16">
        <v>16225</v>
      </c>
      <c r="N86" s="458">
        <v>2.5640000000000001</v>
      </c>
      <c r="O86" s="13">
        <v>1.4181999999999999</v>
      </c>
      <c r="P86" s="17">
        <v>1.1458000000000002</v>
      </c>
      <c r="Q86" s="469">
        <f t="shared" si="156"/>
        <v>0</v>
      </c>
      <c r="R86" s="460">
        <v>0</v>
      </c>
      <c r="S86" s="673">
        <v>0</v>
      </c>
      <c r="T86" s="460">
        <v>0</v>
      </c>
      <c r="U86" s="460">
        <v>0</v>
      </c>
      <c r="V86" s="460">
        <f t="shared" si="157"/>
        <v>0</v>
      </c>
      <c r="W86" s="460">
        <v>0</v>
      </c>
      <c r="X86" s="460">
        <v>0</v>
      </c>
      <c r="Y86" s="460">
        <v>0</v>
      </c>
      <c r="Z86" s="460">
        <f t="shared" si="158"/>
        <v>0</v>
      </c>
      <c r="AA86" s="460">
        <f t="shared" si="159"/>
        <v>0</v>
      </c>
      <c r="AB86" s="69">
        <f t="shared" si="160"/>
        <v>0</v>
      </c>
      <c r="AC86" s="69">
        <f t="shared" si="161"/>
        <v>0</v>
      </c>
      <c r="AD86" s="460">
        <v>0</v>
      </c>
      <c r="AE86" s="460">
        <v>0</v>
      </c>
      <c r="AF86" s="460">
        <f t="shared" si="162"/>
        <v>0</v>
      </c>
      <c r="AG86" s="460">
        <f t="shared" si="163"/>
        <v>0</v>
      </c>
      <c r="AH86" s="461">
        <v>0</v>
      </c>
      <c r="AI86" s="461">
        <v>0</v>
      </c>
      <c r="AJ86" s="461">
        <v>0</v>
      </c>
      <c r="AK86" s="461">
        <v>0</v>
      </c>
      <c r="AL86" s="674">
        <v>0</v>
      </c>
      <c r="AM86" s="461">
        <v>0</v>
      </c>
      <c r="AN86" s="461">
        <v>0</v>
      </c>
      <c r="AO86" s="461">
        <v>0</v>
      </c>
      <c r="AP86" s="461">
        <f t="shared" si="164"/>
        <v>0</v>
      </c>
      <c r="AQ86" s="461">
        <f t="shared" si="165"/>
        <v>0</v>
      </c>
      <c r="AR86" s="737">
        <f t="shared" si="166"/>
        <v>0</v>
      </c>
      <c r="AS86" s="470">
        <f t="shared" si="145"/>
        <v>1639019</v>
      </c>
      <c r="AT86" s="460">
        <f t="shared" si="146"/>
        <v>1203852</v>
      </c>
      <c r="AU86" s="460">
        <f t="shared" si="147"/>
        <v>0</v>
      </c>
      <c r="AV86" s="460">
        <f t="shared" si="148"/>
        <v>406903</v>
      </c>
      <c r="AW86" s="460">
        <f t="shared" si="149"/>
        <v>12039</v>
      </c>
      <c r="AX86" s="460">
        <f t="shared" si="150"/>
        <v>16225</v>
      </c>
      <c r="AY86" s="461">
        <f t="shared" si="151"/>
        <v>2.5640000000000001</v>
      </c>
      <c r="AZ86" s="461">
        <f t="shared" si="152"/>
        <v>1.4181999999999999</v>
      </c>
      <c r="BA86" s="463">
        <f t="shared" si="153"/>
        <v>1.1458000000000002</v>
      </c>
    </row>
    <row r="87" spans="1:53" s="98" customFormat="1" ht="14.1" customHeight="1" x14ac:dyDescent="0.2">
      <c r="A87" s="121">
        <v>12</v>
      </c>
      <c r="B87" s="104">
        <v>2467</v>
      </c>
      <c r="C87" s="95">
        <v>600079708</v>
      </c>
      <c r="D87" s="78">
        <v>71012303</v>
      </c>
      <c r="E87" s="104" t="s">
        <v>749</v>
      </c>
      <c r="F87" s="96">
        <v>3117</v>
      </c>
      <c r="G87" s="78" t="s">
        <v>308</v>
      </c>
      <c r="H87" s="97" t="s">
        <v>278</v>
      </c>
      <c r="I87" s="462">
        <v>0</v>
      </c>
      <c r="J87" s="591">
        <v>0</v>
      </c>
      <c r="K87" s="457">
        <v>0</v>
      </c>
      <c r="L87" s="457">
        <v>0</v>
      </c>
      <c r="M87" s="591">
        <v>0</v>
      </c>
      <c r="N87" s="458">
        <v>0</v>
      </c>
      <c r="O87" s="459">
        <v>0</v>
      </c>
      <c r="P87" s="717">
        <v>0</v>
      </c>
      <c r="Q87" s="469">
        <f t="shared" si="156"/>
        <v>0</v>
      </c>
      <c r="R87" s="460">
        <v>215639</v>
      </c>
      <c r="S87" s="673">
        <v>0</v>
      </c>
      <c r="T87" s="460">
        <v>0</v>
      </c>
      <c r="U87" s="460">
        <v>0</v>
      </c>
      <c r="V87" s="460">
        <f t="shared" si="157"/>
        <v>215639</v>
      </c>
      <c r="W87" s="460">
        <v>0</v>
      </c>
      <c r="X87" s="460">
        <v>0</v>
      </c>
      <c r="Y87" s="460">
        <v>0</v>
      </c>
      <c r="Z87" s="460">
        <f t="shared" si="158"/>
        <v>0</v>
      </c>
      <c r="AA87" s="460">
        <f t="shared" si="159"/>
        <v>215639</v>
      </c>
      <c r="AB87" s="69">
        <f t="shared" si="160"/>
        <v>72886</v>
      </c>
      <c r="AC87" s="69">
        <f t="shared" si="161"/>
        <v>2156</v>
      </c>
      <c r="AD87" s="460">
        <v>500</v>
      </c>
      <c r="AE87" s="460">
        <v>0</v>
      </c>
      <c r="AF87" s="460">
        <f t="shared" si="162"/>
        <v>500</v>
      </c>
      <c r="AG87" s="460">
        <f t="shared" si="163"/>
        <v>291181</v>
      </c>
      <c r="AH87" s="461">
        <v>0</v>
      </c>
      <c r="AI87" s="461">
        <v>0</v>
      </c>
      <c r="AJ87" s="461">
        <v>0.59000000000000008</v>
      </c>
      <c r="AK87" s="461">
        <v>0</v>
      </c>
      <c r="AL87" s="674">
        <v>0</v>
      </c>
      <c r="AM87" s="461">
        <v>0</v>
      </c>
      <c r="AN87" s="461">
        <v>0</v>
      </c>
      <c r="AO87" s="461">
        <v>0</v>
      </c>
      <c r="AP87" s="461">
        <f t="shared" si="164"/>
        <v>0.59000000000000008</v>
      </c>
      <c r="AQ87" s="461">
        <f t="shared" si="165"/>
        <v>0</v>
      </c>
      <c r="AR87" s="737">
        <f t="shared" si="166"/>
        <v>0.59000000000000008</v>
      </c>
      <c r="AS87" s="470">
        <f t="shared" si="145"/>
        <v>291181</v>
      </c>
      <c r="AT87" s="460">
        <f t="shared" si="146"/>
        <v>215639</v>
      </c>
      <c r="AU87" s="460">
        <f t="shared" si="147"/>
        <v>0</v>
      </c>
      <c r="AV87" s="460">
        <f t="shared" si="148"/>
        <v>72886</v>
      </c>
      <c r="AW87" s="460">
        <f t="shared" si="149"/>
        <v>2156</v>
      </c>
      <c r="AX87" s="460">
        <f t="shared" si="150"/>
        <v>500</v>
      </c>
      <c r="AY87" s="461">
        <f t="shared" si="151"/>
        <v>0.59000000000000008</v>
      </c>
      <c r="AZ87" s="461">
        <f t="shared" si="152"/>
        <v>0.59000000000000008</v>
      </c>
      <c r="BA87" s="463">
        <f t="shared" si="153"/>
        <v>0</v>
      </c>
    </row>
    <row r="88" spans="1:53" s="98" customFormat="1" ht="14.1" customHeight="1" x14ac:dyDescent="0.2">
      <c r="A88" s="121">
        <v>12</v>
      </c>
      <c r="B88" s="78">
        <v>2467</v>
      </c>
      <c r="C88" s="95">
        <v>600079708</v>
      </c>
      <c r="D88" s="78">
        <v>71012303</v>
      </c>
      <c r="E88" s="78" t="s">
        <v>749</v>
      </c>
      <c r="F88" s="96">
        <v>3141</v>
      </c>
      <c r="G88" s="78" t="s">
        <v>311</v>
      </c>
      <c r="H88" s="97" t="s">
        <v>278</v>
      </c>
      <c r="I88" s="462">
        <v>434363</v>
      </c>
      <c r="J88" s="728">
        <v>321109</v>
      </c>
      <c r="K88" s="457">
        <v>108535</v>
      </c>
      <c r="L88" s="457">
        <v>3211</v>
      </c>
      <c r="M88" s="728">
        <v>1508</v>
      </c>
      <c r="N88" s="458">
        <v>1.03</v>
      </c>
      <c r="O88" s="730">
        <v>0</v>
      </c>
      <c r="P88" s="729">
        <v>1.03</v>
      </c>
      <c r="Q88" s="469">
        <f t="shared" si="156"/>
        <v>0</v>
      </c>
      <c r="R88" s="460">
        <v>0</v>
      </c>
      <c r="S88" s="673">
        <v>0</v>
      </c>
      <c r="T88" s="460">
        <v>0</v>
      </c>
      <c r="U88" s="460">
        <v>0</v>
      </c>
      <c r="V88" s="460">
        <f t="shared" si="157"/>
        <v>0</v>
      </c>
      <c r="W88" s="460">
        <v>0</v>
      </c>
      <c r="X88" s="460">
        <v>0</v>
      </c>
      <c r="Y88" s="460">
        <v>0</v>
      </c>
      <c r="Z88" s="460">
        <f t="shared" si="158"/>
        <v>0</v>
      </c>
      <c r="AA88" s="460">
        <f t="shared" si="159"/>
        <v>0</v>
      </c>
      <c r="AB88" s="69">
        <f t="shared" si="160"/>
        <v>0</v>
      </c>
      <c r="AC88" s="69">
        <f t="shared" si="161"/>
        <v>0</v>
      </c>
      <c r="AD88" s="460">
        <v>0</v>
      </c>
      <c r="AE88" s="460">
        <v>0</v>
      </c>
      <c r="AF88" s="460">
        <f t="shared" si="162"/>
        <v>0</v>
      </c>
      <c r="AG88" s="460">
        <f t="shared" si="163"/>
        <v>0</v>
      </c>
      <c r="AH88" s="461">
        <v>0</v>
      </c>
      <c r="AI88" s="461">
        <v>0</v>
      </c>
      <c r="AJ88" s="461">
        <v>0</v>
      </c>
      <c r="AK88" s="461">
        <v>0</v>
      </c>
      <c r="AL88" s="674">
        <v>0</v>
      </c>
      <c r="AM88" s="461">
        <v>0</v>
      </c>
      <c r="AN88" s="461">
        <v>0</v>
      </c>
      <c r="AO88" s="461">
        <v>0</v>
      </c>
      <c r="AP88" s="461">
        <f t="shared" si="164"/>
        <v>0</v>
      </c>
      <c r="AQ88" s="461">
        <f t="shared" si="165"/>
        <v>0</v>
      </c>
      <c r="AR88" s="737">
        <f t="shared" si="166"/>
        <v>0</v>
      </c>
      <c r="AS88" s="470">
        <f t="shared" si="145"/>
        <v>434363</v>
      </c>
      <c r="AT88" s="460">
        <f t="shared" si="146"/>
        <v>321109</v>
      </c>
      <c r="AU88" s="460">
        <f t="shared" si="147"/>
        <v>0</v>
      </c>
      <c r="AV88" s="460">
        <f t="shared" si="148"/>
        <v>108535</v>
      </c>
      <c r="AW88" s="460">
        <f t="shared" si="149"/>
        <v>3211</v>
      </c>
      <c r="AX88" s="460">
        <f t="shared" si="150"/>
        <v>1508</v>
      </c>
      <c r="AY88" s="461">
        <f t="shared" si="151"/>
        <v>1.03</v>
      </c>
      <c r="AZ88" s="461">
        <f t="shared" si="152"/>
        <v>0</v>
      </c>
      <c r="BA88" s="463">
        <f t="shared" si="153"/>
        <v>1.03</v>
      </c>
    </row>
    <row r="89" spans="1:53" s="98" customFormat="1" ht="14.1" customHeight="1" x14ac:dyDescent="0.2">
      <c r="A89" s="121">
        <v>12</v>
      </c>
      <c r="B89" s="78">
        <v>2467</v>
      </c>
      <c r="C89" s="95">
        <v>600079708</v>
      </c>
      <c r="D89" s="78">
        <v>71012303</v>
      </c>
      <c r="E89" s="78" t="s">
        <v>749</v>
      </c>
      <c r="F89" s="96">
        <v>3143</v>
      </c>
      <c r="G89" s="78" t="s">
        <v>616</v>
      </c>
      <c r="H89" s="97" t="s">
        <v>277</v>
      </c>
      <c r="I89" s="462">
        <v>333894</v>
      </c>
      <c r="J89" s="715">
        <v>247696</v>
      </c>
      <c r="K89" s="457">
        <v>83721</v>
      </c>
      <c r="L89" s="457">
        <v>2477</v>
      </c>
      <c r="M89" s="715">
        <v>0</v>
      </c>
      <c r="N89" s="458">
        <v>0.6</v>
      </c>
      <c r="O89" s="716">
        <v>0.6</v>
      </c>
      <c r="P89" s="718">
        <v>0</v>
      </c>
      <c r="Q89" s="469">
        <f t="shared" si="156"/>
        <v>0</v>
      </c>
      <c r="R89" s="460">
        <v>0</v>
      </c>
      <c r="S89" s="673">
        <v>0</v>
      </c>
      <c r="T89" s="460">
        <v>0</v>
      </c>
      <c r="U89" s="460">
        <v>0</v>
      </c>
      <c r="V89" s="460">
        <f t="shared" si="157"/>
        <v>0</v>
      </c>
      <c r="W89" s="460">
        <v>0</v>
      </c>
      <c r="X89" s="460">
        <v>0</v>
      </c>
      <c r="Y89" s="460">
        <v>0</v>
      </c>
      <c r="Z89" s="460">
        <f t="shared" si="158"/>
        <v>0</v>
      </c>
      <c r="AA89" s="460">
        <f t="shared" si="159"/>
        <v>0</v>
      </c>
      <c r="AB89" s="69">
        <f t="shared" si="160"/>
        <v>0</v>
      </c>
      <c r="AC89" s="69">
        <f t="shared" si="161"/>
        <v>0</v>
      </c>
      <c r="AD89" s="460">
        <v>0</v>
      </c>
      <c r="AE89" s="460">
        <v>0</v>
      </c>
      <c r="AF89" s="460">
        <f t="shared" si="162"/>
        <v>0</v>
      </c>
      <c r="AG89" s="460">
        <f t="shared" si="163"/>
        <v>0</v>
      </c>
      <c r="AH89" s="461">
        <v>0</v>
      </c>
      <c r="AI89" s="461">
        <v>0</v>
      </c>
      <c r="AJ89" s="461">
        <v>0</v>
      </c>
      <c r="AK89" s="461">
        <v>0</v>
      </c>
      <c r="AL89" s="674">
        <v>0</v>
      </c>
      <c r="AM89" s="461">
        <v>0</v>
      </c>
      <c r="AN89" s="461">
        <v>0</v>
      </c>
      <c r="AO89" s="461">
        <v>0</v>
      </c>
      <c r="AP89" s="461">
        <f t="shared" si="164"/>
        <v>0</v>
      </c>
      <c r="AQ89" s="461">
        <f t="shared" si="165"/>
        <v>0</v>
      </c>
      <c r="AR89" s="737">
        <f t="shared" si="166"/>
        <v>0</v>
      </c>
      <c r="AS89" s="470">
        <f t="shared" si="145"/>
        <v>333894</v>
      </c>
      <c r="AT89" s="460">
        <f t="shared" si="146"/>
        <v>247696</v>
      </c>
      <c r="AU89" s="460">
        <f t="shared" si="147"/>
        <v>0</v>
      </c>
      <c r="AV89" s="460">
        <f t="shared" si="148"/>
        <v>83721</v>
      </c>
      <c r="AW89" s="460">
        <f t="shared" si="149"/>
        <v>2477</v>
      </c>
      <c r="AX89" s="460">
        <f t="shared" si="150"/>
        <v>0</v>
      </c>
      <c r="AY89" s="461">
        <f t="shared" si="151"/>
        <v>0.6</v>
      </c>
      <c r="AZ89" s="461">
        <f t="shared" si="152"/>
        <v>0.6</v>
      </c>
      <c r="BA89" s="463">
        <f t="shared" si="153"/>
        <v>0</v>
      </c>
    </row>
    <row r="90" spans="1:53" s="98" customFormat="1" ht="14.1" customHeight="1" x14ac:dyDescent="0.2">
      <c r="A90" s="121">
        <v>12</v>
      </c>
      <c r="B90" s="78">
        <v>2467</v>
      </c>
      <c r="C90" s="95">
        <v>600079708</v>
      </c>
      <c r="D90" s="78">
        <v>71012303</v>
      </c>
      <c r="E90" s="78" t="s">
        <v>749</v>
      </c>
      <c r="F90" s="96">
        <v>3143</v>
      </c>
      <c r="G90" s="78" t="s">
        <v>617</v>
      </c>
      <c r="H90" s="97" t="s">
        <v>278</v>
      </c>
      <c r="I90" s="462">
        <v>8063</v>
      </c>
      <c r="J90" s="673">
        <v>5761</v>
      </c>
      <c r="K90" s="457">
        <v>1947</v>
      </c>
      <c r="L90" s="457">
        <v>58</v>
      </c>
      <c r="M90" s="673">
        <v>297</v>
      </c>
      <c r="N90" s="458">
        <v>0.02</v>
      </c>
      <c r="O90" s="459">
        <v>0</v>
      </c>
      <c r="P90" s="717">
        <v>0.02</v>
      </c>
      <c r="Q90" s="469">
        <f t="shared" si="156"/>
        <v>0</v>
      </c>
      <c r="R90" s="460">
        <v>0</v>
      </c>
      <c r="S90" s="673">
        <v>0</v>
      </c>
      <c r="T90" s="460">
        <v>0</v>
      </c>
      <c r="U90" s="460">
        <v>0</v>
      </c>
      <c r="V90" s="460">
        <f t="shared" si="157"/>
        <v>0</v>
      </c>
      <c r="W90" s="460">
        <v>0</v>
      </c>
      <c r="X90" s="460">
        <v>0</v>
      </c>
      <c r="Y90" s="460">
        <v>0</v>
      </c>
      <c r="Z90" s="460">
        <f t="shared" si="158"/>
        <v>0</v>
      </c>
      <c r="AA90" s="460">
        <f t="shared" si="159"/>
        <v>0</v>
      </c>
      <c r="AB90" s="69">
        <f t="shared" si="160"/>
        <v>0</v>
      </c>
      <c r="AC90" s="69">
        <f t="shared" si="161"/>
        <v>0</v>
      </c>
      <c r="AD90" s="460">
        <v>0</v>
      </c>
      <c r="AE90" s="460">
        <v>0</v>
      </c>
      <c r="AF90" s="460">
        <f t="shared" si="162"/>
        <v>0</v>
      </c>
      <c r="AG90" s="460">
        <f t="shared" si="163"/>
        <v>0</v>
      </c>
      <c r="AH90" s="461">
        <v>0</v>
      </c>
      <c r="AI90" s="461">
        <v>0</v>
      </c>
      <c r="AJ90" s="461">
        <v>0</v>
      </c>
      <c r="AK90" s="461">
        <v>0</v>
      </c>
      <c r="AL90" s="674">
        <v>0</v>
      </c>
      <c r="AM90" s="461">
        <v>0</v>
      </c>
      <c r="AN90" s="461">
        <v>0</v>
      </c>
      <c r="AO90" s="461">
        <v>0</v>
      </c>
      <c r="AP90" s="461">
        <f t="shared" si="164"/>
        <v>0</v>
      </c>
      <c r="AQ90" s="461">
        <f t="shared" si="165"/>
        <v>0</v>
      </c>
      <c r="AR90" s="737">
        <f t="shared" si="166"/>
        <v>0</v>
      </c>
      <c r="AS90" s="470">
        <f t="shared" si="145"/>
        <v>8063</v>
      </c>
      <c r="AT90" s="460">
        <f t="shared" si="146"/>
        <v>5761</v>
      </c>
      <c r="AU90" s="460">
        <f t="shared" si="147"/>
        <v>0</v>
      </c>
      <c r="AV90" s="460">
        <f t="shared" si="148"/>
        <v>1947</v>
      </c>
      <c r="AW90" s="460">
        <f t="shared" si="149"/>
        <v>58</v>
      </c>
      <c r="AX90" s="460">
        <f t="shared" si="150"/>
        <v>297</v>
      </c>
      <c r="AY90" s="461">
        <f t="shared" si="151"/>
        <v>0.02</v>
      </c>
      <c r="AZ90" s="461">
        <f t="shared" si="152"/>
        <v>0</v>
      </c>
      <c r="BA90" s="463">
        <f t="shared" si="153"/>
        <v>0.02</v>
      </c>
    </row>
    <row r="91" spans="1:53" s="98" customFormat="1" ht="14.1" customHeight="1" x14ac:dyDescent="0.2">
      <c r="A91" s="122">
        <v>12</v>
      </c>
      <c r="B91" s="99">
        <v>2467</v>
      </c>
      <c r="C91" s="100">
        <v>600079708</v>
      </c>
      <c r="D91" s="99">
        <v>71012303</v>
      </c>
      <c r="E91" s="99" t="s">
        <v>750</v>
      </c>
      <c r="F91" s="108"/>
      <c r="G91" s="102"/>
      <c r="H91" s="103"/>
      <c r="I91" s="489">
        <f t="shared" ref="I91:P91" si="167">SUM(I85:I90)</f>
        <v>4022883</v>
      </c>
      <c r="J91" s="485">
        <f t="shared" si="167"/>
        <v>2964727</v>
      </c>
      <c r="K91" s="485">
        <f t="shared" si="167"/>
        <v>1002078</v>
      </c>
      <c r="L91" s="485">
        <f t="shared" si="167"/>
        <v>29648</v>
      </c>
      <c r="M91" s="485">
        <f t="shared" si="167"/>
        <v>26430</v>
      </c>
      <c r="N91" s="486">
        <f t="shared" si="167"/>
        <v>6.6139999999999999</v>
      </c>
      <c r="O91" s="486">
        <f t="shared" si="167"/>
        <v>4.0181999999999993</v>
      </c>
      <c r="P91" s="105">
        <f t="shared" si="167"/>
        <v>2.5958000000000001</v>
      </c>
      <c r="Q91" s="491">
        <f t="shared" ref="Q91:BA91" si="168">SUM(Q85:Q90)</f>
        <v>0</v>
      </c>
      <c r="R91" s="491">
        <f t="shared" si="168"/>
        <v>215639</v>
      </c>
      <c r="S91" s="485">
        <f t="shared" si="168"/>
        <v>0</v>
      </c>
      <c r="T91" s="485">
        <f t="shared" si="168"/>
        <v>0</v>
      </c>
      <c r="U91" s="485">
        <f t="shared" si="168"/>
        <v>0</v>
      </c>
      <c r="V91" s="485">
        <f t="shared" si="168"/>
        <v>215639</v>
      </c>
      <c r="W91" s="485">
        <f t="shared" si="168"/>
        <v>0</v>
      </c>
      <c r="X91" s="485">
        <f t="shared" si="168"/>
        <v>0</v>
      </c>
      <c r="Y91" s="485">
        <f t="shared" si="168"/>
        <v>0</v>
      </c>
      <c r="Z91" s="485">
        <f t="shared" si="168"/>
        <v>0</v>
      </c>
      <c r="AA91" s="485">
        <f t="shared" si="168"/>
        <v>215639</v>
      </c>
      <c r="AB91" s="485">
        <f t="shared" si="168"/>
        <v>72886</v>
      </c>
      <c r="AC91" s="485">
        <f t="shared" si="168"/>
        <v>2156</v>
      </c>
      <c r="AD91" s="485">
        <f t="shared" si="168"/>
        <v>500</v>
      </c>
      <c r="AE91" s="485">
        <f t="shared" si="168"/>
        <v>0</v>
      </c>
      <c r="AF91" s="485">
        <f t="shared" si="168"/>
        <v>500</v>
      </c>
      <c r="AG91" s="485">
        <f t="shared" si="168"/>
        <v>291181</v>
      </c>
      <c r="AH91" s="486">
        <f t="shared" si="168"/>
        <v>0</v>
      </c>
      <c r="AI91" s="486">
        <f t="shared" si="168"/>
        <v>0</v>
      </c>
      <c r="AJ91" s="486">
        <f t="shared" si="168"/>
        <v>0.59000000000000008</v>
      </c>
      <c r="AK91" s="486">
        <f t="shared" si="168"/>
        <v>0</v>
      </c>
      <c r="AL91" s="486">
        <f t="shared" si="168"/>
        <v>0</v>
      </c>
      <c r="AM91" s="486">
        <f t="shared" si="168"/>
        <v>0</v>
      </c>
      <c r="AN91" s="486">
        <f t="shared" si="168"/>
        <v>0</v>
      </c>
      <c r="AO91" s="486">
        <f t="shared" si="168"/>
        <v>0</v>
      </c>
      <c r="AP91" s="486">
        <f t="shared" si="168"/>
        <v>0.59000000000000008</v>
      </c>
      <c r="AQ91" s="486">
        <f t="shared" si="168"/>
        <v>0</v>
      </c>
      <c r="AR91" s="738">
        <f t="shared" si="168"/>
        <v>0.59000000000000008</v>
      </c>
      <c r="AS91" s="489">
        <f t="shared" si="168"/>
        <v>4314064</v>
      </c>
      <c r="AT91" s="485">
        <f t="shared" si="168"/>
        <v>3180366</v>
      </c>
      <c r="AU91" s="485">
        <f t="shared" si="168"/>
        <v>0</v>
      </c>
      <c r="AV91" s="485">
        <f t="shared" si="168"/>
        <v>1074964</v>
      </c>
      <c r="AW91" s="485">
        <f t="shared" si="168"/>
        <v>31804</v>
      </c>
      <c r="AX91" s="485">
        <f t="shared" si="168"/>
        <v>26930</v>
      </c>
      <c r="AY91" s="486">
        <f t="shared" si="168"/>
        <v>7.2039999999999997</v>
      </c>
      <c r="AZ91" s="486">
        <f t="shared" si="168"/>
        <v>4.6081999999999992</v>
      </c>
      <c r="BA91" s="105">
        <f t="shared" si="168"/>
        <v>2.5958000000000001</v>
      </c>
    </row>
    <row r="92" spans="1:53" s="98" customFormat="1" ht="14.1" customHeight="1" x14ac:dyDescent="0.2">
      <c r="A92" s="121">
        <v>13</v>
      </c>
      <c r="B92" s="104">
        <v>2408</v>
      </c>
      <c r="C92" s="95">
        <v>600079058</v>
      </c>
      <c r="D92" s="78">
        <v>72741511</v>
      </c>
      <c r="E92" s="78" t="s">
        <v>751</v>
      </c>
      <c r="F92" s="96">
        <v>3111</v>
      </c>
      <c r="G92" s="78" t="s">
        <v>307</v>
      </c>
      <c r="H92" s="97" t="s">
        <v>277</v>
      </c>
      <c r="I92" s="462">
        <v>2004356</v>
      </c>
      <c r="J92" s="16">
        <v>1480976</v>
      </c>
      <c r="K92" s="457">
        <v>500570</v>
      </c>
      <c r="L92" s="457">
        <v>14810</v>
      </c>
      <c r="M92" s="16">
        <v>8000</v>
      </c>
      <c r="N92" s="458">
        <v>2.931</v>
      </c>
      <c r="O92" s="13">
        <v>2.371</v>
      </c>
      <c r="P92" s="17">
        <v>0.56000000000000005</v>
      </c>
      <c r="Q92" s="469">
        <f t="shared" ref="Q92:Q94" si="169">W92*-1</f>
        <v>-32500</v>
      </c>
      <c r="R92" s="460">
        <v>0</v>
      </c>
      <c r="S92" s="673">
        <v>0</v>
      </c>
      <c r="T92" s="460">
        <v>0</v>
      </c>
      <c r="U92" s="460">
        <v>0</v>
      </c>
      <c r="V92" s="460">
        <f>SUM(Q92:U92)</f>
        <v>-32500</v>
      </c>
      <c r="W92" s="460">
        <v>32500</v>
      </c>
      <c r="X92" s="460">
        <v>0</v>
      </c>
      <c r="Y92" s="460">
        <v>0</v>
      </c>
      <c r="Z92" s="460">
        <f t="shared" ref="Z92:Z94" si="170">SUM(W92:Y92)</f>
        <v>32500</v>
      </c>
      <c r="AA92" s="460">
        <f t="shared" ref="AA92:AA94" si="171">V92+Z92</f>
        <v>0</v>
      </c>
      <c r="AB92" s="69">
        <f t="shared" ref="AB92:AB94" si="172">ROUND((V92+W92+X92)*33.8%,0)</f>
        <v>0</v>
      </c>
      <c r="AC92" s="69">
        <f t="shared" ref="AC92:AC94" si="173">ROUND(V92*1%,0)</f>
        <v>-325</v>
      </c>
      <c r="AD92" s="460">
        <v>0</v>
      </c>
      <c r="AE92" s="460">
        <v>0</v>
      </c>
      <c r="AF92" s="460">
        <f t="shared" ref="AF92:AF94" si="174">SUM(AD92:AE92)</f>
        <v>0</v>
      </c>
      <c r="AG92" s="460">
        <f t="shared" ref="AG92:AG94" si="175">AA92+AB92+AC92+AF92</f>
        <v>-325</v>
      </c>
      <c r="AH92" s="461">
        <v>-0.04</v>
      </c>
      <c r="AI92" s="461">
        <v>-0.05</v>
      </c>
      <c r="AJ92" s="461">
        <v>0</v>
      </c>
      <c r="AK92" s="461">
        <v>0</v>
      </c>
      <c r="AL92" s="674">
        <v>0</v>
      </c>
      <c r="AM92" s="461">
        <v>0</v>
      </c>
      <c r="AN92" s="461">
        <v>0</v>
      </c>
      <c r="AO92" s="461">
        <v>0</v>
      </c>
      <c r="AP92" s="461">
        <f t="shared" ref="AP92:AP94" si="176">AH92+AJ92+AK92+AM92+AN92</f>
        <v>-0.04</v>
      </c>
      <c r="AQ92" s="461">
        <f t="shared" ref="AQ92:AQ94" si="177">AI92+AL92+AO92</f>
        <v>-0.05</v>
      </c>
      <c r="AR92" s="737">
        <f t="shared" ref="AR92:AR94" si="178">SUM(AP92:AQ92)</f>
        <v>-0.09</v>
      </c>
      <c r="AS92" s="470">
        <f t="shared" si="145"/>
        <v>2004031</v>
      </c>
      <c r="AT92" s="460">
        <f t="shared" si="146"/>
        <v>1448476</v>
      </c>
      <c r="AU92" s="460">
        <f t="shared" si="147"/>
        <v>32500</v>
      </c>
      <c r="AV92" s="460">
        <f t="shared" si="148"/>
        <v>500570</v>
      </c>
      <c r="AW92" s="460">
        <f t="shared" si="149"/>
        <v>14485</v>
      </c>
      <c r="AX92" s="460">
        <f t="shared" si="150"/>
        <v>8000</v>
      </c>
      <c r="AY92" s="461">
        <f t="shared" si="151"/>
        <v>2.8410000000000002</v>
      </c>
      <c r="AZ92" s="461">
        <f t="shared" si="152"/>
        <v>2.331</v>
      </c>
      <c r="BA92" s="463">
        <f t="shared" si="153"/>
        <v>0.51</v>
      </c>
    </row>
    <row r="93" spans="1:53" s="98" customFormat="1" ht="14.1" customHeight="1" x14ac:dyDescent="0.2">
      <c r="A93" s="121">
        <v>13</v>
      </c>
      <c r="B93" s="78">
        <v>2408</v>
      </c>
      <c r="C93" s="95">
        <v>600079058</v>
      </c>
      <c r="D93" s="78">
        <v>72741511</v>
      </c>
      <c r="E93" s="78" t="s">
        <v>751</v>
      </c>
      <c r="F93" s="96">
        <v>3111</v>
      </c>
      <c r="G93" s="78" t="s">
        <v>308</v>
      </c>
      <c r="H93" s="97" t="s">
        <v>278</v>
      </c>
      <c r="I93" s="462">
        <v>0</v>
      </c>
      <c r="J93" s="591">
        <v>0</v>
      </c>
      <c r="K93" s="457">
        <v>0</v>
      </c>
      <c r="L93" s="457">
        <v>0</v>
      </c>
      <c r="M93" s="591">
        <v>0</v>
      </c>
      <c r="N93" s="458">
        <v>0</v>
      </c>
      <c r="O93" s="459">
        <v>0</v>
      </c>
      <c r="P93" s="717">
        <v>0</v>
      </c>
      <c r="Q93" s="469">
        <f t="shared" si="169"/>
        <v>0</v>
      </c>
      <c r="R93" s="460">
        <v>219495</v>
      </c>
      <c r="S93" s="673">
        <v>0</v>
      </c>
      <c r="T93" s="460">
        <v>0</v>
      </c>
      <c r="U93" s="460">
        <v>0</v>
      </c>
      <c r="V93" s="460">
        <f>SUM(Q93:U93)</f>
        <v>219495</v>
      </c>
      <c r="W93" s="460">
        <v>0</v>
      </c>
      <c r="X93" s="460">
        <v>0</v>
      </c>
      <c r="Y93" s="460">
        <v>0</v>
      </c>
      <c r="Z93" s="460">
        <f t="shared" si="170"/>
        <v>0</v>
      </c>
      <c r="AA93" s="460">
        <f t="shared" si="171"/>
        <v>219495</v>
      </c>
      <c r="AB93" s="69">
        <f t="shared" si="172"/>
        <v>74189</v>
      </c>
      <c r="AC93" s="69">
        <f t="shared" si="173"/>
        <v>2195</v>
      </c>
      <c r="AD93" s="460">
        <v>0</v>
      </c>
      <c r="AE93" s="460">
        <v>0</v>
      </c>
      <c r="AF93" s="460">
        <f t="shared" si="174"/>
        <v>0</v>
      </c>
      <c r="AG93" s="460">
        <f t="shared" si="175"/>
        <v>295879</v>
      </c>
      <c r="AH93" s="461">
        <v>0</v>
      </c>
      <c r="AI93" s="461">
        <v>0</v>
      </c>
      <c r="AJ93" s="461">
        <v>0.6</v>
      </c>
      <c r="AK93" s="461">
        <v>0</v>
      </c>
      <c r="AL93" s="674">
        <v>0</v>
      </c>
      <c r="AM93" s="461">
        <v>0</v>
      </c>
      <c r="AN93" s="461">
        <v>0</v>
      </c>
      <c r="AO93" s="461">
        <v>0</v>
      </c>
      <c r="AP93" s="461">
        <f t="shared" si="176"/>
        <v>0.6</v>
      </c>
      <c r="AQ93" s="461">
        <f t="shared" si="177"/>
        <v>0</v>
      </c>
      <c r="AR93" s="737">
        <f t="shared" si="178"/>
        <v>0.6</v>
      </c>
      <c r="AS93" s="470">
        <f t="shared" si="145"/>
        <v>295879</v>
      </c>
      <c r="AT93" s="460">
        <f t="shared" si="146"/>
        <v>219495</v>
      </c>
      <c r="AU93" s="460">
        <f t="shared" si="147"/>
        <v>0</v>
      </c>
      <c r="AV93" s="460">
        <f t="shared" si="148"/>
        <v>74189</v>
      </c>
      <c r="AW93" s="460">
        <f t="shared" si="149"/>
        <v>2195</v>
      </c>
      <c r="AX93" s="460">
        <f t="shared" si="150"/>
        <v>0</v>
      </c>
      <c r="AY93" s="461">
        <f t="shared" si="151"/>
        <v>0.6</v>
      </c>
      <c r="AZ93" s="461">
        <f t="shared" si="152"/>
        <v>0.6</v>
      </c>
      <c r="BA93" s="463">
        <f t="shared" si="153"/>
        <v>0</v>
      </c>
    </row>
    <row r="94" spans="1:53" s="98" customFormat="1" ht="14.1" customHeight="1" x14ac:dyDescent="0.2">
      <c r="A94" s="121">
        <v>13</v>
      </c>
      <c r="B94" s="78">
        <v>2408</v>
      </c>
      <c r="C94" s="95">
        <v>600079058</v>
      </c>
      <c r="D94" s="78">
        <v>72741511</v>
      </c>
      <c r="E94" s="78" t="s">
        <v>751</v>
      </c>
      <c r="F94" s="96">
        <v>3141</v>
      </c>
      <c r="G94" s="78" t="s">
        <v>311</v>
      </c>
      <c r="H94" s="97" t="s">
        <v>278</v>
      </c>
      <c r="I94" s="462">
        <v>445795</v>
      </c>
      <c r="J94" s="728">
        <v>329551</v>
      </c>
      <c r="K94" s="457">
        <v>111388</v>
      </c>
      <c r="L94" s="457">
        <v>3296</v>
      </c>
      <c r="M94" s="728">
        <v>1560</v>
      </c>
      <c r="N94" s="458">
        <v>1.06</v>
      </c>
      <c r="O94" s="730">
        <v>0</v>
      </c>
      <c r="P94" s="729">
        <v>1.06</v>
      </c>
      <c r="Q94" s="469">
        <f t="shared" si="169"/>
        <v>0</v>
      </c>
      <c r="R94" s="460">
        <v>0</v>
      </c>
      <c r="S94" s="673">
        <v>0</v>
      </c>
      <c r="T94" s="460">
        <v>0</v>
      </c>
      <c r="U94" s="460">
        <v>0</v>
      </c>
      <c r="V94" s="460">
        <f>SUM(Q94:U94)</f>
        <v>0</v>
      </c>
      <c r="W94" s="460">
        <v>0</v>
      </c>
      <c r="X94" s="460">
        <v>0</v>
      </c>
      <c r="Y94" s="460">
        <v>0</v>
      </c>
      <c r="Z94" s="460">
        <f t="shared" si="170"/>
        <v>0</v>
      </c>
      <c r="AA94" s="460">
        <f t="shared" si="171"/>
        <v>0</v>
      </c>
      <c r="AB94" s="69">
        <f t="shared" si="172"/>
        <v>0</v>
      </c>
      <c r="AC94" s="69">
        <f t="shared" si="173"/>
        <v>0</v>
      </c>
      <c r="AD94" s="460">
        <v>0</v>
      </c>
      <c r="AE94" s="460">
        <v>0</v>
      </c>
      <c r="AF94" s="460">
        <f t="shared" si="174"/>
        <v>0</v>
      </c>
      <c r="AG94" s="460">
        <f t="shared" si="175"/>
        <v>0</v>
      </c>
      <c r="AH94" s="461">
        <v>0</v>
      </c>
      <c r="AI94" s="461">
        <v>0</v>
      </c>
      <c r="AJ94" s="461">
        <v>0</v>
      </c>
      <c r="AK94" s="461">
        <v>0</v>
      </c>
      <c r="AL94" s="674">
        <v>0</v>
      </c>
      <c r="AM94" s="461">
        <v>0</v>
      </c>
      <c r="AN94" s="461">
        <v>0</v>
      </c>
      <c r="AO94" s="461">
        <v>0</v>
      </c>
      <c r="AP94" s="461">
        <f t="shared" si="176"/>
        <v>0</v>
      </c>
      <c r="AQ94" s="461">
        <f t="shared" si="177"/>
        <v>0</v>
      </c>
      <c r="AR94" s="737">
        <f t="shared" si="178"/>
        <v>0</v>
      </c>
      <c r="AS94" s="470">
        <f t="shared" si="145"/>
        <v>445795</v>
      </c>
      <c r="AT94" s="460">
        <f t="shared" si="146"/>
        <v>329551</v>
      </c>
      <c r="AU94" s="460">
        <f t="shared" si="147"/>
        <v>0</v>
      </c>
      <c r="AV94" s="460">
        <f t="shared" si="148"/>
        <v>111388</v>
      </c>
      <c r="AW94" s="460">
        <f t="shared" si="149"/>
        <v>3296</v>
      </c>
      <c r="AX94" s="460">
        <f t="shared" si="150"/>
        <v>1560</v>
      </c>
      <c r="AY94" s="461">
        <f t="shared" si="151"/>
        <v>1.06</v>
      </c>
      <c r="AZ94" s="461">
        <f t="shared" si="152"/>
        <v>0</v>
      </c>
      <c r="BA94" s="463">
        <f t="shared" si="153"/>
        <v>1.06</v>
      </c>
    </row>
    <row r="95" spans="1:53" s="98" customFormat="1" ht="14.1" customHeight="1" x14ac:dyDescent="0.2">
      <c r="A95" s="122">
        <v>13</v>
      </c>
      <c r="B95" s="99">
        <v>2408</v>
      </c>
      <c r="C95" s="100">
        <v>600079058</v>
      </c>
      <c r="D95" s="99">
        <v>72741511</v>
      </c>
      <c r="E95" s="99" t="s">
        <v>752</v>
      </c>
      <c r="F95" s="101"/>
      <c r="G95" s="102"/>
      <c r="H95" s="103"/>
      <c r="I95" s="489">
        <f t="shared" ref="I95:P95" si="179">SUM(I92:I94)</f>
        <v>2450151</v>
      </c>
      <c r="J95" s="485">
        <f t="shared" si="179"/>
        <v>1810527</v>
      </c>
      <c r="K95" s="485">
        <f t="shared" si="179"/>
        <v>611958</v>
      </c>
      <c r="L95" s="485">
        <f t="shared" si="179"/>
        <v>18106</v>
      </c>
      <c r="M95" s="485">
        <f t="shared" si="179"/>
        <v>9560</v>
      </c>
      <c r="N95" s="486">
        <f t="shared" si="179"/>
        <v>3.9910000000000001</v>
      </c>
      <c r="O95" s="486">
        <f t="shared" si="179"/>
        <v>2.371</v>
      </c>
      <c r="P95" s="105">
        <f t="shared" si="179"/>
        <v>1.62</v>
      </c>
      <c r="Q95" s="491">
        <f t="shared" ref="Q95:BA95" si="180">SUM(Q92:Q94)</f>
        <v>-32500</v>
      </c>
      <c r="R95" s="491">
        <f t="shared" si="180"/>
        <v>219495</v>
      </c>
      <c r="S95" s="485">
        <f t="shared" si="180"/>
        <v>0</v>
      </c>
      <c r="T95" s="485">
        <f t="shared" si="180"/>
        <v>0</v>
      </c>
      <c r="U95" s="485">
        <f t="shared" si="180"/>
        <v>0</v>
      </c>
      <c r="V95" s="485">
        <f t="shared" si="180"/>
        <v>186995</v>
      </c>
      <c r="W95" s="485">
        <f t="shared" si="180"/>
        <v>32500</v>
      </c>
      <c r="X95" s="485">
        <f t="shared" si="180"/>
        <v>0</v>
      </c>
      <c r="Y95" s="485">
        <f t="shared" si="180"/>
        <v>0</v>
      </c>
      <c r="Z95" s="485">
        <f t="shared" si="180"/>
        <v>32500</v>
      </c>
      <c r="AA95" s="485">
        <f t="shared" si="180"/>
        <v>219495</v>
      </c>
      <c r="AB95" s="485">
        <f t="shared" si="180"/>
        <v>74189</v>
      </c>
      <c r="AC95" s="485">
        <f t="shared" si="180"/>
        <v>1870</v>
      </c>
      <c r="AD95" s="485">
        <f t="shared" si="180"/>
        <v>0</v>
      </c>
      <c r="AE95" s="485">
        <f t="shared" si="180"/>
        <v>0</v>
      </c>
      <c r="AF95" s="485">
        <f t="shared" si="180"/>
        <v>0</v>
      </c>
      <c r="AG95" s="485">
        <f t="shared" si="180"/>
        <v>295554</v>
      </c>
      <c r="AH95" s="486">
        <f t="shared" si="180"/>
        <v>-0.04</v>
      </c>
      <c r="AI95" s="486">
        <f t="shared" si="180"/>
        <v>-0.05</v>
      </c>
      <c r="AJ95" s="486">
        <f t="shared" si="180"/>
        <v>0.6</v>
      </c>
      <c r="AK95" s="486">
        <f t="shared" si="180"/>
        <v>0</v>
      </c>
      <c r="AL95" s="486">
        <f>SUM(AL92:AL94)</f>
        <v>0</v>
      </c>
      <c r="AM95" s="486">
        <f t="shared" si="180"/>
        <v>0</v>
      </c>
      <c r="AN95" s="486">
        <f t="shared" si="180"/>
        <v>0</v>
      </c>
      <c r="AO95" s="486">
        <f t="shared" si="180"/>
        <v>0</v>
      </c>
      <c r="AP95" s="486">
        <f t="shared" si="180"/>
        <v>0.55999999999999994</v>
      </c>
      <c r="AQ95" s="486">
        <f t="shared" si="180"/>
        <v>-0.05</v>
      </c>
      <c r="AR95" s="738">
        <f t="shared" si="180"/>
        <v>0.51</v>
      </c>
      <c r="AS95" s="489">
        <f t="shared" si="180"/>
        <v>2745705</v>
      </c>
      <c r="AT95" s="485">
        <f t="shared" si="180"/>
        <v>1997522</v>
      </c>
      <c r="AU95" s="485">
        <f t="shared" si="180"/>
        <v>32500</v>
      </c>
      <c r="AV95" s="485">
        <f t="shared" si="180"/>
        <v>686147</v>
      </c>
      <c r="AW95" s="485">
        <f t="shared" si="180"/>
        <v>19976</v>
      </c>
      <c r="AX95" s="485">
        <f t="shared" si="180"/>
        <v>9560</v>
      </c>
      <c r="AY95" s="486">
        <f t="shared" si="180"/>
        <v>4.5010000000000003</v>
      </c>
      <c r="AZ95" s="486">
        <f t="shared" si="180"/>
        <v>2.931</v>
      </c>
      <c r="BA95" s="105">
        <f t="shared" si="180"/>
        <v>1.57</v>
      </c>
    </row>
    <row r="96" spans="1:53" s="98" customFormat="1" ht="14.1" customHeight="1" x14ac:dyDescent="0.2">
      <c r="A96" s="121">
        <v>14</v>
      </c>
      <c r="B96" s="78">
        <v>2304</v>
      </c>
      <c r="C96" s="95">
        <v>600080382</v>
      </c>
      <c r="D96" s="78">
        <v>72743417</v>
      </c>
      <c r="E96" s="78" t="s">
        <v>753</v>
      </c>
      <c r="F96" s="96">
        <v>3113</v>
      </c>
      <c r="G96" s="78" t="s">
        <v>310</v>
      </c>
      <c r="H96" s="97" t="s">
        <v>277</v>
      </c>
      <c r="I96" s="462">
        <v>4411587</v>
      </c>
      <c r="J96" s="16">
        <v>3237405</v>
      </c>
      <c r="K96" s="457">
        <v>1094243</v>
      </c>
      <c r="L96" s="457">
        <v>32374</v>
      </c>
      <c r="M96" s="16">
        <v>47565</v>
      </c>
      <c r="N96" s="458">
        <v>6.1600999999999999</v>
      </c>
      <c r="O96" s="13">
        <v>5.0000999999999998</v>
      </c>
      <c r="P96" s="17">
        <v>1.1599999999999999</v>
      </c>
      <c r="Q96" s="469">
        <f t="shared" ref="Q96:Q100" si="181">W96*-1</f>
        <v>0</v>
      </c>
      <c r="R96" s="460">
        <v>0</v>
      </c>
      <c r="S96" s="673">
        <v>0</v>
      </c>
      <c r="T96" s="460">
        <v>0</v>
      </c>
      <c r="U96" s="460">
        <v>0</v>
      </c>
      <c r="V96" s="460">
        <f>SUM(Q96:U96)</f>
        <v>0</v>
      </c>
      <c r="W96" s="460">
        <v>0</v>
      </c>
      <c r="X96" s="460">
        <v>0</v>
      </c>
      <c r="Y96" s="460">
        <v>0</v>
      </c>
      <c r="Z96" s="460">
        <f t="shared" ref="Z96:Z100" si="182">SUM(W96:Y96)</f>
        <v>0</v>
      </c>
      <c r="AA96" s="460">
        <f t="shared" ref="AA96:AA100" si="183">V96+Z96</f>
        <v>0</v>
      </c>
      <c r="AB96" s="69">
        <f t="shared" ref="AB96:AB100" si="184">ROUND((V96+W96+X96)*33.8%,0)</f>
        <v>0</v>
      </c>
      <c r="AC96" s="69">
        <f t="shared" ref="AC96:AC100" si="185">ROUND(V96*1%,0)</f>
        <v>0</v>
      </c>
      <c r="AD96" s="460">
        <v>0</v>
      </c>
      <c r="AE96" s="460">
        <v>0</v>
      </c>
      <c r="AF96" s="460">
        <f t="shared" ref="AF96:AF100" si="186">SUM(AD96:AE96)</f>
        <v>0</v>
      </c>
      <c r="AG96" s="460">
        <f t="shared" ref="AG96:AG100" si="187">AA96+AB96+AC96+AF96</f>
        <v>0</v>
      </c>
      <c r="AH96" s="461">
        <v>0</v>
      </c>
      <c r="AI96" s="461">
        <v>0</v>
      </c>
      <c r="AJ96" s="461">
        <v>0</v>
      </c>
      <c r="AK96" s="461">
        <v>0</v>
      </c>
      <c r="AL96" s="674">
        <v>0</v>
      </c>
      <c r="AM96" s="461">
        <v>0</v>
      </c>
      <c r="AN96" s="461">
        <v>0</v>
      </c>
      <c r="AO96" s="461">
        <v>0</v>
      </c>
      <c r="AP96" s="461">
        <f t="shared" ref="AP96:AP100" si="188">AH96+AJ96+AK96+AM96+AN96</f>
        <v>0</v>
      </c>
      <c r="AQ96" s="461">
        <f t="shared" ref="AQ96:AQ100" si="189">AI96+AL96+AO96</f>
        <v>0</v>
      </c>
      <c r="AR96" s="737">
        <f t="shared" ref="AR96:AR100" si="190">SUM(AP96:AQ96)</f>
        <v>0</v>
      </c>
      <c r="AS96" s="470">
        <f t="shared" si="145"/>
        <v>4411587</v>
      </c>
      <c r="AT96" s="460">
        <f t="shared" si="146"/>
        <v>3237405</v>
      </c>
      <c r="AU96" s="460">
        <f t="shared" si="147"/>
        <v>0</v>
      </c>
      <c r="AV96" s="460">
        <f t="shared" si="148"/>
        <v>1094243</v>
      </c>
      <c r="AW96" s="460">
        <f t="shared" si="149"/>
        <v>32374</v>
      </c>
      <c r="AX96" s="460">
        <f t="shared" si="150"/>
        <v>47565</v>
      </c>
      <c r="AY96" s="461">
        <f t="shared" si="151"/>
        <v>6.1600999999999999</v>
      </c>
      <c r="AZ96" s="461">
        <f t="shared" si="152"/>
        <v>5.0000999999999998</v>
      </c>
      <c r="BA96" s="463">
        <f t="shared" si="153"/>
        <v>1.1599999999999999</v>
      </c>
    </row>
    <row r="97" spans="1:53" s="98" customFormat="1" ht="14.1" customHeight="1" x14ac:dyDescent="0.2">
      <c r="A97" s="121">
        <v>14</v>
      </c>
      <c r="B97" s="78">
        <v>2304</v>
      </c>
      <c r="C97" s="95">
        <v>600080382</v>
      </c>
      <c r="D97" s="78">
        <v>72743417</v>
      </c>
      <c r="E97" s="78" t="s">
        <v>753</v>
      </c>
      <c r="F97" s="96">
        <v>3113</v>
      </c>
      <c r="G97" s="44" t="s">
        <v>309</v>
      </c>
      <c r="H97" s="97" t="s">
        <v>277</v>
      </c>
      <c r="I97" s="462">
        <v>896508</v>
      </c>
      <c r="J97" s="16">
        <v>665065</v>
      </c>
      <c r="K97" s="457">
        <v>224792</v>
      </c>
      <c r="L97" s="457">
        <v>6651</v>
      </c>
      <c r="M97" s="16"/>
      <c r="N97" s="458">
        <v>1.7222</v>
      </c>
      <c r="O97" s="13">
        <v>1.7222</v>
      </c>
      <c r="P97" s="17">
        <v>0</v>
      </c>
      <c r="Q97" s="469">
        <f t="shared" si="181"/>
        <v>0</v>
      </c>
      <c r="R97" s="460">
        <v>0</v>
      </c>
      <c r="S97" s="673">
        <v>0</v>
      </c>
      <c r="T97" s="460">
        <v>0</v>
      </c>
      <c r="U97" s="460">
        <v>0</v>
      </c>
      <c r="V97" s="460">
        <f>SUM(Q97:U97)</f>
        <v>0</v>
      </c>
      <c r="W97" s="460">
        <v>0</v>
      </c>
      <c r="X97" s="460">
        <v>0</v>
      </c>
      <c r="Y97" s="460">
        <v>0</v>
      </c>
      <c r="Z97" s="460">
        <f t="shared" si="182"/>
        <v>0</v>
      </c>
      <c r="AA97" s="460">
        <f t="shared" si="183"/>
        <v>0</v>
      </c>
      <c r="AB97" s="69">
        <f t="shared" si="184"/>
        <v>0</v>
      </c>
      <c r="AC97" s="69">
        <f t="shared" si="185"/>
        <v>0</v>
      </c>
      <c r="AD97" s="460">
        <v>0</v>
      </c>
      <c r="AE97" s="460">
        <v>0</v>
      </c>
      <c r="AF97" s="460">
        <f t="shared" si="186"/>
        <v>0</v>
      </c>
      <c r="AG97" s="460">
        <f t="shared" si="187"/>
        <v>0</v>
      </c>
      <c r="AH97" s="461">
        <v>0</v>
      </c>
      <c r="AI97" s="461">
        <v>0</v>
      </c>
      <c r="AJ97" s="461">
        <v>0</v>
      </c>
      <c r="AK97" s="461">
        <v>0</v>
      </c>
      <c r="AL97" s="674">
        <v>0</v>
      </c>
      <c r="AM97" s="461">
        <v>0</v>
      </c>
      <c r="AN97" s="461">
        <v>0</v>
      </c>
      <c r="AO97" s="461">
        <v>0</v>
      </c>
      <c r="AP97" s="461">
        <f t="shared" si="188"/>
        <v>0</v>
      </c>
      <c r="AQ97" s="461">
        <f t="shared" si="189"/>
        <v>0</v>
      </c>
      <c r="AR97" s="737">
        <f t="shared" si="190"/>
        <v>0</v>
      </c>
      <c r="AS97" s="470">
        <f t="shared" si="145"/>
        <v>896508</v>
      </c>
      <c r="AT97" s="460">
        <f t="shared" si="146"/>
        <v>665065</v>
      </c>
      <c r="AU97" s="460">
        <f t="shared" si="147"/>
        <v>0</v>
      </c>
      <c r="AV97" s="460">
        <f t="shared" si="148"/>
        <v>224792</v>
      </c>
      <c r="AW97" s="460">
        <f t="shared" si="149"/>
        <v>6651</v>
      </c>
      <c r="AX97" s="460">
        <f t="shared" si="150"/>
        <v>0</v>
      </c>
      <c r="AY97" s="461">
        <f t="shared" si="151"/>
        <v>1.7222</v>
      </c>
      <c r="AZ97" s="461">
        <f t="shared" si="152"/>
        <v>1.7222</v>
      </c>
      <c r="BA97" s="463">
        <f t="shared" si="153"/>
        <v>0</v>
      </c>
    </row>
    <row r="98" spans="1:53" s="98" customFormat="1" ht="14.1" customHeight="1" x14ac:dyDescent="0.2">
      <c r="A98" s="121">
        <v>14</v>
      </c>
      <c r="B98" s="78">
        <v>2304</v>
      </c>
      <c r="C98" s="95">
        <v>600080382</v>
      </c>
      <c r="D98" s="78">
        <v>72743417</v>
      </c>
      <c r="E98" s="78" t="s">
        <v>753</v>
      </c>
      <c r="F98" s="96">
        <v>3113</v>
      </c>
      <c r="G98" s="78" t="s">
        <v>308</v>
      </c>
      <c r="H98" s="97" t="s">
        <v>278</v>
      </c>
      <c r="I98" s="462">
        <v>0</v>
      </c>
      <c r="J98" s="591">
        <v>0</v>
      </c>
      <c r="K98" s="457">
        <v>0</v>
      </c>
      <c r="L98" s="457">
        <v>0</v>
      </c>
      <c r="M98" s="591">
        <v>0</v>
      </c>
      <c r="N98" s="458">
        <v>0</v>
      </c>
      <c r="O98" s="459">
        <v>0</v>
      </c>
      <c r="P98" s="717">
        <v>0</v>
      </c>
      <c r="Q98" s="469">
        <f t="shared" si="181"/>
        <v>0</v>
      </c>
      <c r="R98" s="460">
        <v>575573</v>
      </c>
      <c r="S98" s="673">
        <v>0</v>
      </c>
      <c r="T98" s="460">
        <v>0</v>
      </c>
      <c r="U98" s="460">
        <v>0</v>
      </c>
      <c r="V98" s="460">
        <f>SUM(Q98:U98)</f>
        <v>575573</v>
      </c>
      <c r="W98" s="460">
        <v>0</v>
      </c>
      <c r="X98" s="460">
        <v>0</v>
      </c>
      <c r="Y98" s="460">
        <v>0</v>
      </c>
      <c r="Z98" s="460">
        <f t="shared" si="182"/>
        <v>0</v>
      </c>
      <c r="AA98" s="460">
        <f t="shared" si="183"/>
        <v>575573</v>
      </c>
      <c r="AB98" s="69">
        <f t="shared" si="184"/>
        <v>194544</v>
      </c>
      <c r="AC98" s="69">
        <f t="shared" si="185"/>
        <v>5756</v>
      </c>
      <c r="AD98" s="460">
        <v>0</v>
      </c>
      <c r="AE98" s="460">
        <v>0</v>
      </c>
      <c r="AF98" s="460">
        <f t="shared" si="186"/>
        <v>0</v>
      </c>
      <c r="AG98" s="460">
        <f t="shared" si="187"/>
        <v>775873</v>
      </c>
      <c r="AH98" s="461">
        <v>0</v>
      </c>
      <c r="AI98" s="461">
        <v>0</v>
      </c>
      <c r="AJ98" s="461">
        <v>1.63</v>
      </c>
      <c r="AK98" s="461">
        <v>0</v>
      </c>
      <c r="AL98" s="674">
        <v>0</v>
      </c>
      <c r="AM98" s="461">
        <v>0</v>
      </c>
      <c r="AN98" s="461">
        <v>0</v>
      </c>
      <c r="AO98" s="461">
        <v>0</v>
      </c>
      <c r="AP98" s="461">
        <f t="shared" si="188"/>
        <v>1.63</v>
      </c>
      <c r="AQ98" s="461">
        <f t="shared" si="189"/>
        <v>0</v>
      </c>
      <c r="AR98" s="737">
        <f t="shared" si="190"/>
        <v>1.63</v>
      </c>
      <c r="AS98" s="470">
        <f t="shared" si="145"/>
        <v>775873</v>
      </c>
      <c r="AT98" s="460">
        <f t="shared" si="146"/>
        <v>575573</v>
      </c>
      <c r="AU98" s="460">
        <f t="shared" si="147"/>
        <v>0</v>
      </c>
      <c r="AV98" s="460">
        <f t="shared" si="148"/>
        <v>194544</v>
      </c>
      <c r="AW98" s="460">
        <f t="shared" si="149"/>
        <v>5756</v>
      </c>
      <c r="AX98" s="460">
        <f t="shared" si="150"/>
        <v>0</v>
      </c>
      <c r="AY98" s="461">
        <f t="shared" si="151"/>
        <v>1.63</v>
      </c>
      <c r="AZ98" s="461">
        <f t="shared" si="152"/>
        <v>1.63</v>
      </c>
      <c r="BA98" s="463">
        <f t="shared" si="153"/>
        <v>0</v>
      </c>
    </row>
    <row r="99" spans="1:53" s="98" customFormat="1" ht="14.1" customHeight="1" x14ac:dyDescent="0.2">
      <c r="A99" s="121">
        <v>14</v>
      </c>
      <c r="B99" s="78">
        <v>2304</v>
      </c>
      <c r="C99" s="95">
        <v>600080382</v>
      </c>
      <c r="D99" s="78">
        <v>72743417</v>
      </c>
      <c r="E99" s="78" t="s">
        <v>753</v>
      </c>
      <c r="F99" s="96">
        <v>3143</v>
      </c>
      <c r="G99" s="78" t="s">
        <v>616</v>
      </c>
      <c r="H99" s="97" t="s">
        <v>277</v>
      </c>
      <c r="I99" s="462">
        <v>276186</v>
      </c>
      <c r="J99" s="715">
        <v>204886</v>
      </c>
      <c r="K99" s="457">
        <v>69251</v>
      </c>
      <c r="L99" s="457">
        <v>2049</v>
      </c>
      <c r="M99" s="715">
        <v>0</v>
      </c>
      <c r="N99" s="458">
        <v>0.5</v>
      </c>
      <c r="O99" s="716">
        <v>0.5</v>
      </c>
      <c r="P99" s="718">
        <v>0</v>
      </c>
      <c r="Q99" s="469">
        <f t="shared" si="181"/>
        <v>0</v>
      </c>
      <c r="R99" s="460">
        <v>0</v>
      </c>
      <c r="S99" s="673">
        <v>0</v>
      </c>
      <c r="T99" s="460">
        <v>0</v>
      </c>
      <c r="U99" s="460">
        <v>0</v>
      </c>
      <c r="V99" s="460">
        <f>SUM(Q99:U99)</f>
        <v>0</v>
      </c>
      <c r="W99" s="460">
        <v>0</v>
      </c>
      <c r="X99" s="460">
        <v>0</v>
      </c>
      <c r="Y99" s="460">
        <v>0</v>
      </c>
      <c r="Z99" s="460">
        <f t="shared" si="182"/>
        <v>0</v>
      </c>
      <c r="AA99" s="460">
        <f t="shared" si="183"/>
        <v>0</v>
      </c>
      <c r="AB99" s="69">
        <f t="shared" si="184"/>
        <v>0</v>
      </c>
      <c r="AC99" s="69">
        <f t="shared" si="185"/>
        <v>0</v>
      </c>
      <c r="AD99" s="460">
        <v>0</v>
      </c>
      <c r="AE99" s="460">
        <v>0</v>
      </c>
      <c r="AF99" s="460">
        <f t="shared" si="186"/>
        <v>0</v>
      </c>
      <c r="AG99" s="460">
        <f t="shared" si="187"/>
        <v>0</v>
      </c>
      <c r="AH99" s="461">
        <v>0</v>
      </c>
      <c r="AI99" s="461">
        <v>0</v>
      </c>
      <c r="AJ99" s="461">
        <v>0</v>
      </c>
      <c r="AK99" s="461">
        <v>0</v>
      </c>
      <c r="AL99" s="674">
        <v>0</v>
      </c>
      <c r="AM99" s="461">
        <v>0</v>
      </c>
      <c r="AN99" s="461">
        <v>0</v>
      </c>
      <c r="AO99" s="461">
        <v>0</v>
      </c>
      <c r="AP99" s="461">
        <f t="shared" si="188"/>
        <v>0</v>
      </c>
      <c r="AQ99" s="461">
        <f t="shared" si="189"/>
        <v>0</v>
      </c>
      <c r="AR99" s="737">
        <f t="shared" si="190"/>
        <v>0</v>
      </c>
      <c r="AS99" s="470">
        <f t="shared" si="145"/>
        <v>276186</v>
      </c>
      <c r="AT99" s="460">
        <f t="shared" si="146"/>
        <v>204886</v>
      </c>
      <c r="AU99" s="460">
        <f t="shared" si="147"/>
        <v>0</v>
      </c>
      <c r="AV99" s="460">
        <f t="shared" si="148"/>
        <v>69251</v>
      </c>
      <c r="AW99" s="460">
        <f t="shared" si="149"/>
        <v>2049</v>
      </c>
      <c r="AX99" s="460">
        <f t="shared" si="150"/>
        <v>0</v>
      </c>
      <c r="AY99" s="461">
        <f t="shared" si="151"/>
        <v>0.5</v>
      </c>
      <c r="AZ99" s="461">
        <f t="shared" si="152"/>
        <v>0.5</v>
      </c>
      <c r="BA99" s="463">
        <f t="shared" si="153"/>
        <v>0</v>
      </c>
    </row>
    <row r="100" spans="1:53" s="98" customFormat="1" ht="14.1" customHeight="1" x14ac:dyDescent="0.2">
      <c r="A100" s="121">
        <v>14</v>
      </c>
      <c r="B100" s="78">
        <v>2304</v>
      </c>
      <c r="C100" s="95">
        <v>600080382</v>
      </c>
      <c r="D100" s="78">
        <v>72743417</v>
      </c>
      <c r="E100" s="78" t="s">
        <v>753</v>
      </c>
      <c r="F100" s="96">
        <v>3143</v>
      </c>
      <c r="G100" s="78" t="s">
        <v>617</v>
      </c>
      <c r="H100" s="97" t="s">
        <v>278</v>
      </c>
      <c r="I100" s="462">
        <v>7329</v>
      </c>
      <c r="J100" s="673">
        <v>5237</v>
      </c>
      <c r="K100" s="457">
        <v>1770</v>
      </c>
      <c r="L100" s="457">
        <v>52</v>
      </c>
      <c r="M100" s="673">
        <v>270</v>
      </c>
      <c r="N100" s="458">
        <v>0.02</v>
      </c>
      <c r="O100" s="459">
        <v>0</v>
      </c>
      <c r="P100" s="717">
        <v>0.02</v>
      </c>
      <c r="Q100" s="469">
        <f t="shared" si="181"/>
        <v>0</v>
      </c>
      <c r="R100" s="460">
        <v>0</v>
      </c>
      <c r="S100" s="673">
        <v>0</v>
      </c>
      <c r="T100" s="460">
        <v>0</v>
      </c>
      <c r="U100" s="460">
        <v>0</v>
      </c>
      <c r="V100" s="460">
        <f>SUM(Q100:U100)</f>
        <v>0</v>
      </c>
      <c r="W100" s="460">
        <v>0</v>
      </c>
      <c r="X100" s="460">
        <v>0</v>
      </c>
      <c r="Y100" s="460">
        <v>0</v>
      </c>
      <c r="Z100" s="460">
        <f t="shared" si="182"/>
        <v>0</v>
      </c>
      <c r="AA100" s="460">
        <f t="shared" si="183"/>
        <v>0</v>
      </c>
      <c r="AB100" s="69">
        <f t="shared" si="184"/>
        <v>0</v>
      </c>
      <c r="AC100" s="69">
        <f t="shared" si="185"/>
        <v>0</v>
      </c>
      <c r="AD100" s="460">
        <v>0</v>
      </c>
      <c r="AE100" s="460">
        <v>0</v>
      </c>
      <c r="AF100" s="460">
        <f t="shared" si="186"/>
        <v>0</v>
      </c>
      <c r="AG100" s="460">
        <f t="shared" si="187"/>
        <v>0</v>
      </c>
      <c r="AH100" s="461">
        <v>0</v>
      </c>
      <c r="AI100" s="461">
        <v>0</v>
      </c>
      <c r="AJ100" s="461">
        <v>0</v>
      </c>
      <c r="AK100" s="461">
        <v>0</v>
      </c>
      <c r="AL100" s="674">
        <v>0</v>
      </c>
      <c r="AM100" s="461">
        <v>0</v>
      </c>
      <c r="AN100" s="461">
        <v>0</v>
      </c>
      <c r="AO100" s="461">
        <v>0</v>
      </c>
      <c r="AP100" s="461">
        <f t="shared" si="188"/>
        <v>0</v>
      </c>
      <c r="AQ100" s="461">
        <f t="shared" si="189"/>
        <v>0</v>
      </c>
      <c r="AR100" s="737">
        <f t="shared" si="190"/>
        <v>0</v>
      </c>
      <c r="AS100" s="470">
        <f t="shared" si="145"/>
        <v>7329</v>
      </c>
      <c r="AT100" s="460">
        <f t="shared" si="146"/>
        <v>5237</v>
      </c>
      <c r="AU100" s="460">
        <f t="shared" si="147"/>
        <v>0</v>
      </c>
      <c r="AV100" s="460">
        <f t="shared" si="148"/>
        <v>1770</v>
      </c>
      <c r="AW100" s="460">
        <f t="shared" si="149"/>
        <v>52</v>
      </c>
      <c r="AX100" s="460">
        <f t="shared" si="150"/>
        <v>270</v>
      </c>
      <c r="AY100" s="461">
        <f t="shared" si="151"/>
        <v>0.02</v>
      </c>
      <c r="AZ100" s="461">
        <f t="shared" si="152"/>
        <v>0</v>
      </c>
      <c r="BA100" s="463">
        <f t="shared" si="153"/>
        <v>0.02</v>
      </c>
    </row>
    <row r="101" spans="1:53" s="98" customFormat="1" ht="14.1" customHeight="1" x14ac:dyDescent="0.2">
      <c r="A101" s="122">
        <v>14</v>
      </c>
      <c r="B101" s="99">
        <v>2304</v>
      </c>
      <c r="C101" s="100">
        <v>600080382</v>
      </c>
      <c r="D101" s="99">
        <v>72743417</v>
      </c>
      <c r="E101" s="99" t="s">
        <v>754</v>
      </c>
      <c r="F101" s="101"/>
      <c r="G101" s="102"/>
      <c r="H101" s="103"/>
      <c r="I101" s="489">
        <f t="shared" ref="I101:P101" si="191">SUM(I96:I100)</f>
        <v>5591610</v>
      </c>
      <c r="J101" s="485">
        <f t="shared" si="191"/>
        <v>4112593</v>
      </c>
      <c r="K101" s="485">
        <f t="shared" si="191"/>
        <v>1390056</v>
      </c>
      <c r="L101" s="485">
        <f t="shared" si="191"/>
        <v>41126</v>
      </c>
      <c r="M101" s="485">
        <f t="shared" si="191"/>
        <v>47835</v>
      </c>
      <c r="N101" s="486">
        <f t="shared" si="191"/>
        <v>8.4023000000000003</v>
      </c>
      <c r="O101" s="486">
        <f t="shared" si="191"/>
        <v>7.2222999999999997</v>
      </c>
      <c r="P101" s="105">
        <f t="shared" si="191"/>
        <v>1.18</v>
      </c>
      <c r="Q101" s="491">
        <f t="shared" ref="Q101:BA101" si="192">SUM(Q96:Q100)</f>
        <v>0</v>
      </c>
      <c r="R101" s="491">
        <f t="shared" si="192"/>
        <v>575573</v>
      </c>
      <c r="S101" s="485">
        <f t="shared" si="192"/>
        <v>0</v>
      </c>
      <c r="T101" s="485">
        <f t="shared" si="192"/>
        <v>0</v>
      </c>
      <c r="U101" s="485">
        <f t="shared" si="192"/>
        <v>0</v>
      </c>
      <c r="V101" s="485">
        <f t="shared" si="192"/>
        <v>575573</v>
      </c>
      <c r="W101" s="485">
        <f t="shared" si="192"/>
        <v>0</v>
      </c>
      <c r="X101" s="485">
        <f t="shared" si="192"/>
        <v>0</v>
      </c>
      <c r="Y101" s="485">
        <f t="shared" si="192"/>
        <v>0</v>
      </c>
      <c r="Z101" s="485">
        <f t="shared" si="192"/>
        <v>0</v>
      </c>
      <c r="AA101" s="485">
        <f t="shared" si="192"/>
        <v>575573</v>
      </c>
      <c r="AB101" s="485">
        <f t="shared" si="192"/>
        <v>194544</v>
      </c>
      <c r="AC101" s="485">
        <f t="shared" si="192"/>
        <v>5756</v>
      </c>
      <c r="AD101" s="485">
        <f t="shared" si="192"/>
        <v>0</v>
      </c>
      <c r="AE101" s="485">
        <f t="shared" si="192"/>
        <v>0</v>
      </c>
      <c r="AF101" s="485">
        <f t="shared" si="192"/>
        <v>0</v>
      </c>
      <c r="AG101" s="485">
        <f t="shared" si="192"/>
        <v>775873</v>
      </c>
      <c r="AH101" s="486">
        <f t="shared" si="192"/>
        <v>0</v>
      </c>
      <c r="AI101" s="486">
        <f t="shared" si="192"/>
        <v>0</v>
      </c>
      <c r="AJ101" s="486">
        <f t="shared" si="192"/>
        <v>1.63</v>
      </c>
      <c r="AK101" s="486">
        <f t="shared" si="192"/>
        <v>0</v>
      </c>
      <c r="AL101" s="486">
        <f t="shared" si="192"/>
        <v>0</v>
      </c>
      <c r="AM101" s="486">
        <f t="shared" si="192"/>
        <v>0</v>
      </c>
      <c r="AN101" s="486">
        <f t="shared" si="192"/>
        <v>0</v>
      </c>
      <c r="AO101" s="486">
        <f t="shared" si="192"/>
        <v>0</v>
      </c>
      <c r="AP101" s="486">
        <f t="shared" si="192"/>
        <v>1.63</v>
      </c>
      <c r="AQ101" s="486">
        <f t="shared" si="192"/>
        <v>0</v>
      </c>
      <c r="AR101" s="738">
        <f t="shared" si="192"/>
        <v>1.63</v>
      </c>
      <c r="AS101" s="489">
        <f t="shared" si="192"/>
        <v>6367483</v>
      </c>
      <c r="AT101" s="485">
        <f t="shared" si="192"/>
        <v>4688166</v>
      </c>
      <c r="AU101" s="485">
        <f t="shared" si="192"/>
        <v>0</v>
      </c>
      <c r="AV101" s="485">
        <f t="shared" si="192"/>
        <v>1584600</v>
      </c>
      <c r="AW101" s="485">
        <f t="shared" si="192"/>
        <v>46882</v>
      </c>
      <c r="AX101" s="485">
        <f t="shared" si="192"/>
        <v>47835</v>
      </c>
      <c r="AY101" s="486">
        <f t="shared" si="192"/>
        <v>10.032299999999999</v>
      </c>
      <c r="AZ101" s="486">
        <f t="shared" si="192"/>
        <v>8.8522999999999996</v>
      </c>
      <c r="BA101" s="105">
        <f t="shared" si="192"/>
        <v>1.18</v>
      </c>
    </row>
    <row r="102" spans="1:53" s="98" customFormat="1" ht="14.1" customHeight="1" x14ac:dyDescent="0.2">
      <c r="A102" s="121">
        <v>15</v>
      </c>
      <c r="B102" s="104">
        <v>2438</v>
      </c>
      <c r="C102" s="95">
        <v>600079384</v>
      </c>
      <c r="D102" s="78">
        <v>72741911</v>
      </c>
      <c r="E102" s="78" t="s">
        <v>755</v>
      </c>
      <c r="F102" s="96">
        <v>3111</v>
      </c>
      <c r="G102" s="78" t="s">
        <v>307</v>
      </c>
      <c r="H102" s="97" t="s">
        <v>277</v>
      </c>
      <c r="I102" s="462">
        <v>8573883</v>
      </c>
      <c r="J102" s="16">
        <v>6329587</v>
      </c>
      <c r="K102" s="457">
        <v>2139400</v>
      </c>
      <c r="L102" s="457">
        <v>63296</v>
      </c>
      <c r="M102" s="16">
        <v>41600</v>
      </c>
      <c r="N102" s="458">
        <v>13.177</v>
      </c>
      <c r="O102" s="13">
        <v>10.387</v>
      </c>
      <c r="P102" s="17">
        <v>2.79</v>
      </c>
      <c r="Q102" s="469">
        <f t="shared" ref="Q102:Q104" si="193">W102*-1</f>
        <v>-67600</v>
      </c>
      <c r="R102" s="460">
        <v>0</v>
      </c>
      <c r="S102" s="673">
        <v>0</v>
      </c>
      <c r="T102" s="460">
        <v>0</v>
      </c>
      <c r="U102" s="460">
        <v>0</v>
      </c>
      <c r="V102" s="460">
        <f>SUM(Q102:U102)</f>
        <v>-67600</v>
      </c>
      <c r="W102" s="460">
        <v>67600</v>
      </c>
      <c r="X102" s="460">
        <v>0</v>
      </c>
      <c r="Y102" s="460">
        <v>0</v>
      </c>
      <c r="Z102" s="460">
        <f t="shared" ref="Z102:Z104" si="194">SUM(W102:Y102)</f>
        <v>67600</v>
      </c>
      <c r="AA102" s="460">
        <f t="shared" ref="AA102:AA104" si="195">V102+Z102</f>
        <v>0</v>
      </c>
      <c r="AB102" s="69">
        <f t="shared" ref="AB102:AB104" si="196">ROUND((V102+W102+X102)*33.8%,0)</f>
        <v>0</v>
      </c>
      <c r="AC102" s="69">
        <f t="shared" ref="AC102:AC104" si="197">ROUND(V102*1%,0)</f>
        <v>-676</v>
      </c>
      <c r="AD102" s="460">
        <v>0</v>
      </c>
      <c r="AE102" s="460">
        <v>0</v>
      </c>
      <c r="AF102" s="460">
        <f t="shared" ref="AF102:AF104" si="198">SUM(AD102:AE102)</f>
        <v>0</v>
      </c>
      <c r="AG102" s="460">
        <f t="shared" ref="AG102:AG104" si="199">AA102+AB102+AC102+AF102</f>
        <v>-676</v>
      </c>
      <c r="AH102" s="461">
        <v>0</v>
      </c>
      <c r="AI102" s="461">
        <v>-0.24</v>
      </c>
      <c r="AJ102" s="461">
        <v>0</v>
      </c>
      <c r="AK102" s="461">
        <v>0</v>
      </c>
      <c r="AL102" s="674">
        <v>0</v>
      </c>
      <c r="AM102" s="461">
        <v>0</v>
      </c>
      <c r="AN102" s="461">
        <v>0</v>
      </c>
      <c r="AO102" s="461">
        <v>0</v>
      </c>
      <c r="AP102" s="461">
        <f t="shared" ref="AP102:AP104" si="200">AH102+AJ102+AK102+AM102+AN102</f>
        <v>0</v>
      </c>
      <c r="AQ102" s="461">
        <f t="shared" ref="AQ102:AQ104" si="201">AI102+AL102+AO102</f>
        <v>-0.24</v>
      </c>
      <c r="AR102" s="737">
        <f t="shared" ref="AR102:AR104" si="202">SUM(AP102:AQ102)</f>
        <v>-0.24</v>
      </c>
      <c r="AS102" s="470">
        <f t="shared" si="145"/>
        <v>8573207</v>
      </c>
      <c r="AT102" s="460">
        <f t="shared" si="146"/>
        <v>6261987</v>
      </c>
      <c r="AU102" s="460">
        <f t="shared" si="147"/>
        <v>67600</v>
      </c>
      <c r="AV102" s="460">
        <f t="shared" si="148"/>
        <v>2139400</v>
      </c>
      <c r="AW102" s="460">
        <f t="shared" si="149"/>
        <v>62620</v>
      </c>
      <c r="AX102" s="460">
        <f t="shared" si="150"/>
        <v>41600</v>
      </c>
      <c r="AY102" s="461">
        <f t="shared" si="151"/>
        <v>12.936999999999999</v>
      </c>
      <c r="AZ102" s="461">
        <f t="shared" si="152"/>
        <v>10.387</v>
      </c>
      <c r="BA102" s="463">
        <f t="shared" si="153"/>
        <v>2.5499999999999998</v>
      </c>
    </row>
    <row r="103" spans="1:53" s="98" customFormat="1" ht="14.1" customHeight="1" x14ac:dyDescent="0.2">
      <c r="A103" s="121">
        <v>15</v>
      </c>
      <c r="B103" s="78">
        <v>2438</v>
      </c>
      <c r="C103" s="95">
        <v>600079384</v>
      </c>
      <c r="D103" s="78">
        <v>72741911</v>
      </c>
      <c r="E103" s="78" t="s">
        <v>755</v>
      </c>
      <c r="F103" s="96">
        <v>3111</v>
      </c>
      <c r="G103" s="78" t="s">
        <v>308</v>
      </c>
      <c r="H103" s="97" t="s">
        <v>278</v>
      </c>
      <c r="I103" s="462">
        <v>0</v>
      </c>
      <c r="J103" s="591">
        <v>0</v>
      </c>
      <c r="K103" s="457">
        <v>0</v>
      </c>
      <c r="L103" s="457">
        <v>0</v>
      </c>
      <c r="M103" s="591">
        <v>0</v>
      </c>
      <c r="N103" s="458">
        <v>0</v>
      </c>
      <c r="O103" s="459">
        <v>0</v>
      </c>
      <c r="P103" s="717">
        <v>0</v>
      </c>
      <c r="Q103" s="469">
        <f t="shared" si="193"/>
        <v>0</v>
      </c>
      <c r="R103" s="460">
        <v>1039341</v>
      </c>
      <c r="S103" s="673">
        <v>0</v>
      </c>
      <c r="T103" s="460">
        <v>0</v>
      </c>
      <c r="U103" s="460">
        <v>0</v>
      </c>
      <c r="V103" s="460">
        <f>SUM(Q103:U103)</f>
        <v>1039341</v>
      </c>
      <c r="W103" s="460">
        <v>0</v>
      </c>
      <c r="X103" s="460">
        <v>0</v>
      </c>
      <c r="Y103" s="460">
        <v>0</v>
      </c>
      <c r="Z103" s="460">
        <f t="shared" si="194"/>
        <v>0</v>
      </c>
      <c r="AA103" s="460">
        <f t="shared" si="195"/>
        <v>1039341</v>
      </c>
      <c r="AB103" s="69">
        <f t="shared" si="196"/>
        <v>351297</v>
      </c>
      <c r="AC103" s="69">
        <f t="shared" si="197"/>
        <v>10393</v>
      </c>
      <c r="AD103" s="460">
        <v>0</v>
      </c>
      <c r="AE103" s="460">
        <v>0</v>
      </c>
      <c r="AF103" s="460">
        <f t="shared" si="198"/>
        <v>0</v>
      </c>
      <c r="AG103" s="460">
        <f t="shared" si="199"/>
        <v>1401031</v>
      </c>
      <c r="AH103" s="461">
        <v>0</v>
      </c>
      <c r="AI103" s="461">
        <v>0</v>
      </c>
      <c r="AJ103" s="461">
        <v>3</v>
      </c>
      <c r="AK103" s="461">
        <v>0</v>
      </c>
      <c r="AL103" s="674">
        <v>0</v>
      </c>
      <c r="AM103" s="461">
        <v>0</v>
      </c>
      <c r="AN103" s="461">
        <v>0</v>
      </c>
      <c r="AO103" s="461">
        <v>0</v>
      </c>
      <c r="AP103" s="461">
        <f t="shared" si="200"/>
        <v>3</v>
      </c>
      <c r="AQ103" s="461">
        <f t="shared" si="201"/>
        <v>0</v>
      </c>
      <c r="AR103" s="737">
        <f t="shared" si="202"/>
        <v>3</v>
      </c>
      <c r="AS103" s="470">
        <f t="shared" si="145"/>
        <v>1401031</v>
      </c>
      <c r="AT103" s="460">
        <f t="shared" si="146"/>
        <v>1039341</v>
      </c>
      <c r="AU103" s="460">
        <f t="shared" si="147"/>
        <v>0</v>
      </c>
      <c r="AV103" s="460">
        <f t="shared" si="148"/>
        <v>351297</v>
      </c>
      <c r="AW103" s="460">
        <f t="shared" si="149"/>
        <v>10393</v>
      </c>
      <c r="AX103" s="460">
        <f t="shared" si="150"/>
        <v>0</v>
      </c>
      <c r="AY103" s="461">
        <f t="shared" si="151"/>
        <v>3</v>
      </c>
      <c r="AZ103" s="461">
        <f t="shared" si="152"/>
        <v>3</v>
      </c>
      <c r="BA103" s="463">
        <f t="shared" si="153"/>
        <v>0</v>
      </c>
    </row>
    <row r="104" spans="1:53" s="98" customFormat="1" ht="14.1" customHeight="1" x14ac:dyDescent="0.2">
      <c r="A104" s="121">
        <v>15</v>
      </c>
      <c r="B104" s="78">
        <v>2438</v>
      </c>
      <c r="C104" s="95">
        <v>600079384</v>
      </c>
      <c r="D104" s="78">
        <v>72741911</v>
      </c>
      <c r="E104" s="78" t="s">
        <v>755</v>
      </c>
      <c r="F104" s="96">
        <v>3141</v>
      </c>
      <c r="G104" s="78" t="s">
        <v>311</v>
      </c>
      <c r="H104" s="97" t="s">
        <v>278</v>
      </c>
      <c r="I104" s="462">
        <v>2250725</v>
      </c>
      <c r="J104" s="728">
        <v>1659648</v>
      </c>
      <c r="K104" s="457">
        <v>560961</v>
      </c>
      <c r="L104" s="457">
        <v>16596</v>
      </c>
      <c r="M104" s="728">
        <v>13520</v>
      </c>
      <c r="N104" s="458">
        <v>5.33</v>
      </c>
      <c r="O104" s="730">
        <v>0</v>
      </c>
      <c r="P104" s="729">
        <v>5.33</v>
      </c>
      <c r="Q104" s="469">
        <f t="shared" si="193"/>
        <v>0</v>
      </c>
      <c r="R104" s="460">
        <v>0</v>
      </c>
      <c r="S104" s="673">
        <v>0</v>
      </c>
      <c r="T104" s="460">
        <v>0</v>
      </c>
      <c r="U104" s="460">
        <v>0</v>
      </c>
      <c r="V104" s="460">
        <f>SUM(Q104:U104)</f>
        <v>0</v>
      </c>
      <c r="W104" s="460">
        <v>0</v>
      </c>
      <c r="X104" s="460">
        <v>0</v>
      </c>
      <c r="Y104" s="460">
        <v>0</v>
      </c>
      <c r="Z104" s="460">
        <f t="shared" si="194"/>
        <v>0</v>
      </c>
      <c r="AA104" s="460">
        <f t="shared" si="195"/>
        <v>0</v>
      </c>
      <c r="AB104" s="69">
        <f t="shared" si="196"/>
        <v>0</v>
      </c>
      <c r="AC104" s="69">
        <f t="shared" si="197"/>
        <v>0</v>
      </c>
      <c r="AD104" s="460">
        <v>0</v>
      </c>
      <c r="AE104" s="460">
        <v>0</v>
      </c>
      <c r="AF104" s="460">
        <f t="shared" si="198"/>
        <v>0</v>
      </c>
      <c r="AG104" s="460">
        <f t="shared" si="199"/>
        <v>0</v>
      </c>
      <c r="AH104" s="461">
        <v>0</v>
      </c>
      <c r="AI104" s="461">
        <v>0</v>
      </c>
      <c r="AJ104" s="461">
        <v>0</v>
      </c>
      <c r="AK104" s="461">
        <v>0</v>
      </c>
      <c r="AL104" s="674">
        <v>0</v>
      </c>
      <c r="AM104" s="461">
        <v>0</v>
      </c>
      <c r="AN104" s="461">
        <v>0</v>
      </c>
      <c r="AO104" s="461">
        <v>0</v>
      </c>
      <c r="AP104" s="461">
        <f t="shared" si="200"/>
        <v>0</v>
      </c>
      <c r="AQ104" s="461">
        <f t="shared" si="201"/>
        <v>0</v>
      </c>
      <c r="AR104" s="737">
        <f t="shared" si="202"/>
        <v>0</v>
      </c>
      <c r="AS104" s="470">
        <f t="shared" si="145"/>
        <v>2250725</v>
      </c>
      <c r="AT104" s="460">
        <f t="shared" si="146"/>
        <v>1659648</v>
      </c>
      <c r="AU104" s="460">
        <f t="shared" si="147"/>
        <v>0</v>
      </c>
      <c r="AV104" s="460">
        <f t="shared" si="148"/>
        <v>560961</v>
      </c>
      <c r="AW104" s="460">
        <f t="shared" si="149"/>
        <v>16596</v>
      </c>
      <c r="AX104" s="460">
        <f t="shared" si="150"/>
        <v>13520</v>
      </c>
      <c r="AY104" s="461">
        <f t="shared" si="151"/>
        <v>5.33</v>
      </c>
      <c r="AZ104" s="461">
        <f t="shared" si="152"/>
        <v>0</v>
      </c>
      <c r="BA104" s="463">
        <f t="shared" si="153"/>
        <v>5.33</v>
      </c>
    </row>
    <row r="105" spans="1:53" s="98" customFormat="1" ht="14.1" customHeight="1" x14ac:dyDescent="0.2">
      <c r="A105" s="122">
        <v>15</v>
      </c>
      <c r="B105" s="99">
        <v>2438</v>
      </c>
      <c r="C105" s="100">
        <v>600079384</v>
      </c>
      <c r="D105" s="99">
        <v>72741911</v>
      </c>
      <c r="E105" s="99" t="s">
        <v>756</v>
      </c>
      <c r="F105" s="101"/>
      <c r="G105" s="102"/>
      <c r="H105" s="103"/>
      <c r="I105" s="489">
        <f t="shared" ref="I105:P105" si="203">SUM(I102:I104)</f>
        <v>10824608</v>
      </c>
      <c r="J105" s="485">
        <f t="shared" si="203"/>
        <v>7989235</v>
      </c>
      <c r="K105" s="485">
        <f t="shared" si="203"/>
        <v>2700361</v>
      </c>
      <c r="L105" s="485">
        <f t="shared" si="203"/>
        <v>79892</v>
      </c>
      <c r="M105" s="485">
        <f t="shared" si="203"/>
        <v>55120</v>
      </c>
      <c r="N105" s="486">
        <f t="shared" si="203"/>
        <v>18.506999999999998</v>
      </c>
      <c r="O105" s="486">
        <f t="shared" si="203"/>
        <v>10.387</v>
      </c>
      <c r="P105" s="105">
        <f t="shared" si="203"/>
        <v>8.120000000000001</v>
      </c>
      <c r="Q105" s="491">
        <f t="shared" ref="Q105:BA105" si="204">SUM(Q102:Q104)</f>
        <v>-67600</v>
      </c>
      <c r="R105" s="491">
        <f t="shared" si="204"/>
        <v>1039341</v>
      </c>
      <c r="S105" s="485">
        <f t="shared" si="204"/>
        <v>0</v>
      </c>
      <c r="T105" s="485">
        <f t="shared" si="204"/>
        <v>0</v>
      </c>
      <c r="U105" s="485">
        <f t="shared" si="204"/>
        <v>0</v>
      </c>
      <c r="V105" s="485">
        <f t="shared" si="204"/>
        <v>971741</v>
      </c>
      <c r="W105" s="485">
        <f t="shared" si="204"/>
        <v>67600</v>
      </c>
      <c r="X105" s="485">
        <f t="shared" si="204"/>
        <v>0</v>
      </c>
      <c r="Y105" s="485">
        <f t="shared" si="204"/>
        <v>0</v>
      </c>
      <c r="Z105" s="485">
        <f t="shared" si="204"/>
        <v>67600</v>
      </c>
      <c r="AA105" s="485">
        <f t="shared" si="204"/>
        <v>1039341</v>
      </c>
      <c r="AB105" s="485">
        <f t="shared" si="204"/>
        <v>351297</v>
      </c>
      <c r="AC105" s="485">
        <f t="shared" si="204"/>
        <v>9717</v>
      </c>
      <c r="AD105" s="485">
        <f t="shared" si="204"/>
        <v>0</v>
      </c>
      <c r="AE105" s="485">
        <f t="shared" si="204"/>
        <v>0</v>
      </c>
      <c r="AF105" s="485">
        <f t="shared" si="204"/>
        <v>0</v>
      </c>
      <c r="AG105" s="485">
        <f t="shared" si="204"/>
        <v>1400355</v>
      </c>
      <c r="AH105" s="486">
        <f t="shared" si="204"/>
        <v>0</v>
      </c>
      <c r="AI105" s="486">
        <f t="shared" si="204"/>
        <v>-0.24</v>
      </c>
      <c r="AJ105" s="486">
        <f t="shared" si="204"/>
        <v>3</v>
      </c>
      <c r="AK105" s="486">
        <f t="shared" si="204"/>
        <v>0</v>
      </c>
      <c r="AL105" s="486">
        <f>SUM(AL102:AL104)</f>
        <v>0</v>
      </c>
      <c r="AM105" s="486">
        <f t="shared" si="204"/>
        <v>0</v>
      </c>
      <c r="AN105" s="486">
        <f t="shared" si="204"/>
        <v>0</v>
      </c>
      <c r="AO105" s="486">
        <f t="shared" si="204"/>
        <v>0</v>
      </c>
      <c r="AP105" s="486">
        <f t="shared" si="204"/>
        <v>3</v>
      </c>
      <c r="AQ105" s="486">
        <f t="shared" si="204"/>
        <v>-0.24</v>
      </c>
      <c r="AR105" s="738">
        <f t="shared" si="204"/>
        <v>2.76</v>
      </c>
      <c r="AS105" s="489">
        <f t="shared" si="204"/>
        <v>12224963</v>
      </c>
      <c r="AT105" s="485">
        <f t="shared" si="204"/>
        <v>8960976</v>
      </c>
      <c r="AU105" s="485">
        <f t="shared" si="204"/>
        <v>67600</v>
      </c>
      <c r="AV105" s="485">
        <f t="shared" si="204"/>
        <v>3051658</v>
      </c>
      <c r="AW105" s="485">
        <f t="shared" si="204"/>
        <v>89609</v>
      </c>
      <c r="AX105" s="485">
        <f t="shared" si="204"/>
        <v>55120</v>
      </c>
      <c r="AY105" s="486">
        <f t="shared" si="204"/>
        <v>21.266999999999999</v>
      </c>
      <c r="AZ105" s="486">
        <f t="shared" si="204"/>
        <v>13.387</v>
      </c>
      <c r="BA105" s="105">
        <f t="shared" si="204"/>
        <v>7.88</v>
      </c>
    </row>
    <row r="106" spans="1:53" s="98" customFormat="1" ht="14.1" customHeight="1" x14ac:dyDescent="0.2">
      <c r="A106" s="121">
        <v>16</v>
      </c>
      <c r="B106" s="78">
        <v>2315</v>
      </c>
      <c r="C106" s="95">
        <v>600080447</v>
      </c>
      <c r="D106" s="78">
        <v>46744819</v>
      </c>
      <c r="E106" s="78" t="s">
        <v>757</v>
      </c>
      <c r="F106" s="96">
        <v>3233</v>
      </c>
      <c r="G106" s="78" t="s">
        <v>314</v>
      </c>
      <c r="H106" s="97" t="s">
        <v>278</v>
      </c>
      <c r="I106" s="462">
        <v>1997838</v>
      </c>
      <c r="J106" s="591">
        <v>1480694</v>
      </c>
      <c r="K106" s="457">
        <v>500475</v>
      </c>
      <c r="L106" s="457">
        <v>14807</v>
      </c>
      <c r="M106" s="591">
        <v>1862</v>
      </c>
      <c r="N106" s="458">
        <v>3.2199999999999998</v>
      </c>
      <c r="O106" s="459">
        <v>2.2999999999999998</v>
      </c>
      <c r="P106" s="717">
        <v>0.92</v>
      </c>
      <c r="Q106" s="469">
        <f t="shared" ref="Q106" si="205">W106*-1</f>
        <v>-65000</v>
      </c>
      <c r="R106" s="460">
        <v>0</v>
      </c>
      <c r="S106" s="673">
        <v>0</v>
      </c>
      <c r="T106" s="460">
        <v>0</v>
      </c>
      <c r="U106" s="460">
        <v>0</v>
      </c>
      <c r="V106" s="460">
        <f>SUM(Q106:U106)</f>
        <v>-65000</v>
      </c>
      <c r="W106" s="460">
        <v>65000</v>
      </c>
      <c r="X106" s="460">
        <v>0</v>
      </c>
      <c r="Y106" s="460">
        <v>0</v>
      </c>
      <c r="Z106" s="460">
        <f t="shared" ref="Z106" si="206">SUM(W106:Y106)</f>
        <v>65000</v>
      </c>
      <c r="AA106" s="460">
        <f t="shared" ref="AA106" si="207">V106+Z106</f>
        <v>0</v>
      </c>
      <c r="AB106" s="69">
        <f t="shared" ref="AB106" si="208">ROUND((V106+W106+X106)*33.8%,0)</f>
        <v>0</v>
      </c>
      <c r="AC106" s="69">
        <f>ROUND(V106*1%,0)</f>
        <v>-650</v>
      </c>
      <c r="AD106" s="460">
        <v>0</v>
      </c>
      <c r="AE106" s="460">
        <v>0</v>
      </c>
      <c r="AF106" s="460">
        <f t="shared" ref="AF106" si="209">SUM(AD106:AE106)</f>
        <v>0</v>
      </c>
      <c r="AG106" s="460">
        <f t="shared" ref="AG106" si="210">AA106+AB106+AC106+AF106</f>
        <v>-650</v>
      </c>
      <c r="AH106" s="461">
        <v>-7.0000000000000007E-2</v>
      </c>
      <c r="AI106" s="461">
        <v>-0.09</v>
      </c>
      <c r="AJ106" s="461">
        <v>0</v>
      </c>
      <c r="AK106" s="461">
        <v>0</v>
      </c>
      <c r="AL106" s="674">
        <v>0</v>
      </c>
      <c r="AM106" s="461">
        <v>0</v>
      </c>
      <c r="AN106" s="461">
        <v>0</v>
      </c>
      <c r="AO106" s="461">
        <v>0</v>
      </c>
      <c r="AP106" s="461">
        <f>AH106+AJ106+AK106+AM106+AN106</f>
        <v>-7.0000000000000007E-2</v>
      </c>
      <c r="AQ106" s="461">
        <f>AI106+AL106+AO106</f>
        <v>-0.09</v>
      </c>
      <c r="AR106" s="737">
        <f t="shared" ref="AR106" si="211">SUM(AP106:AQ106)</f>
        <v>-0.16</v>
      </c>
      <c r="AS106" s="470">
        <f t="shared" si="145"/>
        <v>1997188</v>
      </c>
      <c r="AT106" s="460">
        <f t="shared" si="146"/>
        <v>1415694</v>
      </c>
      <c r="AU106" s="460">
        <f t="shared" si="147"/>
        <v>65000</v>
      </c>
      <c r="AV106" s="460">
        <f t="shared" si="148"/>
        <v>500475</v>
      </c>
      <c r="AW106" s="460">
        <f t="shared" si="149"/>
        <v>14157</v>
      </c>
      <c r="AX106" s="460">
        <f t="shared" si="150"/>
        <v>1862</v>
      </c>
      <c r="AY106" s="461">
        <f t="shared" si="151"/>
        <v>3.0599999999999996</v>
      </c>
      <c r="AZ106" s="461">
        <f t="shared" si="152"/>
        <v>2.23</v>
      </c>
      <c r="BA106" s="463">
        <f t="shared" si="153"/>
        <v>0.83000000000000007</v>
      </c>
    </row>
    <row r="107" spans="1:53" s="98" customFormat="1" ht="14.1" customHeight="1" x14ac:dyDescent="0.2">
      <c r="A107" s="122">
        <v>16</v>
      </c>
      <c r="B107" s="99">
        <v>2315</v>
      </c>
      <c r="C107" s="100">
        <v>600080447</v>
      </c>
      <c r="D107" s="99">
        <v>46744819</v>
      </c>
      <c r="E107" s="99" t="s">
        <v>758</v>
      </c>
      <c r="F107" s="101"/>
      <c r="G107" s="102"/>
      <c r="H107" s="103"/>
      <c r="I107" s="489">
        <f t="shared" ref="I107:P107" si="212">SUM(I106:I106)</f>
        <v>1997838</v>
      </c>
      <c r="J107" s="485">
        <f t="shared" si="212"/>
        <v>1480694</v>
      </c>
      <c r="K107" s="485">
        <f t="shared" si="212"/>
        <v>500475</v>
      </c>
      <c r="L107" s="485">
        <f t="shared" si="212"/>
        <v>14807</v>
      </c>
      <c r="M107" s="485">
        <f t="shared" si="212"/>
        <v>1862</v>
      </c>
      <c r="N107" s="486">
        <f t="shared" si="212"/>
        <v>3.2199999999999998</v>
      </c>
      <c r="O107" s="486">
        <f t="shared" si="212"/>
        <v>2.2999999999999998</v>
      </c>
      <c r="P107" s="105">
        <f t="shared" si="212"/>
        <v>0.92</v>
      </c>
      <c r="Q107" s="491">
        <f t="shared" ref="Q107:BA107" si="213">SUM(Q106:Q106)</f>
        <v>-65000</v>
      </c>
      <c r="R107" s="491">
        <f t="shared" si="213"/>
        <v>0</v>
      </c>
      <c r="S107" s="485">
        <f t="shared" si="213"/>
        <v>0</v>
      </c>
      <c r="T107" s="485">
        <f t="shared" si="213"/>
        <v>0</v>
      </c>
      <c r="U107" s="485">
        <f t="shared" si="213"/>
        <v>0</v>
      </c>
      <c r="V107" s="485">
        <f t="shared" si="213"/>
        <v>-65000</v>
      </c>
      <c r="W107" s="485">
        <f t="shared" si="213"/>
        <v>65000</v>
      </c>
      <c r="X107" s="485">
        <f t="shared" si="213"/>
        <v>0</v>
      </c>
      <c r="Y107" s="485">
        <f t="shared" si="213"/>
        <v>0</v>
      </c>
      <c r="Z107" s="485">
        <f t="shared" si="213"/>
        <v>65000</v>
      </c>
      <c r="AA107" s="485">
        <f t="shared" si="213"/>
        <v>0</v>
      </c>
      <c r="AB107" s="485">
        <f t="shared" si="213"/>
        <v>0</v>
      </c>
      <c r="AC107" s="485">
        <f t="shared" si="213"/>
        <v>-650</v>
      </c>
      <c r="AD107" s="485">
        <f t="shared" si="213"/>
        <v>0</v>
      </c>
      <c r="AE107" s="485">
        <f t="shared" si="213"/>
        <v>0</v>
      </c>
      <c r="AF107" s="485">
        <f t="shared" si="213"/>
        <v>0</v>
      </c>
      <c r="AG107" s="485">
        <f t="shared" si="213"/>
        <v>-650</v>
      </c>
      <c r="AH107" s="486">
        <f t="shared" si="213"/>
        <v>-7.0000000000000007E-2</v>
      </c>
      <c r="AI107" s="486">
        <f t="shared" si="213"/>
        <v>-0.09</v>
      </c>
      <c r="AJ107" s="486">
        <f t="shared" si="213"/>
        <v>0</v>
      </c>
      <c r="AK107" s="486">
        <f t="shared" si="213"/>
        <v>0</v>
      </c>
      <c r="AL107" s="486">
        <f t="shared" si="213"/>
        <v>0</v>
      </c>
      <c r="AM107" s="486">
        <f t="shared" si="213"/>
        <v>0</v>
      </c>
      <c r="AN107" s="486">
        <f t="shared" si="213"/>
        <v>0</v>
      </c>
      <c r="AO107" s="486">
        <f t="shared" si="213"/>
        <v>0</v>
      </c>
      <c r="AP107" s="486">
        <f t="shared" si="213"/>
        <v>-7.0000000000000007E-2</v>
      </c>
      <c r="AQ107" s="486">
        <f t="shared" si="213"/>
        <v>-0.09</v>
      </c>
      <c r="AR107" s="738">
        <f t="shared" si="213"/>
        <v>-0.16</v>
      </c>
      <c r="AS107" s="489">
        <f t="shared" si="213"/>
        <v>1997188</v>
      </c>
      <c r="AT107" s="485">
        <f t="shared" si="213"/>
        <v>1415694</v>
      </c>
      <c r="AU107" s="485">
        <f t="shared" si="213"/>
        <v>65000</v>
      </c>
      <c r="AV107" s="485">
        <f t="shared" si="213"/>
        <v>500475</v>
      </c>
      <c r="AW107" s="485">
        <f t="shared" si="213"/>
        <v>14157</v>
      </c>
      <c r="AX107" s="485">
        <f t="shared" si="213"/>
        <v>1862</v>
      </c>
      <c r="AY107" s="486">
        <f t="shared" si="213"/>
        <v>3.0599999999999996</v>
      </c>
      <c r="AZ107" s="486">
        <f t="shared" si="213"/>
        <v>2.23</v>
      </c>
      <c r="BA107" s="105">
        <f t="shared" si="213"/>
        <v>0.83000000000000007</v>
      </c>
    </row>
    <row r="108" spans="1:53" s="98" customFormat="1" ht="14.1" customHeight="1" x14ac:dyDescent="0.2">
      <c r="A108" s="121">
        <v>17</v>
      </c>
      <c r="B108" s="78">
        <v>2494</v>
      </c>
      <c r="C108" s="95">
        <v>600080315</v>
      </c>
      <c r="D108" s="78">
        <v>72741996</v>
      </c>
      <c r="E108" s="78" t="s">
        <v>759</v>
      </c>
      <c r="F108" s="96">
        <v>3113</v>
      </c>
      <c r="G108" s="78" t="s">
        <v>310</v>
      </c>
      <c r="H108" s="97" t="s">
        <v>277</v>
      </c>
      <c r="I108" s="462">
        <v>25756076</v>
      </c>
      <c r="J108" s="16">
        <v>18785910</v>
      </c>
      <c r="K108" s="457">
        <v>6349637</v>
      </c>
      <c r="L108" s="457">
        <v>187859</v>
      </c>
      <c r="M108" s="16">
        <v>432670</v>
      </c>
      <c r="N108" s="458">
        <v>33.768000000000001</v>
      </c>
      <c r="O108" s="13">
        <v>26.678000000000001</v>
      </c>
      <c r="P108" s="17">
        <v>7.09</v>
      </c>
      <c r="Q108" s="469">
        <f t="shared" ref="Q108:Q112" si="214">W108*-1</f>
        <v>0</v>
      </c>
      <c r="R108" s="460">
        <v>0</v>
      </c>
      <c r="S108" s="673">
        <v>0</v>
      </c>
      <c r="T108" s="460">
        <v>0</v>
      </c>
      <c r="U108" s="460">
        <v>0</v>
      </c>
      <c r="V108" s="460">
        <f>SUM(Q108:U108)</f>
        <v>0</v>
      </c>
      <c r="W108" s="460">
        <v>0</v>
      </c>
      <c r="X108" s="460">
        <v>0</v>
      </c>
      <c r="Y108" s="460">
        <v>0</v>
      </c>
      <c r="Z108" s="460">
        <f t="shared" ref="Z108:Z112" si="215">SUM(W108:Y108)</f>
        <v>0</v>
      </c>
      <c r="AA108" s="460">
        <f t="shared" ref="AA108:AA112" si="216">V108+Z108</f>
        <v>0</v>
      </c>
      <c r="AB108" s="69">
        <f t="shared" ref="AB108:AB112" si="217">ROUND((V108+W108+X108)*33.8%,0)</f>
        <v>0</v>
      </c>
      <c r="AC108" s="69">
        <f t="shared" ref="AC108:AC112" si="218">ROUND(V108*1%,0)</f>
        <v>0</v>
      </c>
      <c r="AD108" s="460">
        <v>0</v>
      </c>
      <c r="AE108" s="460">
        <v>0</v>
      </c>
      <c r="AF108" s="460">
        <f t="shared" ref="AF108:AF112" si="219">SUM(AD108:AE108)</f>
        <v>0</v>
      </c>
      <c r="AG108" s="460">
        <f t="shared" ref="AG108:AG112" si="220">AA108+AB108+AC108+AF108</f>
        <v>0</v>
      </c>
      <c r="AH108" s="461">
        <v>0</v>
      </c>
      <c r="AI108" s="461">
        <v>0</v>
      </c>
      <c r="AJ108" s="461">
        <v>0</v>
      </c>
      <c r="AK108" s="461">
        <v>0</v>
      </c>
      <c r="AL108" s="674">
        <v>0</v>
      </c>
      <c r="AM108" s="461">
        <v>0</v>
      </c>
      <c r="AN108" s="461">
        <v>0</v>
      </c>
      <c r="AO108" s="461">
        <v>0</v>
      </c>
      <c r="AP108" s="461">
        <f t="shared" ref="AP108:AP112" si="221">AH108+AJ108+AK108+AM108+AN108</f>
        <v>0</v>
      </c>
      <c r="AQ108" s="461">
        <f t="shared" ref="AQ108:AQ112" si="222">AI108+AL108+AO108</f>
        <v>0</v>
      </c>
      <c r="AR108" s="737">
        <f t="shared" ref="AR108:AR112" si="223">SUM(AP108:AQ108)</f>
        <v>0</v>
      </c>
      <c r="AS108" s="470">
        <f t="shared" si="145"/>
        <v>25756076</v>
      </c>
      <c r="AT108" s="460">
        <f t="shared" si="146"/>
        <v>18785910</v>
      </c>
      <c r="AU108" s="460">
        <f t="shared" si="147"/>
        <v>0</v>
      </c>
      <c r="AV108" s="460">
        <f t="shared" si="148"/>
        <v>6349637</v>
      </c>
      <c r="AW108" s="460">
        <f t="shared" si="149"/>
        <v>187859</v>
      </c>
      <c r="AX108" s="460">
        <f t="shared" si="150"/>
        <v>432670</v>
      </c>
      <c r="AY108" s="461">
        <f t="shared" si="151"/>
        <v>33.768000000000001</v>
      </c>
      <c r="AZ108" s="461">
        <f t="shared" si="152"/>
        <v>26.678000000000001</v>
      </c>
      <c r="BA108" s="463">
        <f t="shared" si="153"/>
        <v>7.09</v>
      </c>
    </row>
    <row r="109" spans="1:53" s="98" customFormat="1" ht="14.1" customHeight="1" x14ac:dyDescent="0.2">
      <c r="A109" s="121">
        <v>17</v>
      </c>
      <c r="B109" s="78">
        <v>2494</v>
      </c>
      <c r="C109" s="95">
        <v>600080315</v>
      </c>
      <c r="D109" s="78">
        <v>72741996</v>
      </c>
      <c r="E109" s="78" t="s">
        <v>759</v>
      </c>
      <c r="F109" s="96">
        <v>3113</v>
      </c>
      <c r="G109" s="44" t="s">
        <v>309</v>
      </c>
      <c r="H109" s="97" t="s">
        <v>277</v>
      </c>
      <c r="I109" s="462">
        <v>820512</v>
      </c>
      <c r="J109" s="16">
        <v>608688</v>
      </c>
      <c r="K109" s="457">
        <v>205737</v>
      </c>
      <c r="L109" s="457">
        <v>6087</v>
      </c>
      <c r="M109" s="16"/>
      <c r="N109" s="458">
        <v>1.5</v>
      </c>
      <c r="O109" s="13">
        <v>1.5</v>
      </c>
      <c r="P109" s="17">
        <v>0</v>
      </c>
      <c r="Q109" s="469">
        <f t="shared" si="214"/>
        <v>0</v>
      </c>
      <c r="R109" s="460">
        <v>0</v>
      </c>
      <c r="S109" s="673">
        <v>0</v>
      </c>
      <c r="T109" s="460">
        <v>0</v>
      </c>
      <c r="U109" s="460">
        <v>0</v>
      </c>
      <c r="V109" s="460">
        <f>SUM(Q109:U109)</f>
        <v>0</v>
      </c>
      <c r="W109" s="460">
        <v>0</v>
      </c>
      <c r="X109" s="460">
        <v>0</v>
      </c>
      <c r="Y109" s="460">
        <v>0</v>
      </c>
      <c r="Z109" s="460">
        <f t="shared" si="215"/>
        <v>0</v>
      </c>
      <c r="AA109" s="460">
        <f t="shared" si="216"/>
        <v>0</v>
      </c>
      <c r="AB109" s="69">
        <f t="shared" si="217"/>
        <v>0</v>
      </c>
      <c r="AC109" s="69">
        <f t="shared" si="218"/>
        <v>0</v>
      </c>
      <c r="AD109" s="460">
        <v>0</v>
      </c>
      <c r="AE109" s="460">
        <v>0</v>
      </c>
      <c r="AF109" s="460">
        <f t="shared" si="219"/>
        <v>0</v>
      </c>
      <c r="AG109" s="460">
        <f t="shared" si="220"/>
        <v>0</v>
      </c>
      <c r="AH109" s="461">
        <v>0</v>
      </c>
      <c r="AI109" s="461">
        <v>0</v>
      </c>
      <c r="AJ109" s="461">
        <v>0</v>
      </c>
      <c r="AK109" s="461">
        <v>0</v>
      </c>
      <c r="AL109" s="674">
        <v>0</v>
      </c>
      <c r="AM109" s="461">
        <v>0</v>
      </c>
      <c r="AN109" s="461">
        <v>0</v>
      </c>
      <c r="AO109" s="461">
        <v>0</v>
      </c>
      <c r="AP109" s="461">
        <f t="shared" si="221"/>
        <v>0</v>
      </c>
      <c r="AQ109" s="461">
        <f t="shared" si="222"/>
        <v>0</v>
      </c>
      <c r="AR109" s="737">
        <f t="shared" si="223"/>
        <v>0</v>
      </c>
      <c r="AS109" s="470">
        <f t="shared" si="145"/>
        <v>820512</v>
      </c>
      <c r="AT109" s="460">
        <f t="shared" si="146"/>
        <v>608688</v>
      </c>
      <c r="AU109" s="460">
        <f t="shared" si="147"/>
        <v>0</v>
      </c>
      <c r="AV109" s="460">
        <f t="shared" si="148"/>
        <v>205737</v>
      </c>
      <c r="AW109" s="460">
        <f t="shared" si="149"/>
        <v>6087</v>
      </c>
      <c r="AX109" s="460">
        <f t="shared" si="150"/>
        <v>0</v>
      </c>
      <c r="AY109" s="461">
        <f t="shared" si="151"/>
        <v>1.5</v>
      </c>
      <c r="AZ109" s="461">
        <f t="shared" si="152"/>
        <v>1.5</v>
      </c>
      <c r="BA109" s="463">
        <f t="shared" si="153"/>
        <v>0</v>
      </c>
    </row>
    <row r="110" spans="1:53" s="98" customFormat="1" ht="14.1" customHeight="1" x14ac:dyDescent="0.2">
      <c r="A110" s="121">
        <v>17</v>
      </c>
      <c r="B110" s="104">
        <v>2494</v>
      </c>
      <c r="C110" s="95">
        <v>600080315</v>
      </c>
      <c r="D110" s="78">
        <v>72741996</v>
      </c>
      <c r="E110" s="104" t="s">
        <v>759</v>
      </c>
      <c r="F110" s="96">
        <v>3113</v>
      </c>
      <c r="G110" s="78" t="s">
        <v>308</v>
      </c>
      <c r="H110" s="97" t="s">
        <v>278</v>
      </c>
      <c r="I110" s="462">
        <v>0</v>
      </c>
      <c r="J110" s="591">
        <v>0</v>
      </c>
      <c r="K110" s="457">
        <v>0</v>
      </c>
      <c r="L110" s="457">
        <v>0</v>
      </c>
      <c r="M110" s="591">
        <v>0</v>
      </c>
      <c r="N110" s="458">
        <v>0</v>
      </c>
      <c r="O110" s="459">
        <v>0</v>
      </c>
      <c r="P110" s="717">
        <v>0</v>
      </c>
      <c r="Q110" s="469">
        <f t="shared" si="214"/>
        <v>0</v>
      </c>
      <c r="R110" s="460">
        <v>2172165</v>
      </c>
      <c r="S110" s="673">
        <v>0</v>
      </c>
      <c r="T110" s="460">
        <v>0</v>
      </c>
      <c r="U110" s="460">
        <v>0</v>
      </c>
      <c r="V110" s="460">
        <f>SUM(Q110:U110)</f>
        <v>2172165</v>
      </c>
      <c r="W110" s="460">
        <v>0</v>
      </c>
      <c r="X110" s="460">
        <v>0</v>
      </c>
      <c r="Y110" s="460">
        <v>0</v>
      </c>
      <c r="Z110" s="460">
        <f t="shared" si="215"/>
        <v>0</v>
      </c>
      <c r="AA110" s="460">
        <f t="shared" si="216"/>
        <v>2172165</v>
      </c>
      <c r="AB110" s="69">
        <f t="shared" si="217"/>
        <v>734192</v>
      </c>
      <c r="AC110" s="69">
        <f t="shared" si="218"/>
        <v>21722</v>
      </c>
      <c r="AD110" s="460">
        <v>1750</v>
      </c>
      <c r="AE110" s="460">
        <v>0</v>
      </c>
      <c r="AF110" s="460">
        <f t="shared" si="219"/>
        <v>1750</v>
      </c>
      <c r="AG110" s="460">
        <f t="shared" si="220"/>
        <v>2929829</v>
      </c>
      <c r="AH110" s="461">
        <v>0</v>
      </c>
      <c r="AI110" s="461">
        <v>0</v>
      </c>
      <c r="AJ110" s="461">
        <v>6.22</v>
      </c>
      <c r="AK110" s="461">
        <v>0</v>
      </c>
      <c r="AL110" s="674">
        <v>0</v>
      </c>
      <c r="AM110" s="461">
        <v>0</v>
      </c>
      <c r="AN110" s="461">
        <v>0</v>
      </c>
      <c r="AO110" s="461">
        <v>0</v>
      </c>
      <c r="AP110" s="461">
        <f t="shared" si="221"/>
        <v>6.22</v>
      </c>
      <c r="AQ110" s="461">
        <f t="shared" si="222"/>
        <v>0</v>
      </c>
      <c r="AR110" s="737">
        <f t="shared" si="223"/>
        <v>6.22</v>
      </c>
      <c r="AS110" s="470">
        <f t="shared" si="145"/>
        <v>2929829</v>
      </c>
      <c r="AT110" s="460">
        <f t="shared" si="146"/>
        <v>2172165</v>
      </c>
      <c r="AU110" s="460">
        <f t="shared" si="147"/>
        <v>0</v>
      </c>
      <c r="AV110" s="460">
        <f t="shared" si="148"/>
        <v>734192</v>
      </c>
      <c r="AW110" s="460">
        <f t="shared" si="149"/>
        <v>21722</v>
      </c>
      <c r="AX110" s="460">
        <f t="shared" si="150"/>
        <v>1750</v>
      </c>
      <c r="AY110" s="461">
        <f t="shared" si="151"/>
        <v>6.22</v>
      </c>
      <c r="AZ110" s="461">
        <f t="shared" si="152"/>
        <v>6.22</v>
      </c>
      <c r="BA110" s="463">
        <f t="shared" si="153"/>
        <v>0</v>
      </c>
    </row>
    <row r="111" spans="1:53" s="98" customFormat="1" ht="14.1" customHeight="1" x14ac:dyDescent="0.2">
      <c r="A111" s="121">
        <v>17</v>
      </c>
      <c r="B111" s="78">
        <v>2494</v>
      </c>
      <c r="C111" s="95">
        <v>600080315</v>
      </c>
      <c r="D111" s="78">
        <v>72741996</v>
      </c>
      <c r="E111" s="78" t="s">
        <v>759</v>
      </c>
      <c r="F111" s="96">
        <v>3143</v>
      </c>
      <c r="G111" s="78" t="s">
        <v>616</v>
      </c>
      <c r="H111" s="97" t="s">
        <v>277</v>
      </c>
      <c r="I111" s="462">
        <v>1283833</v>
      </c>
      <c r="J111" s="715">
        <v>952398</v>
      </c>
      <c r="K111" s="457">
        <v>321911</v>
      </c>
      <c r="L111" s="457">
        <v>9524</v>
      </c>
      <c r="M111" s="715">
        <v>0</v>
      </c>
      <c r="N111" s="458">
        <v>2.0089999999999999</v>
      </c>
      <c r="O111" s="716">
        <v>2.0089999999999999</v>
      </c>
      <c r="P111" s="718">
        <v>0</v>
      </c>
      <c r="Q111" s="469">
        <f t="shared" si="214"/>
        <v>0</v>
      </c>
      <c r="R111" s="460">
        <v>0</v>
      </c>
      <c r="S111" s="673">
        <v>0</v>
      </c>
      <c r="T111" s="460">
        <v>0</v>
      </c>
      <c r="U111" s="460">
        <v>0</v>
      </c>
      <c r="V111" s="460">
        <f>SUM(Q111:U111)</f>
        <v>0</v>
      </c>
      <c r="W111" s="460">
        <v>0</v>
      </c>
      <c r="X111" s="460">
        <v>0</v>
      </c>
      <c r="Y111" s="460">
        <v>0</v>
      </c>
      <c r="Z111" s="460">
        <f t="shared" si="215"/>
        <v>0</v>
      </c>
      <c r="AA111" s="460">
        <f t="shared" si="216"/>
        <v>0</v>
      </c>
      <c r="AB111" s="69">
        <f t="shared" si="217"/>
        <v>0</v>
      </c>
      <c r="AC111" s="69">
        <f t="shared" si="218"/>
        <v>0</v>
      </c>
      <c r="AD111" s="460">
        <v>0</v>
      </c>
      <c r="AE111" s="460">
        <v>0</v>
      </c>
      <c r="AF111" s="460">
        <f t="shared" si="219"/>
        <v>0</v>
      </c>
      <c r="AG111" s="460">
        <f t="shared" si="220"/>
        <v>0</v>
      </c>
      <c r="AH111" s="461">
        <v>0</v>
      </c>
      <c r="AI111" s="461">
        <v>0</v>
      </c>
      <c r="AJ111" s="461">
        <v>0</v>
      </c>
      <c r="AK111" s="461">
        <v>0</v>
      </c>
      <c r="AL111" s="674">
        <v>0</v>
      </c>
      <c r="AM111" s="461">
        <v>0</v>
      </c>
      <c r="AN111" s="461">
        <v>0</v>
      </c>
      <c r="AO111" s="461">
        <v>0</v>
      </c>
      <c r="AP111" s="461">
        <f t="shared" si="221"/>
        <v>0</v>
      </c>
      <c r="AQ111" s="461">
        <f t="shared" si="222"/>
        <v>0</v>
      </c>
      <c r="AR111" s="737">
        <f t="shared" si="223"/>
        <v>0</v>
      </c>
      <c r="AS111" s="470">
        <f t="shared" si="145"/>
        <v>1283833</v>
      </c>
      <c r="AT111" s="460">
        <f t="shared" si="146"/>
        <v>952398</v>
      </c>
      <c r="AU111" s="460">
        <f t="shared" si="147"/>
        <v>0</v>
      </c>
      <c r="AV111" s="460">
        <f t="shared" si="148"/>
        <v>321911</v>
      </c>
      <c r="AW111" s="460">
        <f t="shared" si="149"/>
        <v>9524</v>
      </c>
      <c r="AX111" s="460">
        <f t="shared" si="150"/>
        <v>0</v>
      </c>
      <c r="AY111" s="461">
        <f t="shared" si="151"/>
        <v>2.0089999999999999</v>
      </c>
      <c r="AZ111" s="461">
        <f t="shared" si="152"/>
        <v>2.0089999999999999</v>
      </c>
      <c r="BA111" s="463">
        <f t="shared" si="153"/>
        <v>0</v>
      </c>
    </row>
    <row r="112" spans="1:53" s="98" customFormat="1" ht="14.1" customHeight="1" x14ac:dyDescent="0.2">
      <c r="A112" s="121">
        <v>17</v>
      </c>
      <c r="B112" s="78">
        <v>2494</v>
      </c>
      <c r="C112" s="95">
        <v>600080315</v>
      </c>
      <c r="D112" s="78">
        <v>72741996</v>
      </c>
      <c r="E112" s="78" t="s">
        <v>759</v>
      </c>
      <c r="F112" s="96">
        <v>3143</v>
      </c>
      <c r="G112" s="78" t="s">
        <v>617</v>
      </c>
      <c r="H112" s="97" t="s">
        <v>278</v>
      </c>
      <c r="I112" s="462">
        <v>48379</v>
      </c>
      <c r="J112" s="673">
        <v>34567</v>
      </c>
      <c r="K112" s="457">
        <v>11684</v>
      </c>
      <c r="L112" s="457">
        <v>346</v>
      </c>
      <c r="M112" s="673">
        <v>1782</v>
      </c>
      <c r="N112" s="458">
        <v>0.14000000000000001</v>
      </c>
      <c r="O112" s="459">
        <v>0</v>
      </c>
      <c r="P112" s="717">
        <v>0.14000000000000001</v>
      </c>
      <c r="Q112" s="469">
        <f t="shared" si="214"/>
        <v>0</v>
      </c>
      <c r="R112" s="460">
        <v>0</v>
      </c>
      <c r="S112" s="673">
        <v>0</v>
      </c>
      <c r="T112" s="460">
        <v>0</v>
      </c>
      <c r="U112" s="460">
        <v>0</v>
      </c>
      <c r="V112" s="460">
        <f>SUM(Q112:U112)</f>
        <v>0</v>
      </c>
      <c r="W112" s="460">
        <v>0</v>
      </c>
      <c r="X112" s="460">
        <v>0</v>
      </c>
      <c r="Y112" s="460">
        <v>0</v>
      </c>
      <c r="Z112" s="460">
        <f t="shared" si="215"/>
        <v>0</v>
      </c>
      <c r="AA112" s="460">
        <f t="shared" si="216"/>
        <v>0</v>
      </c>
      <c r="AB112" s="69">
        <f t="shared" si="217"/>
        <v>0</v>
      </c>
      <c r="AC112" s="69">
        <f t="shared" si="218"/>
        <v>0</v>
      </c>
      <c r="AD112" s="460">
        <v>0</v>
      </c>
      <c r="AE112" s="460">
        <v>0</v>
      </c>
      <c r="AF112" s="460">
        <f t="shared" si="219"/>
        <v>0</v>
      </c>
      <c r="AG112" s="460">
        <f t="shared" si="220"/>
        <v>0</v>
      </c>
      <c r="AH112" s="461">
        <v>0</v>
      </c>
      <c r="AI112" s="461">
        <v>0</v>
      </c>
      <c r="AJ112" s="461">
        <v>0</v>
      </c>
      <c r="AK112" s="461">
        <v>0</v>
      </c>
      <c r="AL112" s="674">
        <v>0</v>
      </c>
      <c r="AM112" s="461">
        <v>0</v>
      </c>
      <c r="AN112" s="461">
        <v>0</v>
      </c>
      <c r="AO112" s="461">
        <v>0</v>
      </c>
      <c r="AP112" s="461">
        <f t="shared" si="221"/>
        <v>0</v>
      </c>
      <c r="AQ112" s="461">
        <f t="shared" si="222"/>
        <v>0</v>
      </c>
      <c r="AR112" s="737">
        <f t="shared" si="223"/>
        <v>0</v>
      </c>
      <c r="AS112" s="470">
        <f t="shared" si="145"/>
        <v>48379</v>
      </c>
      <c r="AT112" s="460">
        <f t="shared" si="146"/>
        <v>34567</v>
      </c>
      <c r="AU112" s="460">
        <f t="shared" si="147"/>
        <v>0</v>
      </c>
      <c r="AV112" s="460">
        <f t="shared" si="148"/>
        <v>11684</v>
      </c>
      <c r="AW112" s="460">
        <f t="shared" si="149"/>
        <v>346</v>
      </c>
      <c r="AX112" s="460">
        <f t="shared" si="150"/>
        <v>1782</v>
      </c>
      <c r="AY112" s="461">
        <f t="shared" si="151"/>
        <v>0.14000000000000001</v>
      </c>
      <c r="AZ112" s="461">
        <f t="shared" si="152"/>
        <v>0</v>
      </c>
      <c r="BA112" s="463">
        <f t="shared" si="153"/>
        <v>0.14000000000000001</v>
      </c>
    </row>
    <row r="113" spans="1:53" s="98" customFormat="1" ht="14.1" customHeight="1" x14ac:dyDescent="0.2">
      <c r="A113" s="122">
        <v>17</v>
      </c>
      <c r="B113" s="99">
        <v>2494</v>
      </c>
      <c r="C113" s="100">
        <v>600080315</v>
      </c>
      <c r="D113" s="99">
        <v>72741996</v>
      </c>
      <c r="E113" s="99" t="s">
        <v>760</v>
      </c>
      <c r="F113" s="101"/>
      <c r="G113" s="102"/>
      <c r="H113" s="103"/>
      <c r="I113" s="489">
        <f t="shared" ref="I113:P113" si="224">SUM(I108:I112)</f>
        <v>27908800</v>
      </c>
      <c r="J113" s="485">
        <f t="shared" si="224"/>
        <v>20381563</v>
      </c>
      <c r="K113" s="485">
        <f t="shared" si="224"/>
        <v>6888969</v>
      </c>
      <c r="L113" s="485">
        <f t="shared" si="224"/>
        <v>203816</v>
      </c>
      <c r="M113" s="485">
        <f t="shared" si="224"/>
        <v>434452</v>
      </c>
      <c r="N113" s="486">
        <f t="shared" si="224"/>
        <v>37.417000000000002</v>
      </c>
      <c r="O113" s="486">
        <f t="shared" si="224"/>
        <v>30.187000000000001</v>
      </c>
      <c r="P113" s="105">
        <f t="shared" si="224"/>
        <v>7.2299999999999995</v>
      </c>
      <c r="Q113" s="491">
        <f t="shared" ref="Q113:BA113" si="225">SUM(Q108:Q112)</f>
        <v>0</v>
      </c>
      <c r="R113" s="491">
        <f t="shared" si="225"/>
        <v>2172165</v>
      </c>
      <c r="S113" s="485">
        <f t="shared" si="225"/>
        <v>0</v>
      </c>
      <c r="T113" s="485">
        <f t="shared" si="225"/>
        <v>0</v>
      </c>
      <c r="U113" s="485">
        <f t="shared" si="225"/>
        <v>0</v>
      </c>
      <c r="V113" s="485">
        <f t="shared" si="225"/>
        <v>2172165</v>
      </c>
      <c r="W113" s="485">
        <f t="shared" si="225"/>
        <v>0</v>
      </c>
      <c r="X113" s="485">
        <f t="shared" si="225"/>
        <v>0</v>
      </c>
      <c r="Y113" s="485">
        <f t="shared" si="225"/>
        <v>0</v>
      </c>
      <c r="Z113" s="485">
        <f t="shared" si="225"/>
        <v>0</v>
      </c>
      <c r="AA113" s="485">
        <f t="shared" si="225"/>
        <v>2172165</v>
      </c>
      <c r="AB113" s="485">
        <f t="shared" si="225"/>
        <v>734192</v>
      </c>
      <c r="AC113" s="485">
        <f t="shared" si="225"/>
        <v>21722</v>
      </c>
      <c r="AD113" s="485">
        <f t="shared" si="225"/>
        <v>1750</v>
      </c>
      <c r="AE113" s="485">
        <f t="shared" si="225"/>
        <v>0</v>
      </c>
      <c r="AF113" s="485">
        <f t="shared" si="225"/>
        <v>1750</v>
      </c>
      <c r="AG113" s="485">
        <f t="shared" si="225"/>
        <v>2929829</v>
      </c>
      <c r="AH113" s="486">
        <f t="shared" si="225"/>
        <v>0</v>
      </c>
      <c r="AI113" s="486">
        <f t="shared" si="225"/>
        <v>0</v>
      </c>
      <c r="AJ113" s="486">
        <f t="shared" si="225"/>
        <v>6.22</v>
      </c>
      <c r="AK113" s="486">
        <f t="shared" si="225"/>
        <v>0</v>
      </c>
      <c r="AL113" s="486">
        <f t="shared" si="225"/>
        <v>0</v>
      </c>
      <c r="AM113" s="486">
        <f t="shared" si="225"/>
        <v>0</v>
      </c>
      <c r="AN113" s="486">
        <f t="shared" si="225"/>
        <v>0</v>
      </c>
      <c r="AO113" s="486">
        <f t="shared" si="225"/>
        <v>0</v>
      </c>
      <c r="AP113" s="486">
        <f t="shared" si="225"/>
        <v>6.22</v>
      </c>
      <c r="AQ113" s="486">
        <f t="shared" si="225"/>
        <v>0</v>
      </c>
      <c r="AR113" s="738">
        <f t="shared" si="225"/>
        <v>6.22</v>
      </c>
      <c r="AS113" s="489">
        <f t="shared" si="225"/>
        <v>30838629</v>
      </c>
      <c r="AT113" s="485">
        <f t="shared" si="225"/>
        <v>22553728</v>
      </c>
      <c r="AU113" s="485">
        <f t="shared" si="225"/>
        <v>0</v>
      </c>
      <c r="AV113" s="485">
        <f t="shared" si="225"/>
        <v>7623161</v>
      </c>
      <c r="AW113" s="485">
        <f t="shared" si="225"/>
        <v>225538</v>
      </c>
      <c r="AX113" s="485">
        <f t="shared" si="225"/>
        <v>436202</v>
      </c>
      <c r="AY113" s="486">
        <f t="shared" si="225"/>
        <v>43.637</v>
      </c>
      <c r="AZ113" s="486">
        <f t="shared" si="225"/>
        <v>36.407000000000004</v>
      </c>
      <c r="BA113" s="105">
        <f t="shared" si="225"/>
        <v>7.2299999999999995</v>
      </c>
    </row>
    <row r="114" spans="1:53" s="98" customFormat="1" ht="14.1" customHeight="1" x14ac:dyDescent="0.2">
      <c r="A114" s="121">
        <v>18</v>
      </c>
      <c r="B114" s="78">
        <v>2301</v>
      </c>
      <c r="C114" s="95">
        <v>600080226</v>
      </c>
      <c r="D114" s="78">
        <v>72741830</v>
      </c>
      <c r="E114" s="78" t="s">
        <v>761</v>
      </c>
      <c r="F114" s="96">
        <v>3231</v>
      </c>
      <c r="G114" s="78" t="s">
        <v>312</v>
      </c>
      <c r="H114" s="97" t="s">
        <v>277</v>
      </c>
      <c r="I114" s="462">
        <v>5180592</v>
      </c>
      <c r="J114" s="16">
        <v>3832522</v>
      </c>
      <c r="K114" s="457">
        <v>1295392</v>
      </c>
      <c r="L114" s="457">
        <v>38325</v>
      </c>
      <c r="M114" s="16">
        <v>14353</v>
      </c>
      <c r="N114" s="458">
        <v>6.7332999999999998</v>
      </c>
      <c r="O114" s="13">
        <v>6.0724</v>
      </c>
      <c r="P114" s="17">
        <v>0.66090000000000004</v>
      </c>
      <c r="Q114" s="469">
        <f t="shared" ref="Q114" si="226">W114*-1</f>
        <v>0</v>
      </c>
      <c r="R114" s="460">
        <v>0</v>
      </c>
      <c r="S114" s="673">
        <v>0</v>
      </c>
      <c r="T114" s="460">
        <v>0</v>
      </c>
      <c r="U114" s="460">
        <v>0</v>
      </c>
      <c r="V114" s="460">
        <f>SUM(Q114:U114)</f>
        <v>0</v>
      </c>
      <c r="W114" s="460">
        <v>0</v>
      </c>
      <c r="X114" s="460">
        <v>0</v>
      </c>
      <c r="Y114" s="460">
        <v>0</v>
      </c>
      <c r="Z114" s="460">
        <f t="shared" ref="Z114" si="227">SUM(W114:Y114)</f>
        <v>0</v>
      </c>
      <c r="AA114" s="460">
        <f t="shared" ref="AA114" si="228">V114+Z114</f>
        <v>0</v>
      </c>
      <c r="AB114" s="69">
        <f t="shared" ref="AB114" si="229">ROUND((V114+W114+X114)*33.8%,0)</f>
        <v>0</v>
      </c>
      <c r="AC114" s="69">
        <f>ROUND(V114*1%,0)</f>
        <v>0</v>
      </c>
      <c r="AD114" s="460">
        <v>0</v>
      </c>
      <c r="AE114" s="460">
        <v>0</v>
      </c>
      <c r="AF114" s="460">
        <f t="shared" ref="AF114" si="230">SUM(AD114:AE114)</f>
        <v>0</v>
      </c>
      <c r="AG114" s="460">
        <f t="shared" ref="AG114" si="231">AA114+AB114+AC114+AF114</f>
        <v>0</v>
      </c>
      <c r="AH114" s="461">
        <v>0</v>
      </c>
      <c r="AI114" s="461">
        <v>0</v>
      </c>
      <c r="AJ114" s="461">
        <v>0</v>
      </c>
      <c r="AK114" s="461">
        <v>0</v>
      </c>
      <c r="AL114" s="674">
        <v>0</v>
      </c>
      <c r="AM114" s="461">
        <v>0</v>
      </c>
      <c r="AN114" s="461">
        <v>0</v>
      </c>
      <c r="AO114" s="461">
        <v>0</v>
      </c>
      <c r="AP114" s="461">
        <f>AH114+AJ114+AK114+AM114+AN114</f>
        <v>0</v>
      </c>
      <c r="AQ114" s="461">
        <f>AI114+AL114+AO114</f>
        <v>0</v>
      </c>
      <c r="AR114" s="737">
        <f t="shared" ref="AR114" si="232">SUM(AP114:AQ114)</f>
        <v>0</v>
      </c>
      <c r="AS114" s="470">
        <f t="shared" si="145"/>
        <v>5180592</v>
      </c>
      <c r="AT114" s="460">
        <f t="shared" si="146"/>
        <v>3832522</v>
      </c>
      <c r="AU114" s="460">
        <f t="shared" si="147"/>
        <v>0</v>
      </c>
      <c r="AV114" s="460">
        <f t="shared" si="148"/>
        <v>1295392</v>
      </c>
      <c r="AW114" s="460">
        <f t="shared" si="149"/>
        <v>38325</v>
      </c>
      <c r="AX114" s="460">
        <f t="shared" si="150"/>
        <v>14353</v>
      </c>
      <c r="AY114" s="461">
        <f t="shared" si="151"/>
        <v>6.7332999999999998</v>
      </c>
      <c r="AZ114" s="461">
        <f t="shared" si="152"/>
        <v>6.0724</v>
      </c>
      <c r="BA114" s="463">
        <f t="shared" si="153"/>
        <v>0.66090000000000004</v>
      </c>
    </row>
    <row r="115" spans="1:53" s="98" customFormat="1" ht="14.1" customHeight="1" x14ac:dyDescent="0.2">
      <c r="A115" s="122">
        <v>18</v>
      </c>
      <c r="B115" s="99">
        <v>2301</v>
      </c>
      <c r="C115" s="100">
        <v>600080226</v>
      </c>
      <c r="D115" s="99">
        <v>72741830</v>
      </c>
      <c r="E115" s="99" t="s">
        <v>762</v>
      </c>
      <c r="F115" s="101"/>
      <c r="G115" s="102"/>
      <c r="H115" s="103"/>
      <c r="I115" s="490">
        <f t="shared" ref="I115:P115" si="233">SUM(I114)</f>
        <v>5180592</v>
      </c>
      <c r="J115" s="487">
        <f t="shared" si="233"/>
        <v>3832522</v>
      </c>
      <c r="K115" s="487">
        <f t="shared" si="233"/>
        <v>1295392</v>
      </c>
      <c r="L115" s="487">
        <f t="shared" si="233"/>
        <v>38325</v>
      </c>
      <c r="M115" s="487">
        <f t="shared" si="233"/>
        <v>14353</v>
      </c>
      <c r="N115" s="488">
        <f t="shared" si="233"/>
        <v>6.7332999999999998</v>
      </c>
      <c r="O115" s="488">
        <f t="shared" si="233"/>
        <v>6.0724</v>
      </c>
      <c r="P115" s="109">
        <f t="shared" si="233"/>
        <v>0.66090000000000004</v>
      </c>
      <c r="Q115" s="492">
        <f t="shared" ref="Q115:BA115" si="234">SUM(Q114)</f>
        <v>0</v>
      </c>
      <c r="R115" s="492">
        <f t="shared" si="234"/>
        <v>0</v>
      </c>
      <c r="S115" s="487">
        <f t="shared" si="234"/>
        <v>0</v>
      </c>
      <c r="T115" s="487">
        <f t="shared" si="234"/>
        <v>0</v>
      </c>
      <c r="U115" s="487">
        <f t="shared" si="234"/>
        <v>0</v>
      </c>
      <c r="V115" s="487">
        <f t="shared" si="234"/>
        <v>0</v>
      </c>
      <c r="W115" s="487">
        <f t="shared" si="234"/>
        <v>0</v>
      </c>
      <c r="X115" s="487">
        <f t="shared" si="234"/>
        <v>0</v>
      </c>
      <c r="Y115" s="487">
        <f t="shared" si="234"/>
        <v>0</v>
      </c>
      <c r="Z115" s="487">
        <f t="shared" si="234"/>
        <v>0</v>
      </c>
      <c r="AA115" s="487">
        <f t="shared" si="234"/>
        <v>0</v>
      </c>
      <c r="AB115" s="487">
        <f t="shared" si="234"/>
        <v>0</v>
      </c>
      <c r="AC115" s="487">
        <f t="shared" si="234"/>
        <v>0</v>
      </c>
      <c r="AD115" s="487">
        <f t="shared" si="234"/>
        <v>0</v>
      </c>
      <c r="AE115" s="487">
        <f t="shared" si="234"/>
        <v>0</v>
      </c>
      <c r="AF115" s="487">
        <f t="shared" si="234"/>
        <v>0</v>
      </c>
      <c r="AG115" s="487">
        <f t="shared" si="234"/>
        <v>0</v>
      </c>
      <c r="AH115" s="488">
        <f t="shared" si="234"/>
        <v>0</v>
      </c>
      <c r="AI115" s="488">
        <f t="shared" si="234"/>
        <v>0</v>
      </c>
      <c r="AJ115" s="488">
        <f t="shared" si="234"/>
        <v>0</v>
      </c>
      <c r="AK115" s="488">
        <f t="shared" si="234"/>
        <v>0</v>
      </c>
      <c r="AL115" s="488">
        <f t="shared" si="234"/>
        <v>0</v>
      </c>
      <c r="AM115" s="488">
        <f t="shared" si="234"/>
        <v>0</v>
      </c>
      <c r="AN115" s="488">
        <f t="shared" si="234"/>
        <v>0</v>
      </c>
      <c r="AO115" s="488">
        <f t="shared" si="234"/>
        <v>0</v>
      </c>
      <c r="AP115" s="488">
        <f t="shared" si="234"/>
        <v>0</v>
      </c>
      <c r="AQ115" s="488">
        <f t="shared" si="234"/>
        <v>0</v>
      </c>
      <c r="AR115" s="739">
        <f t="shared" si="234"/>
        <v>0</v>
      </c>
      <c r="AS115" s="490">
        <f t="shared" si="234"/>
        <v>5180592</v>
      </c>
      <c r="AT115" s="487">
        <f t="shared" si="234"/>
        <v>3832522</v>
      </c>
      <c r="AU115" s="487">
        <f t="shared" si="234"/>
        <v>0</v>
      </c>
      <c r="AV115" s="487">
        <f t="shared" si="234"/>
        <v>1295392</v>
      </c>
      <c r="AW115" s="487">
        <f t="shared" si="234"/>
        <v>38325</v>
      </c>
      <c r="AX115" s="487">
        <f t="shared" si="234"/>
        <v>14353</v>
      </c>
      <c r="AY115" s="488">
        <f t="shared" si="234"/>
        <v>6.7332999999999998</v>
      </c>
      <c r="AZ115" s="488">
        <f t="shared" si="234"/>
        <v>6.0724</v>
      </c>
      <c r="BA115" s="109">
        <f t="shared" si="234"/>
        <v>0.66090000000000004</v>
      </c>
    </row>
    <row r="116" spans="1:53" s="98" customFormat="1" ht="14.1" customHeight="1" x14ac:dyDescent="0.2">
      <c r="A116" s="121">
        <v>19</v>
      </c>
      <c r="B116" s="104">
        <v>2497</v>
      </c>
      <c r="C116" s="95">
        <v>600080064</v>
      </c>
      <c r="D116" s="78">
        <v>72744189</v>
      </c>
      <c r="E116" s="78" t="s">
        <v>763</v>
      </c>
      <c r="F116" s="96">
        <v>3111</v>
      </c>
      <c r="G116" s="78" t="s">
        <v>307</v>
      </c>
      <c r="H116" s="97" t="s">
        <v>277</v>
      </c>
      <c r="I116" s="462">
        <v>6636124</v>
      </c>
      <c r="J116" s="16">
        <v>4895641</v>
      </c>
      <c r="K116" s="457">
        <v>1654727</v>
      </c>
      <c r="L116" s="457">
        <v>48956</v>
      </c>
      <c r="M116" s="16">
        <v>36800</v>
      </c>
      <c r="N116" s="458">
        <v>9.6</v>
      </c>
      <c r="O116" s="13">
        <v>8</v>
      </c>
      <c r="P116" s="17">
        <v>1.6</v>
      </c>
      <c r="Q116" s="469">
        <f t="shared" ref="Q116:Q123" si="235">W116*-1</f>
        <v>-61750</v>
      </c>
      <c r="R116" s="460">
        <v>0</v>
      </c>
      <c r="S116" s="673">
        <v>0</v>
      </c>
      <c r="T116" s="460">
        <v>0</v>
      </c>
      <c r="U116" s="460">
        <v>0</v>
      </c>
      <c r="V116" s="460">
        <f t="shared" ref="V116:V123" si="236">SUM(Q116:U116)</f>
        <v>-61750</v>
      </c>
      <c r="W116" s="460">
        <v>61750</v>
      </c>
      <c r="X116" s="460">
        <v>0</v>
      </c>
      <c r="Y116" s="460">
        <v>0</v>
      </c>
      <c r="Z116" s="460">
        <f t="shared" ref="Z116:Z123" si="237">SUM(W116:Y116)</f>
        <v>61750</v>
      </c>
      <c r="AA116" s="460">
        <f t="shared" ref="AA116:AA123" si="238">V116+Z116</f>
        <v>0</v>
      </c>
      <c r="AB116" s="69">
        <f t="shared" ref="AB116:AB123" si="239">ROUND((V116+W116+X116)*33.8%,0)</f>
        <v>0</v>
      </c>
      <c r="AC116" s="69">
        <f t="shared" ref="AC116:AC123" si="240">ROUND(V116*1%,0)</f>
        <v>-618</v>
      </c>
      <c r="AD116" s="460">
        <v>0</v>
      </c>
      <c r="AE116" s="460">
        <v>0</v>
      </c>
      <c r="AF116" s="460">
        <f t="shared" ref="AF116:AF123" si="241">SUM(AD116:AE116)</f>
        <v>0</v>
      </c>
      <c r="AG116" s="460">
        <f t="shared" ref="AG116:AG123" si="242">AA116+AB116+AC116+AF116</f>
        <v>-618</v>
      </c>
      <c r="AH116" s="461">
        <v>-0.08</v>
      </c>
      <c r="AI116" s="461">
        <v>0</v>
      </c>
      <c r="AJ116" s="461">
        <v>0</v>
      </c>
      <c r="AK116" s="461">
        <v>0</v>
      </c>
      <c r="AL116" s="674">
        <v>0</v>
      </c>
      <c r="AM116" s="461">
        <v>0</v>
      </c>
      <c r="AN116" s="461">
        <v>0</v>
      </c>
      <c r="AO116" s="461">
        <v>0</v>
      </c>
      <c r="AP116" s="461">
        <f t="shared" ref="AP116:AP123" si="243">AH116+AJ116+AK116+AM116+AN116</f>
        <v>-0.08</v>
      </c>
      <c r="AQ116" s="461">
        <f t="shared" ref="AQ116:AQ123" si="244">AI116+AL116+AO116</f>
        <v>0</v>
      </c>
      <c r="AR116" s="737">
        <f t="shared" ref="AR116:AR123" si="245">SUM(AP116:AQ116)</f>
        <v>-0.08</v>
      </c>
      <c r="AS116" s="470">
        <f t="shared" si="145"/>
        <v>6635506</v>
      </c>
      <c r="AT116" s="460">
        <f t="shared" si="146"/>
        <v>4833891</v>
      </c>
      <c r="AU116" s="460">
        <f t="shared" si="147"/>
        <v>61750</v>
      </c>
      <c r="AV116" s="460">
        <f t="shared" si="148"/>
        <v>1654727</v>
      </c>
      <c r="AW116" s="460">
        <f t="shared" si="149"/>
        <v>48338</v>
      </c>
      <c r="AX116" s="460">
        <f t="shared" si="150"/>
        <v>36800</v>
      </c>
      <c r="AY116" s="461">
        <f t="shared" si="151"/>
        <v>9.52</v>
      </c>
      <c r="AZ116" s="461">
        <f t="shared" si="152"/>
        <v>7.92</v>
      </c>
      <c r="BA116" s="463">
        <f t="shared" si="153"/>
        <v>1.6</v>
      </c>
    </row>
    <row r="117" spans="1:53" s="98" customFormat="1" ht="14.1" customHeight="1" x14ac:dyDescent="0.2">
      <c r="A117" s="121">
        <v>19</v>
      </c>
      <c r="B117" s="78">
        <v>2497</v>
      </c>
      <c r="C117" s="95">
        <v>600080064</v>
      </c>
      <c r="D117" s="78">
        <v>72744189</v>
      </c>
      <c r="E117" s="78" t="s">
        <v>763</v>
      </c>
      <c r="F117" s="96">
        <v>3113</v>
      </c>
      <c r="G117" s="78" t="s">
        <v>310</v>
      </c>
      <c r="H117" s="97" t="s">
        <v>277</v>
      </c>
      <c r="I117" s="462">
        <v>20604314</v>
      </c>
      <c r="J117" s="16">
        <v>15043997</v>
      </c>
      <c r="K117" s="457">
        <v>5084871</v>
      </c>
      <c r="L117" s="457">
        <v>150441</v>
      </c>
      <c r="M117" s="16">
        <v>325005</v>
      </c>
      <c r="N117" s="458">
        <v>26.368100000000002</v>
      </c>
      <c r="O117" s="13">
        <v>20.088100000000001</v>
      </c>
      <c r="P117" s="17">
        <v>6.28</v>
      </c>
      <c r="Q117" s="469">
        <f t="shared" si="235"/>
        <v>-68250</v>
      </c>
      <c r="R117" s="460">
        <v>0</v>
      </c>
      <c r="S117" s="673">
        <v>0</v>
      </c>
      <c r="T117" s="460">
        <v>0</v>
      </c>
      <c r="U117" s="460">
        <v>0</v>
      </c>
      <c r="V117" s="460">
        <f t="shared" si="236"/>
        <v>-68250</v>
      </c>
      <c r="W117" s="460">
        <v>68250</v>
      </c>
      <c r="X117" s="460">
        <v>0</v>
      </c>
      <c r="Y117" s="460">
        <v>0</v>
      </c>
      <c r="Z117" s="460">
        <f t="shared" si="237"/>
        <v>68250</v>
      </c>
      <c r="AA117" s="460">
        <f t="shared" si="238"/>
        <v>0</v>
      </c>
      <c r="AB117" s="69">
        <f t="shared" si="239"/>
        <v>0</v>
      </c>
      <c r="AC117" s="69">
        <f t="shared" si="240"/>
        <v>-683</v>
      </c>
      <c r="AD117" s="460">
        <v>0</v>
      </c>
      <c r="AE117" s="460">
        <v>0</v>
      </c>
      <c r="AF117" s="460">
        <f t="shared" si="241"/>
        <v>0</v>
      </c>
      <c r="AG117" s="460">
        <f t="shared" si="242"/>
        <v>-683</v>
      </c>
      <c r="AH117" s="461">
        <v>0</v>
      </c>
      <c r="AI117" s="461">
        <v>0</v>
      </c>
      <c r="AJ117" s="461">
        <v>0</v>
      </c>
      <c r="AK117" s="461">
        <v>0</v>
      </c>
      <c r="AL117" s="674">
        <v>0</v>
      </c>
      <c r="AM117" s="461">
        <v>0</v>
      </c>
      <c r="AN117" s="461">
        <v>0</v>
      </c>
      <c r="AO117" s="461">
        <v>0</v>
      </c>
      <c r="AP117" s="461">
        <f t="shared" si="243"/>
        <v>0</v>
      </c>
      <c r="AQ117" s="461">
        <f t="shared" si="244"/>
        <v>0</v>
      </c>
      <c r="AR117" s="737">
        <f t="shared" si="245"/>
        <v>0</v>
      </c>
      <c r="AS117" s="470">
        <f t="shared" si="145"/>
        <v>20603631</v>
      </c>
      <c r="AT117" s="460">
        <f t="shared" si="146"/>
        <v>14975747</v>
      </c>
      <c r="AU117" s="460">
        <f t="shared" si="147"/>
        <v>68250</v>
      </c>
      <c r="AV117" s="460">
        <f t="shared" si="148"/>
        <v>5084871</v>
      </c>
      <c r="AW117" s="460">
        <f t="shared" si="149"/>
        <v>149758</v>
      </c>
      <c r="AX117" s="460">
        <f t="shared" si="150"/>
        <v>325005</v>
      </c>
      <c r="AY117" s="461">
        <f t="shared" si="151"/>
        <v>26.368100000000002</v>
      </c>
      <c r="AZ117" s="461">
        <f t="shared" si="152"/>
        <v>20.088100000000001</v>
      </c>
      <c r="BA117" s="463">
        <f t="shared" si="153"/>
        <v>6.28</v>
      </c>
    </row>
    <row r="118" spans="1:53" s="98" customFormat="1" ht="14.1" customHeight="1" x14ac:dyDescent="0.2">
      <c r="A118" s="121">
        <v>19</v>
      </c>
      <c r="B118" s="78">
        <v>2497</v>
      </c>
      <c r="C118" s="95">
        <v>600080064</v>
      </c>
      <c r="D118" s="78">
        <v>72744189</v>
      </c>
      <c r="E118" s="78" t="s">
        <v>763</v>
      </c>
      <c r="F118" s="96">
        <v>3113</v>
      </c>
      <c r="G118" s="44" t="s">
        <v>309</v>
      </c>
      <c r="H118" s="97" t="s">
        <v>277</v>
      </c>
      <c r="I118" s="462">
        <v>2032298</v>
      </c>
      <c r="J118" s="16">
        <v>1507640</v>
      </c>
      <c r="K118" s="457">
        <v>509582</v>
      </c>
      <c r="L118" s="457">
        <v>15076</v>
      </c>
      <c r="M118" s="16"/>
      <c r="N118" s="458">
        <v>3.7778999999999998</v>
      </c>
      <c r="O118" s="13">
        <v>3.7778999999999998</v>
      </c>
      <c r="P118" s="17">
        <v>0</v>
      </c>
      <c r="Q118" s="469">
        <f t="shared" si="235"/>
        <v>0</v>
      </c>
      <c r="R118" s="460">
        <v>0</v>
      </c>
      <c r="S118" s="673">
        <v>0</v>
      </c>
      <c r="T118" s="460">
        <v>0</v>
      </c>
      <c r="U118" s="460">
        <v>0</v>
      </c>
      <c r="V118" s="460">
        <f t="shared" si="236"/>
        <v>0</v>
      </c>
      <c r="W118" s="460">
        <v>0</v>
      </c>
      <c r="X118" s="460">
        <v>0</v>
      </c>
      <c r="Y118" s="460">
        <v>0</v>
      </c>
      <c r="Z118" s="460">
        <f t="shared" si="237"/>
        <v>0</v>
      </c>
      <c r="AA118" s="460">
        <f t="shared" si="238"/>
        <v>0</v>
      </c>
      <c r="AB118" s="69">
        <f t="shared" si="239"/>
        <v>0</v>
      </c>
      <c r="AC118" s="69">
        <f t="shared" si="240"/>
        <v>0</v>
      </c>
      <c r="AD118" s="460">
        <v>0</v>
      </c>
      <c r="AE118" s="460">
        <v>0</v>
      </c>
      <c r="AF118" s="460">
        <f t="shared" si="241"/>
        <v>0</v>
      </c>
      <c r="AG118" s="460">
        <f t="shared" si="242"/>
        <v>0</v>
      </c>
      <c r="AH118" s="461">
        <v>0</v>
      </c>
      <c r="AI118" s="461">
        <v>0</v>
      </c>
      <c r="AJ118" s="461">
        <v>0</v>
      </c>
      <c r="AK118" s="461">
        <v>0</v>
      </c>
      <c r="AL118" s="674">
        <v>0</v>
      </c>
      <c r="AM118" s="461">
        <v>0</v>
      </c>
      <c r="AN118" s="461">
        <v>0</v>
      </c>
      <c r="AO118" s="461">
        <v>0</v>
      </c>
      <c r="AP118" s="461">
        <f t="shared" si="243"/>
        <v>0</v>
      </c>
      <c r="AQ118" s="461">
        <f t="shared" si="244"/>
        <v>0</v>
      </c>
      <c r="AR118" s="737">
        <f t="shared" si="245"/>
        <v>0</v>
      </c>
      <c r="AS118" s="470">
        <f t="shared" si="145"/>
        <v>2032298</v>
      </c>
      <c r="AT118" s="460">
        <f t="shared" si="146"/>
        <v>1507640</v>
      </c>
      <c r="AU118" s="460">
        <f t="shared" si="147"/>
        <v>0</v>
      </c>
      <c r="AV118" s="460">
        <f t="shared" si="148"/>
        <v>509582</v>
      </c>
      <c r="AW118" s="460">
        <f t="shared" si="149"/>
        <v>15076</v>
      </c>
      <c r="AX118" s="460">
        <f t="shared" si="150"/>
        <v>0</v>
      </c>
      <c r="AY118" s="461">
        <f t="shared" si="151"/>
        <v>3.7778999999999998</v>
      </c>
      <c r="AZ118" s="461">
        <f t="shared" si="152"/>
        <v>3.7778999999999998</v>
      </c>
      <c r="BA118" s="463">
        <f t="shared" si="153"/>
        <v>0</v>
      </c>
    </row>
    <row r="119" spans="1:53" s="98" customFormat="1" ht="14.1" customHeight="1" x14ac:dyDescent="0.2">
      <c r="A119" s="121">
        <v>19</v>
      </c>
      <c r="B119" s="104">
        <v>2497</v>
      </c>
      <c r="C119" s="95">
        <v>600080064</v>
      </c>
      <c r="D119" s="78">
        <v>72744189</v>
      </c>
      <c r="E119" s="104" t="s">
        <v>763</v>
      </c>
      <c r="F119" s="96">
        <v>3113</v>
      </c>
      <c r="G119" s="78" t="s">
        <v>308</v>
      </c>
      <c r="H119" s="97" t="s">
        <v>278</v>
      </c>
      <c r="I119" s="462">
        <v>0</v>
      </c>
      <c r="J119" s="591">
        <v>0</v>
      </c>
      <c r="K119" s="457">
        <v>0</v>
      </c>
      <c r="L119" s="457">
        <v>0</v>
      </c>
      <c r="M119" s="591">
        <v>0</v>
      </c>
      <c r="N119" s="458">
        <v>0</v>
      </c>
      <c r="O119" s="459">
        <v>0</v>
      </c>
      <c r="P119" s="717">
        <v>0</v>
      </c>
      <c r="Q119" s="469">
        <f t="shared" si="235"/>
        <v>0</v>
      </c>
      <c r="R119" s="460">
        <v>3287963</v>
      </c>
      <c r="S119" s="673">
        <v>0</v>
      </c>
      <c r="T119" s="460">
        <v>0</v>
      </c>
      <c r="U119" s="460">
        <v>0</v>
      </c>
      <c r="V119" s="460">
        <f t="shared" si="236"/>
        <v>3287963</v>
      </c>
      <c r="W119" s="460">
        <v>0</v>
      </c>
      <c r="X119" s="460">
        <v>0</v>
      </c>
      <c r="Y119" s="460">
        <v>0</v>
      </c>
      <c r="Z119" s="460">
        <f t="shared" si="237"/>
        <v>0</v>
      </c>
      <c r="AA119" s="460">
        <f t="shared" si="238"/>
        <v>3287963</v>
      </c>
      <c r="AB119" s="69">
        <f t="shared" si="239"/>
        <v>1111331</v>
      </c>
      <c r="AC119" s="69">
        <f t="shared" si="240"/>
        <v>32880</v>
      </c>
      <c r="AD119" s="460">
        <v>1250</v>
      </c>
      <c r="AE119" s="460">
        <v>0</v>
      </c>
      <c r="AF119" s="460">
        <f t="shared" si="241"/>
        <v>1250</v>
      </c>
      <c r="AG119" s="460">
        <f t="shared" si="242"/>
        <v>4433424</v>
      </c>
      <c r="AH119" s="461">
        <v>0</v>
      </c>
      <c r="AI119" s="461">
        <v>0</v>
      </c>
      <c r="AJ119" s="461">
        <v>9.26</v>
      </c>
      <c r="AK119" s="461">
        <v>0</v>
      </c>
      <c r="AL119" s="674">
        <v>0</v>
      </c>
      <c r="AM119" s="461">
        <v>0</v>
      </c>
      <c r="AN119" s="461">
        <v>0</v>
      </c>
      <c r="AO119" s="461">
        <v>0</v>
      </c>
      <c r="AP119" s="461">
        <f t="shared" si="243"/>
        <v>9.26</v>
      </c>
      <c r="AQ119" s="461">
        <f t="shared" si="244"/>
        <v>0</v>
      </c>
      <c r="AR119" s="737">
        <f t="shared" si="245"/>
        <v>9.26</v>
      </c>
      <c r="AS119" s="470">
        <f t="shared" si="145"/>
        <v>4433424</v>
      </c>
      <c r="AT119" s="460">
        <f t="shared" si="146"/>
        <v>3287963</v>
      </c>
      <c r="AU119" s="460">
        <f t="shared" si="147"/>
        <v>0</v>
      </c>
      <c r="AV119" s="460">
        <f t="shared" si="148"/>
        <v>1111331</v>
      </c>
      <c r="AW119" s="460">
        <f t="shared" si="149"/>
        <v>32880</v>
      </c>
      <c r="AX119" s="460">
        <f t="shared" si="150"/>
        <v>1250</v>
      </c>
      <c r="AY119" s="461">
        <f t="shared" si="151"/>
        <v>9.26</v>
      </c>
      <c r="AZ119" s="461">
        <f t="shared" si="152"/>
        <v>9.26</v>
      </c>
      <c r="BA119" s="463">
        <f t="shared" si="153"/>
        <v>0</v>
      </c>
    </row>
    <row r="120" spans="1:53" s="98" customFormat="1" ht="14.1" customHeight="1" x14ac:dyDescent="0.2">
      <c r="A120" s="121">
        <v>19</v>
      </c>
      <c r="B120" s="78">
        <v>2497</v>
      </c>
      <c r="C120" s="95">
        <v>600080064</v>
      </c>
      <c r="D120" s="78">
        <v>72744189</v>
      </c>
      <c r="E120" s="78" t="s">
        <v>763</v>
      </c>
      <c r="F120" s="96">
        <v>3141</v>
      </c>
      <c r="G120" s="78" t="s">
        <v>311</v>
      </c>
      <c r="H120" s="97" t="s">
        <v>278</v>
      </c>
      <c r="I120" s="462">
        <v>2433887</v>
      </c>
      <c r="J120" s="728">
        <v>1791937</v>
      </c>
      <c r="K120" s="457">
        <v>605675</v>
      </c>
      <c r="L120" s="457">
        <v>17919</v>
      </c>
      <c r="M120" s="728">
        <v>18356</v>
      </c>
      <c r="N120" s="458">
        <v>5.76</v>
      </c>
      <c r="O120" s="730">
        <v>0</v>
      </c>
      <c r="P120" s="734">
        <v>5.76</v>
      </c>
      <c r="Q120" s="469">
        <f t="shared" si="235"/>
        <v>-16250</v>
      </c>
      <c r="R120" s="460">
        <v>0</v>
      </c>
      <c r="S120" s="673">
        <v>0</v>
      </c>
      <c r="T120" s="460">
        <v>0</v>
      </c>
      <c r="U120" s="460">
        <v>0</v>
      </c>
      <c r="V120" s="460">
        <f t="shared" si="236"/>
        <v>-16250</v>
      </c>
      <c r="W120" s="460">
        <v>16250</v>
      </c>
      <c r="X120" s="460">
        <v>0</v>
      </c>
      <c r="Y120" s="460">
        <v>0</v>
      </c>
      <c r="Z120" s="460">
        <f t="shared" si="237"/>
        <v>16250</v>
      </c>
      <c r="AA120" s="460">
        <f t="shared" si="238"/>
        <v>0</v>
      </c>
      <c r="AB120" s="69">
        <f t="shared" si="239"/>
        <v>0</v>
      </c>
      <c r="AC120" s="69">
        <f t="shared" si="240"/>
        <v>-163</v>
      </c>
      <c r="AD120" s="460">
        <v>0</v>
      </c>
      <c r="AE120" s="460">
        <v>0</v>
      </c>
      <c r="AF120" s="460">
        <f t="shared" si="241"/>
        <v>0</v>
      </c>
      <c r="AG120" s="460">
        <f t="shared" si="242"/>
        <v>-163</v>
      </c>
      <c r="AH120" s="461">
        <v>0</v>
      </c>
      <c r="AI120" s="461">
        <v>0</v>
      </c>
      <c r="AJ120" s="461">
        <v>0</v>
      </c>
      <c r="AK120" s="461">
        <v>0</v>
      </c>
      <c r="AL120" s="674">
        <v>0</v>
      </c>
      <c r="AM120" s="461">
        <v>0</v>
      </c>
      <c r="AN120" s="461">
        <v>0</v>
      </c>
      <c r="AO120" s="461">
        <v>0</v>
      </c>
      <c r="AP120" s="461">
        <f t="shared" si="243"/>
        <v>0</v>
      </c>
      <c r="AQ120" s="461">
        <f t="shared" si="244"/>
        <v>0</v>
      </c>
      <c r="AR120" s="737">
        <f t="shared" si="245"/>
        <v>0</v>
      </c>
      <c r="AS120" s="470">
        <f t="shared" si="145"/>
        <v>2433724</v>
      </c>
      <c r="AT120" s="460">
        <f t="shared" si="146"/>
        <v>1775687</v>
      </c>
      <c r="AU120" s="460">
        <f t="shared" si="147"/>
        <v>16250</v>
      </c>
      <c r="AV120" s="460">
        <f t="shared" si="148"/>
        <v>605675</v>
      </c>
      <c r="AW120" s="460">
        <f t="shared" si="149"/>
        <v>17756</v>
      </c>
      <c r="AX120" s="460">
        <f t="shared" si="150"/>
        <v>18356</v>
      </c>
      <c r="AY120" s="461">
        <f t="shared" si="151"/>
        <v>5.76</v>
      </c>
      <c r="AZ120" s="461">
        <f t="shared" si="152"/>
        <v>0</v>
      </c>
      <c r="BA120" s="463">
        <f t="shared" si="153"/>
        <v>5.76</v>
      </c>
    </row>
    <row r="121" spans="1:53" s="98" customFormat="1" ht="14.1" customHeight="1" x14ac:dyDescent="0.2">
      <c r="A121" s="121">
        <v>19</v>
      </c>
      <c r="B121" s="78">
        <v>2497</v>
      </c>
      <c r="C121" s="95">
        <v>600080064</v>
      </c>
      <c r="D121" s="78">
        <v>72744189</v>
      </c>
      <c r="E121" s="78" t="s">
        <v>763</v>
      </c>
      <c r="F121" s="96">
        <v>3143</v>
      </c>
      <c r="G121" s="78" t="s">
        <v>616</v>
      </c>
      <c r="H121" s="97" t="s">
        <v>277</v>
      </c>
      <c r="I121" s="462">
        <v>1016097</v>
      </c>
      <c r="J121" s="715">
        <v>753781</v>
      </c>
      <c r="K121" s="457">
        <v>254778</v>
      </c>
      <c r="L121" s="457">
        <v>7538</v>
      </c>
      <c r="M121" s="715">
        <v>0</v>
      </c>
      <c r="N121" s="458">
        <v>1.76</v>
      </c>
      <c r="O121" s="716">
        <v>1.76</v>
      </c>
      <c r="P121" s="718">
        <v>0</v>
      </c>
      <c r="Q121" s="469">
        <f t="shared" si="235"/>
        <v>-16250</v>
      </c>
      <c r="R121" s="460">
        <v>0</v>
      </c>
      <c r="S121" s="673">
        <v>0</v>
      </c>
      <c r="T121" s="460">
        <v>0</v>
      </c>
      <c r="U121" s="460">
        <v>0</v>
      </c>
      <c r="V121" s="460">
        <f t="shared" si="236"/>
        <v>-16250</v>
      </c>
      <c r="W121" s="460">
        <v>16250</v>
      </c>
      <c r="X121" s="460">
        <v>0</v>
      </c>
      <c r="Y121" s="460">
        <v>0</v>
      </c>
      <c r="Z121" s="460">
        <f t="shared" si="237"/>
        <v>16250</v>
      </c>
      <c r="AA121" s="460">
        <f t="shared" si="238"/>
        <v>0</v>
      </c>
      <c r="AB121" s="69">
        <f t="shared" si="239"/>
        <v>0</v>
      </c>
      <c r="AC121" s="69">
        <f t="shared" si="240"/>
        <v>-163</v>
      </c>
      <c r="AD121" s="460">
        <v>0</v>
      </c>
      <c r="AE121" s="460">
        <v>0</v>
      </c>
      <c r="AF121" s="460">
        <f t="shared" si="241"/>
        <v>0</v>
      </c>
      <c r="AG121" s="460">
        <f t="shared" si="242"/>
        <v>-163</v>
      </c>
      <c r="AH121" s="461">
        <v>0</v>
      </c>
      <c r="AI121" s="461">
        <v>0</v>
      </c>
      <c r="AJ121" s="461">
        <v>0</v>
      </c>
      <c r="AK121" s="461">
        <v>0</v>
      </c>
      <c r="AL121" s="674">
        <v>0</v>
      </c>
      <c r="AM121" s="461">
        <v>0</v>
      </c>
      <c r="AN121" s="461">
        <v>0</v>
      </c>
      <c r="AO121" s="461">
        <v>0</v>
      </c>
      <c r="AP121" s="461">
        <f t="shared" si="243"/>
        <v>0</v>
      </c>
      <c r="AQ121" s="461">
        <f t="shared" si="244"/>
        <v>0</v>
      </c>
      <c r="AR121" s="737">
        <f t="shared" si="245"/>
        <v>0</v>
      </c>
      <c r="AS121" s="470">
        <f t="shared" si="145"/>
        <v>1015934</v>
      </c>
      <c r="AT121" s="460">
        <f t="shared" si="146"/>
        <v>737531</v>
      </c>
      <c r="AU121" s="460">
        <f t="shared" si="147"/>
        <v>16250</v>
      </c>
      <c r="AV121" s="460">
        <f t="shared" si="148"/>
        <v>254778</v>
      </c>
      <c r="AW121" s="460">
        <f t="shared" si="149"/>
        <v>7375</v>
      </c>
      <c r="AX121" s="460">
        <f t="shared" si="150"/>
        <v>0</v>
      </c>
      <c r="AY121" s="461">
        <f t="shared" si="151"/>
        <v>1.76</v>
      </c>
      <c r="AZ121" s="461">
        <f t="shared" si="152"/>
        <v>1.76</v>
      </c>
      <c r="BA121" s="463">
        <f t="shared" si="153"/>
        <v>0</v>
      </c>
    </row>
    <row r="122" spans="1:53" s="98" customFormat="1" ht="14.1" customHeight="1" x14ac:dyDescent="0.2">
      <c r="A122" s="121">
        <v>19</v>
      </c>
      <c r="B122" s="78">
        <v>2497</v>
      </c>
      <c r="C122" s="95">
        <v>600080064</v>
      </c>
      <c r="D122" s="78">
        <v>72744189</v>
      </c>
      <c r="E122" s="78" t="s">
        <v>763</v>
      </c>
      <c r="F122" s="96">
        <v>3143</v>
      </c>
      <c r="G122" s="78" t="s">
        <v>617</v>
      </c>
      <c r="H122" s="97" t="s">
        <v>278</v>
      </c>
      <c r="I122" s="462">
        <v>39582</v>
      </c>
      <c r="J122" s="673">
        <v>28282</v>
      </c>
      <c r="K122" s="457">
        <v>9559</v>
      </c>
      <c r="L122" s="457">
        <v>283</v>
      </c>
      <c r="M122" s="673">
        <v>1458</v>
      </c>
      <c r="N122" s="458">
        <v>0.11</v>
      </c>
      <c r="O122" s="459">
        <v>0</v>
      </c>
      <c r="P122" s="717">
        <v>0.11</v>
      </c>
      <c r="Q122" s="469">
        <f t="shared" si="235"/>
        <v>0</v>
      </c>
      <c r="R122" s="460">
        <v>0</v>
      </c>
      <c r="S122" s="673">
        <v>0</v>
      </c>
      <c r="T122" s="460">
        <v>0</v>
      </c>
      <c r="U122" s="460">
        <v>0</v>
      </c>
      <c r="V122" s="460">
        <f t="shared" si="236"/>
        <v>0</v>
      </c>
      <c r="W122" s="460">
        <v>0</v>
      </c>
      <c r="X122" s="460">
        <v>0</v>
      </c>
      <c r="Y122" s="460">
        <v>0</v>
      </c>
      <c r="Z122" s="460">
        <f t="shared" si="237"/>
        <v>0</v>
      </c>
      <c r="AA122" s="460">
        <f t="shared" si="238"/>
        <v>0</v>
      </c>
      <c r="AB122" s="69">
        <f t="shared" si="239"/>
        <v>0</v>
      </c>
      <c r="AC122" s="69">
        <f t="shared" si="240"/>
        <v>0</v>
      </c>
      <c r="AD122" s="460">
        <v>0</v>
      </c>
      <c r="AE122" s="460">
        <v>0</v>
      </c>
      <c r="AF122" s="460">
        <f t="shared" si="241"/>
        <v>0</v>
      </c>
      <c r="AG122" s="460">
        <f t="shared" si="242"/>
        <v>0</v>
      </c>
      <c r="AH122" s="461">
        <v>0</v>
      </c>
      <c r="AI122" s="461">
        <v>0</v>
      </c>
      <c r="AJ122" s="461">
        <v>0</v>
      </c>
      <c r="AK122" s="461">
        <v>0</v>
      </c>
      <c r="AL122" s="674">
        <v>0</v>
      </c>
      <c r="AM122" s="461">
        <v>0</v>
      </c>
      <c r="AN122" s="461">
        <v>0</v>
      </c>
      <c r="AO122" s="461">
        <v>0</v>
      </c>
      <c r="AP122" s="461">
        <f t="shared" si="243"/>
        <v>0</v>
      </c>
      <c r="AQ122" s="461">
        <f t="shared" si="244"/>
        <v>0</v>
      </c>
      <c r="AR122" s="737">
        <f t="shared" si="245"/>
        <v>0</v>
      </c>
      <c r="AS122" s="470">
        <f t="shared" si="145"/>
        <v>39582</v>
      </c>
      <c r="AT122" s="460">
        <f t="shared" si="146"/>
        <v>28282</v>
      </c>
      <c r="AU122" s="460">
        <f t="shared" si="147"/>
        <v>0</v>
      </c>
      <c r="AV122" s="460">
        <f t="shared" si="148"/>
        <v>9559</v>
      </c>
      <c r="AW122" s="460">
        <f t="shared" si="149"/>
        <v>283</v>
      </c>
      <c r="AX122" s="460">
        <f t="shared" si="150"/>
        <v>1458</v>
      </c>
      <c r="AY122" s="461">
        <f t="shared" si="151"/>
        <v>0.11</v>
      </c>
      <c r="AZ122" s="461">
        <f t="shared" si="152"/>
        <v>0</v>
      </c>
      <c r="BA122" s="463">
        <f t="shared" si="153"/>
        <v>0.11</v>
      </c>
    </row>
    <row r="123" spans="1:53" s="98" customFormat="1" ht="14.1" customHeight="1" x14ac:dyDescent="0.2">
      <c r="A123" s="121">
        <v>19</v>
      </c>
      <c r="B123" s="78">
        <v>2497</v>
      </c>
      <c r="C123" s="95">
        <v>600080064</v>
      </c>
      <c r="D123" s="78">
        <v>72744189</v>
      </c>
      <c r="E123" s="78" t="s">
        <v>763</v>
      </c>
      <c r="F123" s="96">
        <v>3143</v>
      </c>
      <c r="G123" s="78" t="s">
        <v>313</v>
      </c>
      <c r="H123" s="97" t="s">
        <v>278</v>
      </c>
      <c r="I123" s="462">
        <v>358792</v>
      </c>
      <c r="J123" s="591">
        <v>265792</v>
      </c>
      <c r="K123" s="457">
        <v>89838</v>
      </c>
      <c r="L123" s="457">
        <v>2658</v>
      </c>
      <c r="M123" s="591">
        <v>504</v>
      </c>
      <c r="N123" s="458">
        <v>0.58000000000000007</v>
      </c>
      <c r="O123" s="459">
        <v>0.52</v>
      </c>
      <c r="P123" s="717">
        <v>0.06</v>
      </c>
      <c r="Q123" s="469">
        <f t="shared" si="235"/>
        <v>-6500</v>
      </c>
      <c r="R123" s="460">
        <v>0</v>
      </c>
      <c r="S123" s="673">
        <v>0</v>
      </c>
      <c r="T123" s="460">
        <v>0</v>
      </c>
      <c r="U123" s="460">
        <v>0</v>
      </c>
      <c r="V123" s="460">
        <f t="shared" si="236"/>
        <v>-6500</v>
      </c>
      <c r="W123" s="460">
        <v>6500</v>
      </c>
      <c r="X123" s="460">
        <v>0</v>
      </c>
      <c r="Y123" s="460">
        <v>0</v>
      </c>
      <c r="Z123" s="460">
        <f t="shared" si="237"/>
        <v>6500</v>
      </c>
      <c r="AA123" s="460">
        <f t="shared" si="238"/>
        <v>0</v>
      </c>
      <c r="AB123" s="69">
        <f t="shared" si="239"/>
        <v>0</v>
      </c>
      <c r="AC123" s="69">
        <f t="shared" si="240"/>
        <v>-65</v>
      </c>
      <c r="AD123" s="460">
        <v>0</v>
      </c>
      <c r="AE123" s="460">
        <v>0</v>
      </c>
      <c r="AF123" s="460">
        <f t="shared" si="241"/>
        <v>0</v>
      </c>
      <c r="AG123" s="460">
        <f t="shared" si="242"/>
        <v>-65</v>
      </c>
      <c r="AH123" s="461">
        <v>0</v>
      </c>
      <c r="AI123" s="461">
        <v>0</v>
      </c>
      <c r="AJ123" s="461">
        <v>0</v>
      </c>
      <c r="AK123" s="461">
        <v>0</v>
      </c>
      <c r="AL123" s="674">
        <v>0</v>
      </c>
      <c r="AM123" s="461">
        <v>0</v>
      </c>
      <c r="AN123" s="461">
        <v>0</v>
      </c>
      <c r="AO123" s="461">
        <v>0</v>
      </c>
      <c r="AP123" s="461">
        <f t="shared" si="243"/>
        <v>0</v>
      </c>
      <c r="AQ123" s="461">
        <f t="shared" si="244"/>
        <v>0</v>
      </c>
      <c r="AR123" s="737">
        <f t="shared" si="245"/>
        <v>0</v>
      </c>
      <c r="AS123" s="470">
        <f t="shared" si="145"/>
        <v>358727</v>
      </c>
      <c r="AT123" s="460">
        <f t="shared" si="146"/>
        <v>259292</v>
      </c>
      <c r="AU123" s="460">
        <f t="shared" si="147"/>
        <v>6500</v>
      </c>
      <c r="AV123" s="460">
        <f t="shared" si="148"/>
        <v>89838</v>
      </c>
      <c r="AW123" s="460">
        <f t="shared" si="149"/>
        <v>2593</v>
      </c>
      <c r="AX123" s="460">
        <f t="shared" si="150"/>
        <v>504</v>
      </c>
      <c r="AY123" s="461">
        <f t="shared" si="151"/>
        <v>0.58000000000000007</v>
      </c>
      <c r="AZ123" s="461">
        <f t="shared" si="152"/>
        <v>0.52</v>
      </c>
      <c r="BA123" s="463">
        <f t="shared" si="153"/>
        <v>0.06</v>
      </c>
    </row>
    <row r="124" spans="1:53" s="98" customFormat="1" ht="14.1" customHeight="1" x14ac:dyDescent="0.2">
      <c r="A124" s="122">
        <v>19</v>
      </c>
      <c r="B124" s="99">
        <v>2497</v>
      </c>
      <c r="C124" s="100">
        <v>600080064</v>
      </c>
      <c r="D124" s="99">
        <v>72744189</v>
      </c>
      <c r="E124" s="99" t="s">
        <v>764</v>
      </c>
      <c r="F124" s="101"/>
      <c r="G124" s="102"/>
      <c r="H124" s="103"/>
      <c r="I124" s="489">
        <f t="shared" ref="I124:P124" si="246">SUM(I116:I123)</f>
        <v>33121094</v>
      </c>
      <c r="J124" s="485">
        <f t="shared" si="246"/>
        <v>24287070</v>
      </c>
      <c r="K124" s="485">
        <f t="shared" si="246"/>
        <v>8209030</v>
      </c>
      <c r="L124" s="485">
        <f t="shared" si="246"/>
        <v>242871</v>
      </c>
      <c r="M124" s="485">
        <f t="shared" si="246"/>
        <v>382123</v>
      </c>
      <c r="N124" s="486">
        <f t="shared" si="246"/>
        <v>47.955999999999996</v>
      </c>
      <c r="O124" s="486">
        <f t="shared" si="246"/>
        <v>34.146000000000001</v>
      </c>
      <c r="P124" s="105">
        <f t="shared" si="246"/>
        <v>13.81</v>
      </c>
      <c r="Q124" s="491">
        <f t="shared" ref="Q124:BA124" si="247">SUM(Q116:Q123)</f>
        <v>-169000</v>
      </c>
      <c r="R124" s="491">
        <f t="shared" si="247"/>
        <v>3287963</v>
      </c>
      <c r="S124" s="485">
        <f t="shared" si="247"/>
        <v>0</v>
      </c>
      <c r="T124" s="485">
        <f t="shared" si="247"/>
        <v>0</v>
      </c>
      <c r="U124" s="485">
        <f t="shared" si="247"/>
        <v>0</v>
      </c>
      <c r="V124" s="485">
        <f t="shared" si="247"/>
        <v>3118963</v>
      </c>
      <c r="W124" s="485">
        <f t="shared" si="247"/>
        <v>169000</v>
      </c>
      <c r="X124" s="485">
        <f t="shared" si="247"/>
        <v>0</v>
      </c>
      <c r="Y124" s="485">
        <f t="shared" si="247"/>
        <v>0</v>
      </c>
      <c r="Z124" s="485">
        <f t="shared" si="247"/>
        <v>169000</v>
      </c>
      <c r="AA124" s="485">
        <f t="shared" si="247"/>
        <v>3287963</v>
      </c>
      <c r="AB124" s="485">
        <f t="shared" si="247"/>
        <v>1111331</v>
      </c>
      <c r="AC124" s="485">
        <f t="shared" si="247"/>
        <v>31188</v>
      </c>
      <c r="AD124" s="485">
        <f t="shared" si="247"/>
        <v>1250</v>
      </c>
      <c r="AE124" s="485">
        <f t="shared" si="247"/>
        <v>0</v>
      </c>
      <c r="AF124" s="485">
        <f t="shared" si="247"/>
        <v>1250</v>
      </c>
      <c r="AG124" s="485">
        <f t="shared" si="247"/>
        <v>4431732</v>
      </c>
      <c r="AH124" s="486">
        <f t="shared" si="247"/>
        <v>-0.08</v>
      </c>
      <c r="AI124" s="486">
        <f t="shared" si="247"/>
        <v>0</v>
      </c>
      <c r="AJ124" s="486">
        <f t="shared" si="247"/>
        <v>9.26</v>
      </c>
      <c r="AK124" s="486">
        <f t="shared" si="247"/>
        <v>0</v>
      </c>
      <c r="AL124" s="486">
        <f t="shared" si="247"/>
        <v>0</v>
      </c>
      <c r="AM124" s="486">
        <f t="shared" si="247"/>
        <v>0</v>
      </c>
      <c r="AN124" s="486">
        <f t="shared" si="247"/>
        <v>0</v>
      </c>
      <c r="AO124" s="486">
        <f t="shared" si="247"/>
        <v>0</v>
      </c>
      <c r="AP124" s="486">
        <f t="shared" si="247"/>
        <v>9.18</v>
      </c>
      <c r="AQ124" s="486">
        <f t="shared" si="247"/>
        <v>0</v>
      </c>
      <c r="AR124" s="738">
        <f t="shared" si="247"/>
        <v>9.18</v>
      </c>
      <c r="AS124" s="489">
        <f t="shared" si="247"/>
        <v>37552826</v>
      </c>
      <c r="AT124" s="485">
        <f t="shared" si="247"/>
        <v>27406033</v>
      </c>
      <c r="AU124" s="485">
        <f t="shared" si="247"/>
        <v>169000</v>
      </c>
      <c r="AV124" s="485">
        <f t="shared" si="247"/>
        <v>9320361</v>
      </c>
      <c r="AW124" s="485">
        <f t="shared" si="247"/>
        <v>274059</v>
      </c>
      <c r="AX124" s="485">
        <f t="shared" si="247"/>
        <v>383373</v>
      </c>
      <c r="AY124" s="486">
        <f t="shared" si="247"/>
        <v>57.135999999999996</v>
      </c>
      <c r="AZ124" s="486">
        <f t="shared" si="247"/>
        <v>43.326000000000001</v>
      </c>
      <c r="BA124" s="105">
        <f t="shared" si="247"/>
        <v>13.81</v>
      </c>
    </row>
    <row r="125" spans="1:53" s="98" customFormat="1" ht="14.1" customHeight="1" x14ac:dyDescent="0.2">
      <c r="A125" s="121">
        <v>20</v>
      </c>
      <c r="B125" s="104">
        <v>2446</v>
      </c>
      <c r="C125" s="95">
        <v>600080129</v>
      </c>
      <c r="D125" s="78">
        <v>72743522</v>
      </c>
      <c r="E125" s="78" t="s">
        <v>765</v>
      </c>
      <c r="F125" s="96">
        <v>3111</v>
      </c>
      <c r="G125" s="78" t="s">
        <v>307</v>
      </c>
      <c r="H125" s="97" t="s">
        <v>277</v>
      </c>
      <c r="I125" s="462">
        <v>2974231</v>
      </c>
      <c r="J125" s="16">
        <v>2194534</v>
      </c>
      <c r="K125" s="457">
        <v>741752</v>
      </c>
      <c r="L125" s="457">
        <v>21945</v>
      </c>
      <c r="M125" s="16">
        <v>16000</v>
      </c>
      <c r="N125" s="458">
        <v>4.5908999999999995</v>
      </c>
      <c r="O125" s="13">
        <v>3.8708999999999998</v>
      </c>
      <c r="P125" s="17">
        <v>0.72</v>
      </c>
      <c r="Q125" s="469">
        <f t="shared" ref="Q125:Q129" si="248">W125*-1</f>
        <v>-6500</v>
      </c>
      <c r="R125" s="460">
        <v>0</v>
      </c>
      <c r="S125" s="673">
        <v>0</v>
      </c>
      <c r="T125" s="460">
        <v>0</v>
      </c>
      <c r="U125" s="460">
        <v>0</v>
      </c>
      <c r="V125" s="460">
        <f>SUM(Q125:U125)</f>
        <v>-6500</v>
      </c>
      <c r="W125" s="460">
        <v>6500</v>
      </c>
      <c r="X125" s="460">
        <v>0</v>
      </c>
      <c r="Y125" s="460">
        <v>0</v>
      </c>
      <c r="Z125" s="460">
        <f t="shared" ref="Z125:Z129" si="249">SUM(W125:Y125)</f>
        <v>6500</v>
      </c>
      <c r="AA125" s="460">
        <f t="shared" ref="AA125:AA129" si="250">V125+Z125</f>
        <v>0</v>
      </c>
      <c r="AB125" s="69">
        <f t="shared" ref="AB125:AB129" si="251">ROUND((V125+W125+X125)*33.8%,0)</f>
        <v>0</v>
      </c>
      <c r="AC125" s="69">
        <f t="shared" ref="AC125:AC129" si="252">ROUND(V125*1%,0)</f>
        <v>-65</v>
      </c>
      <c r="AD125" s="460">
        <v>0</v>
      </c>
      <c r="AE125" s="460">
        <v>0</v>
      </c>
      <c r="AF125" s="460">
        <f t="shared" ref="AF125:AF129" si="253">SUM(AD125:AE125)</f>
        <v>0</v>
      </c>
      <c r="AG125" s="460">
        <f t="shared" ref="AG125:AG129" si="254">AA125+AB125+AC125+AF125</f>
        <v>-65</v>
      </c>
      <c r="AH125" s="461">
        <v>0</v>
      </c>
      <c r="AI125" s="461">
        <v>0</v>
      </c>
      <c r="AJ125" s="461">
        <v>0</v>
      </c>
      <c r="AK125" s="461">
        <v>0</v>
      </c>
      <c r="AL125" s="674">
        <v>0</v>
      </c>
      <c r="AM125" s="461">
        <v>0</v>
      </c>
      <c r="AN125" s="461">
        <v>0</v>
      </c>
      <c r="AO125" s="461">
        <v>0</v>
      </c>
      <c r="AP125" s="461">
        <f t="shared" ref="AP125:AP129" si="255">AH125+AJ125+AK125+AM125+AN125</f>
        <v>0</v>
      </c>
      <c r="AQ125" s="461">
        <f t="shared" ref="AQ125:AQ129" si="256">AI125+AL125+AO125</f>
        <v>0</v>
      </c>
      <c r="AR125" s="737">
        <f t="shared" ref="AR125:AR129" si="257">SUM(AP125:AQ125)</f>
        <v>0</v>
      </c>
      <c r="AS125" s="470">
        <f t="shared" si="145"/>
        <v>2974166</v>
      </c>
      <c r="AT125" s="460">
        <f t="shared" si="146"/>
        <v>2188034</v>
      </c>
      <c r="AU125" s="460">
        <f t="shared" si="147"/>
        <v>6500</v>
      </c>
      <c r="AV125" s="460">
        <f t="shared" si="148"/>
        <v>741752</v>
      </c>
      <c r="AW125" s="460">
        <f t="shared" si="149"/>
        <v>21880</v>
      </c>
      <c r="AX125" s="460">
        <f t="shared" si="150"/>
        <v>16000</v>
      </c>
      <c r="AY125" s="461">
        <f t="shared" si="151"/>
        <v>4.5908999999999995</v>
      </c>
      <c r="AZ125" s="461">
        <f t="shared" si="152"/>
        <v>3.8708999999999998</v>
      </c>
      <c r="BA125" s="463">
        <f t="shared" si="153"/>
        <v>0.72</v>
      </c>
    </row>
    <row r="126" spans="1:53" s="98" customFormat="1" ht="14.1" customHeight="1" x14ac:dyDescent="0.2">
      <c r="A126" s="121">
        <v>20</v>
      </c>
      <c r="B126" s="106">
        <v>2446</v>
      </c>
      <c r="C126" s="95">
        <v>600080129</v>
      </c>
      <c r="D126" s="78">
        <v>72743522</v>
      </c>
      <c r="E126" s="106" t="s">
        <v>765</v>
      </c>
      <c r="F126" s="107">
        <v>3117</v>
      </c>
      <c r="G126" s="106" t="s">
        <v>325</v>
      </c>
      <c r="H126" s="97" t="s">
        <v>277</v>
      </c>
      <c r="I126" s="462">
        <v>5489601</v>
      </c>
      <c r="J126" s="16">
        <v>4016599</v>
      </c>
      <c r="K126" s="457">
        <v>1357611</v>
      </c>
      <c r="L126" s="457">
        <v>40166</v>
      </c>
      <c r="M126" s="16">
        <v>75225</v>
      </c>
      <c r="N126" s="458">
        <v>7.7160000000000002</v>
      </c>
      <c r="O126" s="13">
        <v>5.6360000000000001</v>
      </c>
      <c r="P126" s="17">
        <v>2.08</v>
      </c>
      <c r="Q126" s="469">
        <f t="shared" si="248"/>
        <v>-13000</v>
      </c>
      <c r="R126" s="460">
        <v>0</v>
      </c>
      <c r="S126" s="673">
        <v>0</v>
      </c>
      <c r="T126" s="460">
        <v>0</v>
      </c>
      <c r="U126" s="460">
        <v>0</v>
      </c>
      <c r="V126" s="460">
        <f>SUM(Q126:U126)</f>
        <v>-13000</v>
      </c>
      <c r="W126" s="460">
        <v>13000</v>
      </c>
      <c r="X126" s="460">
        <v>0</v>
      </c>
      <c r="Y126" s="460">
        <v>0</v>
      </c>
      <c r="Z126" s="460">
        <f t="shared" si="249"/>
        <v>13000</v>
      </c>
      <c r="AA126" s="460">
        <f t="shared" si="250"/>
        <v>0</v>
      </c>
      <c r="AB126" s="69">
        <f t="shared" si="251"/>
        <v>0</v>
      </c>
      <c r="AC126" s="69">
        <f t="shared" si="252"/>
        <v>-130</v>
      </c>
      <c r="AD126" s="460">
        <v>0</v>
      </c>
      <c r="AE126" s="460">
        <v>0</v>
      </c>
      <c r="AF126" s="460">
        <f t="shared" si="253"/>
        <v>0</v>
      </c>
      <c r="AG126" s="460">
        <f t="shared" si="254"/>
        <v>-130</v>
      </c>
      <c r="AH126" s="461">
        <v>0</v>
      </c>
      <c r="AI126" s="461">
        <v>0</v>
      </c>
      <c r="AJ126" s="461">
        <v>0</v>
      </c>
      <c r="AK126" s="461">
        <v>0</v>
      </c>
      <c r="AL126" s="674">
        <v>0</v>
      </c>
      <c r="AM126" s="461">
        <v>0</v>
      </c>
      <c r="AN126" s="461">
        <v>0</v>
      </c>
      <c r="AO126" s="461">
        <v>0</v>
      </c>
      <c r="AP126" s="461">
        <f t="shared" si="255"/>
        <v>0</v>
      </c>
      <c r="AQ126" s="461">
        <f t="shared" si="256"/>
        <v>0</v>
      </c>
      <c r="AR126" s="737">
        <f t="shared" si="257"/>
        <v>0</v>
      </c>
      <c r="AS126" s="470">
        <f t="shared" si="145"/>
        <v>5489471</v>
      </c>
      <c r="AT126" s="460">
        <f t="shared" si="146"/>
        <v>4003599</v>
      </c>
      <c r="AU126" s="460">
        <f t="shared" si="147"/>
        <v>13000</v>
      </c>
      <c r="AV126" s="460">
        <f t="shared" si="148"/>
        <v>1357611</v>
      </c>
      <c r="AW126" s="460">
        <f t="shared" si="149"/>
        <v>40036</v>
      </c>
      <c r="AX126" s="460">
        <f t="shared" si="150"/>
        <v>75225</v>
      </c>
      <c r="AY126" s="461">
        <f t="shared" si="151"/>
        <v>7.7160000000000002</v>
      </c>
      <c r="AZ126" s="461">
        <f t="shared" si="152"/>
        <v>5.6360000000000001</v>
      </c>
      <c r="BA126" s="463">
        <f t="shared" si="153"/>
        <v>2.08</v>
      </c>
    </row>
    <row r="127" spans="1:53" s="98" customFormat="1" ht="14.1" customHeight="1" x14ac:dyDescent="0.2">
      <c r="A127" s="121">
        <v>20</v>
      </c>
      <c r="B127" s="104">
        <v>2446</v>
      </c>
      <c r="C127" s="95">
        <v>600080129</v>
      </c>
      <c r="D127" s="78">
        <v>72743522</v>
      </c>
      <c r="E127" s="104" t="s">
        <v>765</v>
      </c>
      <c r="F127" s="96">
        <v>3117</v>
      </c>
      <c r="G127" s="78" t="s">
        <v>308</v>
      </c>
      <c r="H127" s="97" t="s">
        <v>278</v>
      </c>
      <c r="I127" s="462">
        <v>0</v>
      </c>
      <c r="J127" s="591">
        <v>0</v>
      </c>
      <c r="K127" s="457">
        <v>0</v>
      </c>
      <c r="L127" s="457">
        <v>0</v>
      </c>
      <c r="M127" s="591">
        <v>0</v>
      </c>
      <c r="N127" s="458">
        <v>0</v>
      </c>
      <c r="O127" s="459">
        <v>0</v>
      </c>
      <c r="P127" s="717">
        <v>0</v>
      </c>
      <c r="Q127" s="469">
        <f t="shared" si="248"/>
        <v>0</v>
      </c>
      <c r="R127" s="460">
        <v>833559</v>
      </c>
      <c r="S127" s="673">
        <v>0</v>
      </c>
      <c r="T127" s="460">
        <v>0</v>
      </c>
      <c r="U127" s="460">
        <v>0</v>
      </c>
      <c r="V127" s="460">
        <f>SUM(Q127:U127)</f>
        <v>833559</v>
      </c>
      <c r="W127" s="460">
        <v>0</v>
      </c>
      <c r="X127" s="460">
        <v>0</v>
      </c>
      <c r="Y127" s="460">
        <v>0</v>
      </c>
      <c r="Z127" s="460">
        <f t="shared" si="249"/>
        <v>0</v>
      </c>
      <c r="AA127" s="460">
        <f t="shared" si="250"/>
        <v>833559</v>
      </c>
      <c r="AB127" s="69">
        <f t="shared" si="251"/>
        <v>281743</v>
      </c>
      <c r="AC127" s="69">
        <f t="shared" si="252"/>
        <v>8336</v>
      </c>
      <c r="AD127" s="460">
        <v>0</v>
      </c>
      <c r="AE127" s="460">
        <v>0</v>
      </c>
      <c r="AF127" s="460">
        <f t="shared" si="253"/>
        <v>0</v>
      </c>
      <c r="AG127" s="460">
        <f t="shared" si="254"/>
        <v>1123638</v>
      </c>
      <c r="AH127" s="461">
        <v>0</v>
      </c>
      <c r="AI127" s="461">
        <v>0</v>
      </c>
      <c r="AJ127" s="461">
        <v>2.34</v>
      </c>
      <c r="AK127" s="461">
        <v>0</v>
      </c>
      <c r="AL127" s="674">
        <v>0</v>
      </c>
      <c r="AM127" s="461">
        <v>0</v>
      </c>
      <c r="AN127" s="461">
        <v>0</v>
      </c>
      <c r="AO127" s="461">
        <v>0</v>
      </c>
      <c r="AP127" s="461">
        <f t="shared" si="255"/>
        <v>2.34</v>
      </c>
      <c r="AQ127" s="461">
        <f t="shared" si="256"/>
        <v>0</v>
      </c>
      <c r="AR127" s="737">
        <f t="shared" si="257"/>
        <v>2.34</v>
      </c>
      <c r="AS127" s="470">
        <f t="shared" si="145"/>
        <v>1123638</v>
      </c>
      <c r="AT127" s="460">
        <f t="shared" si="146"/>
        <v>833559</v>
      </c>
      <c r="AU127" s="460">
        <f t="shared" si="147"/>
        <v>0</v>
      </c>
      <c r="AV127" s="460">
        <f t="shared" si="148"/>
        <v>281743</v>
      </c>
      <c r="AW127" s="460">
        <f t="shared" si="149"/>
        <v>8336</v>
      </c>
      <c r="AX127" s="460">
        <f t="shared" si="150"/>
        <v>0</v>
      </c>
      <c r="AY127" s="461">
        <f t="shared" si="151"/>
        <v>2.34</v>
      </c>
      <c r="AZ127" s="461">
        <f t="shared" si="152"/>
        <v>2.34</v>
      </c>
      <c r="BA127" s="463">
        <f t="shared" si="153"/>
        <v>0</v>
      </c>
    </row>
    <row r="128" spans="1:53" s="98" customFormat="1" ht="14.1" customHeight="1" x14ac:dyDescent="0.2">
      <c r="A128" s="121">
        <v>20</v>
      </c>
      <c r="B128" s="78">
        <v>2446</v>
      </c>
      <c r="C128" s="95">
        <v>600080129</v>
      </c>
      <c r="D128" s="78">
        <v>72743522</v>
      </c>
      <c r="E128" s="78" t="s">
        <v>765</v>
      </c>
      <c r="F128" s="96">
        <v>3143</v>
      </c>
      <c r="G128" s="78" t="s">
        <v>616</v>
      </c>
      <c r="H128" s="97" t="s">
        <v>277</v>
      </c>
      <c r="I128" s="462">
        <v>841760</v>
      </c>
      <c r="J128" s="715">
        <v>624451</v>
      </c>
      <c r="K128" s="457">
        <v>211064</v>
      </c>
      <c r="L128" s="457">
        <v>6245</v>
      </c>
      <c r="M128" s="715">
        <v>0</v>
      </c>
      <c r="N128" s="458">
        <v>1.3959999999999999</v>
      </c>
      <c r="O128" s="716">
        <v>1.3959999999999999</v>
      </c>
      <c r="P128" s="718">
        <v>0</v>
      </c>
      <c r="Q128" s="469">
        <f t="shared" si="248"/>
        <v>0</v>
      </c>
      <c r="R128" s="460">
        <v>0</v>
      </c>
      <c r="S128" s="673">
        <v>0</v>
      </c>
      <c r="T128" s="460">
        <v>0</v>
      </c>
      <c r="U128" s="460">
        <v>0</v>
      </c>
      <c r="V128" s="460">
        <f>SUM(Q128:U128)</f>
        <v>0</v>
      </c>
      <c r="W128" s="460">
        <v>0</v>
      </c>
      <c r="X128" s="460">
        <v>0</v>
      </c>
      <c r="Y128" s="460">
        <v>0</v>
      </c>
      <c r="Z128" s="460">
        <f t="shared" si="249"/>
        <v>0</v>
      </c>
      <c r="AA128" s="460">
        <f t="shared" si="250"/>
        <v>0</v>
      </c>
      <c r="AB128" s="69">
        <f t="shared" si="251"/>
        <v>0</v>
      </c>
      <c r="AC128" s="69">
        <f t="shared" si="252"/>
        <v>0</v>
      </c>
      <c r="AD128" s="460">
        <v>0</v>
      </c>
      <c r="AE128" s="460">
        <v>0</v>
      </c>
      <c r="AF128" s="460">
        <f t="shared" si="253"/>
        <v>0</v>
      </c>
      <c r="AG128" s="460">
        <f t="shared" si="254"/>
        <v>0</v>
      </c>
      <c r="AH128" s="461">
        <v>0</v>
      </c>
      <c r="AI128" s="461">
        <v>0</v>
      </c>
      <c r="AJ128" s="461">
        <v>0</v>
      </c>
      <c r="AK128" s="461">
        <v>0</v>
      </c>
      <c r="AL128" s="674">
        <v>0</v>
      </c>
      <c r="AM128" s="461">
        <v>0</v>
      </c>
      <c r="AN128" s="461">
        <v>0</v>
      </c>
      <c r="AO128" s="461">
        <v>0</v>
      </c>
      <c r="AP128" s="461">
        <f t="shared" si="255"/>
        <v>0</v>
      </c>
      <c r="AQ128" s="461">
        <f t="shared" si="256"/>
        <v>0</v>
      </c>
      <c r="AR128" s="737">
        <f t="shared" si="257"/>
        <v>0</v>
      </c>
      <c r="AS128" s="470">
        <f t="shared" si="145"/>
        <v>841760</v>
      </c>
      <c r="AT128" s="460">
        <f t="shared" si="146"/>
        <v>624451</v>
      </c>
      <c r="AU128" s="460">
        <f t="shared" si="147"/>
        <v>0</v>
      </c>
      <c r="AV128" s="460">
        <f t="shared" si="148"/>
        <v>211064</v>
      </c>
      <c r="AW128" s="460">
        <f t="shared" si="149"/>
        <v>6245</v>
      </c>
      <c r="AX128" s="460">
        <f t="shared" si="150"/>
        <v>0</v>
      </c>
      <c r="AY128" s="461">
        <f t="shared" si="151"/>
        <v>1.3959999999999999</v>
      </c>
      <c r="AZ128" s="461">
        <f t="shared" si="152"/>
        <v>1.3959999999999999</v>
      </c>
      <c r="BA128" s="463">
        <f t="shared" si="153"/>
        <v>0</v>
      </c>
    </row>
    <row r="129" spans="1:53" s="98" customFormat="1" ht="14.1" customHeight="1" x14ac:dyDescent="0.2">
      <c r="A129" s="121">
        <v>20</v>
      </c>
      <c r="B129" s="78">
        <v>2446</v>
      </c>
      <c r="C129" s="95">
        <v>600080129</v>
      </c>
      <c r="D129" s="78">
        <v>72743522</v>
      </c>
      <c r="E129" s="78" t="s">
        <v>765</v>
      </c>
      <c r="F129" s="96">
        <v>3143</v>
      </c>
      <c r="G129" s="78" t="s">
        <v>617</v>
      </c>
      <c r="H129" s="97" t="s">
        <v>278</v>
      </c>
      <c r="I129" s="462">
        <v>24922</v>
      </c>
      <c r="J129" s="673">
        <v>17807</v>
      </c>
      <c r="K129" s="457">
        <v>6019</v>
      </c>
      <c r="L129" s="457">
        <v>178</v>
      </c>
      <c r="M129" s="673">
        <v>918</v>
      </c>
      <c r="N129" s="458">
        <v>7.0000000000000007E-2</v>
      </c>
      <c r="O129" s="459">
        <v>0</v>
      </c>
      <c r="P129" s="717">
        <v>7.0000000000000007E-2</v>
      </c>
      <c r="Q129" s="469">
        <f t="shared" si="248"/>
        <v>0</v>
      </c>
      <c r="R129" s="460">
        <v>0</v>
      </c>
      <c r="S129" s="673">
        <v>0</v>
      </c>
      <c r="T129" s="460">
        <v>0</v>
      </c>
      <c r="U129" s="460">
        <v>0</v>
      </c>
      <c r="V129" s="460">
        <f>SUM(Q129:U129)</f>
        <v>0</v>
      </c>
      <c r="W129" s="460">
        <v>0</v>
      </c>
      <c r="X129" s="460">
        <v>0</v>
      </c>
      <c r="Y129" s="460">
        <v>0</v>
      </c>
      <c r="Z129" s="460">
        <f t="shared" si="249"/>
        <v>0</v>
      </c>
      <c r="AA129" s="460">
        <f t="shared" si="250"/>
        <v>0</v>
      </c>
      <c r="AB129" s="69">
        <f t="shared" si="251"/>
        <v>0</v>
      </c>
      <c r="AC129" s="69">
        <f t="shared" si="252"/>
        <v>0</v>
      </c>
      <c r="AD129" s="460">
        <v>0</v>
      </c>
      <c r="AE129" s="460">
        <v>0</v>
      </c>
      <c r="AF129" s="460">
        <f t="shared" si="253"/>
        <v>0</v>
      </c>
      <c r="AG129" s="460">
        <f t="shared" si="254"/>
        <v>0</v>
      </c>
      <c r="AH129" s="461">
        <v>0</v>
      </c>
      <c r="AI129" s="461">
        <v>0</v>
      </c>
      <c r="AJ129" s="461">
        <v>0</v>
      </c>
      <c r="AK129" s="461">
        <v>0</v>
      </c>
      <c r="AL129" s="674">
        <v>0</v>
      </c>
      <c r="AM129" s="461">
        <v>0</v>
      </c>
      <c r="AN129" s="461">
        <v>0</v>
      </c>
      <c r="AO129" s="461">
        <v>0</v>
      </c>
      <c r="AP129" s="461">
        <f t="shared" si="255"/>
        <v>0</v>
      </c>
      <c r="AQ129" s="461">
        <f t="shared" si="256"/>
        <v>0</v>
      </c>
      <c r="AR129" s="737">
        <f t="shared" si="257"/>
        <v>0</v>
      </c>
      <c r="AS129" s="470">
        <f t="shared" si="145"/>
        <v>24922</v>
      </c>
      <c r="AT129" s="460">
        <f t="shared" si="146"/>
        <v>17807</v>
      </c>
      <c r="AU129" s="460">
        <f t="shared" si="147"/>
        <v>0</v>
      </c>
      <c r="AV129" s="460">
        <f t="shared" si="148"/>
        <v>6019</v>
      </c>
      <c r="AW129" s="460">
        <f t="shared" si="149"/>
        <v>178</v>
      </c>
      <c r="AX129" s="460">
        <f t="shared" si="150"/>
        <v>918</v>
      </c>
      <c r="AY129" s="461">
        <f t="shared" si="151"/>
        <v>7.0000000000000007E-2</v>
      </c>
      <c r="AZ129" s="461">
        <f t="shared" si="152"/>
        <v>0</v>
      </c>
      <c r="BA129" s="463">
        <f t="shared" si="153"/>
        <v>7.0000000000000007E-2</v>
      </c>
    </row>
    <row r="130" spans="1:53" s="98" customFormat="1" ht="14.1" customHeight="1" thickBot="1" x14ac:dyDescent="0.25">
      <c r="A130" s="123">
        <v>20</v>
      </c>
      <c r="B130" s="110">
        <v>2446</v>
      </c>
      <c r="C130" s="111">
        <v>600080129</v>
      </c>
      <c r="D130" s="110">
        <v>72743522</v>
      </c>
      <c r="E130" s="110" t="s">
        <v>766</v>
      </c>
      <c r="F130" s="112"/>
      <c r="G130" s="113"/>
      <c r="H130" s="114"/>
      <c r="I130" s="645">
        <f t="shared" ref="I130:P130" si="258">SUM(I125:I129)</f>
        <v>9330514</v>
      </c>
      <c r="J130" s="592">
        <f t="shared" si="258"/>
        <v>6853391</v>
      </c>
      <c r="K130" s="592">
        <f t="shared" si="258"/>
        <v>2316446</v>
      </c>
      <c r="L130" s="592">
        <f t="shared" si="258"/>
        <v>68534</v>
      </c>
      <c r="M130" s="592">
        <f t="shared" si="258"/>
        <v>92143</v>
      </c>
      <c r="N130" s="593">
        <f t="shared" si="258"/>
        <v>13.7729</v>
      </c>
      <c r="O130" s="593">
        <f t="shared" si="258"/>
        <v>10.902899999999999</v>
      </c>
      <c r="P130" s="594">
        <f t="shared" si="258"/>
        <v>2.8699999999999997</v>
      </c>
      <c r="Q130" s="628">
        <f t="shared" ref="Q130:BA130" si="259">SUM(Q125:Q129)</f>
        <v>-19500</v>
      </c>
      <c r="R130" s="628">
        <f t="shared" si="259"/>
        <v>833559</v>
      </c>
      <c r="S130" s="592">
        <f t="shared" si="259"/>
        <v>0</v>
      </c>
      <c r="T130" s="592">
        <f t="shared" si="259"/>
        <v>0</v>
      </c>
      <c r="U130" s="592">
        <f t="shared" si="259"/>
        <v>0</v>
      </c>
      <c r="V130" s="592">
        <f t="shared" si="259"/>
        <v>814059</v>
      </c>
      <c r="W130" s="592">
        <f t="shared" si="259"/>
        <v>19500</v>
      </c>
      <c r="X130" s="592">
        <f t="shared" si="259"/>
        <v>0</v>
      </c>
      <c r="Y130" s="592">
        <f t="shared" si="259"/>
        <v>0</v>
      </c>
      <c r="Z130" s="592">
        <f t="shared" si="259"/>
        <v>19500</v>
      </c>
      <c r="AA130" s="592">
        <f t="shared" si="259"/>
        <v>833559</v>
      </c>
      <c r="AB130" s="592">
        <f t="shared" si="259"/>
        <v>281743</v>
      </c>
      <c r="AC130" s="592">
        <f t="shared" si="259"/>
        <v>8141</v>
      </c>
      <c r="AD130" s="592">
        <f t="shared" si="259"/>
        <v>0</v>
      </c>
      <c r="AE130" s="592">
        <f t="shared" si="259"/>
        <v>0</v>
      </c>
      <c r="AF130" s="592">
        <f t="shared" si="259"/>
        <v>0</v>
      </c>
      <c r="AG130" s="592">
        <f t="shared" si="259"/>
        <v>1123443</v>
      </c>
      <c r="AH130" s="593">
        <f t="shared" si="259"/>
        <v>0</v>
      </c>
      <c r="AI130" s="593">
        <f t="shared" si="259"/>
        <v>0</v>
      </c>
      <c r="AJ130" s="593">
        <f t="shared" si="259"/>
        <v>2.34</v>
      </c>
      <c r="AK130" s="593">
        <f t="shared" si="259"/>
        <v>0</v>
      </c>
      <c r="AL130" s="593">
        <f t="shared" si="259"/>
        <v>0</v>
      </c>
      <c r="AM130" s="593">
        <f t="shared" si="259"/>
        <v>0</v>
      </c>
      <c r="AN130" s="593">
        <f t="shared" si="259"/>
        <v>0</v>
      </c>
      <c r="AO130" s="593">
        <f t="shared" si="259"/>
        <v>0</v>
      </c>
      <c r="AP130" s="593">
        <f t="shared" si="259"/>
        <v>2.34</v>
      </c>
      <c r="AQ130" s="593">
        <f t="shared" si="259"/>
        <v>0</v>
      </c>
      <c r="AR130" s="740">
        <f t="shared" si="259"/>
        <v>2.34</v>
      </c>
      <c r="AS130" s="645">
        <f t="shared" si="259"/>
        <v>10453957</v>
      </c>
      <c r="AT130" s="592">
        <f t="shared" si="259"/>
        <v>7667450</v>
      </c>
      <c r="AU130" s="592">
        <f t="shared" si="259"/>
        <v>19500</v>
      </c>
      <c r="AV130" s="592">
        <f t="shared" si="259"/>
        <v>2598189</v>
      </c>
      <c r="AW130" s="592">
        <f t="shared" si="259"/>
        <v>76675</v>
      </c>
      <c r="AX130" s="592">
        <f t="shared" si="259"/>
        <v>92143</v>
      </c>
      <c r="AY130" s="593">
        <f t="shared" si="259"/>
        <v>16.1129</v>
      </c>
      <c r="AZ130" s="593">
        <f t="shared" si="259"/>
        <v>13.242899999999999</v>
      </c>
      <c r="BA130" s="594">
        <f t="shared" si="259"/>
        <v>2.8699999999999997</v>
      </c>
    </row>
    <row r="131" spans="1:53" s="98" customFormat="1" ht="14.1" customHeight="1" thickBot="1" x14ac:dyDescent="0.25">
      <c r="A131" s="258"/>
      <c r="B131" s="259"/>
      <c r="C131" s="259"/>
      <c r="D131" s="259"/>
      <c r="E131" s="259" t="s">
        <v>767</v>
      </c>
      <c r="F131" s="259"/>
      <c r="G131" s="259"/>
      <c r="H131" s="260"/>
      <c r="I131" s="644">
        <f t="shared" ref="I131:P131" si="260">I130+I124+I115+I113+I107+I105+I101+I95+I91+I84+I77+I70+I63+I56+I49+I42+I35+I28+I19+I13</f>
        <v>305041170</v>
      </c>
      <c r="J131" s="589">
        <f t="shared" si="260"/>
        <v>223582996</v>
      </c>
      <c r="K131" s="589">
        <f t="shared" si="260"/>
        <v>75571051</v>
      </c>
      <c r="L131" s="589">
        <f t="shared" si="260"/>
        <v>2235831</v>
      </c>
      <c r="M131" s="589">
        <f t="shared" si="260"/>
        <v>3651292</v>
      </c>
      <c r="N131" s="590">
        <f t="shared" si="260"/>
        <v>438.83780000000002</v>
      </c>
      <c r="O131" s="590">
        <f t="shared" si="260"/>
        <v>314.8338</v>
      </c>
      <c r="P131" s="596">
        <f t="shared" si="260"/>
        <v>124.004</v>
      </c>
      <c r="Q131" s="595">
        <f t="shared" ref="Q131:BA131" si="261">Q130+Q124+Q115+Q113+Q107+Q105+Q101+Q95+Q91+Q84+Q77+Q70+Q63+Q56+Q49+Q42+Q35+Q28+Q19+Q13</f>
        <v>-1344478</v>
      </c>
      <c r="R131" s="589">
        <f t="shared" si="261"/>
        <v>22069874</v>
      </c>
      <c r="S131" s="589">
        <f t="shared" si="261"/>
        <v>0</v>
      </c>
      <c r="T131" s="589">
        <f t="shared" si="261"/>
        <v>0</v>
      </c>
      <c r="U131" s="589">
        <f t="shared" si="261"/>
        <v>67320</v>
      </c>
      <c r="V131" s="589">
        <f t="shared" si="261"/>
        <v>20792716</v>
      </c>
      <c r="W131" s="589">
        <f t="shared" si="261"/>
        <v>1344478</v>
      </c>
      <c r="X131" s="589">
        <f t="shared" si="261"/>
        <v>37140</v>
      </c>
      <c r="Y131" s="589">
        <f t="shared" si="261"/>
        <v>0</v>
      </c>
      <c r="Z131" s="589">
        <f t="shared" si="261"/>
        <v>1381618</v>
      </c>
      <c r="AA131" s="589">
        <f t="shared" si="261"/>
        <v>22174334</v>
      </c>
      <c r="AB131" s="589">
        <f t="shared" si="261"/>
        <v>7494923</v>
      </c>
      <c r="AC131" s="589">
        <f t="shared" si="261"/>
        <v>207922</v>
      </c>
      <c r="AD131" s="589">
        <f t="shared" si="261"/>
        <v>10750</v>
      </c>
      <c r="AE131" s="589">
        <f t="shared" si="261"/>
        <v>0</v>
      </c>
      <c r="AF131" s="589">
        <f t="shared" si="261"/>
        <v>10750</v>
      </c>
      <c r="AG131" s="589">
        <f t="shared" si="261"/>
        <v>29887929</v>
      </c>
      <c r="AH131" s="590">
        <f t="shared" si="261"/>
        <v>-0.55000000000000004</v>
      </c>
      <c r="AI131" s="590">
        <f t="shared" si="261"/>
        <v>-0.98</v>
      </c>
      <c r="AJ131" s="590">
        <f t="shared" si="261"/>
        <v>63.37</v>
      </c>
      <c r="AK131" s="590">
        <f t="shared" ref="AK131:AL131" si="262">AK130+AK124+AK115+AK113+AK107+AK105+AK101+AK95+AK91+AK84+AK77+AK70+AK63+AK56+AK49+AK42+AK35+AK28+AK19+AK13</f>
        <v>0</v>
      </c>
      <c r="AL131" s="590">
        <f t="shared" si="262"/>
        <v>0</v>
      </c>
      <c r="AM131" s="590">
        <f t="shared" ref="AM131:AR131" si="263">AM130+AM124+AM115+AM113+AM107+AM105+AM101+AM95+AM91+AM84+AM77+AM70+AM63+AM56+AM49+AM42+AM35+AM28+AM19+AM13</f>
        <v>0</v>
      </c>
      <c r="AN131" s="590">
        <f t="shared" si="263"/>
        <v>0.13</v>
      </c>
      <c r="AO131" s="590">
        <f t="shared" si="263"/>
        <v>1.45</v>
      </c>
      <c r="AP131" s="590">
        <f t="shared" si="263"/>
        <v>62.949999999999996</v>
      </c>
      <c r="AQ131" s="590">
        <f t="shared" si="263"/>
        <v>0.47</v>
      </c>
      <c r="AR131" s="596">
        <f t="shared" si="263"/>
        <v>63.419999999999987</v>
      </c>
      <c r="AS131" s="595">
        <f t="shared" si="261"/>
        <v>334929099</v>
      </c>
      <c r="AT131" s="589">
        <f t="shared" si="261"/>
        <v>244375712</v>
      </c>
      <c r="AU131" s="589">
        <f t="shared" si="261"/>
        <v>1381618</v>
      </c>
      <c r="AV131" s="589">
        <f t="shared" si="261"/>
        <v>83065974</v>
      </c>
      <c r="AW131" s="589">
        <f t="shared" si="261"/>
        <v>2443753</v>
      </c>
      <c r="AX131" s="589">
        <f t="shared" si="261"/>
        <v>3662042</v>
      </c>
      <c r="AY131" s="590">
        <f t="shared" si="261"/>
        <v>502.25780000000003</v>
      </c>
      <c r="AZ131" s="590">
        <f t="shared" si="261"/>
        <v>377.78380000000004</v>
      </c>
      <c r="BA131" s="596">
        <f t="shared" si="261"/>
        <v>124.47399999999999</v>
      </c>
    </row>
    <row r="132" spans="1:53" s="98" customFormat="1" ht="14.1" customHeight="1" x14ac:dyDescent="0.2">
      <c r="A132" s="116"/>
      <c r="E132" s="115"/>
      <c r="F132" s="115"/>
      <c r="G132" s="115"/>
      <c r="H132" s="115"/>
      <c r="I132" s="474">
        <f>SUM(J131:M131)</f>
        <v>305041170</v>
      </c>
      <c r="J132" s="474"/>
      <c r="K132" s="474"/>
      <c r="L132" s="474"/>
      <c r="M132" s="474"/>
      <c r="N132" s="475">
        <f>SUM(O131:P131)</f>
        <v>438.83780000000002</v>
      </c>
      <c r="O132" s="475"/>
      <c r="P132" s="475"/>
      <c r="Q132" s="474">
        <f>W131</f>
        <v>1344478</v>
      </c>
      <c r="R132" s="475"/>
      <c r="S132" s="475"/>
      <c r="T132" s="475"/>
      <c r="U132" s="475"/>
      <c r="V132" s="481">
        <f>SUM(Q131:U131)</f>
        <v>20792716</v>
      </c>
      <c r="W132" s="481">
        <f>Q131</f>
        <v>-1344478</v>
      </c>
      <c r="X132" s="482"/>
      <c r="Y132" s="482"/>
      <c r="Z132" s="481">
        <f>SUM(W131:Y131)</f>
        <v>1381618</v>
      </c>
      <c r="AA132" s="481">
        <f>V131+Z131</f>
        <v>22174334</v>
      </c>
      <c r="AB132" s="483"/>
      <c r="AC132" s="483"/>
      <c r="AD132" s="482"/>
      <c r="AE132" s="482"/>
      <c r="AF132" s="481">
        <f>SUM(AD131:AE131)</f>
        <v>10750</v>
      </c>
      <c r="AG132" s="481">
        <f>AA131+AB131+AC131+AF131</f>
        <v>29887929</v>
      </c>
      <c r="AH132" s="484"/>
      <c r="AI132" s="484"/>
      <c r="AJ132" s="484"/>
      <c r="AK132" s="484"/>
      <c r="AL132" s="484"/>
      <c r="AM132" s="484"/>
      <c r="AN132" s="484"/>
      <c r="AO132" s="484"/>
      <c r="AP132" s="636">
        <f>AH131+AJ131+AK131+AM131+AN131</f>
        <v>62.95</v>
      </c>
      <c r="AQ132" s="636">
        <f>AI131+AL131+AO131</f>
        <v>0.47</v>
      </c>
      <c r="AR132" s="636">
        <f>SUM(AP131:AQ131)</f>
        <v>63.419999999999995</v>
      </c>
      <c r="AS132" s="474">
        <f>SUM(AT131:AX131)</f>
        <v>334929099</v>
      </c>
      <c r="AT132" s="54"/>
      <c r="AU132" s="54"/>
      <c r="AV132" s="54"/>
      <c r="AW132" s="54"/>
      <c r="AX132" s="54"/>
      <c r="AY132" s="475">
        <f>SUM(AZ131:BA131)</f>
        <v>502.25780000000003</v>
      </c>
      <c r="AZ132" s="89"/>
      <c r="BA132" s="89"/>
    </row>
    <row r="133" spans="1:53" customFormat="1" ht="13.5" thickBot="1" x14ac:dyDescent="0.25">
      <c r="D133" s="23"/>
      <c r="E133" s="24"/>
      <c r="F133" s="23"/>
      <c r="G133" s="42"/>
      <c r="H133" s="24"/>
      <c r="I133" s="87">
        <f>SUM(J134:M134)</f>
        <v>305041170</v>
      </c>
      <c r="J133" s="52"/>
      <c r="K133" s="480"/>
      <c r="L133" s="480"/>
      <c r="M133" s="52"/>
      <c r="N133" s="88">
        <f>SUM(O134:P134)</f>
        <v>438.83780000000002</v>
      </c>
      <c r="O133" s="179"/>
      <c r="P133" s="179"/>
      <c r="Q133" s="475"/>
      <c r="R133" s="475"/>
      <c r="S133" s="475"/>
      <c r="T133" s="475"/>
      <c r="U133" s="475"/>
      <c r="V133" s="481">
        <f>SUM(Q134:U134)</f>
        <v>20792716</v>
      </c>
      <c r="W133" s="482"/>
      <c r="X133" s="482"/>
      <c r="Y133" s="482"/>
      <c r="Z133" s="481">
        <f>SUM(W134:Y134)</f>
        <v>1381618</v>
      </c>
      <c r="AA133" s="481">
        <f>V134+Z134</f>
        <v>22174334</v>
      </c>
      <c r="AB133" s="483"/>
      <c r="AC133" s="483"/>
      <c r="AD133" s="482"/>
      <c r="AE133" s="482"/>
      <c r="AF133" s="481">
        <f>SUM(AD134:AE134)</f>
        <v>10750</v>
      </c>
      <c r="AG133" s="481">
        <f>AA134+AB134+AC134+AF134</f>
        <v>29887929</v>
      </c>
      <c r="AH133" s="484"/>
      <c r="AI133" s="484"/>
      <c r="AJ133" s="484"/>
      <c r="AK133" s="484"/>
      <c r="AL133" s="484"/>
      <c r="AM133" s="484"/>
      <c r="AN133" s="484"/>
      <c r="AO133" s="484"/>
      <c r="AP133" s="606">
        <f>AH134+AJ134+AK134+AM134+AN134</f>
        <v>62.95000000000001</v>
      </c>
      <c r="AQ133" s="606">
        <f>AI134+AL134+AO134</f>
        <v>0.47</v>
      </c>
      <c r="AR133" s="606">
        <f>SUM(AP134:AQ134)</f>
        <v>63.420000000000009</v>
      </c>
      <c r="AS133" s="474">
        <f>SUM(AT134:AX134)</f>
        <v>334929099</v>
      </c>
      <c r="AT133" s="54"/>
      <c r="AU133" s="54"/>
      <c r="AV133" s="54"/>
      <c r="AW133" s="54"/>
      <c r="AX133" s="54"/>
      <c r="AY133" s="475">
        <f>SUM(AZ134:BA134)</f>
        <v>502.25779999999997</v>
      </c>
      <c r="AZ133" s="89"/>
      <c r="BA133" s="89"/>
    </row>
    <row r="134" spans="1:53" customFormat="1" ht="13.5" thickBot="1" x14ac:dyDescent="0.25">
      <c r="D134" s="23"/>
      <c r="E134" s="24"/>
      <c r="F134" s="23"/>
      <c r="G134" s="42"/>
      <c r="H134" s="493" t="s">
        <v>0</v>
      </c>
      <c r="I134" s="142">
        <f t="shared" ref="I134:BA134" si="264">SUM(I135:I144)</f>
        <v>305041170</v>
      </c>
      <c r="J134" s="34">
        <f t="shared" si="264"/>
        <v>223582996</v>
      </c>
      <c r="K134" s="34">
        <f t="shared" si="264"/>
        <v>75571051</v>
      </c>
      <c r="L134" s="34">
        <f t="shared" si="264"/>
        <v>2235831</v>
      </c>
      <c r="M134" s="34">
        <f t="shared" si="264"/>
        <v>3651292</v>
      </c>
      <c r="N134" s="35">
        <f t="shared" si="264"/>
        <v>438.83780000000002</v>
      </c>
      <c r="O134" s="35">
        <f t="shared" si="264"/>
        <v>314.8338</v>
      </c>
      <c r="P134" s="151">
        <f t="shared" si="264"/>
        <v>124.00399999999999</v>
      </c>
      <c r="Q134" s="142">
        <f t="shared" si="264"/>
        <v>-1344478</v>
      </c>
      <c r="R134" s="34">
        <f t="shared" si="264"/>
        <v>22069874</v>
      </c>
      <c r="S134" s="34">
        <f t="shared" ref="S134:T134" si="265">SUM(S135:S144)</f>
        <v>0</v>
      </c>
      <c r="T134" s="34">
        <f t="shared" si="265"/>
        <v>0</v>
      </c>
      <c r="U134" s="34">
        <f t="shared" si="264"/>
        <v>67320</v>
      </c>
      <c r="V134" s="34">
        <f t="shared" si="264"/>
        <v>20792716</v>
      </c>
      <c r="W134" s="34">
        <f t="shared" si="264"/>
        <v>1344478</v>
      </c>
      <c r="X134" s="34">
        <f t="shared" si="264"/>
        <v>37140</v>
      </c>
      <c r="Y134" s="34">
        <f t="shared" si="264"/>
        <v>0</v>
      </c>
      <c r="Z134" s="34">
        <f t="shared" si="264"/>
        <v>1381618</v>
      </c>
      <c r="AA134" s="34">
        <f t="shared" si="264"/>
        <v>22174334</v>
      </c>
      <c r="AB134" s="34">
        <f t="shared" si="264"/>
        <v>7494923</v>
      </c>
      <c r="AC134" s="34">
        <f t="shared" si="264"/>
        <v>207922</v>
      </c>
      <c r="AD134" s="34">
        <f t="shared" si="264"/>
        <v>10750</v>
      </c>
      <c r="AE134" s="34">
        <f t="shared" si="264"/>
        <v>0</v>
      </c>
      <c r="AF134" s="34">
        <f t="shared" si="264"/>
        <v>10750</v>
      </c>
      <c r="AG134" s="34">
        <f t="shared" si="264"/>
        <v>29887929</v>
      </c>
      <c r="AH134" s="35">
        <f t="shared" si="264"/>
        <v>-0.55000000000000004</v>
      </c>
      <c r="AI134" s="35">
        <f t="shared" si="264"/>
        <v>-0.98</v>
      </c>
      <c r="AJ134" s="35">
        <f t="shared" si="264"/>
        <v>63.370000000000005</v>
      </c>
      <c r="AK134" s="35">
        <f t="shared" ref="AK134:AL134" si="266">SUM(AK135:AK144)</f>
        <v>0</v>
      </c>
      <c r="AL134" s="35">
        <f t="shared" si="266"/>
        <v>0</v>
      </c>
      <c r="AM134" s="35">
        <f t="shared" ref="AM134:AR134" si="267">SUM(AM135:AM144)</f>
        <v>0</v>
      </c>
      <c r="AN134" s="35">
        <f t="shared" si="267"/>
        <v>0.13</v>
      </c>
      <c r="AO134" s="35">
        <f t="shared" si="267"/>
        <v>1.45</v>
      </c>
      <c r="AP134" s="35">
        <f t="shared" si="267"/>
        <v>62.95000000000001</v>
      </c>
      <c r="AQ134" s="35">
        <f t="shared" si="267"/>
        <v>0.47</v>
      </c>
      <c r="AR134" s="35">
        <f t="shared" si="267"/>
        <v>63.42</v>
      </c>
      <c r="AS134" s="152">
        <f t="shared" si="264"/>
        <v>334929099</v>
      </c>
      <c r="AT134" s="34">
        <f t="shared" si="264"/>
        <v>244375712</v>
      </c>
      <c r="AU134" s="34">
        <f t="shared" si="264"/>
        <v>1381618</v>
      </c>
      <c r="AV134" s="34">
        <f t="shared" si="264"/>
        <v>83065974</v>
      </c>
      <c r="AW134" s="34">
        <f t="shared" si="264"/>
        <v>2443753</v>
      </c>
      <c r="AX134" s="34">
        <f t="shared" si="264"/>
        <v>3662042</v>
      </c>
      <c r="AY134" s="35">
        <f t="shared" si="264"/>
        <v>502.25779999999997</v>
      </c>
      <c r="AZ134" s="35">
        <f t="shared" si="264"/>
        <v>377.78379999999999</v>
      </c>
      <c r="BA134" s="36">
        <f t="shared" si="264"/>
        <v>124.47399999999998</v>
      </c>
    </row>
    <row r="135" spans="1:53" customFormat="1" ht="12.75" x14ac:dyDescent="0.2">
      <c r="D135" s="23"/>
      <c r="E135" s="24"/>
      <c r="F135" s="23"/>
      <c r="G135" s="42"/>
      <c r="H135" s="494">
        <v>3111</v>
      </c>
      <c r="I135" s="31">
        <f t="shared" ref="I135:BA135" si="268">SUMIF($F$12:$F$158,"=3111",I$12:I$158)</f>
        <v>61574917</v>
      </c>
      <c r="J135" s="149">
        <f t="shared" si="268"/>
        <v>45443117</v>
      </c>
      <c r="K135" s="149">
        <f t="shared" si="268"/>
        <v>15359771</v>
      </c>
      <c r="L135" s="149">
        <f t="shared" si="268"/>
        <v>454429</v>
      </c>
      <c r="M135" s="149">
        <f t="shared" si="268"/>
        <v>317600</v>
      </c>
      <c r="N135" s="150">
        <f t="shared" si="268"/>
        <v>93.079700000000003</v>
      </c>
      <c r="O135" s="150">
        <f t="shared" si="268"/>
        <v>77.489699999999999</v>
      </c>
      <c r="P135" s="471">
        <f t="shared" si="268"/>
        <v>15.59</v>
      </c>
      <c r="Q135" s="31">
        <f t="shared" si="268"/>
        <v>-403650</v>
      </c>
      <c r="R135" s="149">
        <f t="shared" si="268"/>
        <v>1258836</v>
      </c>
      <c r="S135" s="149">
        <f t="shared" si="268"/>
        <v>0</v>
      </c>
      <c r="T135" s="149">
        <f t="shared" si="268"/>
        <v>0</v>
      </c>
      <c r="U135" s="149">
        <f t="shared" si="268"/>
        <v>0</v>
      </c>
      <c r="V135" s="149">
        <f t="shared" si="268"/>
        <v>855186</v>
      </c>
      <c r="W135" s="149">
        <f t="shared" si="268"/>
        <v>403650</v>
      </c>
      <c r="X135" s="149">
        <f t="shared" si="268"/>
        <v>0</v>
      </c>
      <c r="Y135" s="149">
        <f t="shared" si="268"/>
        <v>0</v>
      </c>
      <c r="Z135" s="149">
        <f t="shared" si="268"/>
        <v>403650</v>
      </c>
      <c r="AA135" s="149">
        <f t="shared" si="268"/>
        <v>1258836</v>
      </c>
      <c r="AB135" s="149">
        <f t="shared" si="268"/>
        <v>425486</v>
      </c>
      <c r="AC135" s="149">
        <f t="shared" si="268"/>
        <v>8550</v>
      </c>
      <c r="AD135" s="149">
        <f t="shared" si="268"/>
        <v>0</v>
      </c>
      <c r="AE135" s="149">
        <f t="shared" si="268"/>
        <v>0</v>
      </c>
      <c r="AF135" s="149">
        <f t="shared" si="268"/>
        <v>0</v>
      </c>
      <c r="AG135" s="149">
        <f t="shared" si="268"/>
        <v>1692872</v>
      </c>
      <c r="AH135" s="150">
        <f t="shared" si="268"/>
        <v>-0.15000000000000002</v>
      </c>
      <c r="AI135" s="150">
        <f t="shared" si="268"/>
        <v>-0.28999999999999998</v>
      </c>
      <c r="AJ135" s="150">
        <f t="shared" si="268"/>
        <v>3.6</v>
      </c>
      <c r="AK135" s="150">
        <f t="shared" si="268"/>
        <v>0</v>
      </c>
      <c r="AL135" s="150">
        <f t="shared" si="268"/>
        <v>0</v>
      </c>
      <c r="AM135" s="150">
        <f t="shared" si="268"/>
        <v>0</v>
      </c>
      <c r="AN135" s="150">
        <f t="shared" si="268"/>
        <v>0</v>
      </c>
      <c r="AO135" s="150">
        <f t="shared" si="268"/>
        <v>0</v>
      </c>
      <c r="AP135" s="150">
        <f t="shared" si="268"/>
        <v>3.45</v>
      </c>
      <c r="AQ135" s="150">
        <f t="shared" si="268"/>
        <v>-0.28999999999999998</v>
      </c>
      <c r="AR135" s="150">
        <f t="shared" si="268"/>
        <v>3.16</v>
      </c>
      <c r="AS135" s="32">
        <f t="shared" si="268"/>
        <v>63267789</v>
      </c>
      <c r="AT135" s="149">
        <f t="shared" si="268"/>
        <v>46298303</v>
      </c>
      <c r="AU135" s="149">
        <f t="shared" si="268"/>
        <v>403650</v>
      </c>
      <c r="AV135" s="149">
        <f t="shared" si="268"/>
        <v>15785257</v>
      </c>
      <c r="AW135" s="149">
        <f t="shared" si="268"/>
        <v>462979</v>
      </c>
      <c r="AX135" s="149">
        <f t="shared" si="268"/>
        <v>317600</v>
      </c>
      <c r="AY135" s="150">
        <f t="shared" si="268"/>
        <v>96.239699999999985</v>
      </c>
      <c r="AZ135" s="150">
        <f t="shared" si="268"/>
        <v>80.939700000000002</v>
      </c>
      <c r="BA135" s="252">
        <f t="shared" si="268"/>
        <v>15.3</v>
      </c>
    </row>
    <row r="136" spans="1:53" customFormat="1" ht="12.75" x14ac:dyDescent="0.2">
      <c r="D136" s="23"/>
      <c r="E136" s="24"/>
      <c r="F136" s="23"/>
      <c r="G136" s="42"/>
      <c r="H136" s="2">
        <v>3113</v>
      </c>
      <c r="I136" s="25">
        <f t="shared" ref="I136:BA136" si="269">SUMIF($F$12:$F$158,"=3113",I$12:I$158)</f>
        <v>140631885</v>
      </c>
      <c r="J136" s="26">
        <f t="shared" si="269"/>
        <v>102518894</v>
      </c>
      <c r="K136" s="26">
        <f t="shared" si="269"/>
        <v>34651386</v>
      </c>
      <c r="L136" s="26">
        <f t="shared" si="269"/>
        <v>1025190</v>
      </c>
      <c r="M136" s="26">
        <f t="shared" si="269"/>
        <v>2436415</v>
      </c>
      <c r="N136" s="27">
        <f t="shared" si="269"/>
        <v>179.3031</v>
      </c>
      <c r="O136" s="27">
        <f t="shared" si="269"/>
        <v>142.06309999999999</v>
      </c>
      <c r="P136" s="472">
        <f t="shared" si="269"/>
        <v>37.24</v>
      </c>
      <c r="Q136" s="25">
        <f t="shared" si="269"/>
        <v>-351000</v>
      </c>
      <c r="R136" s="26">
        <f t="shared" si="269"/>
        <v>14569107</v>
      </c>
      <c r="S136" s="26">
        <f t="shared" si="269"/>
        <v>0</v>
      </c>
      <c r="T136" s="26">
        <f t="shared" si="269"/>
        <v>0</v>
      </c>
      <c r="U136" s="26">
        <f t="shared" si="269"/>
        <v>0</v>
      </c>
      <c r="V136" s="26">
        <f t="shared" si="269"/>
        <v>14218107</v>
      </c>
      <c r="W136" s="26">
        <f t="shared" si="269"/>
        <v>351000</v>
      </c>
      <c r="X136" s="26">
        <f t="shared" si="269"/>
        <v>0</v>
      </c>
      <c r="Y136" s="26">
        <f t="shared" si="269"/>
        <v>0</v>
      </c>
      <c r="Z136" s="26">
        <f t="shared" si="269"/>
        <v>351000</v>
      </c>
      <c r="AA136" s="26">
        <f t="shared" si="269"/>
        <v>14569107</v>
      </c>
      <c r="AB136" s="26">
        <f t="shared" si="269"/>
        <v>4924358</v>
      </c>
      <c r="AC136" s="26">
        <f t="shared" si="269"/>
        <v>142181</v>
      </c>
      <c r="AD136" s="26">
        <f t="shared" si="269"/>
        <v>9000</v>
      </c>
      <c r="AE136" s="26">
        <f t="shared" si="269"/>
        <v>0</v>
      </c>
      <c r="AF136" s="26">
        <f t="shared" si="269"/>
        <v>9000</v>
      </c>
      <c r="AG136" s="26">
        <f t="shared" si="269"/>
        <v>19644646</v>
      </c>
      <c r="AH136" s="27">
        <f t="shared" si="269"/>
        <v>-7.0000000000000007E-2</v>
      </c>
      <c r="AI136" s="27">
        <f t="shared" si="269"/>
        <v>-0.16</v>
      </c>
      <c r="AJ136" s="27">
        <f t="shared" si="269"/>
        <v>41.78</v>
      </c>
      <c r="AK136" s="27">
        <f t="shared" si="269"/>
        <v>0</v>
      </c>
      <c r="AL136" s="27">
        <f t="shared" si="269"/>
        <v>0</v>
      </c>
      <c r="AM136" s="27">
        <f t="shared" si="269"/>
        <v>0</v>
      </c>
      <c r="AN136" s="27">
        <f t="shared" si="269"/>
        <v>0</v>
      </c>
      <c r="AO136" s="27">
        <f t="shared" si="269"/>
        <v>0</v>
      </c>
      <c r="AP136" s="27">
        <f t="shared" si="269"/>
        <v>41.71</v>
      </c>
      <c r="AQ136" s="27">
        <f t="shared" si="269"/>
        <v>-0.16</v>
      </c>
      <c r="AR136" s="27">
        <f t="shared" si="269"/>
        <v>41.55</v>
      </c>
      <c r="AS136" s="39">
        <f t="shared" si="269"/>
        <v>160276531</v>
      </c>
      <c r="AT136" s="26">
        <f t="shared" si="269"/>
        <v>116737001</v>
      </c>
      <c r="AU136" s="26">
        <f t="shared" si="269"/>
        <v>351000</v>
      </c>
      <c r="AV136" s="26">
        <f t="shared" si="269"/>
        <v>39575744</v>
      </c>
      <c r="AW136" s="26">
        <f t="shared" si="269"/>
        <v>1167371</v>
      </c>
      <c r="AX136" s="26">
        <f t="shared" si="269"/>
        <v>2445415</v>
      </c>
      <c r="AY136" s="27">
        <f t="shared" si="269"/>
        <v>220.85309999999996</v>
      </c>
      <c r="AZ136" s="27">
        <f t="shared" si="269"/>
        <v>183.77309999999997</v>
      </c>
      <c r="BA136" s="253">
        <f t="shared" si="269"/>
        <v>37.08</v>
      </c>
    </row>
    <row r="137" spans="1:53" customFormat="1" ht="12.75" x14ac:dyDescent="0.2">
      <c r="D137" s="23"/>
      <c r="E137" s="24"/>
      <c r="F137" s="23"/>
      <c r="G137" s="42"/>
      <c r="H137" s="2">
        <v>3114</v>
      </c>
      <c r="I137" s="25">
        <f t="shared" ref="I137:BA137" si="270">SUMIF($F$12:$F$158,"=3114",I$12:I$158)</f>
        <v>13964930</v>
      </c>
      <c r="J137" s="26">
        <f t="shared" si="270"/>
        <v>10258550</v>
      </c>
      <c r="K137" s="26">
        <f t="shared" si="270"/>
        <v>3467390</v>
      </c>
      <c r="L137" s="26">
        <f t="shared" si="270"/>
        <v>102585</v>
      </c>
      <c r="M137" s="26">
        <f t="shared" si="270"/>
        <v>136405</v>
      </c>
      <c r="N137" s="27">
        <f t="shared" si="270"/>
        <v>18.6693</v>
      </c>
      <c r="O137" s="27">
        <f t="shared" si="270"/>
        <v>15.229299999999999</v>
      </c>
      <c r="P137" s="472">
        <f t="shared" si="270"/>
        <v>3.44</v>
      </c>
      <c r="Q137" s="25">
        <f t="shared" si="270"/>
        <v>-35100</v>
      </c>
      <c r="R137" s="26">
        <f t="shared" si="270"/>
        <v>0</v>
      </c>
      <c r="S137" s="26">
        <f t="shared" si="270"/>
        <v>0</v>
      </c>
      <c r="T137" s="26">
        <f t="shared" si="270"/>
        <v>0</v>
      </c>
      <c r="U137" s="26">
        <f t="shared" si="270"/>
        <v>87181</v>
      </c>
      <c r="V137" s="26">
        <f t="shared" si="270"/>
        <v>52081</v>
      </c>
      <c r="W137" s="26">
        <f t="shared" si="270"/>
        <v>35100</v>
      </c>
      <c r="X137" s="26">
        <f t="shared" si="270"/>
        <v>0</v>
      </c>
      <c r="Y137" s="26">
        <f t="shared" si="270"/>
        <v>0</v>
      </c>
      <c r="Z137" s="26">
        <f t="shared" si="270"/>
        <v>35100</v>
      </c>
      <c r="AA137" s="26">
        <f t="shared" si="270"/>
        <v>87181</v>
      </c>
      <c r="AB137" s="26">
        <f t="shared" si="270"/>
        <v>29467</v>
      </c>
      <c r="AC137" s="26">
        <f t="shared" si="270"/>
        <v>521</v>
      </c>
      <c r="AD137" s="26">
        <f t="shared" si="270"/>
        <v>0</v>
      </c>
      <c r="AE137" s="26">
        <f t="shared" si="270"/>
        <v>0</v>
      </c>
      <c r="AF137" s="26">
        <f t="shared" si="270"/>
        <v>0</v>
      </c>
      <c r="AG137" s="26">
        <f t="shared" si="270"/>
        <v>117169</v>
      </c>
      <c r="AH137" s="27">
        <f t="shared" si="270"/>
        <v>0</v>
      </c>
      <c r="AI137" s="27">
        <f t="shared" si="270"/>
        <v>-0.11</v>
      </c>
      <c r="AJ137" s="27">
        <f t="shared" si="270"/>
        <v>0</v>
      </c>
      <c r="AK137" s="27">
        <f t="shared" si="270"/>
        <v>0</v>
      </c>
      <c r="AL137" s="27">
        <f t="shared" si="270"/>
        <v>0</v>
      </c>
      <c r="AM137" s="27">
        <f t="shared" si="270"/>
        <v>0</v>
      </c>
      <c r="AN137" s="27">
        <f t="shared" si="270"/>
        <v>0.13</v>
      </c>
      <c r="AO137" s="27">
        <f t="shared" si="270"/>
        <v>0</v>
      </c>
      <c r="AP137" s="27">
        <f t="shared" si="270"/>
        <v>0.13</v>
      </c>
      <c r="AQ137" s="27">
        <f t="shared" si="270"/>
        <v>-0.11</v>
      </c>
      <c r="AR137" s="27">
        <f t="shared" si="270"/>
        <v>2.0000000000000004E-2</v>
      </c>
      <c r="AS137" s="39">
        <f t="shared" si="270"/>
        <v>14082099</v>
      </c>
      <c r="AT137" s="26">
        <f t="shared" si="270"/>
        <v>10310631</v>
      </c>
      <c r="AU137" s="26">
        <f t="shared" si="270"/>
        <v>35100</v>
      </c>
      <c r="AV137" s="26">
        <f t="shared" si="270"/>
        <v>3496857</v>
      </c>
      <c r="AW137" s="26">
        <f t="shared" si="270"/>
        <v>103106</v>
      </c>
      <c r="AX137" s="26">
        <f t="shared" si="270"/>
        <v>136405</v>
      </c>
      <c r="AY137" s="27">
        <f t="shared" si="270"/>
        <v>18.689299999999999</v>
      </c>
      <c r="AZ137" s="27">
        <f t="shared" si="270"/>
        <v>15.359300000000001</v>
      </c>
      <c r="BA137" s="253">
        <f t="shared" si="270"/>
        <v>3.33</v>
      </c>
    </row>
    <row r="138" spans="1:53" customFormat="1" ht="12.75" x14ac:dyDescent="0.2">
      <c r="D138" s="23"/>
      <c r="E138" s="24"/>
      <c r="F138" s="23"/>
      <c r="G138" s="42"/>
      <c r="H138" s="2">
        <v>3117</v>
      </c>
      <c r="I138" s="25">
        <f t="shared" ref="I138:BA138" si="271">SUMIF($F$12:$F$158,"=3117",I$12:I$158)</f>
        <v>32301754</v>
      </c>
      <c r="J138" s="26">
        <f t="shared" si="271"/>
        <v>23541395</v>
      </c>
      <c r="K138" s="26">
        <f t="shared" si="271"/>
        <v>7956994</v>
      </c>
      <c r="L138" s="26">
        <f t="shared" si="271"/>
        <v>235415</v>
      </c>
      <c r="M138" s="26">
        <f t="shared" si="271"/>
        <v>567950</v>
      </c>
      <c r="N138" s="27">
        <f t="shared" si="271"/>
        <v>44.964000000000006</v>
      </c>
      <c r="O138" s="27">
        <f t="shared" si="271"/>
        <v>32.360499999999995</v>
      </c>
      <c r="P138" s="472">
        <f t="shared" si="271"/>
        <v>12.603499999999999</v>
      </c>
      <c r="Q138" s="25">
        <f t="shared" si="271"/>
        <v>-162128</v>
      </c>
      <c r="R138" s="26">
        <f t="shared" si="271"/>
        <v>6241931</v>
      </c>
      <c r="S138" s="26">
        <f t="shared" si="271"/>
        <v>0</v>
      </c>
      <c r="T138" s="26">
        <f t="shared" si="271"/>
        <v>0</v>
      </c>
      <c r="U138" s="26">
        <f t="shared" si="271"/>
        <v>0</v>
      </c>
      <c r="V138" s="26">
        <f t="shared" si="271"/>
        <v>6079803</v>
      </c>
      <c r="W138" s="26">
        <f t="shared" si="271"/>
        <v>162128</v>
      </c>
      <c r="X138" s="26">
        <f t="shared" si="271"/>
        <v>37140</v>
      </c>
      <c r="Y138" s="26">
        <f t="shared" si="271"/>
        <v>0</v>
      </c>
      <c r="Z138" s="26">
        <f t="shared" si="271"/>
        <v>199268</v>
      </c>
      <c r="AA138" s="26">
        <f t="shared" si="271"/>
        <v>6279071</v>
      </c>
      <c r="AB138" s="26">
        <f t="shared" si="271"/>
        <v>2122325</v>
      </c>
      <c r="AC138" s="26">
        <f t="shared" si="271"/>
        <v>60798</v>
      </c>
      <c r="AD138" s="26">
        <f t="shared" si="271"/>
        <v>1750</v>
      </c>
      <c r="AE138" s="26">
        <f t="shared" si="271"/>
        <v>0</v>
      </c>
      <c r="AF138" s="26">
        <f t="shared" si="271"/>
        <v>1750</v>
      </c>
      <c r="AG138" s="26">
        <f t="shared" si="271"/>
        <v>8463944</v>
      </c>
      <c r="AH138" s="27">
        <f t="shared" si="271"/>
        <v>-0.08</v>
      </c>
      <c r="AI138" s="27">
        <f t="shared" si="271"/>
        <v>-0.16999999999999998</v>
      </c>
      <c r="AJ138" s="27">
        <f t="shared" si="271"/>
        <v>17.990000000000002</v>
      </c>
      <c r="AK138" s="27">
        <f t="shared" si="271"/>
        <v>0</v>
      </c>
      <c r="AL138" s="27">
        <f t="shared" si="271"/>
        <v>0</v>
      </c>
      <c r="AM138" s="27">
        <f t="shared" si="271"/>
        <v>0</v>
      </c>
      <c r="AN138" s="27">
        <f t="shared" si="271"/>
        <v>0</v>
      </c>
      <c r="AO138" s="27">
        <f t="shared" si="271"/>
        <v>0</v>
      </c>
      <c r="AP138" s="27">
        <f t="shared" si="271"/>
        <v>17.910000000000004</v>
      </c>
      <c r="AQ138" s="27">
        <f t="shared" si="271"/>
        <v>-0.16999999999999998</v>
      </c>
      <c r="AR138" s="27">
        <f t="shared" si="271"/>
        <v>17.740000000000002</v>
      </c>
      <c r="AS138" s="39">
        <f t="shared" si="271"/>
        <v>40765698</v>
      </c>
      <c r="AT138" s="26">
        <f t="shared" si="271"/>
        <v>29621198</v>
      </c>
      <c r="AU138" s="26">
        <f t="shared" si="271"/>
        <v>199268</v>
      </c>
      <c r="AV138" s="26">
        <f t="shared" si="271"/>
        <v>10079319</v>
      </c>
      <c r="AW138" s="26">
        <f t="shared" si="271"/>
        <v>296213</v>
      </c>
      <c r="AX138" s="26">
        <f t="shared" si="271"/>
        <v>569700</v>
      </c>
      <c r="AY138" s="27">
        <f t="shared" si="271"/>
        <v>62.703999999999994</v>
      </c>
      <c r="AZ138" s="27">
        <f t="shared" si="271"/>
        <v>50.270500000000013</v>
      </c>
      <c r="BA138" s="253">
        <f t="shared" si="271"/>
        <v>12.4335</v>
      </c>
    </row>
    <row r="139" spans="1:53" customFormat="1" x14ac:dyDescent="0.25">
      <c r="D139" s="23"/>
      <c r="E139" s="24"/>
      <c r="F139" s="92"/>
      <c r="G139" s="42"/>
      <c r="H139" s="2">
        <v>3122</v>
      </c>
      <c r="I139" s="25">
        <f t="shared" ref="I139:BA139" si="272">SUMIF($F$12:$F$158,"=3122",I$12:I$158)</f>
        <v>0</v>
      </c>
      <c r="J139" s="26">
        <f t="shared" si="272"/>
        <v>0</v>
      </c>
      <c r="K139" s="26">
        <f t="shared" si="272"/>
        <v>0</v>
      </c>
      <c r="L139" s="26">
        <f t="shared" si="272"/>
        <v>0</v>
      </c>
      <c r="M139" s="26">
        <f t="shared" si="272"/>
        <v>0</v>
      </c>
      <c r="N139" s="27">
        <f t="shared" si="272"/>
        <v>0</v>
      </c>
      <c r="O139" s="27">
        <f t="shared" si="272"/>
        <v>0</v>
      </c>
      <c r="P139" s="472">
        <f t="shared" si="272"/>
        <v>0</v>
      </c>
      <c r="Q139" s="25">
        <f t="shared" si="272"/>
        <v>0</v>
      </c>
      <c r="R139" s="26">
        <f t="shared" si="272"/>
        <v>0</v>
      </c>
      <c r="S139" s="26">
        <f t="shared" si="272"/>
        <v>0</v>
      </c>
      <c r="T139" s="26">
        <f t="shared" si="272"/>
        <v>0</v>
      </c>
      <c r="U139" s="26">
        <f t="shared" si="272"/>
        <v>0</v>
      </c>
      <c r="V139" s="26">
        <f t="shared" si="272"/>
        <v>0</v>
      </c>
      <c r="W139" s="26">
        <f t="shared" si="272"/>
        <v>0</v>
      </c>
      <c r="X139" s="26">
        <f t="shared" si="272"/>
        <v>0</v>
      </c>
      <c r="Y139" s="26">
        <f t="shared" si="272"/>
        <v>0</v>
      </c>
      <c r="Z139" s="26">
        <f t="shared" si="272"/>
        <v>0</v>
      </c>
      <c r="AA139" s="26">
        <f t="shared" si="272"/>
        <v>0</v>
      </c>
      <c r="AB139" s="26">
        <f t="shared" si="272"/>
        <v>0</v>
      </c>
      <c r="AC139" s="26">
        <f t="shared" si="272"/>
        <v>0</v>
      </c>
      <c r="AD139" s="26">
        <f t="shared" si="272"/>
        <v>0</v>
      </c>
      <c r="AE139" s="26">
        <f t="shared" si="272"/>
        <v>0</v>
      </c>
      <c r="AF139" s="26">
        <f t="shared" si="272"/>
        <v>0</v>
      </c>
      <c r="AG139" s="26">
        <f t="shared" si="272"/>
        <v>0</v>
      </c>
      <c r="AH139" s="27">
        <f t="shared" si="272"/>
        <v>0</v>
      </c>
      <c r="AI139" s="27">
        <f t="shared" si="272"/>
        <v>0</v>
      </c>
      <c r="AJ139" s="27">
        <f t="shared" si="272"/>
        <v>0</v>
      </c>
      <c r="AK139" s="27">
        <f t="shared" si="272"/>
        <v>0</v>
      </c>
      <c r="AL139" s="27">
        <f t="shared" si="272"/>
        <v>0</v>
      </c>
      <c r="AM139" s="27">
        <f t="shared" si="272"/>
        <v>0</v>
      </c>
      <c r="AN139" s="27">
        <f t="shared" si="272"/>
        <v>0</v>
      </c>
      <c r="AO139" s="27">
        <f t="shared" si="272"/>
        <v>0</v>
      </c>
      <c r="AP139" s="27">
        <f t="shared" si="272"/>
        <v>0</v>
      </c>
      <c r="AQ139" s="27">
        <f t="shared" si="272"/>
        <v>0</v>
      </c>
      <c r="AR139" s="27">
        <f t="shared" si="272"/>
        <v>0</v>
      </c>
      <c r="AS139" s="39">
        <f t="shared" si="272"/>
        <v>0</v>
      </c>
      <c r="AT139" s="26">
        <f t="shared" si="272"/>
        <v>0</v>
      </c>
      <c r="AU139" s="26">
        <f t="shared" si="272"/>
        <v>0</v>
      </c>
      <c r="AV139" s="26">
        <f t="shared" si="272"/>
        <v>0</v>
      </c>
      <c r="AW139" s="26">
        <f t="shared" si="272"/>
        <v>0</v>
      </c>
      <c r="AX139" s="26">
        <f t="shared" si="272"/>
        <v>0</v>
      </c>
      <c r="AY139" s="27">
        <f t="shared" si="272"/>
        <v>0</v>
      </c>
      <c r="AZ139" s="27">
        <f t="shared" si="272"/>
        <v>0</v>
      </c>
      <c r="BA139" s="253">
        <f t="shared" si="272"/>
        <v>0</v>
      </c>
    </row>
    <row r="140" spans="1:53" customFormat="1" ht="12.75" x14ac:dyDescent="0.2">
      <c r="C140" s="8"/>
      <c r="D140" s="23"/>
      <c r="E140" s="24"/>
      <c r="F140" s="23"/>
      <c r="G140" s="42"/>
      <c r="H140" s="2">
        <v>3124</v>
      </c>
      <c r="I140" s="25">
        <f t="shared" ref="I140:BA140" si="273">SUMIF($F$12:$F$158,"=3124",I$12:I$158)</f>
        <v>0</v>
      </c>
      <c r="J140" s="26">
        <f t="shared" si="273"/>
        <v>0</v>
      </c>
      <c r="K140" s="26">
        <f t="shared" si="273"/>
        <v>0</v>
      </c>
      <c r="L140" s="26">
        <f t="shared" si="273"/>
        <v>0</v>
      </c>
      <c r="M140" s="26">
        <f t="shared" si="273"/>
        <v>0</v>
      </c>
      <c r="N140" s="27">
        <f t="shared" si="273"/>
        <v>0</v>
      </c>
      <c r="O140" s="27">
        <f t="shared" si="273"/>
        <v>0</v>
      </c>
      <c r="P140" s="472">
        <f t="shared" si="273"/>
        <v>0</v>
      </c>
      <c r="Q140" s="25">
        <f t="shared" si="273"/>
        <v>0</v>
      </c>
      <c r="R140" s="26">
        <f t="shared" si="273"/>
        <v>0</v>
      </c>
      <c r="S140" s="26">
        <f t="shared" si="273"/>
        <v>0</v>
      </c>
      <c r="T140" s="26">
        <f t="shared" si="273"/>
        <v>0</v>
      </c>
      <c r="U140" s="26">
        <f t="shared" si="273"/>
        <v>0</v>
      </c>
      <c r="V140" s="26">
        <f t="shared" si="273"/>
        <v>0</v>
      </c>
      <c r="W140" s="26">
        <f t="shared" si="273"/>
        <v>0</v>
      </c>
      <c r="X140" s="26">
        <f t="shared" si="273"/>
        <v>0</v>
      </c>
      <c r="Y140" s="26">
        <f t="shared" si="273"/>
        <v>0</v>
      </c>
      <c r="Z140" s="26">
        <f t="shared" si="273"/>
        <v>0</v>
      </c>
      <c r="AA140" s="26">
        <f t="shared" si="273"/>
        <v>0</v>
      </c>
      <c r="AB140" s="26">
        <f t="shared" si="273"/>
        <v>0</v>
      </c>
      <c r="AC140" s="26">
        <f t="shared" si="273"/>
        <v>0</v>
      </c>
      <c r="AD140" s="26">
        <f t="shared" si="273"/>
        <v>0</v>
      </c>
      <c r="AE140" s="26">
        <f t="shared" si="273"/>
        <v>0</v>
      </c>
      <c r="AF140" s="26">
        <f t="shared" si="273"/>
        <v>0</v>
      </c>
      <c r="AG140" s="26">
        <f t="shared" si="273"/>
        <v>0</v>
      </c>
      <c r="AH140" s="27">
        <f t="shared" si="273"/>
        <v>0</v>
      </c>
      <c r="AI140" s="27">
        <f t="shared" si="273"/>
        <v>0</v>
      </c>
      <c r="AJ140" s="27">
        <f t="shared" si="273"/>
        <v>0</v>
      </c>
      <c r="AK140" s="27">
        <f t="shared" si="273"/>
        <v>0</v>
      </c>
      <c r="AL140" s="27">
        <f t="shared" si="273"/>
        <v>0</v>
      </c>
      <c r="AM140" s="27">
        <f t="shared" si="273"/>
        <v>0</v>
      </c>
      <c r="AN140" s="27">
        <f t="shared" si="273"/>
        <v>0</v>
      </c>
      <c r="AO140" s="27">
        <f t="shared" si="273"/>
        <v>0</v>
      </c>
      <c r="AP140" s="27">
        <f t="shared" si="273"/>
        <v>0</v>
      </c>
      <c r="AQ140" s="27">
        <f t="shared" si="273"/>
        <v>0</v>
      </c>
      <c r="AR140" s="27">
        <f t="shared" si="273"/>
        <v>0</v>
      </c>
      <c r="AS140" s="39">
        <f t="shared" si="273"/>
        <v>0</v>
      </c>
      <c r="AT140" s="26">
        <f t="shared" si="273"/>
        <v>0</v>
      </c>
      <c r="AU140" s="26">
        <f t="shared" si="273"/>
        <v>0</v>
      </c>
      <c r="AV140" s="26">
        <f t="shared" si="273"/>
        <v>0</v>
      </c>
      <c r="AW140" s="26">
        <f t="shared" si="273"/>
        <v>0</v>
      </c>
      <c r="AX140" s="26">
        <f t="shared" si="273"/>
        <v>0</v>
      </c>
      <c r="AY140" s="27">
        <f t="shared" si="273"/>
        <v>0</v>
      </c>
      <c r="AZ140" s="27">
        <f t="shared" si="273"/>
        <v>0</v>
      </c>
      <c r="BA140" s="253">
        <f t="shared" si="273"/>
        <v>0</v>
      </c>
    </row>
    <row r="141" spans="1:53" customFormat="1" ht="12.75" x14ac:dyDescent="0.2">
      <c r="D141" s="23"/>
      <c r="E141" s="24"/>
      <c r="F141" s="24"/>
      <c r="G141" s="42"/>
      <c r="H141" s="2">
        <v>3141</v>
      </c>
      <c r="I141" s="25">
        <f t="shared" ref="I141:BA141" si="274">SUMIF($F$12:$F$158,"=3141",I$12:I$158)</f>
        <v>21078158</v>
      </c>
      <c r="J141" s="26">
        <f t="shared" si="274"/>
        <v>15536113</v>
      </c>
      <c r="K141" s="26">
        <f t="shared" si="274"/>
        <v>5251206</v>
      </c>
      <c r="L141" s="26">
        <f t="shared" si="274"/>
        <v>155361</v>
      </c>
      <c r="M141" s="26">
        <f t="shared" si="274"/>
        <v>135478</v>
      </c>
      <c r="N141" s="27">
        <f t="shared" si="274"/>
        <v>49.94</v>
      </c>
      <c r="O141" s="27">
        <f t="shared" si="274"/>
        <v>0</v>
      </c>
      <c r="P141" s="472">
        <f t="shared" si="274"/>
        <v>49.94</v>
      </c>
      <c r="Q141" s="25">
        <f t="shared" si="274"/>
        <v>-105300</v>
      </c>
      <c r="R141" s="26">
        <f t="shared" si="274"/>
        <v>0</v>
      </c>
      <c r="S141" s="26">
        <f t="shared" si="274"/>
        <v>0</v>
      </c>
      <c r="T141" s="26">
        <f t="shared" si="274"/>
        <v>0</v>
      </c>
      <c r="U141" s="26">
        <f t="shared" si="274"/>
        <v>0</v>
      </c>
      <c r="V141" s="26">
        <f t="shared" si="274"/>
        <v>-105300</v>
      </c>
      <c r="W141" s="26">
        <f t="shared" si="274"/>
        <v>105300</v>
      </c>
      <c r="X141" s="26">
        <f t="shared" si="274"/>
        <v>0</v>
      </c>
      <c r="Y141" s="26">
        <f t="shared" si="274"/>
        <v>0</v>
      </c>
      <c r="Z141" s="26">
        <f t="shared" si="274"/>
        <v>105300</v>
      </c>
      <c r="AA141" s="26">
        <f t="shared" si="274"/>
        <v>0</v>
      </c>
      <c r="AB141" s="26">
        <f t="shared" si="274"/>
        <v>0</v>
      </c>
      <c r="AC141" s="26">
        <f t="shared" si="274"/>
        <v>-1054</v>
      </c>
      <c r="AD141" s="26">
        <f t="shared" si="274"/>
        <v>0</v>
      </c>
      <c r="AE141" s="26">
        <f t="shared" si="274"/>
        <v>0</v>
      </c>
      <c r="AF141" s="26">
        <f t="shared" si="274"/>
        <v>0</v>
      </c>
      <c r="AG141" s="26">
        <f t="shared" si="274"/>
        <v>-1054</v>
      </c>
      <c r="AH141" s="27">
        <f t="shared" si="274"/>
        <v>0</v>
      </c>
      <c r="AI141" s="27">
        <f t="shared" si="274"/>
        <v>-6.0000000000000005E-2</v>
      </c>
      <c r="AJ141" s="27">
        <f t="shared" si="274"/>
        <v>0</v>
      </c>
      <c r="AK141" s="27">
        <f t="shared" si="274"/>
        <v>0</v>
      </c>
      <c r="AL141" s="27">
        <f t="shared" si="274"/>
        <v>0</v>
      </c>
      <c r="AM141" s="27">
        <f t="shared" si="274"/>
        <v>0</v>
      </c>
      <c r="AN141" s="27">
        <f t="shared" si="274"/>
        <v>0</v>
      </c>
      <c r="AO141" s="27">
        <f t="shared" si="274"/>
        <v>1.45</v>
      </c>
      <c r="AP141" s="27">
        <f t="shared" si="274"/>
        <v>0</v>
      </c>
      <c r="AQ141" s="27">
        <f t="shared" si="274"/>
        <v>1.39</v>
      </c>
      <c r="AR141" s="27">
        <f t="shared" si="274"/>
        <v>1.39</v>
      </c>
      <c r="AS141" s="39">
        <f t="shared" si="274"/>
        <v>21077104</v>
      </c>
      <c r="AT141" s="26">
        <f t="shared" si="274"/>
        <v>15430813</v>
      </c>
      <c r="AU141" s="26">
        <f t="shared" si="274"/>
        <v>105300</v>
      </c>
      <c r="AV141" s="26">
        <f t="shared" si="274"/>
        <v>5251206</v>
      </c>
      <c r="AW141" s="26">
        <f t="shared" si="274"/>
        <v>154307</v>
      </c>
      <c r="AX141" s="26">
        <f t="shared" si="274"/>
        <v>135478</v>
      </c>
      <c r="AY141" s="27">
        <f t="shared" si="274"/>
        <v>51.33</v>
      </c>
      <c r="AZ141" s="27">
        <f t="shared" si="274"/>
        <v>0</v>
      </c>
      <c r="BA141" s="253">
        <f t="shared" si="274"/>
        <v>51.33</v>
      </c>
    </row>
    <row r="142" spans="1:53" customFormat="1" ht="12.75" x14ac:dyDescent="0.2">
      <c r="C142" s="8"/>
      <c r="D142" s="23"/>
      <c r="E142" s="24"/>
      <c r="F142" s="23"/>
      <c r="G142" s="42"/>
      <c r="H142" s="2">
        <v>3143</v>
      </c>
      <c r="I142" s="25">
        <f t="shared" ref="I142:BA142" si="275">SUMIF($F$12:$F$158,"=3143",I$12:I$158)</f>
        <v>17070477</v>
      </c>
      <c r="J142" s="26">
        <f t="shared" si="275"/>
        <v>12648663</v>
      </c>
      <c r="K142" s="26">
        <f t="shared" si="275"/>
        <v>4275247</v>
      </c>
      <c r="L142" s="26">
        <f t="shared" si="275"/>
        <v>126488</v>
      </c>
      <c r="M142" s="26">
        <f t="shared" si="275"/>
        <v>20079</v>
      </c>
      <c r="N142" s="27">
        <f t="shared" si="275"/>
        <v>27.683600000000006</v>
      </c>
      <c r="O142" s="27">
        <f t="shared" si="275"/>
        <v>26.103600000000004</v>
      </c>
      <c r="P142" s="472">
        <f t="shared" si="275"/>
        <v>1.5800000000000005</v>
      </c>
      <c r="Q142" s="25">
        <f t="shared" si="275"/>
        <v>-124800</v>
      </c>
      <c r="R142" s="26">
        <f t="shared" si="275"/>
        <v>0</v>
      </c>
      <c r="S142" s="26">
        <f t="shared" si="275"/>
        <v>0</v>
      </c>
      <c r="T142" s="26">
        <f t="shared" si="275"/>
        <v>0</v>
      </c>
      <c r="U142" s="26">
        <f t="shared" si="275"/>
        <v>-19861</v>
      </c>
      <c r="V142" s="26">
        <f t="shared" si="275"/>
        <v>-144661</v>
      </c>
      <c r="W142" s="26">
        <f t="shared" si="275"/>
        <v>124800</v>
      </c>
      <c r="X142" s="26">
        <f t="shared" si="275"/>
        <v>0</v>
      </c>
      <c r="Y142" s="26">
        <f t="shared" si="275"/>
        <v>0</v>
      </c>
      <c r="Z142" s="26">
        <f t="shared" si="275"/>
        <v>124800</v>
      </c>
      <c r="AA142" s="26">
        <f t="shared" si="275"/>
        <v>-19861</v>
      </c>
      <c r="AB142" s="26">
        <f t="shared" si="275"/>
        <v>-6713</v>
      </c>
      <c r="AC142" s="26">
        <f t="shared" si="275"/>
        <v>-1449</v>
      </c>
      <c r="AD142" s="26">
        <f t="shared" si="275"/>
        <v>0</v>
      </c>
      <c r="AE142" s="26">
        <f t="shared" si="275"/>
        <v>0</v>
      </c>
      <c r="AF142" s="26">
        <f t="shared" si="275"/>
        <v>0</v>
      </c>
      <c r="AG142" s="26">
        <f t="shared" si="275"/>
        <v>-28023</v>
      </c>
      <c r="AH142" s="27">
        <f t="shared" si="275"/>
        <v>-7.0000000000000007E-2</v>
      </c>
      <c r="AI142" s="27">
        <f t="shared" si="275"/>
        <v>0</v>
      </c>
      <c r="AJ142" s="27">
        <f t="shared" si="275"/>
        <v>0</v>
      </c>
      <c r="AK142" s="27">
        <f t="shared" si="275"/>
        <v>0</v>
      </c>
      <c r="AL142" s="27">
        <f t="shared" si="275"/>
        <v>0</v>
      </c>
      <c r="AM142" s="27">
        <f t="shared" si="275"/>
        <v>0</v>
      </c>
      <c r="AN142" s="27">
        <f t="shared" si="275"/>
        <v>0</v>
      </c>
      <c r="AO142" s="27">
        <f t="shared" si="275"/>
        <v>0</v>
      </c>
      <c r="AP142" s="27">
        <f t="shared" si="275"/>
        <v>-7.0000000000000007E-2</v>
      </c>
      <c r="AQ142" s="27">
        <f t="shared" si="275"/>
        <v>0</v>
      </c>
      <c r="AR142" s="27">
        <f t="shared" si="275"/>
        <v>-7.0000000000000007E-2</v>
      </c>
      <c r="AS142" s="39">
        <f t="shared" si="275"/>
        <v>17042454</v>
      </c>
      <c r="AT142" s="26">
        <f t="shared" si="275"/>
        <v>12504002</v>
      </c>
      <c r="AU142" s="26">
        <f t="shared" si="275"/>
        <v>124800</v>
      </c>
      <c r="AV142" s="26">
        <f t="shared" si="275"/>
        <v>4268534</v>
      </c>
      <c r="AW142" s="26">
        <f t="shared" si="275"/>
        <v>125039</v>
      </c>
      <c r="AX142" s="26">
        <f t="shared" si="275"/>
        <v>20079</v>
      </c>
      <c r="AY142" s="27">
        <f t="shared" si="275"/>
        <v>27.613600000000005</v>
      </c>
      <c r="AZ142" s="27">
        <f t="shared" si="275"/>
        <v>26.033600000000003</v>
      </c>
      <c r="BA142" s="253">
        <f t="shared" si="275"/>
        <v>1.5800000000000005</v>
      </c>
    </row>
    <row r="143" spans="1:53" customFormat="1" ht="12.75" x14ac:dyDescent="0.2">
      <c r="D143" s="23"/>
      <c r="E143" s="24"/>
      <c r="F143" s="23"/>
      <c r="G143" s="42"/>
      <c r="H143" s="2">
        <v>3231</v>
      </c>
      <c r="I143" s="25">
        <f t="shared" ref="I143:BA143" si="276">SUMIF($F$12:$F$158,"=3231",I$12:I$158)</f>
        <v>14498358</v>
      </c>
      <c r="J143" s="26">
        <f t="shared" si="276"/>
        <v>10730492</v>
      </c>
      <c r="K143" s="26">
        <f t="shared" si="276"/>
        <v>3626906</v>
      </c>
      <c r="L143" s="26">
        <f t="shared" si="276"/>
        <v>107305</v>
      </c>
      <c r="M143" s="26">
        <f t="shared" si="276"/>
        <v>33655</v>
      </c>
      <c r="N143" s="27">
        <f t="shared" si="276"/>
        <v>18.888100000000001</v>
      </c>
      <c r="O143" s="27">
        <f t="shared" si="276"/>
        <v>17.0776</v>
      </c>
      <c r="P143" s="472">
        <f t="shared" si="276"/>
        <v>1.8105</v>
      </c>
      <c r="Q143" s="25">
        <f t="shared" si="276"/>
        <v>-97500</v>
      </c>
      <c r="R143" s="26">
        <f t="shared" si="276"/>
        <v>0</v>
      </c>
      <c r="S143" s="26">
        <f t="shared" si="276"/>
        <v>0</v>
      </c>
      <c r="T143" s="26">
        <f t="shared" si="276"/>
        <v>0</v>
      </c>
      <c r="U143" s="26">
        <f t="shared" si="276"/>
        <v>0</v>
      </c>
      <c r="V143" s="26">
        <f t="shared" si="276"/>
        <v>-97500</v>
      </c>
      <c r="W143" s="26">
        <f t="shared" si="276"/>
        <v>97500</v>
      </c>
      <c r="X143" s="26">
        <f t="shared" si="276"/>
        <v>0</v>
      </c>
      <c r="Y143" s="26">
        <f t="shared" si="276"/>
        <v>0</v>
      </c>
      <c r="Z143" s="26">
        <f t="shared" si="276"/>
        <v>97500</v>
      </c>
      <c r="AA143" s="26">
        <f t="shared" si="276"/>
        <v>0</v>
      </c>
      <c r="AB143" s="26">
        <f t="shared" si="276"/>
        <v>0</v>
      </c>
      <c r="AC143" s="26">
        <f t="shared" si="276"/>
        <v>-975</v>
      </c>
      <c r="AD143" s="26">
        <f t="shared" si="276"/>
        <v>0</v>
      </c>
      <c r="AE143" s="26">
        <f t="shared" si="276"/>
        <v>0</v>
      </c>
      <c r="AF143" s="26">
        <f t="shared" si="276"/>
        <v>0</v>
      </c>
      <c r="AG143" s="26">
        <f t="shared" si="276"/>
        <v>-975</v>
      </c>
      <c r="AH143" s="27">
        <f t="shared" si="276"/>
        <v>-0.11</v>
      </c>
      <c r="AI143" s="27">
        <f t="shared" si="276"/>
        <v>-0.1</v>
      </c>
      <c r="AJ143" s="27">
        <f t="shared" si="276"/>
        <v>0</v>
      </c>
      <c r="AK143" s="27">
        <f t="shared" si="276"/>
        <v>0</v>
      </c>
      <c r="AL143" s="27">
        <f t="shared" si="276"/>
        <v>0</v>
      </c>
      <c r="AM143" s="27">
        <f t="shared" si="276"/>
        <v>0</v>
      </c>
      <c r="AN143" s="27">
        <f t="shared" si="276"/>
        <v>0</v>
      </c>
      <c r="AO143" s="27">
        <f t="shared" si="276"/>
        <v>0</v>
      </c>
      <c r="AP143" s="27">
        <f t="shared" si="276"/>
        <v>-0.11</v>
      </c>
      <c r="AQ143" s="27">
        <f t="shared" si="276"/>
        <v>-0.1</v>
      </c>
      <c r="AR143" s="27">
        <f t="shared" si="276"/>
        <v>-0.21000000000000002</v>
      </c>
      <c r="AS143" s="39">
        <f t="shared" si="276"/>
        <v>14497383</v>
      </c>
      <c r="AT143" s="26">
        <f t="shared" si="276"/>
        <v>10632992</v>
      </c>
      <c r="AU143" s="26">
        <f t="shared" si="276"/>
        <v>97500</v>
      </c>
      <c r="AV143" s="26">
        <f t="shared" si="276"/>
        <v>3626906</v>
      </c>
      <c r="AW143" s="26">
        <f t="shared" si="276"/>
        <v>106330</v>
      </c>
      <c r="AX143" s="26">
        <f t="shared" si="276"/>
        <v>33655</v>
      </c>
      <c r="AY143" s="27">
        <f t="shared" si="276"/>
        <v>18.678100000000001</v>
      </c>
      <c r="AZ143" s="27">
        <f t="shared" si="276"/>
        <v>16.967600000000001</v>
      </c>
      <c r="BA143" s="253">
        <f t="shared" si="276"/>
        <v>1.7104999999999999</v>
      </c>
    </row>
    <row r="144" spans="1:53" customFormat="1" ht="13.5" thickBot="1" x14ac:dyDescent="0.25">
      <c r="D144" s="23"/>
      <c r="E144" s="24"/>
      <c r="F144" s="23"/>
      <c r="G144" s="42"/>
      <c r="H144" s="154">
        <v>3233</v>
      </c>
      <c r="I144" s="28">
        <f t="shared" ref="I144:BA144" si="277">SUMIF($F$12:$F$158,"=3233",I$12:I$158)</f>
        <v>3920691</v>
      </c>
      <c r="J144" s="29">
        <f t="shared" si="277"/>
        <v>2905772</v>
      </c>
      <c r="K144" s="29">
        <f t="shared" si="277"/>
        <v>982151</v>
      </c>
      <c r="L144" s="29">
        <f t="shared" si="277"/>
        <v>29058</v>
      </c>
      <c r="M144" s="29">
        <f t="shared" si="277"/>
        <v>3710</v>
      </c>
      <c r="N144" s="148">
        <f t="shared" si="277"/>
        <v>6.31</v>
      </c>
      <c r="O144" s="148">
        <f t="shared" si="277"/>
        <v>4.51</v>
      </c>
      <c r="P144" s="473">
        <f t="shared" si="277"/>
        <v>1.8</v>
      </c>
      <c r="Q144" s="28">
        <f t="shared" si="277"/>
        <v>-65000</v>
      </c>
      <c r="R144" s="29">
        <f t="shared" si="277"/>
        <v>0</v>
      </c>
      <c r="S144" s="29">
        <f t="shared" si="277"/>
        <v>0</v>
      </c>
      <c r="T144" s="29">
        <f t="shared" si="277"/>
        <v>0</v>
      </c>
      <c r="U144" s="29">
        <f t="shared" si="277"/>
        <v>0</v>
      </c>
      <c r="V144" s="29">
        <f t="shared" si="277"/>
        <v>-65000</v>
      </c>
      <c r="W144" s="29">
        <f t="shared" si="277"/>
        <v>65000</v>
      </c>
      <c r="X144" s="29">
        <f t="shared" si="277"/>
        <v>0</v>
      </c>
      <c r="Y144" s="29">
        <f t="shared" si="277"/>
        <v>0</v>
      </c>
      <c r="Z144" s="29">
        <f t="shared" si="277"/>
        <v>65000</v>
      </c>
      <c r="AA144" s="29">
        <f t="shared" si="277"/>
        <v>0</v>
      </c>
      <c r="AB144" s="29">
        <f t="shared" si="277"/>
        <v>0</v>
      </c>
      <c r="AC144" s="29">
        <f t="shared" si="277"/>
        <v>-650</v>
      </c>
      <c r="AD144" s="29">
        <f t="shared" si="277"/>
        <v>0</v>
      </c>
      <c r="AE144" s="29">
        <f t="shared" si="277"/>
        <v>0</v>
      </c>
      <c r="AF144" s="29">
        <f t="shared" si="277"/>
        <v>0</v>
      </c>
      <c r="AG144" s="29">
        <f t="shared" si="277"/>
        <v>-650</v>
      </c>
      <c r="AH144" s="148">
        <f t="shared" si="277"/>
        <v>-7.0000000000000007E-2</v>
      </c>
      <c r="AI144" s="148">
        <f t="shared" si="277"/>
        <v>-0.09</v>
      </c>
      <c r="AJ144" s="148">
        <f t="shared" si="277"/>
        <v>0</v>
      </c>
      <c r="AK144" s="148">
        <f t="shared" si="277"/>
        <v>0</v>
      </c>
      <c r="AL144" s="148">
        <f t="shared" si="277"/>
        <v>0</v>
      </c>
      <c r="AM144" s="148">
        <f t="shared" si="277"/>
        <v>0</v>
      </c>
      <c r="AN144" s="148">
        <f t="shared" si="277"/>
        <v>0</v>
      </c>
      <c r="AO144" s="148">
        <f t="shared" si="277"/>
        <v>0</v>
      </c>
      <c r="AP144" s="148">
        <f t="shared" si="277"/>
        <v>-7.0000000000000007E-2</v>
      </c>
      <c r="AQ144" s="148">
        <f t="shared" si="277"/>
        <v>-0.09</v>
      </c>
      <c r="AR144" s="148">
        <f t="shared" si="277"/>
        <v>-0.16</v>
      </c>
      <c r="AS144" s="153">
        <f t="shared" si="277"/>
        <v>3920041</v>
      </c>
      <c r="AT144" s="29">
        <f t="shared" si="277"/>
        <v>2840772</v>
      </c>
      <c r="AU144" s="29">
        <f t="shared" si="277"/>
        <v>65000</v>
      </c>
      <c r="AV144" s="29">
        <f t="shared" si="277"/>
        <v>982151</v>
      </c>
      <c r="AW144" s="29">
        <f t="shared" si="277"/>
        <v>28408</v>
      </c>
      <c r="AX144" s="29">
        <f t="shared" si="277"/>
        <v>3710</v>
      </c>
      <c r="AY144" s="148">
        <f t="shared" si="277"/>
        <v>6.1499999999999995</v>
      </c>
      <c r="AZ144" s="148">
        <f t="shared" si="277"/>
        <v>4.4399999999999995</v>
      </c>
      <c r="BA144" s="254">
        <f t="shared" si="277"/>
        <v>1.71</v>
      </c>
    </row>
    <row r="146" spans="1:53" s="55" customFormat="1" x14ac:dyDescent="0.25">
      <c r="A146" s="92"/>
      <c r="B146" s="91"/>
      <c r="C146" s="91"/>
      <c r="D146" s="91"/>
      <c r="E146" s="92"/>
      <c r="F146" s="115"/>
      <c r="G146" s="92"/>
      <c r="H146" s="92"/>
      <c r="N146" s="56"/>
      <c r="O146" s="56"/>
      <c r="P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Y146" s="56"/>
      <c r="AZ146" s="56"/>
      <c r="BA146" s="56"/>
    </row>
    <row r="147" spans="1:53" x14ac:dyDescent="0.25">
      <c r="E147" s="588"/>
      <c r="J147" s="250"/>
      <c r="K147" s="250"/>
      <c r="L147" s="250"/>
      <c r="M147" s="250"/>
      <c r="N147" s="251"/>
      <c r="O147" s="251"/>
      <c r="P147" s="251"/>
    </row>
    <row r="148" spans="1:53" x14ac:dyDescent="0.25">
      <c r="E148" s="588"/>
      <c r="J148" s="250"/>
      <c r="K148" s="250"/>
      <c r="L148" s="250"/>
      <c r="M148" s="250"/>
      <c r="N148" s="251"/>
      <c r="O148" s="251"/>
      <c r="P148" s="251"/>
    </row>
    <row r="149" spans="1:53" x14ac:dyDescent="0.25">
      <c r="E149" s="588"/>
      <c r="J149" s="250"/>
      <c r="K149" s="250"/>
      <c r="L149" s="250"/>
      <c r="M149" s="250"/>
      <c r="N149" s="251"/>
      <c r="O149" s="251"/>
      <c r="P149" s="251"/>
    </row>
    <row r="150" spans="1:53" x14ac:dyDescent="0.25">
      <c r="E150" s="588"/>
      <c r="J150" s="714"/>
      <c r="K150" s="714"/>
      <c r="L150" s="714"/>
      <c r="M150" s="250"/>
      <c r="N150" s="251"/>
      <c r="O150" s="251"/>
      <c r="P150" s="251"/>
    </row>
    <row r="151" spans="1:53" x14ac:dyDescent="0.25">
      <c r="E151" s="588"/>
      <c r="J151" s="714"/>
      <c r="K151" s="714"/>
      <c r="L151" s="714"/>
      <c r="M151" s="250"/>
      <c r="N151" s="251"/>
      <c r="O151" s="251"/>
      <c r="P151" s="251"/>
    </row>
    <row r="152" spans="1:53" x14ac:dyDescent="0.25">
      <c r="E152" s="588"/>
      <c r="J152" s="714"/>
      <c r="K152" s="714"/>
      <c r="L152" s="714"/>
      <c r="M152" s="250"/>
      <c r="N152" s="251"/>
      <c r="O152" s="251"/>
      <c r="P152" s="251"/>
    </row>
    <row r="153" spans="1:53" x14ac:dyDescent="0.25">
      <c r="E153" s="588"/>
      <c r="J153" s="714"/>
      <c r="K153" s="714"/>
      <c r="L153" s="714"/>
      <c r="M153" s="250"/>
      <c r="N153" s="251"/>
      <c r="O153" s="251"/>
      <c r="P153" s="251"/>
    </row>
    <row r="154" spans="1:53" x14ac:dyDescent="0.25">
      <c r="E154" s="588"/>
      <c r="J154" s="714"/>
      <c r="K154" s="714"/>
      <c r="L154" s="714"/>
      <c r="M154" s="250"/>
      <c r="N154" s="251"/>
      <c r="O154" s="251"/>
      <c r="P154" s="251"/>
    </row>
    <row r="155" spans="1:53" x14ac:dyDescent="0.25">
      <c r="E155" s="588"/>
      <c r="J155" s="714"/>
      <c r="K155" s="714"/>
      <c r="L155" s="714"/>
      <c r="M155" s="250"/>
      <c r="N155" s="251"/>
      <c r="O155" s="251"/>
      <c r="P155" s="251"/>
    </row>
    <row r="156" spans="1:53" x14ac:dyDescent="0.25">
      <c r="E156" s="52"/>
      <c r="J156" s="714"/>
      <c r="K156" s="714"/>
      <c r="L156" s="714"/>
      <c r="M156" s="250"/>
      <c r="N156" s="251"/>
      <c r="O156" s="251"/>
      <c r="P156" s="251"/>
    </row>
    <row r="157" spans="1:53" x14ac:dyDescent="0.25">
      <c r="E157" s="52"/>
      <c r="J157" s="714"/>
      <c r="K157" s="714"/>
      <c r="L157" s="714"/>
      <c r="M157" s="250"/>
      <c r="N157" s="251"/>
      <c r="O157" s="251"/>
      <c r="P157" s="251"/>
    </row>
    <row r="158" spans="1:53" x14ac:dyDescent="0.25">
      <c r="E158" s="52"/>
      <c r="J158" s="714"/>
      <c r="K158" s="714"/>
      <c r="L158" s="714"/>
      <c r="M158" s="250"/>
      <c r="N158" s="251"/>
      <c r="O158" s="251"/>
      <c r="P158" s="251"/>
    </row>
  </sheetData>
  <mergeCells count="26">
    <mergeCell ref="AS8:AS10"/>
    <mergeCell ref="AT8:AX9"/>
    <mergeCell ref="AG7:AG10"/>
    <mergeCell ref="AH7:AR7"/>
    <mergeCell ref="AH8:AI9"/>
    <mergeCell ref="AJ8:AJ9"/>
    <mergeCell ref="AN8:AO9"/>
    <mergeCell ref="AP8:AR9"/>
    <mergeCell ref="AK8:AL8"/>
    <mergeCell ref="AM8:AM9"/>
    <mergeCell ref="AY8:AY10"/>
    <mergeCell ref="AZ8:BA9"/>
    <mergeCell ref="A3:E3"/>
    <mergeCell ref="I6:P7"/>
    <mergeCell ref="I8:I10"/>
    <mergeCell ref="J8:M9"/>
    <mergeCell ref="N8:N10"/>
    <mergeCell ref="O8:P9"/>
    <mergeCell ref="Q6:AR6"/>
    <mergeCell ref="AS6:BA7"/>
    <mergeCell ref="Q7:V9"/>
    <mergeCell ref="W7:Z9"/>
    <mergeCell ref="AA7:AA10"/>
    <mergeCell ref="AB7:AB10"/>
    <mergeCell ref="AC7:AC10"/>
    <mergeCell ref="AD7:AF9"/>
  </mergeCells>
  <phoneticPr fontId="43" type="noConversion"/>
  <printOptions horizontalCentered="1"/>
  <pageMargins left="0.19685039370078741" right="0.19685039370078741" top="0.78740157480314965" bottom="0.78740157480314965" header="0.31496062992125984" footer="0.31496062992125984"/>
  <pageSetup paperSize="8" scale="63" fitToWidth="4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4">
    <pageSetUpPr fitToPage="1"/>
  </sheetPr>
  <dimension ref="A1:BA203"/>
  <sheetViews>
    <sheetView workbookViewId="0">
      <pane xSplit="8" ySplit="11" topLeftCell="AK171" activePane="bottomRight" state="frozen"/>
      <selection activeCell="I6" sqref="I6:BA10"/>
      <selection pane="topRight" activeCell="I6" sqref="I6:BA10"/>
      <selection pane="bottomLeft" activeCell="I6" sqref="I6:BA10"/>
      <selection pane="bottomRight" activeCell="AS6" sqref="AS6:BA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9.28515625" customWidth="1"/>
    <col min="6" max="6" width="4.42578125" customWidth="1"/>
    <col min="7" max="7" width="10.28515625" bestFit="1" customWidth="1"/>
    <col min="8" max="8" width="8" customWidth="1"/>
    <col min="9" max="9" width="10.85546875" style="8" customWidth="1"/>
    <col min="10" max="10" width="10" style="8" customWidth="1"/>
    <col min="11" max="11" width="10.28515625" style="8" customWidth="1"/>
    <col min="12" max="13" width="9.28515625" style="8" customWidth="1"/>
    <col min="14" max="14" width="11.42578125" style="7" customWidth="1"/>
    <col min="15" max="16" width="9.28515625" style="7" customWidth="1"/>
    <col min="17" max="17" width="9.140625" style="8" customWidth="1"/>
    <col min="18" max="18" width="9.7109375" style="8" customWidth="1"/>
    <col min="19" max="20" width="9.140625" style="8" customWidth="1"/>
    <col min="21" max="21" width="9.7109375" style="8" customWidth="1"/>
    <col min="22" max="26" width="9.140625" style="8" customWidth="1"/>
    <col min="27" max="27" width="10.140625" style="8" customWidth="1"/>
    <col min="28" max="33" width="9.28515625" style="8" customWidth="1"/>
    <col min="34" max="44" width="9.28515625" style="608" customWidth="1"/>
    <col min="45" max="45" width="9.7109375" style="8" customWidth="1"/>
    <col min="46" max="46" width="10" style="8" customWidth="1"/>
    <col min="47" max="47" width="9.140625" style="8"/>
    <col min="48" max="48" width="9.85546875" style="8" customWidth="1"/>
    <col min="49" max="50" width="9.140625" style="8"/>
    <col min="51" max="51" width="11.42578125" style="7" customWidth="1"/>
    <col min="52" max="53" width="9.28515625" style="7" customWidth="1"/>
    <col min="181" max="181" width="6.85546875" customWidth="1"/>
    <col min="182" max="182" width="35" customWidth="1"/>
    <col min="183" max="183" width="8" customWidth="1"/>
    <col min="184" max="184" width="31.85546875" customWidth="1"/>
    <col min="185" max="185" width="12" customWidth="1"/>
    <col min="186" max="186" width="11.5703125" customWidth="1"/>
    <col min="187" max="187" width="12" customWidth="1"/>
    <col min="188" max="188" width="11.140625" customWidth="1"/>
    <col min="189" max="190" width="10" customWidth="1"/>
    <col min="193" max="193" width="10.7109375" customWidth="1"/>
    <col min="437" max="437" width="6.85546875" customWidth="1"/>
    <col min="438" max="438" width="35" customWidth="1"/>
    <col min="439" max="439" width="8" customWidth="1"/>
    <col min="440" max="440" width="31.85546875" customWidth="1"/>
    <col min="441" max="441" width="12" customWidth="1"/>
    <col min="442" max="442" width="11.5703125" customWidth="1"/>
    <col min="443" max="443" width="12" customWidth="1"/>
    <col min="444" max="444" width="11.140625" customWidth="1"/>
    <col min="445" max="446" width="10" customWidth="1"/>
    <col min="449" max="449" width="10.7109375" customWidth="1"/>
    <col min="693" max="693" width="6.85546875" customWidth="1"/>
    <col min="694" max="694" width="35" customWidth="1"/>
    <col min="695" max="695" width="8" customWidth="1"/>
    <col min="696" max="696" width="31.85546875" customWidth="1"/>
    <col min="697" max="697" width="12" customWidth="1"/>
    <col min="698" max="698" width="11.5703125" customWidth="1"/>
    <col min="699" max="699" width="12" customWidth="1"/>
    <col min="700" max="700" width="11.140625" customWidth="1"/>
    <col min="701" max="702" width="10" customWidth="1"/>
    <col min="705" max="705" width="10.7109375" customWidth="1"/>
    <col min="949" max="949" width="6.85546875" customWidth="1"/>
    <col min="950" max="950" width="35" customWidth="1"/>
    <col min="951" max="951" width="8" customWidth="1"/>
    <col min="952" max="952" width="31.85546875" customWidth="1"/>
    <col min="953" max="953" width="12" customWidth="1"/>
    <col min="954" max="954" width="11.5703125" customWidth="1"/>
    <col min="955" max="955" width="12" customWidth="1"/>
    <col min="956" max="956" width="11.140625" customWidth="1"/>
    <col min="957" max="958" width="10" customWidth="1"/>
    <col min="961" max="961" width="10.7109375" customWidth="1"/>
    <col min="1205" max="1205" width="6.85546875" customWidth="1"/>
    <col min="1206" max="1206" width="35" customWidth="1"/>
    <col min="1207" max="1207" width="8" customWidth="1"/>
    <col min="1208" max="1208" width="31.85546875" customWidth="1"/>
    <col min="1209" max="1209" width="12" customWidth="1"/>
    <col min="1210" max="1210" width="11.5703125" customWidth="1"/>
    <col min="1211" max="1211" width="12" customWidth="1"/>
    <col min="1212" max="1212" width="11.140625" customWidth="1"/>
    <col min="1213" max="1214" width="10" customWidth="1"/>
    <col min="1217" max="1217" width="10.7109375" customWidth="1"/>
    <col min="1461" max="1461" width="6.85546875" customWidth="1"/>
    <col min="1462" max="1462" width="35" customWidth="1"/>
    <col min="1463" max="1463" width="8" customWidth="1"/>
    <col min="1464" max="1464" width="31.85546875" customWidth="1"/>
    <col min="1465" max="1465" width="12" customWidth="1"/>
    <col min="1466" max="1466" width="11.5703125" customWidth="1"/>
    <col min="1467" max="1467" width="12" customWidth="1"/>
    <col min="1468" max="1468" width="11.140625" customWidth="1"/>
    <col min="1469" max="1470" width="10" customWidth="1"/>
    <col min="1473" max="1473" width="10.7109375" customWidth="1"/>
    <col min="1717" max="1717" width="6.85546875" customWidth="1"/>
    <col min="1718" max="1718" width="35" customWidth="1"/>
    <col min="1719" max="1719" width="8" customWidth="1"/>
    <col min="1720" max="1720" width="31.85546875" customWidth="1"/>
    <col min="1721" max="1721" width="12" customWidth="1"/>
    <col min="1722" max="1722" width="11.5703125" customWidth="1"/>
    <col min="1723" max="1723" width="12" customWidth="1"/>
    <col min="1724" max="1724" width="11.140625" customWidth="1"/>
    <col min="1725" max="1726" width="10" customWidth="1"/>
    <col min="1729" max="1729" width="10.7109375" customWidth="1"/>
    <col min="1973" max="1973" width="6.85546875" customWidth="1"/>
    <col min="1974" max="1974" width="35" customWidth="1"/>
    <col min="1975" max="1975" width="8" customWidth="1"/>
    <col min="1976" max="1976" width="31.85546875" customWidth="1"/>
    <col min="1977" max="1977" width="12" customWidth="1"/>
    <col min="1978" max="1978" width="11.5703125" customWidth="1"/>
    <col min="1979" max="1979" width="12" customWidth="1"/>
    <col min="1980" max="1980" width="11.140625" customWidth="1"/>
    <col min="1981" max="1982" width="10" customWidth="1"/>
    <col min="1985" max="1985" width="10.7109375" customWidth="1"/>
    <col min="2229" max="2229" width="6.85546875" customWidth="1"/>
    <col min="2230" max="2230" width="35" customWidth="1"/>
    <col min="2231" max="2231" width="8" customWidth="1"/>
    <col min="2232" max="2232" width="31.85546875" customWidth="1"/>
    <col min="2233" max="2233" width="12" customWidth="1"/>
    <col min="2234" max="2234" width="11.5703125" customWidth="1"/>
    <col min="2235" max="2235" width="12" customWidth="1"/>
    <col min="2236" max="2236" width="11.140625" customWidth="1"/>
    <col min="2237" max="2238" width="10" customWidth="1"/>
    <col min="2241" max="2241" width="10.7109375" customWidth="1"/>
    <col min="2485" max="2485" width="6.85546875" customWidth="1"/>
    <col min="2486" max="2486" width="35" customWidth="1"/>
    <col min="2487" max="2487" width="8" customWidth="1"/>
    <col min="2488" max="2488" width="31.85546875" customWidth="1"/>
    <col min="2489" max="2489" width="12" customWidth="1"/>
    <col min="2490" max="2490" width="11.5703125" customWidth="1"/>
    <col min="2491" max="2491" width="12" customWidth="1"/>
    <col min="2492" max="2492" width="11.140625" customWidth="1"/>
    <col min="2493" max="2494" width="10" customWidth="1"/>
    <col min="2497" max="2497" width="10.7109375" customWidth="1"/>
    <col min="2741" max="2741" width="6.85546875" customWidth="1"/>
    <col min="2742" max="2742" width="35" customWidth="1"/>
    <col min="2743" max="2743" width="8" customWidth="1"/>
    <col min="2744" max="2744" width="31.85546875" customWidth="1"/>
    <col min="2745" max="2745" width="12" customWidth="1"/>
    <col min="2746" max="2746" width="11.5703125" customWidth="1"/>
    <col min="2747" max="2747" width="12" customWidth="1"/>
    <col min="2748" max="2748" width="11.140625" customWidth="1"/>
    <col min="2749" max="2750" width="10" customWidth="1"/>
    <col min="2753" max="2753" width="10.7109375" customWidth="1"/>
    <col min="2997" max="2997" width="6.85546875" customWidth="1"/>
    <col min="2998" max="2998" width="35" customWidth="1"/>
    <col min="2999" max="2999" width="8" customWidth="1"/>
    <col min="3000" max="3000" width="31.85546875" customWidth="1"/>
    <col min="3001" max="3001" width="12" customWidth="1"/>
    <col min="3002" max="3002" width="11.5703125" customWidth="1"/>
    <col min="3003" max="3003" width="12" customWidth="1"/>
    <col min="3004" max="3004" width="11.140625" customWidth="1"/>
    <col min="3005" max="3006" width="10" customWidth="1"/>
    <col min="3009" max="3009" width="10.7109375" customWidth="1"/>
    <col min="3253" max="3253" width="6.85546875" customWidth="1"/>
    <col min="3254" max="3254" width="35" customWidth="1"/>
    <col min="3255" max="3255" width="8" customWidth="1"/>
    <col min="3256" max="3256" width="31.85546875" customWidth="1"/>
    <col min="3257" max="3257" width="12" customWidth="1"/>
    <col min="3258" max="3258" width="11.5703125" customWidth="1"/>
    <col min="3259" max="3259" width="12" customWidth="1"/>
    <col min="3260" max="3260" width="11.140625" customWidth="1"/>
    <col min="3261" max="3262" width="10" customWidth="1"/>
    <col min="3265" max="3265" width="10.7109375" customWidth="1"/>
    <col min="3509" max="3509" width="6.85546875" customWidth="1"/>
    <col min="3510" max="3510" width="35" customWidth="1"/>
    <col min="3511" max="3511" width="8" customWidth="1"/>
    <col min="3512" max="3512" width="31.85546875" customWidth="1"/>
    <col min="3513" max="3513" width="12" customWidth="1"/>
    <col min="3514" max="3514" width="11.5703125" customWidth="1"/>
    <col min="3515" max="3515" width="12" customWidth="1"/>
    <col min="3516" max="3516" width="11.140625" customWidth="1"/>
    <col min="3517" max="3518" width="10" customWidth="1"/>
    <col min="3521" max="3521" width="10.7109375" customWidth="1"/>
    <col min="3765" max="3765" width="6.85546875" customWidth="1"/>
    <col min="3766" max="3766" width="35" customWidth="1"/>
    <col min="3767" max="3767" width="8" customWidth="1"/>
    <col min="3768" max="3768" width="31.85546875" customWidth="1"/>
    <col min="3769" max="3769" width="12" customWidth="1"/>
    <col min="3770" max="3770" width="11.5703125" customWidth="1"/>
    <col min="3771" max="3771" width="12" customWidth="1"/>
    <col min="3772" max="3772" width="11.140625" customWidth="1"/>
    <col min="3773" max="3774" width="10" customWidth="1"/>
    <col min="3777" max="3777" width="10.7109375" customWidth="1"/>
    <col min="4021" max="4021" width="6.85546875" customWidth="1"/>
    <col min="4022" max="4022" width="35" customWidth="1"/>
    <col min="4023" max="4023" width="8" customWidth="1"/>
    <col min="4024" max="4024" width="31.85546875" customWidth="1"/>
    <col min="4025" max="4025" width="12" customWidth="1"/>
    <col min="4026" max="4026" width="11.5703125" customWidth="1"/>
    <col min="4027" max="4027" width="12" customWidth="1"/>
    <col min="4028" max="4028" width="11.140625" customWidth="1"/>
    <col min="4029" max="4030" width="10" customWidth="1"/>
    <col min="4033" max="4033" width="10.7109375" customWidth="1"/>
    <col min="4277" max="4277" width="6.85546875" customWidth="1"/>
    <col min="4278" max="4278" width="35" customWidth="1"/>
    <col min="4279" max="4279" width="8" customWidth="1"/>
    <col min="4280" max="4280" width="31.85546875" customWidth="1"/>
    <col min="4281" max="4281" width="12" customWidth="1"/>
    <col min="4282" max="4282" width="11.5703125" customWidth="1"/>
    <col min="4283" max="4283" width="12" customWidth="1"/>
    <col min="4284" max="4284" width="11.140625" customWidth="1"/>
    <col min="4285" max="4286" width="10" customWidth="1"/>
    <col min="4289" max="4289" width="10.7109375" customWidth="1"/>
    <col min="4533" max="4533" width="6.85546875" customWidth="1"/>
    <col min="4534" max="4534" width="35" customWidth="1"/>
    <col min="4535" max="4535" width="8" customWidth="1"/>
    <col min="4536" max="4536" width="31.85546875" customWidth="1"/>
    <col min="4537" max="4537" width="12" customWidth="1"/>
    <col min="4538" max="4538" width="11.5703125" customWidth="1"/>
    <col min="4539" max="4539" width="12" customWidth="1"/>
    <col min="4540" max="4540" width="11.140625" customWidth="1"/>
    <col min="4541" max="4542" width="10" customWidth="1"/>
    <col min="4545" max="4545" width="10.7109375" customWidth="1"/>
    <col min="4789" max="4789" width="6.85546875" customWidth="1"/>
    <col min="4790" max="4790" width="35" customWidth="1"/>
    <col min="4791" max="4791" width="8" customWidth="1"/>
    <col min="4792" max="4792" width="31.85546875" customWidth="1"/>
    <col min="4793" max="4793" width="12" customWidth="1"/>
    <col min="4794" max="4794" width="11.5703125" customWidth="1"/>
    <col min="4795" max="4795" width="12" customWidth="1"/>
    <col min="4796" max="4796" width="11.140625" customWidth="1"/>
    <col min="4797" max="4798" width="10" customWidth="1"/>
    <col min="4801" max="4801" width="10.7109375" customWidth="1"/>
    <col min="5045" max="5045" width="6.85546875" customWidth="1"/>
    <col min="5046" max="5046" width="35" customWidth="1"/>
    <col min="5047" max="5047" width="8" customWidth="1"/>
    <col min="5048" max="5048" width="31.85546875" customWidth="1"/>
    <col min="5049" max="5049" width="12" customWidth="1"/>
    <col min="5050" max="5050" width="11.5703125" customWidth="1"/>
    <col min="5051" max="5051" width="12" customWidth="1"/>
    <col min="5052" max="5052" width="11.140625" customWidth="1"/>
    <col min="5053" max="5054" width="10" customWidth="1"/>
    <col min="5057" max="5057" width="10.7109375" customWidth="1"/>
    <col min="5301" max="5301" width="6.85546875" customWidth="1"/>
    <col min="5302" max="5302" width="35" customWidth="1"/>
    <col min="5303" max="5303" width="8" customWidth="1"/>
    <col min="5304" max="5304" width="31.85546875" customWidth="1"/>
    <col min="5305" max="5305" width="12" customWidth="1"/>
    <col min="5306" max="5306" width="11.5703125" customWidth="1"/>
    <col min="5307" max="5307" width="12" customWidth="1"/>
    <col min="5308" max="5308" width="11.140625" customWidth="1"/>
    <col min="5309" max="5310" width="10" customWidth="1"/>
    <col min="5313" max="5313" width="10.7109375" customWidth="1"/>
    <col min="5557" max="5557" width="6.85546875" customWidth="1"/>
    <col min="5558" max="5558" width="35" customWidth="1"/>
    <col min="5559" max="5559" width="8" customWidth="1"/>
    <col min="5560" max="5560" width="31.85546875" customWidth="1"/>
    <col min="5561" max="5561" width="12" customWidth="1"/>
    <col min="5562" max="5562" width="11.5703125" customWidth="1"/>
    <col min="5563" max="5563" width="12" customWidth="1"/>
    <col min="5564" max="5564" width="11.140625" customWidth="1"/>
    <col min="5565" max="5566" width="10" customWidth="1"/>
    <col min="5569" max="5569" width="10.7109375" customWidth="1"/>
    <col min="5813" max="5813" width="6.85546875" customWidth="1"/>
    <col min="5814" max="5814" width="35" customWidth="1"/>
    <col min="5815" max="5815" width="8" customWidth="1"/>
    <col min="5816" max="5816" width="31.85546875" customWidth="1"/>
    <col min="5817" max="5817" width="12" customWidth="1"/>
    <col min="5818" max="5818" width="11.5703125" customWidth="1"/>
    <col min="5819" max="5819" width="12" customWidth="1"/>
    <col min="5820" max="5820" width="11.140625" customWidth="1"/>
    <col min="5821" max="5822" width="10" customWidth="1"/>
    <col min="5825" max="5825" width="10.7109375" customWidth="1"/>
    <col min="6069" max="6069" width="6.85546875" customWidth="1"/>
    <col min="6070" max="6070" width="35" customWidth="1"/>
    <col min="6071" max="6071" width="8" customWidth="1"/>
    <col min="6072" max="6072" width="31.85546875" customWidth="1"/>
    <col min="6073" max="6073" width="12" customWidth="1"/>
    <col min="6074" max="6074" width="11.5703125" customWidth="1"/>
    <col min="6075" max="6075" width="12" customWidth="1"/>
    <col min="6076" max="6076" width="11.140625" customWidth="1"/>
    <col min="6077" max="6078" width="10" customWidth="1"/>
    <col min="6081" max="6081" width="10.7109375" customWidth="1"/>
    <col min="6325" max="6325" width="6.85546875" customWidth="1"/>
    <col min="6326" max="6326" width="35" customWidth="1"/>
    <col min="6327" max="6327" width="8" customWidth="1"/>
    <col min="6328" max="6328" width="31.85546875" customWidth="1"/>
    <col min="6329" max="6329" width="12" customWidth="1"/>
    <col min="6330" max="6330" width="11.5703125" customWidth="1"/>
    <col min="6331" max="6331" width="12" customWidth="1"/>
    <col min="6332" max="6332" width="11.140625" customWidth="1"/>
    <col min="6333" max="6334" width="10" customWidth="1"/>
    <col min="6337" max="6337" width="10.7109375" customWidth="1"/>
    <col min="6581" max="6581" width="6.85546875" customWidth="1"/>
    <col min="6582" max="6582" width="35" customWidth="1"/>
    <col min="6583" max="6583" width="8" customWidth="1"/>
    <col min="6584" max="6584" width="31.85546875" customWidth="1"/>
    <col min="6585" max="6585" width="12" customWidth="1"/>
    <col min="6586" max="6586" width="11.5703125" customWidth="1"/>
    <col min="6587" max="6587" width="12" customWidth="1"/>
    <col min="6588" max="6588" width="11.140625" customWidth="1"/>
    <col min="6589" max="6590" width="10" customWidth="1"/>
    <col min="6593" max="6593" width="10.7109375" customWidth="1"/>
    <col min="6837" max="6837" width="6.85546875" customWidth="1"/>
    <col min="6838" max="6838" width="35" customWidth="1"/>
    <col min="6839" max="6839" width="8" customWidth="1"/>
    <col min="6840" max="6840" width="31.85546875" customWidth="1"/>
    <col min="6841" max="6841" width="12" customWidth="1"/>
    <col min="6842" max="6842" width="11.5703125" customWidth="1"/>
    <col min="6843" max="6843" width="12" customWidth="1"/>
    <col min="6844" max="6844" width="11.140625" customWidth="1"/>
    <col min="6845" max="6846" width="10" customWidth="1"/>
    <col min="6849" max="6849" width="10.7109375" customWidth="1"/>
    <col min="7093" max="7093" width="6.85546875" customWidth="1"/>
    <col min="7094" max="7094" width="35" customWidth="1"/>
    <col min="7095" max="7095" width="8" customWidth="1"/>
    <col min="7096" max="7096" width="31.85546875" customWidth="1"/>
    <col min="7097" max="7097" width="12" customWidth="1"/>
    <col min="7098" max="7098" width="11.5703125" customWidth="1"/>
    <col min="7099" max="7099" width="12" customWidth="1"/>
    <col min="7100" max="7100" width="11.140625" customWidth="1"/>
    <col min="7101" max="7102" width="10" customWidth="1"/>
    <col min="7105" max="7105" width="10.7109375" customWidth="1"/>
    <col min="7349" max="7349" width="6.85546875" customWidth="1"/>
    <col min="7350" max="7350" width="35" customWidth="1"/>
    <col min="7351" max="7351" width="8" customWidth="1"/>
    <col min="7352" max="7352" width="31.85546875" customWidth="1"/>
    <col min="7353" max="7353" width="12" customWidth="1"/>
    <col min="7354" max="7354" width="11.5703125" customWidth="1"/>
    <col min="7355" max="7355" width="12" customWidth="1"/>
    <col min="7356" max="7356" width="11.140625" customWidth="1"/>
    <col min="7357" max="7358" width="10" customWidth="1"/>
    <col min="7361" max="7361" width="10.7109375" customWidth="1"/>
    <col min="7605" max="7605" width="6.85546875" customWidth="1"/>
    <col min="7606" max="7606" width="35" customWidth="1"/>
    <col min="7607" max="7607" width="8" customWidth="1"/>
    <col min="7608" max="7608" width="31.85546875" customWidth="1"/>
    <col min="7609" max="7609" width="12" customWidth="1"/>
    <col min="7610" max="7610" width="11.5703125" customWidth="1"/>
    <col min="7611" max="7611" width="12" customWidth="1"/>
    <col min="7612" max="7612" width="11.140625" customWidth="1"/>
    <col min="7613" max="7614" width="10" customWidth="1"/>
    <col min="7617" max="7617" width="10.7109375" customWidth="1"/>
    <col min="7861" max="7861" width="6.85546875" customWidth="1"/>
    <col min="7862" max="7862" width="35" customWidth="1"/>
    <col min="7863" max="7863" width="8" customWidth="1"/>
    <col min="7864" max="7864" width="31.85546875" customWidth="1"/>
    <col min="7865" max="7865" width="12" customWidth="1"/>
    <col min="7866" max="7866" width="11.5703125" customWidth="1"/>
    <col min="7867" max="7867" width="12" customWidth="1"/>
    <col min="7868" max="7868" width="11.140625" customWidth="1"/>
    <col min="7869" max="7870" width="10" customWidth="1"/>
    <col min="7873" max="7873" width="10.7109375" customWidth="1"/>
    <col min="8117" max="8117" width="6.85546875" customWidth="1"/>
    <col min="8118" max="8118" width="35" customWidth="1"/>
    <col min="8119" max="8119" width="8" customWidth="1"/>
    <col min="8120" max="8120" width="31.85546875" customWidth="1"/>
    <col min="8121" max="8121" width="12" customWidth="1"/>
    <col min="8122" max="8122" width="11.5703125" customWidth="1"/>
    <col min="8123" max="8123" width="12" customWidth="1"/>
    <col min="8124" max="8124" width="11.140625" customWidth="1"/>
    <col min="8125" max="8126" width="10" customWidth="1"/>
    <col min="8129" max="8129" width="10.7109375" customWidth="1"/>
    <col min="8373" max="8373" width="6.85546875" customWidth="1"/>
    <col min="8374" max="8374" width="35" customWidth="1"/>
    <col min="8375" max="8375" width="8" customWidth="1"/>
    <col min="8376" max="8376" width="31.85546875" customWidth="1"/>
    <col min="8377" max="8377" width="12" customWidth="1"/>
    <col min="8378" max="8378" width="11.5703125" customWidth="1"/>
    <col min="8379" max="8379" width="12" customWidth="1"/>
    <col min="8380" max="8380" width="11.140625" customWidth="1"/>
    <col min="8381" max="8382" width="10" customWidth="1"/>
    <col min="8385" max="8385" width="10.7109375" customWidth="1"/>
    <col min="8629" max="8629" width="6.85546875" customWidth="1"/>
    <col min="8630" max="8630" width="35" customWidth="1"/>
    <col min="8631" max="8631" width="8" customWidth="1"/>
    <col min="8632" max="8632" width="31.85546875" customWidth="1"/>
    <col min="8633" max="8633" width="12" customWidth="1"/>
    <col min="8634" max="8634" width="11.5703125" customWidth="1"/>
    <col min="8635" max="8635" width="12" customWidth="1"/>
    <col min="8636" max="8636" width="11.140625" customWidth="1"/>
    <col min="8637" max="8638" width="10" customWidth="1"/>
    <col min="8641" max="8641" width="10.7109375" customWidth="1"/>
    <col min="8885" max="8885" width="6.85546875" customWidth="1"/>
    <col min="8886" max="8886" width="35" customWidth="1"/>
    <col min="8887" max="8887" width="8" customWidth="1"/>
    <col min="8888" max="8888" width="31.85546875" customWidth="1"/>
    <col min="8889" max="8889" width="12" customWidth="1"/>
    <col min="8890" max="8890" width="11.5703125" customWidth="1"/>
    <col min="8891" max="8891" width="12" customWidth="1"/>
    <col min="8892" max="8892" width="11.140625" customWidth="1"/>
    <col min="8893" max="8894" width="10" customWidth="1"/>
    <col min="8897" max="8897" width="10.7109375" customWidth="1"/>
    <col min="9141" max="9141" width="6.85546875" customWidth="1"/>
    <col min="9142" max="9142" width="35" customWidth="1"/>
    <col min="9143" max="9143" width="8" customWidth="1"/>
    <col min="9144" max="9144" width="31.85546875" customWidth="1"/>
    <col min="9145" max="9145" width="12" customWidth="1"/>
    <col min="9146" max="9146" width="11.5703125" customWidth="1"/>
    <col min="9147" max="9147" width="12" customWidth="1"/>
    <col min="9148" max="9148" width="11.140625" customWidth="1"/>
    <col min="9149" max="9150" width="10" customWidth="1"/>
    <col min="9153" max="9153" width="10.7109375" customWidth="1"/>
    <col min="9397" max="9397" width="6.85546875" customWidth="1"/>
    <col min="9398" max="9398" width="35" customWidth="1"/>
    <col min="9399" max="9399" width="8" customWidth="1"/>
    <col min="9400" max="9400" width="31.85546875" customWidth="1"/>
    <col min="9401" max="9401" width="12" customWidth="1"/>
    <col min="9402" max="9402" width="11.5703125" customWidth="1"/>
    <col min="9403" max="9403" width="12" customWidth="1"/>
    <col min="9404" max="9404" width="11.140625" customWidth="1"/>
    <col min="9405" max="9406" width="10" customWidth="1"/>
    <col min="9409" max="9409" width="10.7109375" customWidth="1"/>
    <col min="9653" max="9653" width="6.85546875" customWidth="1"/>
    <col min="9654" max="9654" width="35" customWidth="1"/>
    <col min="9655" max="9655" width="8" customWidth="1"/>
    <col min="9656" max="9656" width="31.85546875" customWidth="1"/>
    <col min="9657" max="9657" width="12" customWidth="1"/>
    <col min="9658" max="9658" width="11.5703125" customWidth="1"/>
    <col min="9659" max="9659" width="12" customWidth="1"/>
    <col min="9660" max="9660" width="11.140625" customWidth="1"/>
    <col min="9661" max="9662" width="10" customWidth="1"/>
    <col min="9665" max="9665" width="10.7109375" customWidth="1"/>
    <col min="9909" max="9909" width="6.85546875" customWidth="1"/>
    <col min="9910" max="9910" width="35" customWidth="1"/>
    <col min="9911" max="9911" width="8" customWidth="1"/>
    <col min="9912" max="9912" width="31.85546875" customWidth="1"/>
    <col min="9913" max="9913" width="12" customWidth="1"/>
    <col min="9914" max="9914" width="11.5703125" customWidth="1"/>
    <col min="9915" max="9915" width="12" customWidth="1"/>
    <col min="9916" max="9916" width="11.140625" customWidth="1"/>
    <col min="9917" max="9918" width="10" customWidth="1"/>
    <col min="9921" max="9921" width="10.7109375" customWidth="1"/>
    <col min="10165" max="10165" width="6.85546875" customWidth="1"/>
    <col min="10166" max="10166" width="35" customWidth="1"/>
    <col min="10167" max="10167" width="8" customWidth="1"/>
    <col min="10168" max="10168" width="31.85546875" customWidth="1"/>
    <col min="10169" max="10169" width="12" customWidth="1"/>
    <col min="10170" max="10170" width="11.5703125" customWidth="1"/>
    <col min="10171" max="10171" width="12" customWidth="1"/>
    <col min="10172" max="10172" width="11.140625" customWidth="1"/>
    <col min="10173" max="10174" width="10" customWidth="1"/>
    <col min="10177" max="10177" width="10.7109375" customWidth="1"/>
    <col min="10421" max="10421" width="6.85546875" customWidth="1"/>
    <col min="10422" max="10422" width="35" customWidth="1"/>
    <col min="10423" max="10423" width="8" customWidth="1"/>
    <col min="10424" max="10424" width="31.85546875" customWidth="1"/>
    <col min="10425" max="10425" width="12" customWidth="1"/>
    <col min="10426" max="10426" width="11.5703125" customWidth="1"/>
    <col min="10427" max="10427" width="12" customWidth="1"/>
    <col min="10428" max="10428" width="11.140625" customWidth="1"/>
    <col min="10429" max="10430" width="10" customWidth="1"/>
    <col min="10433" max="10433" width="10.7109375" customWidth="1"/>
    <col min="10677" max="10677" width="6.85546875" customWidth="1"/>
    <col min="10678" max="10678" width="35" customWidth="1"/>
    <col min="10679" max="10679" width="8" customWidth="1"/>
    <col min="10680" max="10680" width="31.85546875" customWidth="1"/>
    <col min="10681" max="10681" width="12" customWidth="1"/>
    <col min="10682" max="10682" width="11.5703125" customWidth="1"/>
    <col min="10683" max="10683" width="12" customWidth="1"/>
    <col min="10684" max="10684" width="11.140625" customWidth="1"/>
    <col min="10685" max="10686" width="10" customWidth="1"/>
    <col min="10689" max="10689" width="10.7109375" customWidth="1"/>
    <col min="10933" max="10933" width="6.85546875" customWidth="1"/>
    <col min="10934" max="10934" width="35" customWidth="1"/>
    <col min="10935" max="10935" width="8" customWidth="1"/>
    <col min="10936" max="10936" width="31.85546875" customWidth="1"/>
    <col min="10937" max="10937" width="12" customWidth="1"/>
    <col min="10938" max="10938" width="11.5703125" customWidth="1"/>
    <col min="10939" max="10939" width="12" customWidth="1"/>
    <col min="10940" max="10940" width="11.140625" customWidth="1"/>
    <col min="10941" max="10942" width="10" customWidth="1"/>
    <col min="10945" max="10945" width="10.7109375" customWidth="1"/>
    <col min="11189" max="11189" width="6.85546875" customWidth="1"/>
    <col min="11190" max="11190" width="35" customWidth="1"/>
    <col min="11191" max="11191" width="8" customWidth="1"/>
    <col min="11192" max="11192" width="31.85546875" customWidth="1"/>
    <col min="11193" max="11193" width="12" customWidth="1"/>
    <col min="11194" max="11194" width="11.5703125" customWidth="1"/>
    <col min="11195" max="11195" width="12" customWidth="1"/>
    <col min="11196" max="11196" width="11.140625" customWidth="1"/>
    <col min="11197" max="11198" width="10" customWidth="1"/>
    <col min="11201" max="11201" width="10.7109375" customWidth="1"/>
    <col min="11445" max="11445" width="6.85546875" customWidth="1"/>
    <col min="11446" max="11446" width="35" customWidth="1"/>
    <col min="11447" max="11447" width="8" customWidth="1"/>
    <col min="11448" max="11448" width="31.85546875" customWidth="1"/>
    <col min="11449" max="11449" width="12" customWidth="1"/>
    <col min="11450" max="11450" width="11.5703125" customWidth="1"/>
    <col min="11451" max="11451" width="12" customWidth="1"/>
    <col min="11452" max="11452" width="11.140625" customWidth="1"/>
    <col min="11453" max="11454" width="10" customWidth="1"/>
    <col min="11457" max="11457" width="10.7109375" customWidth="1"/>
    <col min="11701" max="11701" width="6.85546875" customWidth="1"/>
    <col min="11702" max="11702" width="35" customWidth="1"/>
    <col min="11703" max="11703" width="8" customWidth="1"/>
    <col min="11704" max="11704" width="31.85546875" customWidth="1"/>
    <col min="11705" max="11705" width="12" customWidth="1"/>
    <col min="11706" max="11706" width="11.5703125" customWidth="1"/>
    <col min="11707" max="11707" width="12" customWidth="1"/>
    <col min="11708" max="11708" width="11.140625" customWidth="1"/>
    <col min="11709" max="11710" width="10" customWidth="1"/>
    <col min="11713" max="11713" width="10.7109375" customWidth="1"/>
    <col min="11957" max="11957" width="6.85546875" customWidth="1"/>
    <col min="11958" max="11958" width="35" customWidth="1"/>
    <col min="11959" max="11959" width="8" customWidth="1"/>
    <col min="11960" max="11960" width="31.85546875" customWidth="1"/>
    <col min="11961" max="11961" width="12" customWidth="1"/>
    <col min="11962" max="11962" width="11.5703125" customWidth="1"/>
    <col min="11963" max="11963" width="12" customWidth="1"/>
    <col min="11964" max="11964" width="11.140625" customWidth="1"/>
    <col min="11965" max="11966" width="10" customWidth="1"/>
    <col min="11969" max="11969" width="10.7109375" customWidth="1"/>
    <col min="12213" max="12213" width="6.85546875" customWidth="1"/>
    <col min="12214" max="12214" width="35" customWidth="1"/>
    <col min="12215" max="12215" width="8" customWidth="1"/>
    <col min="12216" max="12216" width="31.85546875" customWidth="1"/>
    <col min="12217" max="12217" width="12" customWidth="1"/>
    <col min="12218" max="12218" width="11.5703125" customWidth="1"/>
    <col min="12219" max="12219" width="12" customWidth="1"/>
    <col min="12220" max="12220" width="11.140625" customWidth="1"/>
    <col min="12221" max="12222" width="10" customWidth="1"/>
    <col min="12225" max="12225" width="10.7109375" customWidth="1"/>
    <col min="12469" max="12469" width="6.85546875" customWidth="1"/>
    <col min="12470" max="12470" width="35" customWidth="1"/>
    <col min="12471" max="12471" width="8" customWidth="1"/>
    <col min="12472" max="12472" width="31.85546875" customWidth="1"/>
    <col min="12473" max="12473" width="12" customWidth="1"/>
    <col min="12474" max="12474" width="11.5703125" customWidth="1"/>
    <col min="12475" max="12475" width="12" customWidth="1"/>
    <col min="12476" max="12476" width="11.140625" customWidth="1"/>
    <col min="12477" max="12478" width="10" customWidth="1"/>
    <col min="12481" max="12481" width="10.7109375" customWidth="1"/>
    <col min="12725" max="12725" width="6.85546875" customWidth="1"/>
    <col min="12726" max="12726" width="35" customWidth="1"/>
    <col min="12727" max="12727" width="8" customWidth="1"/>
    <col min="12728" max="12728" width="31.85546875" customWidth="1"/>
    <col min="12729" max="12729" width="12" customWidth="1"/>
    <col min="12730" max="12730" width="11.5703125" customWidth="1"/>
    <col min="12731" max="12731" width="12" customWidth="1"/>
    <col min="12732" max="12732" width="11.140625" customWidth="1"/>
    <col min="12733" max="12734" width="10" customWidth="1"/>
    <col min="12737" max="12737" width="10.7109375" customWidth="1"/>
    <col min="12981" max="12981" width="6.85546875" customWidth="1"/>
    <col min="12982" max="12982" width="35" customWidth="1"/>
    <col min="12983" max="12983" width="8" customWidth="1"/>
    <col min="12984" max="12984" width="31.85546875" customWidth="1"/>
    <col min="12985" max="12985" width="12" customWidth="1"/>
    <col min="12986" max="12986" width="11.5703125" customWidth="1"/>
    <col min="12987" max="12987" width="12" customWidth="1"/>
    <col min="12988" max="12988" width="11.140625" customWidth="1"/>
    <col min="12989" max="12990" width="10" customWidth="1"/>
    <col min="12993" max="12993" width="10.7109375" customWidth="1"/>
    <col min="13237" max="13237" width="6.85546875" customWidth="1"/>
    <col min="13238" max="13238" width="35" customWidth="1"/>
    <col min="13239" max="13239" width="8" customWidth="1"/>
    <col min="13240" max="13240" width="31.85546875" customWidth="1"/>
    <col min="13241" max="13241" width="12" customWidth="1"/>
    <col min="13242" max="13242" width="11.5703125" customWidth="1"/>
    <col min="13243" max="13243" width="12" customWidth="1"/>
    <col min="13244" max="13244" width="11.140625" customWidth="1"/>
    <col min="13245" max="13246" width="10" customWidth="1"/>
    <col min="13249" max="13249" width="10.7109375" customWidth="1"/>
    <col min="13493" max="13493" width="6.85546875" customWidth="1"/>
    <col min="13494" max="13494" width="35" customWidth="1"/>
    <col min="13495" max="13495" width="8" customWidth="1"/>
    <col min="13496" max="13496" width="31.85546875" customWidth="1"/>
    <col min="13497" max="13497" width="12" customWidth="1"/>
    <col min="13498" max="13498" width="11.5703125" customWidth="1"/>
    <col min="13499" max="13499" width="12" customWidth="1"/>
    <col min="13500" max="13500" width="11.140625" customWidth="1"/>
    <col min="13501" max="13502" width="10" customWidth="1"/>
    <col min="13505" max="13505" width="10.7109375" customWidth="1"/>
    <col min="13749" max="13749" width="6.85546875" customWidth="1"/>
    <col min="13750" max="13750" width="35" customWidth="1"/>
    <col min="13751" max="13751" width="8" customWidth="1"/>
    <col min="13752" max="13752" width="31.85546875" customWidth="1"/>
    <col min="13753" max="13753" width="12" customWidth="1"/>
    <col min="13754" max="13754" width="11.5703125" customWidth="1"/>
    <col min="13755" max="13755" width="12" customWidth="1"/>
    <col min="13756" max="13756" width="11.140625" customWidth="1"/>
    <col min="13757" max="13758" width="10" customWidth="1"/>
    <col min="13761" max="13761" width="10.7109375" customWidth="1"/>
    <col min="14005" max="14005" width="6.85546875" customWidth="1"/>
    <col min="14006" max="14006" width="35" customWidth="1"/>
    <col min="14007" max="14007" width="8" customWidth="1"/>
    <col min="14008" max="14008" width="31.85546875" customWidth="1"/>
    <col min="14009" max="14009" width="12" customWidth="1"/>
    <col min="14010" max="14010" width="11.5703125" customWidth="1"/>
    <col min="14011" max="14011" width="12" customWidth="1"/>
    <col min="14012" max="14012" width="11.140625" customWidth="1"/>
    <col min="14013" max="14014" width="10" customWidth="1"/>
    <col min="14017" max="14017" width="10.7109375" customWidth="1"/>
    <col min="14261" max="14261" width="6.85546875" customWidth="1"/>
    <col min="14262" max="14262" width="35" customWidth="1"/>
    <col min="14263" max="14263" width="8" customWidth="1"/>
    <col min="14264" max="14264" width="31.85546875" customWidth="1"/>
    <col min="14265" max="14265" width="12" customWidth="1"/>
    <col min="14266" max="14266" width="11.5703125" customWidth="1"/>
    <col min="14267" max="14267" width="12" customWidth="1"/>
    <col min="14268" max="14268" width="11.140625" customWidth="1"/>
    <col min="14269" max="14270" width="10" customWidth="1"/>
    <col min="14273" max="14273" width="10.7109375" customWidth="1"/>
    <col min="14517" max="14517" width="6.85546875" customWidth="1"/>
    <col min="14518" max="14518" width="35" customWidth="1"/>
    <col min="14519" max="14519" width="8" customWidth="1"/>
    <col min="14520" max="14520" width="31.85546875" customWidth="1"/>
    <col min="14521" max="14521" width="12" customWidth="1"/>
    <col min="14522" max="14522" width="11.5703125" customWidth="1"/>
    <col min="14523" max="14523" width="12" customWidth="1"/>
    <col min="14524" max="14524" width="11.140625" customWidth="1"/>
    <col min="14525" max="14526" width="10" customWidth="1"/>
    <col min="14529" max="14529" width="10.7109375" customWidth="1"/>
    <col min="14773" max="14773" width="6.85546875" customWidth="1"/>
    <col min="14774" max="14774" width="35" customWidth="1"/>
    <col min="14775" max="14775" width="8" customWidth="1"/>
    <col min="14776" max="14776" width="31.85546875" customWidth="1"/>
    <col min="14777" max="14777" width="12" customWidth="1"/>
    <col min="14778" max="14778" width="11.5703125" customWidth="1"/>
    <col min="14779" max="14779" width="12" customWidth="1"/>
    <col min="14780" max="14780" width="11.140625" customWidth="1"/>
    <col min="14781" max="14782" width="10" customWidth="1"/>
    <col min="14785" max="14785" width="10.7109375" customWidth="1"/>
    <col min="15029" max="15029" width="6.85546875" customWidth="1"/>
    <col min="15030" max="15030" width="35" customWidth="1"/>
    <col min="15031" max="15031" width="8" customWidth="1"/>
    <col min="15032" max="15032" width="31.85546875" customWidth="1"/>
    <col min="15033" max="15033" width="12" customWidth="1"/>
    <col min="15034" max="15034" width="11.5703125" customWidth="1"/>
    <col min="15035" max="15035" width="12" customWidth="1"/>
    <col min="15036" max="15036" width="11.140625" customWidth="1"/>
    <col min="15037" max="15038" width="10" customWidth="1"/>
    <col min="15041" max="15041" width="10.7109375" customWidth="1"/>
    <col min="15285" max="15285" width="6.85546875" customWidth="1"/>
    <col min="15286" max="15286" width="35" customWidth="1"/>
    <col min="15287" max="15287" width="8" customWidth="1"/>
    <col min="15288" max="15288" width="31.85546875" customWidth="1"/>
    <col min="15289" max="15289" width="12" customWidth="1"/>
    <col min="15290" max="15290" width="11.5703125" customWidth="1"/>
    <col min="15291" max="15291" width="12" customWidth="1"/>
    <col min="15292" max="15292" width="11.140625" customWidth="1"/>
    <col min="15293" max="15294" width="10" customWidth="1"/>
    <col min="15297" max="15297" width="10.7109375" customWidth="1"/>
    <col min="15541" max="15541" width="6.85546875" customWidth="1"/>
    <col min="15542" max="15542" width="35" customWidth="1"/>
    <col min="15543" max="15543" width="8" customWidth="1"/>
    <col min="15544" max="15544" width="31.85546875" customWidth="1"/>
    <col min="15545" max="15545" width="12" customWidth="1"/>
    <col min="15546" max="15546" width="11.5703125" customWidth="1"/>
    <col min="15547" max="15547" width="12" customWidth="1"/>
    <col min="15548" max="15548" width="11.140625" customWidth="1"/>
    <col min="15549" max="15550" width="10" customWidth="1"/>
    <col min="15553" max="15553" width="10.7109375" customWidth="1"/>
    <col min="15797" max="15797" width="6.85546875" customWidth="1"/>
    <col min="15798" max="15798" width="35" customWidth="1"/>
    <col min="15799" max="15799" width="8" customWidth="1"/>
    <col min="15800" max="15800" width="31.85546875" customWidth="1"/>
    <col min="15801" max="15801" width="12" customWidth="1"/>
    <col min="15802" max="15802" width="11.5703125" customWidth="1"/>
    <col min="15803" max="15803" width="12" customWidth="1"/>
    <col min="15804" max="15804" width="11.140625" customWidth="1"/>
    <col min="15805" max="15806" width="10" customWidth="1"/>
    <col min="15809" max="15809" width="10.7109375" customWidth="1"/>
    <col min="16053" max="16053" width="6.85546875" customWidth="1"/>
    <col min="16054" max="16054" width="35" customWidth="1"/>
    <col min="16055" max="16055" width="8" customWidth="1"/>
    <col min="16056" max="16056" width="31.85546875" customWidth="1"/>
    <col min="16057" max="16057" width="12" customWidth="1"/>
    <col min="16058" max="16058" width="11.5703125" customWidth="1"/>
    <col min="16059" max="16059" width="12" customWidth="1"/>
    <col min="16060" max="16060" width="11.140625" customWidth="1"/>
    <col min="16061" max="16062" width="10" customWidth="1"/>
    <col min="16065" max="16065" width="10.7109375" customWidth="1"/>
  </cols>
  <sheetData>
    <row r="1" spans="1:53" ht="15" x14ac:dyDescent="0.25">
      <c r="A1" s="51" t="s">
        <v>2</v>
      </c>
      <c r="B1" s="51"/>
      <c r="C1" s="43"/>
      <c r="D1" s="51"/>
      <c r="E1" s="51"/>
      <c r="F1" s="92"/>
      <c r="G1" s="91"/>
      <c r="H1" s="92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89"/>
      <c r="AK1" s="89"/>
      <c r="AL1" s="89"/>
      <c r="AM1" s="89"/>
      <c r="AN1" s="89"/>
      <c r="AO1" s="89"/>
      <c r="AP1" s="89"/>
      <c r="AQ1" s="89"/>
      <c r="AR1" s="89"/>
      <c r="AS1" s="89"/>
    </row>
    <row r="2" spans="1:53" ht="15" customHeight="1" x14ac:dyDescent="0.25">
      <c r="A2" s="51" t="s">
        <v>3</v>
      </c>
      <c r="B2" s="51"/>
      <c r="C2" s="43"/>
      <c r="D2" s="51"/>
      <c r="E2" s="51"/>
      <c r="F2" s="92"/>
      <c r="G2" s="91"/>
      <c r="H2" s="92"/>
    </row>
    <row r="3" spans="1:53" ht="12.75" customHeight="1" x14ac:dyDescent="0.25">
      <c r="A3" s="784" t="s">
        <v>4</v>
      </c>
      <c r="B3" s="784"/>
      <c r="C3" s="784"/>
      <c r="D3" s="784"/>
      <c r="E3" s="784"/>
      <c r="F3" s="92"/>
      <c r="G3" s="91"/>
      <c r="H3" s="92"/>
      <c r="S3" s="631"/>
      <c r="T3" s="631"/>
    </row>
    <row r="4" spans="1:53" ht="15" x14ac:dyDescent="0.25">
      <c r="A4" s="91"/>
      <c r="B4" s="51"/>
      <c r="C4" s="51"/>
      <c r="D4" s="51"/>
      <c r="E4" s="51"/>
      <c r="F4" s="92"/>
      <c r="G4" s="91"/>
      <c r="H4" s="92"/>
      <c r="R4" s="712" t="s">
        <v>839</v>
      </c>
      <c r="S4" s="630"/>
      <c r="T4" s="630"/>
    </row>
    <row r="5" spans="1:53" ht="23.25" customHeight="1" thickBot="1" x14ac:dyDescent="0.3">
      <c r="A5" s="185" t="s">
        <v>827</v>
      </c>
      <c r="B5" s="52"/>
      <c r="C5" s="52"/>
      <c r="D5" s="52"/>
      <c r="E5" s="53"/>
      <c r="F5" s="271"/>
      <c r="G5" s="271"/>
      <c r="H5" s="53"/>
      <c r="R5" s="713" t="s">
        <v>840</v>
      </c>
      <c r="S5" s="630"/>
      <c r="T5" s="630"/>
    </row>
    <row r="6" spans="1:53" ht="15" x14ac:dyDescent="0.25">
      <c r="A6" s="766" t="s">
        <v>859</v>
      </c>
      <c r="B6" s="767"/>
      <c r="C6" s="768"/>
      <c r="D6" s="768"/>
      <c r="E6" s="767"/>
      <c r="F6" s="767"/>
      <c r="G6" s="53"/>
      <c r="H6" s="92"/>
      <c r="I6" s="803" t="s">
        <v>828</v>
      </c>
      <c r="J6" s="804"/>
      <c r="K6" s="804"/>
      <c r="L6" s="804"/>
      <c r="M6" s="804"/>
      <c r="N6" s="804"/>
      <c r="O6" s="804"/>
      <c r="P6" s="805"/>
      <c r="Q6" s="809" t="s">
        <v>841</v>
      </c>
      <c r="R6" s="809"/>
      <c r="S6" s="809"/>
      <c r="T6" s="809"/>
      <c r="U6" s="809"/>
      <c r="V6" s="809"/>
      <c r="W6" s="809"/>
      <c r="X6" s="809"/>
      <c r="Y6" s="809"/>
      <c r="Z6" s="809"/>
      <c r="AA6" s="809"/>
      <c r="AB6" s="809"/>
      <c r="AC6" s="809"/>
      <c r="AD6" s="809"/>
      <c r="AE6" s="809"/>
      <c r="AF6" s="809"/>
      <c r="AG6" s="809"/>
      <c r="AH6" s="809"/>
      <c r="AI6" s="809"/>
      <c r="AJ6" s="809"/>
      <c r="AK6" s="809"/>
      <c r="AL6" s="809"/>
      <c r="AM6" s="809"/>
      <c r="AN6" s="809"/>
      <c r="AO6" s="809"/>
      <c r="AP6" s="809"/>
      <c r="AQ6" s="809"/>
      <c r="AR6" s="810"/>
      <c r="AS6" s="811" t="s">
        <v>865</v>
      </c>
      <c r="AT6" s="812"/>
      <c r="AU6" s="812"/>
      <c r="AV6" s="812"/>
      <c r="AW6" s="812"/>
      <c r="AX6" s="812"/>
      <c r="AY6" s="812"/>
      <c r="AZ6" s="812"/>
      <c r="BA6" s="813"/>
    </row>
    <row r="7" spans="1:53" ht="16.5" customHeight="1" thickBot="1" x14ac:dyDescent="0.3">
      <c r="A7" s="91"/>
      <c r="B7" s="6"/>
      <c r="D7" s="10"/>
      <c r="E7" s="6"/>
      <c r="F7" s="92"/>
      <c r="G7" s="91"/>
      <c r="H7" s="92"/>
      <c r="I7" s="806"/>
      <c r="J7" s="807"/>
      <c r="K7" s="807"/>
      <c r="L7" s="807"/>
      <c r="M7" s="807"/>
      <c r="N7" s="807"/>
      <c r="O7" s="807"/>
      <c r="P7" s="808"/>
      <c r="Q7" s="817" t="s">
        <v>282</v>
      </c>
      <c r="R7" s="817"/>
      <c r="S7" s="817"/>
      <c r="T7" s="817"/>
      <c r="U7" s="817"/>
      <c r="V7" s="818"/>
      <c r="W7" s="823" t="s">
        <v>283</v>
      </c>
      <c r="X7" s="817"/>
      <c r="Y7" s="817"/>
      <c r="Z7" s="818"/>
      <c r="AA7" s="785" t="s">
        <v>284</v>
      </c>
      <c r="AB7" s="785" t="s">
        <v>5</v>
      </c>
      <c r="AC7" s="785" t="s">
        <v>285</v>
      </c>
      <c r="AD7" s="826"/>
      <c r="AE7" s="826"/>
      <c r="AF7" s="827"/>
      <c r="AG7" s="785" t="s">
        <v>305</v>
      </c>
      <c r="AH7" s="832" t="s">
        <v>850</v>
      </c>
      <c r="AI7" s="833"/>
      <c r="AJ7" s="833"/>
      <c r="AK7" s="833"/>
      <c r="AL7" s="833"/>
      <c r="AM7" s="833"/>
      <c r="AN7" s="833"/>
      <c r="AO7" s="833"/>
      <c r="AP7" s="833"/>
      <c r="AQ7" s="833"/>
      <c r="AR7" s="834"/>
      <c r="AS7" s="814"/>
      <c r="AT7" s="815"/>
      <c r="AU7" s="815"/>
      <c r="AV7" s="815"/>
      <c r="AW7" s="815"/>
      <c r="AX7" s="815"/>
      <c r="AY7" s="815"/>
      <c r="AZ7" s="815"/>
      <c r="BA7" s="816"/>
    </row>
    <row r="8" spans="1:53" ht="15" customHeight="1" x14ac:dyDescent="0.25">
      <c r="A8" s="120"/>
      <c r="B8" s="93"/>
      <c r="C8" s="93"/>
      <c r="D8" s="93"/>
      <c r="E8" s="93"/>
      <c r="F8" s="93"/>
      <c r="G8" s="93"/>
      <c r="H8" s="93"/>
      <c r="I8" s="794" t="s">
        <v>6</v>
      </c>
      <c r="J8" s="797" t="s">
        <v>802</v>
      </c>
      <c r="K8" s="798"/>
      <c r="L8" s="798"/>
      <c r="M8" s="799"/>
      <c r="N8" s="773" t="s">
        <v>849</v>
      </c>
      <c r="O8" s="776" t="s">
        <v>803</v>
      </c>
      <c r="P8" s="777"/>
      <c r="Q8" s="819"/>
      <c r="R8" s="819"/>
      <c r="S8" s="819"/>
      <c r="T8" s="819"/>
      <c r="U8" s="819"/>
      <c r="V8" s="820"/>
      <c r="W8" s="824"/>
      <c r="X8" s="819"/>
      <c r="Y8" s="819"/>
      <c r="Z8" s="820"/>
      <c r="AA8" s="786"/>
      <c r="AB8" s="786"/>
      <c r="AC8" s="786"/>
      <c r="AD8" s="828"/>
      <c r="AE8" s="828"/>
      <c r="AF8" s="829"/>
      <c r="AG8" s="786"/>
      <c r="AH8" s="780" t="s">
        <v>286</v>
      </c>
      <c r="AI8" s="781"/>
      <c r="AJ8" s="837" t="s">
        <v>287</v>
      </c>
      <c r="AK8" s="835" t="s">
        <v>842</v>
      </c>
      <c r="AL8" s="836"/>
      <c r="AM8" s="837" t="s">
        <v>820</v>
      </c>
      <c r="AN8" s="780" t="s">
        <v>288</v>
      </c>
      <c r="AO8" s="781"/>
      <c r="AP8" s="788" t="s">
        <v>851</v>
      </c>
      <c r="AQ8" s="789"/>
      <c r="AR8" s="790"/>
      <c r="AS8" s="794" t="s">
        <v>6</v>
      </c>
      <c r="AT8" s="797" t="s">
        <v>802</v>
      </c>
      <c r="AU8" s="798"/>
      <c r="AV8" s="798"/>
      <c r="AW8" s="798"/>
      <c r="AX8" s="799"/>
      <c r="AY8" s="773" t="s">
        <v>849</v>
      </c>
      <c r="AZ8" s="776" t="s">
        <v>804</v>
      </c>
      <c r="BA8" s="777"/>
    </row>
    <row r="9" spans="1:53" ht="13.5" customHeight="1" thickBot="1" x14ac:dyDescent="0.25">
      <c r="A9" s="12" t="s">
        <v>793</v>
      </c>
      <c r="D9" s="12"/>
      <c r="F9" s="60"/>
      <c r="G9" s="61"/>
      <c r="H9" s="61"/>
      <c r="I9" s="795"/>
      <c r="J9" s="800"/>
      <c r="K9" s="801"/>
      <c r="L9" s="801"/>
      <c r="M9" s="802"/>
      <c r="N9" s="774"/>
      <c r="O9" s="778"/>
      <c r="P9" s="779"/>
      <c r="Q9" s="821"/>
      <c r="R9" s="821"/>
      <c r="S9" s="821"/>
      <c r="T9" s="821"/>
      <c r="U9" s="821"/>
      <c r="V9" s="822"/>
      <c r="W9" s="825"/>
      <c r="X9" s="821"/>
      <c r="Y9" s="821"/>
      <c r="Z9" s="822"/>
      <c r="AA9" s="786"/>
      <c r="AB9" s="786"/>
      <c r="AC9" s="786"/>
      <c r="AD9" s="830"/>
      <c r="AE9" s="830"/>
      <c r="AF9" s="831"/>
      <c r="AG9" s="786"/>
      <c r="AH9" s="782"/>
      <c r="AI9" s="783"/>
      <c r="AJ9" s="838"/>
      <c r="AK9" s="634" t="s">
        <v>817</v>
      </c>
      <c r="AL9" s="634" t="s">
        <v>818</v>
      </c>
      <c r="AM9" s="838"/>
      <c r="AN9" s="782"/>
      <c r="AO9" s="783"/>
      <c r="AP9" s="791"/>
      <c r="AQ9" s="792"/>
      <c r="AR9" s="793"/>
      <c r="AS9" s="795"/>
      <c r="AT9" s="800"/>
      <c r="AU9" s="801"/>
      <c r="AV9" s="801"/>
      <c r="AW9" s="801"/>
      <c r="AX9" s="802"/>
      <c r="AY9" s="774"/>
      <c r="AZ9" s="778"/>
      <c r="BA9" s="779"/>
    </row>
    <row r="10" spans="1:53" ht="48.75" customHeight="1" thickBot="1" x14ac:dyDescent="0.25">
      <c r="A10" s="62" t="s">
        <v>776</v>
      </c>
      <c r="B10" s="63" t="s">
        <v>547</v>
      </c>
      <c r="C10" s="63" t="s">
        <v>548</v>
      </c>
      <c r="D10" s="63" t="s">
        <v>264</v>
      </c>
      <c r="E10" s="166" t="s">
        <v>778</v>
      </c>
      <c r="F10" s="63" t="s">
        <v>0</v>
      </c>
      <c r="G10" s="224" t="s">
        <v>265</v>
      </c>
      <c r="H10" s="37" t="s">
        <v>276</v>
      </c>
      <c r="I10" s="796"/>
      <c r="J10" s="439" t="s">
        <v>274</v>
      </c>
      <c r="K10" s="431" t="s">
        <v>5</v>
      </c>
      <c r="L10" s="431" t="s">
        <v>1</v>
      </c>
      <c r="M10" s="431" t="s">
        <v>7</v>
      </c>
      <c r="N10" s="775"/>
      <c r="O10" s="434" t="s">
        <v>280</v>
      </c>
      <c r="P10" s="435" t="s">
        <v>281</v>
      </c>
      <c r="Q10" s="642" t="s">
        <v>289</v>
      </c>
      <c r="R10" s="433" t="s">
        <v>287</v>
      </c>
      <c r="S10" s="433" t="s">
        <v>819</v>
      </c>
      <c r="T10" s="433" t="s">
        <v>820</v>
      </c>
      <c r="U10" s="433" t="s">
        <v>288</v>
      </c>
      <c r="V10" s="433" t="s">
        <v>821</v>
      </c>
      <c r="W10" s="432" t="s">
        <v>290</v>
      </c>
      <c r="X10" s="433" t="s">
        <v>801</v>
      </c>
      <c r="Y10" s="432" t="s">
        <v>291</v>
      </c>
      <c r="Z10" s="433" t="s">
        <v>768</v>
      </c>
      <c r="AA10" s="787"/>
      <c r="AB10" s="787"/>
      <c r="AC10" s="787"/>
      <c r="AD10" s="433" t="s">
        <v>287</v>
      </c>
      <c r="AE10" s="433" t="s">
        <v>292</v>
      </c>
      <c r="AF10" s="433" t="s">
        <v>769</v>
      </c>
      <c r="AG10" s="787"/>
      <c r="AH10" s="436" t="s">
        <v>280</v>
      </c>
      <c r="AI10" s="437" t="s">
        <v>281</v>
      </c>
      <c r="AJ10" s="436" t="s">
        <v>280</v>
      </c>
      <c r="AK10" s="436" t="s">
        <v>280</v>
      </c>
      <c r="AL10" s="437" t="s">
        <v>281</v>
      </c>
      <c r="AM10" s="436" t="s">
        <v>280</v>
      </c>
      <c r="AN10" s="436" t="s">
        <v>280</v>
      </c>
      <c r="AO10" s="437" t="s">
        <v>281</v>
      </c>
      <c r="AP10" s="436" t="s">
        <v>280</v>
      </c>
      <c r="AQ10" s="437" t="s">
        <v>281</v>
      </c>
      <c r="AR10" s="438" t="s">
        <v>301</v>
      </c>
      <c r="AS10" s="796"/>
      <c r="AT10" s="38" t="s">
        <v>274</v>
      </c>
      <c r="AU10" s="439" t="s">
        <v>283</v>
      </c>
      <c r="AV10" s="431" t="s">
        <v>5</v>
      </c>
      <c r="AW10" s="431" t="s">
        <v>1</v>
      </c>
      <c r="AX10" s="431" t="s">
        <v>7</v>
      </c>
      <c r="AY10" s="775"/>
      <c r="AZ10" s="434" t="s">
        <v>280</v>
      </c>
      <c r="BA10" s="435" t="s">
        <v>281</v>
      </c>
    </row>
    <row r="11" spans="1:53" s="125" customFormat="1" ht="11.25" customHeight="1" thickBot="1" x14ac:dyDescent="0.25">
      <c r="A11" s="136" t="s">
        <v>549</v>
      </c>
      <c r="B11" s="137" t="s">
        <v>550</v>
      </c>
      <c r="C11" s="137" t="s">
        <v>266</v>
      </c>
      <c r="D11" s="137" t="s">
        <v>267</v>
      </c>
      <c r="E11" s="137" t="s">
        <v>551</v>
      </c>
      <c r="F11" s="137" t="s">
        <v>0</v>
      </c>
      <c r="G11" s="225" t="s">
        <v>552</v>
      </c>
      <c r="H11" s="261" t="s">
        <v>772</v>
      </c>
      <c r="I11" s="143" t="s">
        <v>268</v>
      </c>
      <c r="J11" s="144" t="s">
        <v>269</v>
      </c>
      <c r="K11" s="144" t="s">
        <v>270</v>
      </c>
      <c r="L11" s="144" t="s">
        <v>271</v>
      </c>
      <c r="M11" s="144" t="s">
        <v>272</v>
      </c>
      <c r="N11" s="429" t="s">
        <v>273</v>
      </c>
      <c r="O11" s="145" t="s">
        <v>553</v>
      </c>
      <c r="P11" s="146" t="s">
        <v>554</v>
      </c>
      <c r="Q11" s="139" t="s">
        <v>293</v>
      </c>
      <c r="R11" s="140" t="s">
        <v>293</v>
      </c>
      <c r="S11" s="140" t="s">
        <v>293</v>
      </c>
      <c r="T11" s="140" t="s">
        <v>293</v>
      </c>
      <c r="U11" s="140" t="s">
        <v>293</v>
      </c>
      <c r="V11" s="140" t="s">
        <v>293</v>
      </c>
      <c r="W11" s="140" t="s">
        <v>294</v>
      </c>
      <c r="X11" s="140" t="s">
        <v>294</v>
      </c>
      <c r="Y11" s="140" t="s">
        <v>295</v>
      </c>
      <c r="Z11" s="140" t="s">
        <v>294</v>
      </c>
      <c r="AA11" s="140" t="s">
        <v>296</v>
      </c>
      <c r="AB11" s="140" t="s">
        <v>297</v>
      </c>
      <c r="AC11" s="140" t="s">
        <v>298</v>
      </c>
      <c r="AD11" s="140" t="s">
        <v>300</v>
      </c>
      <c r="AE11" s="140" t="s">
        <v>299</v>
      </c>
      <c r="AF11" s="140" t="s">
        <v>299</v>
      </c>
      <c r="AG11" s="140" t="s">
        <v>306</v>
      </c>
      <c r="AH11" s="632" t="s">
        <v>302</v>
      </c>
      <c r="AI11" s="632" t="s">
        <v>303</v>
      </c>
      <c r="AJ11" s="632" t="s">
        <v>302</v>
      </c>
      <c r="AK11" s="632" t="s">
        <v>302</v>
      </c>
      <c r="AL11" s="632" t="s">
        <v>303</v>
      </c>
      <c r="AM11" s="193" t="s">
        <v>302</v>
      </c>
      <c r="AN11" s="632" t="s">
        <v>302</v>
      </c>
      <c r="AO11" s="632" t="s">
        <v>303</v>
      </c>
      <c r="AP11" s="632" t="s">
        <v>302</v>
      </c>
      <c r="AQ11" s="632" t="s">
        <v>303</v>
      </c>
      <c r="AR11" s="633" t="s">
        <v>304</v>
      </c>
      <c r="AS11" s="629" t="s">
        <v>268</v>
      </c>
      <c r="AT11" s="140" t="s">
        <v>269</v>
      </c>
      <c r="AU11" s="140" t="s">
        <v>275</v>
      </c>
      <c r="AV11" s="140" t="s">
        <v>270</v>
      </c>
      <c r="AW11" s="140" t="s">
        <v>271</v>
      </c>
      <c r="AX11" s="140" t="s">
        <v>272</v>
      </c>
      <c r="AY11" s="193" t="s">
        <v>273</v>
      </c>
      <c r="AZ11" s="193" t="s">
        <v>553</v>
      </c>
      <c r="BA11" s="194" t="s">
        <v>554</v>
      </c>
    </row>
    <row r="12" spans="1:53" s="229" customFormat="1" ht="12.75" customHeight="1" x14ac:dyDescent="0.2">
      <c r="A12" s="226">
        <v>1</v>
      </c>
      <c r="B12" s="227">
        <v>3454</v>
      </c>
      <c r="C12" s="227">
        <v>600029085</v>
      </c>
      <c r="D12" s="227">
        <v>75122294</v>
      </c>
      <c r="E12" s="228" t="s">
        <v>8</v>
      </c>
      <c r="F12" s="227">
        <v>3233</v>
      </c>
      <c r="G12" s="228" t="s">
        <v>314</v>
      </c>
      <c r="H12" s="262" t="s">
        <v>278</v>
      </c>
      <c r="I12" s="450">
        <f>SUM(J12:M12)</f>
        <v>5729842</v>
      </c>
      <c r="J12" s="451">
        <v>4241724</v>
      </c>
      <c r="K12" s="451">
        <f t="shared" ref="K12" si="0">ROUND(J12*33.8%,0)</f>
        <v>1433703</v>
      </c>
      <c r="L12" s="451">
        <f>ROUND(J12*1%,0)</f>
        <v>42417</v>
      </c>
      <c r="M12" s="451">
        <v>11998</v>
      </c>
      <c r="N12" s="452">
        <f>O12+P12</f>
        <v>9.98</v>
      </c>
      <c r="O12" s="453">
        <v>5.59</v>
      </c>
      <c r="P12" s="495">
        <v>4.3899999999999997</v>
      </c>
      <c r="Q12" s="447">
        <f t="shared" ref="Q12" si="1">W12*-1</f>
        <v>0</v>
      </c>
      <c r="R12" s="445">
        <v>0</v>
      </c>
      <c r="S12" s="675">
        <v>0</v>
      </c>
      <c r="T12" s="445">
        <v>0</v>
      </c>
      <c r="U12" s="445">
        <v>0</v>
      </c>
      <c r="V12" s="445">
        <f>SUM(Q12:U12)</f>
        <v>0</v>
      </c>
      <c r="W12" s="445">
        <v>0</v>
      </c>
      <c r="X12" s="445">
        <v>0</v>
      </c>
      <c r="Y12" s="445">
        <v>0</v>
      </c>
      <c r="Z12" s="445">
        <f t="shared" ref="Z12" si="2">SUM(W12:Y12)</f>
        <v>0</v>
      </c>
      <c r="AA12" s="445">
        <f t="shared" ref="AA12" si="3">V12+Z12</f>
        <v>0</v>
      </c>
      <c r="AB12" s="147">
        <f t="shared" ref="AB12" si="4">ROUND((V12+W12+X12)*33.8%,0)</f>
        <v>0</v>
      </c>
      <c r="AC12" s="147">
        <f>ROUND(V12*1%,0)</f>
        <v>0</v>
      </c>
      <c r="AD12" s="445">
        <v>0</v>
      </c>
      <c r="AE12" s="445">
        <v>0</v>
      </c>
      <c r="AF12" s="445">
        <f t="shared" ref="AF12" si="5">SUM(AD12:AE12)</f>
        <v>0</v>
      </c>
      <c r="AG12" s="445">
        <f t="shared" ref="AG12" si="6">AA12+AB12+AC12+AF12</f>
        <v>0</v>
      </c>
      <c r="AH12" s="446">
        <v>0</v>
      </c>
      <c r="AI12" s="446">
        <v>0</v>
      </c>
      <c r="AJ12" s="446">
        <v>0</v>
      </c>
      <c r="AK12" s="446">
        <v>0</v>
      </c>
      <c r="AL12" s="676">
        <v>0</v>
      </c>
      <c r="AM12" s="446">
        <v>0</v>
      </c>
      <c r="AN12" s="446">
        <v>0</v>
      </c>
      <c r="AO12" s="446">
        <v>0</v>
      </c>
      <c r="AP12" s="446">
        <f>AH12+AJ12+AK12+AM12+AN12</f>
        <v>0</v>
      </c>
      <c r="AQ12" s="446">
        <f>AI12+AL12+AO12</f>
        <v>0</v>
      </c>
      <c r="AR12" s="448">
        <f t="shared" ref="AR12" si="7">SUM(AP12:AQ12)</f>
        <v>0</v>
      </c>
      <c r="AS12" s="617">
        <f>I12+AG12</f>
        <v>5729842</v>
      </c>
      <c r="AT12" s="454">
        <f>J12+V12</f>
        <v>4241724</v>
      </c>
      <c r="AU12" s="454">
        <f>Z12</f>
        <v>0</v>
      </c>
      <c r="AV12" s="454">
        <f>K12+AB12</f>
        <v>1433703</v>
      </c>
      <c r="AW12" s="454">
        <f>L12+AC12</f>
        <v>42417</v>
      </c>
      <c r="AX12" s="454">
        <f>M12+AF12</f>
        <v>11998</v>
      </c>
      <c r="AY12" s="455">
        <f>N12+AR12</f>
        <v>9.98</v>
      </c>
      <c r="AZ12" s="455">
        <f>O12+AP12</f>
        <v>5.59</v>
      </c>
      <c r="BA12" s="456">
        <f>P12+AQ12</f>
        <v>4.3899999999999997</v>
      </c>
    </row>
    <row r="13" spans="1:53" s="229" customFormat="1" ht="12.75" customHeight="1" x14ac:dyDescent="0.2">
      <c r="A13" s="156">
        <v>1</v>
      </c>
      <c r="B13" s="14">
        <v>3454</v>
      </c>
      <c r="C13" s="155">
        <v>600029085</v>
      </c>
      <c r="D13" s="155">
        <v>75122294</v>
      </c>
      <c r="E13" s="230" t="s">
        <v>9</v>
      </c>
      <c r="F13" s="14"/>
      <c r="G13" s="230"/>
      <c r="H13" s="263"/>
      <c r="I13" s="464">
        <f t="shared" ref="I13:BA13" si="8">SUM(I12)</f>
        <v>5729842</v>
      </c>
      <c r="J13" s="464">
        <f t="shared" si="8"/>
        <v>4241724</v>
      </c>
      <c r="K13" s="464">
        <f t="shared" si="8"/>
        <v>1433703</v>
      </c>
      <c r="L13" s="464">
        <f t="shared" si="8"/>
        <v>42417</v>
      </c>
      <c r="M13" s="464">
        <f t="shared" si="8"/>
        <v>11998</v>
      </c>
      <c r="N13" s="427">
        <f t="shared" si="8"/>
        <v>9.98</v>
      </c>
      <c r="O13" s="427">
        <f t="shared" si="8"/>
        <v>5.59</v>
      </c>
      <c r="P13" s="427">
        <f t="shared" si="8"/>
        <v>4.3899999999999997</v>
      </c>
      <c r="Q13" s="622">
        <f t="shared" si="8"/>
        <v>0</v>
      </c>
      <c r="R13" s="620">
        <f t="shared" si="8"/>
        <v>0</v>
      </c>
      <c r="S13" s="620">
        <f t="shared" si="8"/>
        <v>0</v>
      </c>
      <c r="T13" s="620">
        <f t="shared" si="8"/>
        <v>0</v>
      </c>
      <c r="U13" s="620">
        <f t="shared" si="8"/>
        <v>0</v>
      </c>
      <c r="V13" s="620">
        <f t="shared" si="8"/>
        <v>0</v>
      </c>
      <c r="W13" s="620">
        <f t="shared" si="8"/>
        <v>0</v>
      </c>
      <c r="X13" s="620">
        <f t="shared" si="8"/>
        <v>0</v>
      </c>
      <c r="Y13" s="620">
        <f t="shared" si="8"/>
        <v>0</v>
      </c>
      <c r="Z13" s="620">
        <f t="shared" si="8"/>
        <v>0</v>
      </c>
      <c r="AA13" s="620">
        <f t="shared" si="8"/>
        <v>0</v>
      </c>
      <c r="AB13" s="620">
        <f t="shared" si="8"/>
        <v>0</v>
      </c>
      <c r="AC13" s="620">
        <f t="shared" si="8"/>
        <v>0</v>
      </c>
      <c r="AD13" s="620">
        <f t="shared" si="8"/>
        <v>0</v>
      </c>
      <c r="AE13" s="620">
        <f t="shared" si="8"/>
        <v>0</v>
      </c>
      <c r="AF13" s="620">
        <f t="shared" si="8"/>
        <v>0</v>
      </c>
      <c r="AG13" s="620">
        <f t="shared" si="8"/>
        <v>0</v>
      </c>
      <c r="AH13" s="621">
        <f t="shared" si="8"/>
        <v>0</v>
      </c>
      <c r="AI13" s="621">
        <f t="shared" si="8"/>
        <v>0</v>
      </c>
      <c r="AJ13" s="621">
        <f t="shared" si="8"/>
        <v>0</v>
      </c>
      <c r="AK13" s="621">
        <f t="shared" si="8"/>
        <v>0</v>
      </c>
      <c r="AL13" s="621">
        <f t="shared" si="8"/>
        <v>0</v>
      </c>
      <c r="AM13" s="621">
        <f t="shared" si="8"/>
        <v>0</v>
      </c>
      <c r="AN13" s="621">
        <f t="shared" si="8"/>
        <v>0</v>
      </c>
      <c r="AO13" s="621">
        <f t="shared" si="8"/>
        <v>0</v>
      </c>
      <c r="AP13" s="621">
        <f t="shared" si="8"/>
        <v>0</v>
      </c>
      <c r="AQ13" s="621">
        <f t="shared" si="8"/>
        <v>0</v>
      </c>
      <c r="AR13" s="623">
        <f t="shared" si="8"/>
        <v>0</v>
      </c>
      <c r="AS13" s="618">
        <f t="shared" si="8"/>
        <v>5729842</v>
      </c>
      <c r="AT13" s="464">
        <f t="shared" si="8"/>
        <v>4241724</v>
      </c>
      <c r="AU13" s="464">
        <f t="shared" si="8"/>
        <v>0</v>
      </c>
      <c r="AV13" s="464">
        <f t="shared" si="8"/>
        <v>1433703</v>
      </c>
      <c r="AW13" s="464">
        <f t="shared" si="8"/>
        <v>42417</v>
      </c>
      <c r="AX13" s="464">
        <f t="shared" si="8"/>
        <v>11998</v>
      </c>
      <c r="AY13" s="427">
        <f t="shared" si="8"/>
        <v>9.98</v>
      </c>
      <c r="AZ13" s="427">
        <f t="shared" si="8"/>
        <v>5.59</v>
      </c>
      <c r="BA13" s="496">
        <f t="shared" si="8"/>
        <v>4.3899999999999997</v>
      </c>
    </row>
    <row r="14" spans="1:53" s="229" customFormat="1" ht="12.75" customHeight="1" x14ac:dyDescent="0.2">
      <c r="A14" s="231">
        <v>2</v>
      </c>
      <c r="B14" s="232">
        <v>3470</v>
      </c>
      <c r="C14" s="232">
        <v>691003572</v>
      </c>
      <c r="D14" s="232">
        <v>72550341</v>
      </c>
      <c r="E14" s="233" t="s">
        <v>10</v>
      </c>
      <c r="F14" s="232">
        <v>3111</v>
      </c>
      <c r="G14" s="233" t="s">
        <v>307</v>
      </c>
      <c r="H14" s="264" t="s">
        <v>277</v>
      </c>
      <c r="I14" s="457">
        <f t="shared" ref="I14:I15" si="9">SUM(J14:M14)</f>
        <v>5210760</v>
      </c>
      <c r="J14" s="457">
        <v>3844777</v>
      </c>
      <c r="K14" s="457">
        <f t="shared" ref="K14:K15" si="10">ROUND(J14*33.8%,0)</f>
        <v>1299535</v>
      </c>
      <c r="L14" s="457">
        <f>ROUND(J14*1%,0)</f>
        <v>38448</v>
      </c>
      <c r="M14" s="457">
        <v>28000</v>
      </c>
      <c r="N14" s="458">
        <f t="shared" ref="N14:N15" si="11">O14+P14</f>
        <v>7.8</v>
      </c>
      <c r="O14" s="459">
        <v>6</v>
      </c>
      <c r="P14" s="468">
        <v>1.8</v>
      </c>
      <c r="Q14" s="470">
        <f t="shared" ref="Q14:Q15" si="12">W14*-1</f>
        <v>-19500</v>
      </c>
      <c r="R14" s="460">
        <v>0</v>
      </c>
      <c r="S14" s="673">
        <v>0</v>
      </c>
      <c r="T14" s="460">
        <v>0</v>
      </c>
      <c r="U14" s="460">
        <v>0</v>
      </c>
      <c r="V14" s="460">
        <f>SUM(Q14:U14)</f>
        <v>-19500</v>
      </c>
      <c r="W14" s="460">
        <v>19500</v>
      </c>
      <c r="X14" s="460">
        <v>0</v>
      </c>
      <c r="Y14" s="460">
        <v>0</v>
      </c>
      <c r="Z14" s="460">
        <f t="shared" ref="Z14:Z15" si="13">SUM(W14:Y14)</f>
        <v>19500</v>
      </c>
      <c r="AA14" s="460">
        <f t="shared" ref="AA14:AA15" si="14">V14+Z14</f>
        <v>0</v>
      </c>
      <c r="AB14" s="69">
        <f t="shared" ref="AB14:AB15" si="15">ROUND((V14+W14+X14)*33.8%,0)</f>
        <v>0</v>
      </c>
      <c r="AC14" s="69">
        <f>ROUND(V14*1%,0)</f>
        <v>-195</v>
      </c>
      <c r="AD14" s="460">
        <v>0</v>
      </c>
      <c r="AE14" s="460">
        <v>0</v>
      </c>
      <c r="AF14" s="460">
        <f t="shared" ref="AF14:AF15" si="16">SUM(AD14:AE14)</f>
        <v>0</v>
      </c>
      <c r="AG14" s="460">
        <f t="shared" ref="AG14:AG15" si="17">AA14+AB14+AC14+AF14</f>
        <v>-195</v>
      </c>
      <c r="AH14" s="461">
        <v>0</v>
      </c>
      <c r="AI14" s="461">
        <v>-0.08</v>
      </c>
      <c r="AJ14" s="461">
        <v>0</v>
      </c>
      <c r="AK14" s="461">
        <v>0</v>
      </c>
      <c r="AL14" s="674">
        <v>0</v>
      </c>
      <c r="AM14" s="461">
        <v>0</v>
      </c>
      <c r="AN14" s="461">
        <v>0</v>
      </c>
      <c r="AO14" s="461">
        <v>0</v>
      </c>
      <c r="AP14" s="461">
        <f>AH14+AJ14+AK14+AM14+AN14</f>
        <v>0</v>
      </c>
      <c r="AQ14" s="461">
        <f>AI14+AL14+AO14</f>
        <v>-0.08</v>
      </c>
      <c r="AR14" s="463">
        <f t="shared" ref="AR14:AR15" si="18">SUM(AP14:AQ14)</f>
        <v>-0.08</v>
      </c>
      <c r="AS14" s="469">
        <f>I14+AG14</f>
        <v>5210565</v>
      </c>
      <c r="AT14" s="460">
        <f>J14+V14</f>
        <v>3825277</v>
      </c>
      <c r="AU14" s="460">
        <f>Z14</f>
        <v>19500</v>
      </c>
      <c r="AV14" s="460">
        <f>K14+AB14</f>
        <v>1299535</v>
      </c>
      <c r="AW14" s="460">
        <f>L14+AC14</f>
        <v>38253</v>
      </c>
      <c r="AX14" s="460">
        <f>M14+AF14</f>
        <v>28000</v>
      </c>
      <c r="AY14" s="461">
        <f>N14+AR14</f>
        <v>7.72</v>
      </c>
      <c r="AZ14" s="461">
        <f>O14+AP14</f>
        <v>6</v>
      </c>
      <c r="BA14" s="463">
        <f>P14+AQ14</f>
        <v>1.72</v>
      </c>
    </row>
    <row r="15" spans="1:53" s="229" customFormat="1" ht="12.75" customHeight="1" x14ac:dyDescent="0.2">
      <c r="A15" s="231">
        <v>2</v>
      </c>
      <c r="B15" s="232">
        <v>3470</v>
      </c>
      <c r="C15" s="232">
        <v>691003572</v>
      </c>
      <c r="D15" s="232">
        <v>72550341</v>
      </c>
      <c r="E15" s="233" t="s">
        <v>10</v>
      </c>
      <c r="F15" s="232">
        <v>3141</v>
      </c>
      <c r="G15" s="233" t="s">
        <v>311</v>
      </c>
      <c r="H15" s="264" t="s">
        <v>278</v>
      </c>
      <c r="I15" s="457">
        <f t="shared" si="9"/>
        <v>815351</v>
      </c>
      <c r="J15" s="457">
        <v>602159</v>
      </c>
      <c r="K15" s="457">
        <f t="shared" si="10"/>
        <v>203530</v>
      </c>
      <c r="L15" s="457">
        <f>ROUND(J15*1%,0)</f>
        <v>6022</v>
      </c>
      <c r="M15" s="457">
        <v>3640</v>
      </c>
      <c r="N15" s="458">
        <f t="shared" si="11"/>
        <v>1.94</v>
      </c>
      <c r="O15" s="459">
        <v>0</v>
      </c>
      <c r="P15" s="468">
        <v>1.94</v>
      </c>
      <c r="Q15" s="470">
        <f t="shared" si="12"/>
        <v>0</v>
      </c>
      <c r="R15" s="460">
        <v>0</v>
      </c>
      <c r="S15" s="673">
        <v>0</v>
      </c>
      <c r="T15" s="460">
        <v>0</v>
      </c>
      <c r="U15" s="460">
        <v>0</v>
      </c>
      <c r="V15" s="460">
        <f>SUM(Q15:U15)</f>
        <v>0</v>
      </c>
      <c r="W15" s="460">
        <v>0</v>
      </c>
      <c r="X15" s="460">
        <v>0</v>
      </c>
      <c r="Y15" s="460">
        <v>0</v>
      </c>
      <c r="Z15" s="460">
        <f t="shared" si="13"/>
        <v>0</v>
      </c>
      <c r="AA15" s="460">
        <f t="shared" si="14"/>
        <v>0</v>
      </c>
      <c r="AB15" s="69">
        <f t="shared" si="15"/>
        <v>0</v>
      </c>
      <c r="AC15" s="69">
        <f>ROUND(V15*1%,0)</f>
        <v>0</v>
      </c>
      <c r="AD15" s="460">
        <v>0</v>
      </c>
      <c r="AE15" s="460">
        <v>0</v>
      </c>
      <c r="AF15" s="460">
        <f t="shared" si="16"/>
        <v>0</v>
      </c>
      <c r="AG15" s="460">
        <f t="shared" si="17"/>
        <v>0</v>
      </c>
      <c r="AH15" s="461">
        <v>0</v>
      </c>
      <c r="AI15" s="461">
        <v>0</v>
      </c>
      <c r="AJ15" s="461">
        <v>0</v>
      </c>
      <c r="AK15" s="461">
        <v>0</v>
      </c>
      <c r="AL15" s="674">
        <v>0</v>
      </c>
      <c r="AM15" s="461">
        <v>0</v>
      </c>
      <c r="AN15" s="461">
        <v>0</v>
      </c>
      <c r="AO15" s="461">
        <v>0</v>
      </c>
      <c r="AP15" s="461">
        <f>AH15+AJ15+AK15+AM15+AN15</f>
        <v>0</v>
      </c>
      <c r="AQ15" s="461">
        <f>AI15+AL15+AO15</f>
        <v>0</v>
      </c>
      <c r="AR15" s="463">
        <f t="shared" si="18"/>
        <v>0</v>
      </c>
      <c r="AS15" s="469">
        <f>I15+AG15</f>
        <v>815351</v>
      </c>
      <c r="AT15" s="460">
        <f>J15+V15</f>
        <v>602159</v>
      </c>
      <c r="AU15" s="460">
        <f>Z15</f>
        <v>0</v>
      </c>
      <c r="AV15" s="460">
        <f>K15+AB15</f>
        <v>203530</v>
      </c>
      <c r="AW15" s="460">
        <f>L15+AC15</f>
        <v>6022</v>
      </c>
      <c r="AX15" s="460">
        <f>M15+AF15</f>
        <v>3640</v>
      </c>
      <c r="AY15" s="461">
        <f>N15+AR15</f>
        <v>1.94</v>
      </c>
      <c r="AZ15" s="461">
        <f>O15+AP15</f>
        <v>0</v>
      </c>
      <c r="BA15" s="463">
        <f>P15+AQ15</f>
        <v>1.94</v>
      </c>
    </row>
    <row r="16" spans="1:53" s="229" customFormat="1" ht="12.75" customHeight="1" x14ac:dyDescent="0.2">
      <c r="A16" s="156">
        <v>2</v>
      </c>
      <c r="B16" s="14">
        <v>3470</v>
      </c>
      <c r="C16" s="155">
        <v>691003572</v>
      </c>
      <c r="D16" s="155">
        <v>72550341</v>
      </c>
      <c r="E16" s="230" t="s">
        <v>11</v>
      </c>
      <c r="F16" s="14"/>
      <c r="G16" s="230"/>
      <c r="H16" s="263"/>
      <c r="I16" s="464">
        <f t="shared" ref="I16:P16" si="19">SUM(I14:I15)</f>
        <v>6026111</v>
      </c>
      <c r="J16" s="464">
        <f t="shared" si="19"/>
        <v>4446936</v>
      </c>
      <c r="K16" s="464">
        <f t="shared" si="19"/>
        <v>1503065</v>
      </c>
      <c r="L16" s="464">
        <f t="shared" si="19"/>
        <v>44470</v>
      </c>
      <c r="M16" s="464">
        <f t="shared" si="19"/>
        <v>31640</v>
      </c>
      <c r="N16" s="427">
        <f t="shared" si="19"/>
        <v>9.74</v>
      </c>
      <c r="O16" s="427">
        <f t="shared" si="19"/>
        <v>6</v>
      </c>
      <c r="P16" s="427">
        <f t="shared" si="19"/>
        <v>3.74</v>
      </c>
      <c r="Q16" s="622">
        <f t="shared" ref="Q16:BA16" si="20">SUM(Q14:Q15)</f>
        <v>-19500</v>
      </c>
      <c r="R16" s="620">
        <f t="shared" si="20"/>
        <v>0</v>
      </c>
      <c r="S16" s="620">
        <f t="shared" si="20"/>
        <v>0</v>
      </c>
      <c r="T16" s="620">
        <f t="shared" si="20"/>
        <v>0</v>
      </c>
      <c r="U16" s="620">
        <f t="shared" si="20"/>
        <v>0</v>
      </c>
      <c r="V16" s="620">
        <f t="shared" si="20"/>
        <v>-19500</v>
      </c>
      <c r="W16" s="620">
        <f t="shared" si="20"/>
        <v>19500</v>
      </c>
      <c r="X16" s="620">
        <f t="shared" si="20"/>
        <v>0</v>
      </c>
      <c r="Y16" s="620">
        <f t="shared" si="20"/>
        <v>0</v>
      </c>
      <c r="Z16" s="620">
        <f t="shared" si="20"/>
        <v>19500</v>
      </c>
      <c r="AA16" s="620">
        <f t="shared" si="20"/>
        <v>0</v>
      </c>
      <c r="AB16" s="620">
        <f t="shared" si="20"/>
        <v>0</v>
      </c>
      <c r="AC16" s="620">
        <f t="shared" si="20"/>
        <v>-195</v>
      </c>
      <c r="AD16" s="620">
        <f t="shared" si="20"/>
        <v>0</v>
      </c>
      <c r="AE16" s="620">
        <f t="shared" si="20"/>
        <v>0</v>
      </c>
      <c r="AF16" s="620">
        <f t="shared" si="20"/>
        <v>0</v>
      </c>
      <c r="AG16" s="620">
        <f t="shared" si="20"/>
        <v>-195</v>
      </c>
      <c r="AH16" s="621">
        <f t="shared" si="20"/>
        <v>0</v>
      </c>
      <c r="AI16" s="621">
        <f t="shared" si="20"/>
        <v>-0.08</v>
      </c>
      <c r="AJ16" s="621">
        <f t="shared" si="20"/>
        <v>0</v>
      </c>
      <c r="AK16" s="621">
        <f t="shared" si="20"/>
        <v>0</v>
      </c>
      <c r="AL16" s="621">
        <f t="shared" si="20"/>
        <v>0</v>
      </c>
      <c r="AM16" s="621">
        <f t="shared" si="20"/>
        <v>0</v>
      </c>
      <c r="AN16" s="621">
        <f t="shared" si="20"/>
        <v>0</v>
      </c>
      <c r="AO16" s="621">
        <f t="shared" si="20"/>
        <v>0</v>
      </c>
      <c r="AP16" s="621">
        <f t="shared" si="20"/>
        <v>0</v>
      </c>
      <c r="AQ16" s="621">
        <f t="shared" si="20"/>
        <v>-0.08</v>
      </c>
      <c r="AR16" s="623">
        <f t="shared" si="20"/>
        <v>-0.08</v>
      </c>
      <c r="AS16" s="618">
        <f t="shared" si="20"/>
        <v>6025916</v>
      </c>
      <c r="AT16" s="464">
        <f t="shared" si="20"/>
        <v>4427436</v>
      </c>
      <c r="AU16" s="464">
        <f t="shared" si="20"/>
        <v>19500</v>
      </c>
      <c r="AV16" s="464">
        <f t="shared" si="20"/>
        <v>1503065</v>
      </c>
      <c r="AW16" s="464">
        <f t="shared" si="20"/>
        <v>44275</v>
      </c>
      <c r="AX16" s="464">
        <f t="shared" si="20"/>
        <v>31640</v>
      </c>
      <c r="AY16" s="427">
        <f t="shared" si="20"/>
        <v>9.66</v>
      </c>
      <c r="AZ16" s="427">
        <f t="shared" si="20"/>
        <v>6</v>
      </c>
      <c r="BA16" s="496">
        <f t="shared" si="20"/>
        <v>3.66</v>
      </c>
    </row>
    <row r="17" spans="1:53" s="229" customFormat="1" ht="12.75" customHeight="1" x14ac:dyDescent="0.2">
      <c r="A17" s="231">
        <v>3</v>
      </c>
      <c r="B17" s="232">
        <v>3469</v>
      </c>
      <c r="C17" s="232">
        <v>691003548</v>
      </c>
      <c r="D17" s="232">
        <v>72550384</v>
      </c>
      <c r="E17" s="233" t="s">
        <v>12</v>
      </c>
      <c r="F17" s="232">
        <v>3111</v>
      </c>
      <c r="G17" s="233" t="s">
        <v>307</v>
      </c>
      <c r="H17" s="264" t="s">
        <v>277</v>
      </c>
      <c r="I17" s="457">
        <f t="shared" ref="I17:I18" si="21">SUM(J17:M17)</f>
        <v>6749639</v>
      </c>
      <c r="J17" s="457">
        <v>4982225</v>
      </c>
      <c r="K17" s="457">
        <f t="shared" ref="K17:K18" si="22">ROUND(J17*33.8%,0)</f>
        <v>1683992</v>
      </c>
      <c r="L17" s="457">
        <f t="shared" ref="L17:L18" si="23">ROUND(J17*1%,0)</f>
        <v>49822</v>
      </c>
      <c r="M17" s="457">
        <v>33600</v>
      </c>
      <c r="N17" s="458">
        <f t="shared" ref="N17:N18" si="24">O17+P17</f>
        <v>10.4</v>
      </c>
      <c r="O17" s="459">
        <v>8</v>
      </c>
      <c r="P17" s="468">
        <v>2.4</v>
      </c>
      <c r="Q17" s="470">
        <f t="shared" ref="Q17:Q18" si="25">W17*-1</f>
        <v>-20800</v>
      </c>
      <c r="R17" s="460">
        <v>0</v>
      </c>
      <c r="S17" s="673">
        <v>0</v>
      </c>
      <c r="T17" s="460">
        <v>0</v>
      </c>
      <c r="U17" s="460">
        <v>0</v>
      </c>
      <c r="V17" s="460">
        <f>SUM(Q17:U17)</f>
        <v>-20800</v>
      </c>
      <c r="W17" s="460">
        <v>20800</v>
      </c>
      <c r="X17" s="460">
        <v>0</v>
      </c>
      <c r="Y17" s="460">
        <v>0</v>
      </c>
      <c r="Z17" s="460">
        <f t="shared" ref="Z17:Z18" si="26">SUM(W17:Y17)</f>
        <v>20800</v>
      </c>
      <c r="AA17" s="460">
        <f t="shared" ref="AA17:AA18" si="27">V17+Z17</f>
        <v>0</v>
      </c>
      <c r="AB17" s="69">
        <f t="shared" ref="AB17:AB18" si="28">ROUND((V17+W17+X17)*33.8%,0)</f>
        <v>0</v>
      </c>
      <c r="AC17" s="69">
        <f t="shared" ref="AC17:AC18" si="29">ROUND(V17*1%,0)</f>
        <v>-208</v>
      </c>
      <c r="AD17" s="460">
        <v>0</v>
      </c>
      <c r="AE17" s="460">
        <v>0</v>
      </c>
      <c r="AF17" s="460">
        <f t="shared" ref="AF17:AF18" si="30">SUM(AD17:AE17)</f>
        <v>0</v>
      </c>
      <c r="AG17" s="460">
        <f t="shared" ref="AG17:AG18" si="31">AA17+AB17+AC17+AF17</f>
        <v>-208</v>
      </c>
      <c r="AH17" s="461">
        <v>0</v>
      </c>
      <c r="AI17" s="461">
        <v>-0.09</v>
      </c>
      <c r="AJ17" s="461">
        <v>0</v>
      </c>
      <c r="AK17" s="461">
        <v>0</v>
      </c>
      <c r="AL17" s="674">
        <v>0</v>
      </c>
      <c r="AM17" s="461">
        <v>0</v>
      </c>
      <c r="AN17" s="461">
        <v>0</v>
      </c>
      <c r="AO17" s="461">
        <v>0</v>
      </c>
      <c r="AP17" s="461">
        <f>AH17+AJ17+AK17+AM17+AN17</f>
        <v>0</v>
      </c>
      <c r="AQ17" s="461">
        <f>AI17+AL17+AO17</f>
        <v>-0.09</v>
      </c>
      <c r="AR17" s="463">
        <f t="shared" ref="AR17:AR18" si="32">SUM(AP17:AQ17)</f>
        <v>-0.09</v>
      </c>
      <c r="AS17" s="469">
        <f>I17+AG17</f>
        <v>6749431</v>
      </c>
      <c r="AT17" s="460">
        <f>J17+V17</f>
        <v>4961425</v>
      </c>
      <c r="AU17" s="460">
        <f t="shared" ref="AU17:AU18" si="33">Z17</f>
        <v>20800</v>
      </c>
      <c r="AV17" s="460">
        <f>K17+AB17</f>
        <v>1683992</v>
      </c>
      <c r="AW17" s="460">
        <f>L17+AC17</f>
        <v>49614</v>
      </c>
      <c r="AX17" s="460">
        <f>M17+AF17</f>
        <v>33600</v>
      </c>
      <c r="AY17" s="461">
        <f>N17+AR17</f>
        <v>10.31</v>
      </c>
      <c r="AZ17" s="461">
        <f>O17+AP17</f>
        <v>8</v>
      </c>
      <c r="BA17" s="463">
        <f>P17+AQ17</f>
        <v>2.31</v>
      </c>
    </row>
    <row r="18" spans="1:53" s="229" customFormat="1" ht="12.75" customHeight="1" x14ac:dyDescent="0.2">
      <c r="A18" s="231">
        <v>3</v>
      </c>
      <c r="B18" s="232">
        <v>3469</v>
      </c>
      <c r="C18" s="232">
        <v>691003548</v>
      </c>
      <c r="D18" s="232">
        <v>72550384</v>
      </c>
      <c r="E18" s="233" t="s">
        <v>12</v>
      </c>
      <c r="F18" s="232">
        <v>3141</v>
      </c>
      <c r="G18" s="233" t="s">
        <v>311</v>
      </c>
      <c r="H18" s="264" t="s">
        <v>278</v>
      </c>
      <c r="I18" s="457">
        <f t="shared" si="21"/>
        <v>915643</v>
      </c>
      <c r="J18" s="457">
        <v>676058</v>
      </c>
      <c r="K18" s="457">
        <f t="shared" si="22"/>
        <v>228508</v>
      </c>
      <c r="L18" s="457">
        <f t="shared" si="23"/>
        <v>6761</v>
      </c>
      <c r="M18" s="457">
        <v>4316</v>
      </c>
      <c r="N18" s="458">
        <f t="shared" si="24"/>
        <v>2.17</v>
      </c>
      <c r="O18" s="459">
        <v>0</v>
      </c>
      <c r="P18" s="468">
        <v>2.17</v>
      </c>
      <c r="Q18" s="470">
        <f t="shared" si="25"/>
        <v>0</v>
      </c>
      <c r="R18" s="460">
        <v>0</v>
      </c>
      <c r="S18" s="673">
        <v>0</v>
      </c>
      <c r="T18" s="460">
        <v>0</v>
      </c>
      <c r="U18" s="460">
        <v>0</v>
      </c>
      <c r="V18" s="460">
        <f>SUM(Q18:U18)</f>
        <v>0</v>
      </c>
      <c r="W18" s="460">
        <v>0</v>
      </c>
      <c r="X18" s="460">
        <v>0</v>
      </c>
      <c r="Y18" s="460">
        <v>0</v>
      </c>
      <c r="Z18" s="460">
        <f t="shared" si="26"/>
        <v>0</v>
      </c>
      <c r="AA18" s="460">
        <f t="shared" si="27"/>
        <v>0</v>
      </c>
      <c r="AB18" s="69">
        <f t="shared" si="28"/>
        <v>0</v>
      </c>
      <c r="AC18" s="69">
        <f t="shared" si="29"/>
        <v>0</v>
      </c>
      <c r="AD18" s="460">
        <v>0</v>
      </c>
      <c r="AE18" s="460">
        <v>0</v>
      </c>
      <c r="AF18" s="460">
        <f t="shared" si="30"/>
        <v>0</v>
      </c>
      <c r="AG18" s="460">
        <f t="shared" si="31"/>
        <v>0</v>
      </c>
      <c r="AH18" s="461">
        <v>0</v>
      </c>
      <c r="AI18" s="461">
        <v>0</v>
      </c>
      <c r="AJ18" s="461">
        <v>0</v>
      </c>
      <c r="AK18" s="461">
        <v>0</v>
      </c>
      <c r="AL18" s="674">
        <v>0</v>
      </c>
      <c r="AM18" s="461">
        <v>0</v>
      </c>
      <c r="AN18" s="461">
        <v>0</v>
      </c>
      <c r="AO18" s="461">
        <v>0</v>
      </c>
      <c r="AP18" s="461">
        <f>AH18+AJ18+AK18+AM18+AN18</f>
        <v>0</v>
      </c>
      <c r="AQ18" s="461">
        <f>AI18+AL18+AO18</f>
        <v>0</v>
      </c>
      <c r="AR18" s="463">
        <f t="shared" si="32"/>
        <v>0</v>
      </c>
      <c r="AS18" s="469">
        <f>I18+AG18</f>
        <v>915643</v>
      </c>
      <c r="AT18" s="460">
        <f>J18+V18</f>
        <v>676058</v>
      </c>
      <c r="AU18" s="460">
        <f t="shared" si="33"/>
        <v>0</v>
      </c>
      <c r="AV18" s="460">
        <f>K18+AB18</f>
        <v>228508</v>
      </c>
      <c r="AW18" s="460">
        <f>L18+AC18</f>
        <v>6761</v>
      </c>
      <c r="AX18" s="460">
        <f>M18+AF18</f>
        <v>4316</v>
      </c>
      <c r="AY18" s="461">
        <f>N18+AR18</f>
        <v>2.17</v>
      </c>
      <c r="AZ18" s="461">
        <f>O18+AP18</f>
        <v>0</v>
      </c>
      <c r="BA18" s="463">
        <f>P18+AQ18</f>
        <v>2.17</v>
      </c>
    </row>
    <row r="19" spans="1:53" s="229" customFormat="1" ht="12.75" customHeight="1" x14ac:dyDescent="0.2">
      <c r="A19" s="156">
        <v>3</v>
      </c>
      <c r="B19" s="14">
        <v>3469</v>
      </c>
      <c r="C19" s="155">
        <v>691003548</v>
      </c>
      <c r="D19" s="155">
        <v>72550384</v>
      </c>
      <c r="E19" s="230" t="s">
        <v>13</v>
      </c>
      <c r="F19" s="14"/>
      <c r="G19" s="230"/>
      <c r="H19" s="263"/>
      <c r="I19" s="464">
        <f t="shared" ref="I19:P19" si="34">SUM(I17:I18)</f>
        <v>7665282</v>
      </c>
      <c r="J19" s="464">
        <f t="shared" si="34"/>
        <v>5658283</v>
      </c>
      <c r="K19" s="464">
        <f t="shared" si="34"/>
        <v>1912500</v>
      </c>
      <c r="L19" s="464">
        <f t="shared" si="34"/>
        <v>56583</v>
      </c>
      <c r="M19" s="464">
        <f t="shared" si="34"/>
        <v>37916</v>
      </c>
      <c r="N19" s="427">
        <f t="shared" si="34"/>
        <v>12.57</v>
      </c>
      <c r="O19" s="427">
        <f t="shared" si="34"/>
        <v>8</v>
      </c>
      <c r="P19" s="427">
        <f t="shared" si="34"/>
        <v>4.57</v>
      </c>
      <c r="Q19" s="622">
        <f t="shared" ref="Q19:BA19" si="35">SUM(Q17:Q18)</f>
        <v>-20800</v>
      </c>
      <c r="R19" s="620">
        <f t="shared" si="35"/>
        <v>0</v>
      </c>
      <c r="S19" s="620">
        <f t="shared" si="35"/>
        <v>0</v>
      </c>
      <c r="T19" s="620">
        <f t="shared" si="35"/>
        <v>0</v>
      </c>
      <c r="U19" s="620">
        <f t="shared" si="35"/>
        <v>0</v>
      </c>
      <c r="V19" s="620">
        <f t="shared" si="35"/>
        <v>-20800</v>
      </c>
      <c r="W19" s="620">
        <f t="shared" si="35"/>
        <v>20800</v>
      </c>
      <c r="X19" s="620">
        <f t="shared" si="35"/>
        <v>0</v>
      </c>
      <c r="Y19" s="620">
        <f t="shared" si="35"/>
        <v>0</v>
      </c>
      <c r="Z19" s="620">
        <f t="shared" si="35"/>
        <v>20800</v>
      </c>
      <c r="AA19" s="620">
        <f t="shared" si="35"/>
        <v>0</v>
      </c>
      <c r="AB19" s="620">
        <f t="shared" si="35"/>
        <v>0</v>
      </c>
      <c r="AC19" s="620">
        <f t="shared" si="35"/>
        <v>-208</v>
      </c>
      <c r="AD19" s="620">
        <f t="shared" si="35"/>
        <v>0</v>
      </c>
      <c r="AE19" s="620">
        <f t="shared" si="35"/>
        <v>0</v>
      </c>
      <c r="AF19" s="620">
        <f t="shared" si="35"/>
        <v>0</v>
      </c>
      <c r="AG19" s="620">
        <f t="shared" si="35"/>
        <v>-208</v>
      </c>
      <c r="AH19" s="621">
        <f t="shared" si="35"/>
        <v>0</v>
      </c>
      <c r="AI19" s="621">
        <f t="shared" si="35"/>
        <v>-0.09</v>
      </c>
      <c r="AJ19" s="621">
        <f t="shared" si="35"/>
        <v>0</v>
      </c>
      <c r="AK19" s="621">
        <f t="shared" si="35"/>
        <v>0</v>
      </c>
      <c r="AL19" s="621">
        <f t="shared" si="35"/>
        <v>0</v>
      </c>
      <c r="AM19" s="621">
        <f t="shared" si="35"/>
        <v>0</v>
      </c>
      <c r="AN19" s="621">
        <f t="shared" si="35"/>
        <v>0</v>
      </c>
      <c r="AO19" s="621">
        <f t="shared" si="35"/>
        <v>0</v>
      </c>
      <c r="AP19" s="621">
        <f t="shared" si="35"/>
        <v>0</v>
      </c>
      <c r="AQ19" s="621">
        <f t="shared" si="35"/>
        <v>-0.09</v>
      </c>
      <c r="AR19" s="623">
        <f t="shared" si="35"/>
        <v>-0.09</v>
      </c>
      <c r="AS19" s="618">
        <f t="shared" si="35"/>
        <v>7665074</v>
      </c>
      <c r="AT19" s="464">
        <f t="shared" si="35"/>
        <v>5637483</v>
      </c>
      <c r="AU19" s="464">
        <f t="shared" si="35"/>
        <v>20800</v>
      </c>
      <c r="AV19" s="464">
        <f t="shared" si="35"/>
        <v>1912500</v>
      </c>
      <c r="AW19" s="464">
        <f t="shared" si="35"/>
        <v>56375</v>
      </c>
      <c r="AX19" s="464">
        <f t="shared" si="35"/>
        <v>37916</v>
      </c>
      <c r="AY19" s="427">
        <f t="shared" si="35"/>
        <v>12.48</v>
      </c>
      <c r="AZ19" s="427">
        <f t="shared" si="35"/>
        <v>8</v>
      </c>
      <c r="BA19" s="496">
        <f t="shared" si="35"/>
        <v>4.4800000000000004</v>
      </c>
    </row>
    <row r="20" spans="1:53" s="229" customFormat="1" ht="12.75" customHeight="1" x14ac:dyDescent="0.2">
      <c r="A20" s="231">
        <v>4</v>
      </c>
      <c r="B20" s="232">
        <v>3462</v>
      </c>
      <c r="C20" s="232">
        <v>691001294</v>
      </c>
      <c r="D20" s="232">
        <v>72048115</v>
      </c>
      <c r="E20" s="233" t="s">
        <v>14</v>
      </c>
      <c r="F20" s="232">
        <v>3111</v>
      </c>
      <c r="G20" s="233" t="s">
        <v>307</v>
      </c>
      <c r="H20" s="264" t="s">
        <v>277</v>
      </c>
      <c r="I20" s="457">
        <f t="shared" ref="I20:I22" si="36">SUM(J20:M20)</f>
        <v>5160863</v>
      </c>
      <c r="J20" s="457">
        <v>3808652</v>
      </c>
      <c r="K20" s="457">
        <f t="shared" ref="K20:K22" si="37">ROUND(J20*33.8%,0)</f>
        <v>1287324</v>
      </c>
      <c r="L20" s="457">
        <f t="shared" ref="L20:L22" si="38">ROUND(J20*1%,0)</f>
        <v>38087</v>
      </c>
      <c r="M20" s="457">
        <v>26800</v>
      </c>
      <c r="N20" s="458">
        <f t="shared" ref="N20:N22" si="39">O20+P20</f>
        <v>7.8</v>
      </c>
      <c r="O20" s="459">
        <v>6</v>
      </c>
      <c r="P20" s="468">
        <v>1.8</v>
      </c>
      <c r="Q20" s="470">
        <f t="shared" ref="Q20:Q22" si="40">W20*-1</f>
        <v>-31850</v>
      </c>
      <c r="R20" s="460">
        <v>0</v>
      </c>
      <c r="S20" s="673">
        <v>0</v>
      </c>
      <c r="T20" s="460">
        <v>0</v>
      </c>
      <c r="U20" s="460">
        <v>0</v>
      </c>
      <c r="V20" s="460">
        <f>SUM(Q20:U20)</f>
        <v>-31850</v>
      </c>
      <c r="W20" s="460">
        <v>31850</v>
      </c>
      <c r="X20" s="460">
        <v>0</v>
      </c>
      <c r="Y20" s="460">
        <v>0</v>
      </c>
      <c r="Z20" s="460">
        <f t="shared" ref="Z20:Z22" si="41">SUM(W20:Y20)</f>
        <v>31850</v>
      </c>
      <c r="AA20" s="460">
        <f t="shared" ref="AA20:AA22" si="42">V20+Z20</f>
        <v>0</v>
      </c>
      <c r="AB20" s="69">
        <f t="shared" ref="AB20:AB22" si="43">ROUND((V20+W20+X20)*33.8%,0)</f>
        <v>0</v>
      </c>
      <c r="AC20" s="69">
        <f t="shared" ref="AC20:AC22" si="44">ROUND(V20*1%,0)</f>
        <v>-319</v>
      </c>
      <c r="AD20" s="460">
        <v>0</v>
      </c>
      <c r="AE20" s="460">
        <v>0</v>
      </c>
      <c r="AF20" s="460">
        <f t="shared" ref="AF20:AF22" si="45">SUM(AD20:AE20)</f>
        <v>0</v>
      </c>
      <c r="AG20" s="460">
        <f t="shared" ref="AG20:AG22" si="46">AA20+AB20+AC20+AF20</f>
        <v>-319</v>
      </c>
      <c r="AH20" s="461">
        <v>-0.06</v>
      </c>
      <c r="AI20" s="461">
        <v>0</v>
      </c>
      <c r="AJ20" s="461">
        <v>0</v>
      </c>
      <c r="AK20" s="461">
        <v>0</v>
      </c>
      <c r="AL20" s="674">
        <v>0</v>
      </c>
      <c r="AM20" s="461">
        <v>0</v>
      </c>
      <c r="AN20" s="461">
        <v>0</v>
      </c>
      <c r="AO20" s="461">
        <v>0</v>
      </c>
      <c r="AP20" s="461">
        <f>AH20+AJ20+AK20+AM20+AN20</f>
        <v>-0.06</v>
      </c>
      <c r="AQ20" s="461">
        <f>AI20+AL20+AO20</f>
        <v>0</v>
      </c>
      <c r="AR20" s="463">
        <f t="shared" ref="AR20:AR22" si="47">SUM(AP20:AQ20)</f>
        <v>-0.06</v>
      </c>
      <c r="AS20" s="469">
        <f>I20+AG20</f>
        <v>5160544</v>
      </c>
      <c r="AT20" s="460">
        <f>J20+V20</f>
        <v>3776802</v>
      </c>
      <c r="AU20" s="460">
        <f t="shared" ref="AU20:AU22" si="48">Z20</f>
        <v>31850</v>
      </c>
      <c r="AV20" s="460">
        <f t="shared" ref="AV20:AW22" si="49">K20+AB20</f>
        <v>1287324</v>
      </c>
      <c r="AW20" s="460">
        <f t="shared" si="49"/>
        <v>37768</v>
      </c>
      <c r="AX20" s="460">
        <f>M20+AF20</f>
        <v>26800</v>
      </c>
      <c r="AY20" s="461">
        <f>N20+AR20</f>
        <v>7.74</v>
      </c>
      <c r="AZ20" s="461">
        <f t="shared" ref="AZ20:BA22" si="50">O20+AP20</f>
        <v>5.94</v>
      </c>
      <c r="BA20" s="463">
        <f t="shared" si="50"/>
        <v>1.8</v>
      </c>
    </row>
    <row r="21" spans="1:53" s="229" customFormat="1" ht="12.75" customHeight="1" x14ac:dyDescent="0.2">
      <c r="A21" s="231">
        <v>4</v>
      </c>
      <c r="B21" s="232">
        <v>3462</v>
      </c>
      <c r="C21" s="232">
        <v>691001294</v>
      </c>
      <c r="D21" s="232">
        <v>72048115</v>
      </c>
      <c r="E21" s="233" t="s">
        <v>14</v>
      </c>
      <c r="F21" s="232">
        <v>3111</v>
      </c>
      <c r="G21" s="233" t="s">
        <v>308</v>
      </c>
      <c r="H21" s="264" t="s">
        <v>278</v>
      </c>
      <c r="I21" s="457">
        <f t="shared" si="36"/>
        <v>0</v>
      </c>
      <c r="J21" s="457">
        <v>0</v>
      </c>
      <c r="K21" s="457">
        <f t="shared" si="37"/>
        <v>0</v>
      </c>
      <c r="L21" s="457">
        <f t="shared" si="38"/>
        <v>0</v>
      </c>
      <c r="M21" s="457">
        <v>0</v>
      </c>
      <c r="N21" s="458">
        <f t="shared" si="39"/>
        <v>0</v>
      </c>
      <c r="O21" s="459">
        <v>0</v>
      </c>
      <c r="P21" s="468">
        <v>0</v>
      </c>
      <c r="Q21" s="470">
        <f t="shared" si="40"/>
        <v>0</v>
      </c>
      <c r="R21" s="460">
        <v>0</v>
      </c>
      <c r="S21" s="673">
        <v>0</v>
      </c>
      <c r="T21" s="460">
        <v>0</v>
      </c>
      <c r="U21" s="460">
        <v>0</v>
      </c>
      <c r="V21" s="460">
        <f>SUM(Q21:U21)</f>
        <v>0</v>
      </c>
      <c r="W21" s="460">
        <v>0</v>
      </c>
      <c r="X21" s="460">
        <v>0</v>
      </c>
      <c r="Y21" s="460">
        <v>0</v>
      </c>
      <c r="Z21" s="460">
        <f t="shared" si="41"/>
        <v>0</v>
      </c>
      <c r="AA21" s="460">
        <f t="shared" si="42"/>
        <v>0</v>
      </c>
      <c r="AB21" s="69">
        <f t="shared" si="43"/>
        <v>0</v>
      </c>
      <c r="AC21" s="69">
        <f t="shared" si="44"/>
        <v>0</v>
      </c>
      <c r="AD21" s="460">
        <v>0</v>
      </c>
      <c r="AE21" s="460">
        <v>0</v>
      </c>
      <c r="AF21" s="460">
        <f t="shared" si="45"/>
        <v>0</v>
      </c>
      <c r="AG21" s="460">
        <f t="shared" si="46"/>
        <v>0</v>
      </c>
      <c r="AH21" s="461">
        <v>0</v>
      </c>
      <c r="AI21" s="461">
        <v>0</v>
      </c>
      <c r="AJ21" s="461">
        <v>0</v>
      </c>
      <c r="AK21" s="461">
        <v>0</v>
      </c>
      <c r="AL21" s="674">
        <v>0</v>
      </c>
      <c r="AM21" s="461">
        <v>0</v>
      </c>
      <c r="AN21" s="461">
        <v>0</v>
      </c>
      <c r="AO21" s="461">
        <v>0</v>
      </c>
      <c r="AP21" s="461">
        <f>AH21+AJ21+AK21+AM21+AN21</f>
        <v>0</v>
      </c>
      <c r="AQ21" s="461">
        <f>AI21+AL21+AO21</f>
        <v>0</v>
      </c>
      <c r="AR21" s="463">
        <f t="shared" si="47"/>
        <v>0</v>
      </c>
      <c r="AS21" s="469">
        <f>I21+AG21</f>
        <v>0</v>
      </c>
      <c r="AT21" s="460">
        <f>J21+V21</f>
        <v>0</v>
      </c>
      <c r="AU21" s="460">
        <f t="shared" si="48"/>
        <v>0</v>
      </c>
      <c r="AV21" s="460">
        <f t="shared" si="49"/>
        <v>0</v>
      </c>
      <c r="AW21" s="460">
        <f t="shared" si="49"/>
        <v>0</v>
      </c>
      <c r="AX21" s="460">
        <f>M21+AF21</f>
        <v>0</v>
      </c>
      <c r="AY21" s="461">
        <f>N21+AR21</f>
        <v>0</v>
      </c>
      <c r="AZ21" s="461">
        <f t="shared" si="50"/>
        <v>0</v>
      </c>
      <c r="BA21" s="463">
        <f t="shared" si="50"/>
        <v>0</v>
      </c>
    </row>
    <row r="22" spans="1:53" s="229" customFormat="1" ht="12.75" customHeight="1" x14ac:dyDescent="0.2">
      <c r="A22" s="231">
        <v>4</v>
      </c>
      <c r="B22" s="232">
        <v>3462</v>
      </c>
      <c r="C22" s="232">
        <v>691001294</v>
      </c>
      <c r="D22" s="232">
        <v>72048115</v>
      </c>
      <c r="E22" s="233" t="s">
        <v>14</v>
      </c>
      <c r="F22" s="232">
        <v>3141</v>
      </c>
      <c r="G22" s="233" t="s">
        <v>311</v>
      </c>
      <c r="H22" s="264" t="s">
        <v>278</v>
      </c>
      <c r="I22" s="457">
        <f t="shared" si="36"/>
        <v>791601</v>
      </c>
      <c r="J22" s="457">
        <v>584656</v>
      </c>
      <c r="K22" s="457">
        <f t="shared" si="37"/>
        <v>197614</v>
      </c>
      <c r="L22" s="457">
        <f t="shared" si="38"/>
        <v>5847</v>
      </c>
      <c r="M22" s="457">
        <v>3484</v>
      </c>
      <c r="N22" s="458">
        <f t="shared" si="39"/>
        <v>1.88</v>
      </c>
      <c r="O22" s="459">
        <v>0</v>
      </c>
      <c r="P22" s="468">
        <v>1.88</v>
      </c>
      <c r="Q22" s="470">
        <f t="shared" si="40"/>
        <v>0</v>
      </c>
      <c r="R22" s="460">
        <v>0</v>
      </c>
      <c r="S22" s="673">
        <v>0</v>
      </c>
      <c r="T22" s="460">
        <v>0</v>
      </c>
      <c r="U22" s="460">
        <v>0</v>
      </c>
      <c r="V22" s="460">
        <f>SUM(Q22:U22)</f>
        <v>0</v>
      </c>
      <c r="W22" s="460">
        <v>0</v>
      </c>
      <c r="X22" s="460">
        <v>0</v>
      </c>
      <c r="Y22" s="460">
        <v>0</v>
      </c>
      <c r="Z22" s="460">
        <f t="shared" si="41"/>
        <v>0</v>
      </c>
      <c r="AA22" s="460">
        <f t="shared" si="42"/>
        <v>0</v>
      </c>
      <c r="AB22" s="69">
        <f t="shared" si="43"/>
        <v>0</v>
      </c>
      <c r="AC22" s="69">
        <f t="shared" si="44"/>
        <v>0</v>
      </c>
      <c r="AD22" s="460">
        <v>0</v>
      </c>
      <c r="AE22" s="460">
        <v>0</v>
      </c>
      <c r="AF22" s="460">
        <f t="shared" si="45"/>
        <v>0</v>
      </c>
      <c r="AG22" s="460">
        <f t="shared" si="46"/>
        <v>0</v>
      </c>
      <c r="AH22" s="461">
        <v>0</v>
      </c>
      <c r="AI22" s="461">
        <v>0</v>
      </c>
      <c r="AJ22" s="461">
        <v>0</v>
      </c>
      <c r="AK22" s="461">
        <v>0</v>
      </c>
      <c r="AL22" s="674">
        <v>0</v>
      </c>
      <c r="AM22" s="461">
        <v>0</v>
      </c>
      <c r="AN22" s="461">
        <v>0</v>
      </c>
      <c r="AO22" s="461">
        <v>0</v>
      </c>
      <c r="AP22" s="461">
        <f>AH22+AJ22+AK22+AM22+AN22</f>
        <v>0</v>
      </c>
      <c r="AQ22" s="461">
        <f>AI22+AL22+AO22</f>
        <v>0</v>
      </c>
      <c r="AR22" s="463">
        <f t="shared" si="47"/>
        <v>0</v>
      </c>
      <c r="AS22" s="469">
        <f>I22+AG22</f>
        <v>791601</v>
      </c>
      <c r="AT22" s="460">
        <f>J22+V22</f>
        <v>584656</v>
      </c>
      <c r="AU22" s="460">
        <f t="shared" si="48"/>
        <v>0</v>
      </c>
      <c r="AV22" s="460">
        <f t="shared" si="49"/>
        <v>197614</v>
      </c>
      <c r="AW22" s="460">
        <f t="shared" si="49"/>
        <v>5847</v>
      </c>
      <c r="AX22" s="460">
        <f>M22+AF22</f>
        <v>3484</v>
      </c>
      <c r="AY22" s="461">
        <f>N22+AR22</f>
        <v>1.88</v>
      </c>
      <c r="AZ22" s="461">
        <f t="shared" si="50"/>
        <v>0</v>
      </c>
      <c r="BA22" s="463">
        <f t="shared" si="50"/>
        <v>1.88</v>
      </c>
    </row>
    <row r="23" spans="1:53" s="229" customFormat="1" ht="12.75" customHeight="1" x14ac:dyDescent="0.2">
      <c r="A23" s="156">
        <v>4</v>
      </c>
      <c r="B23" s="14">
        <v>3462</v>
      </c>
      <c r="C23" s="155">
        <v>691001294</v>
      </c>
      <c r="D23" s="155">
        <v>72048115</v>
      </c>
      <c r="E23" s="230" t="s">
        <v>15</v>
      </c>
      <c r="F23" s="14"/>
      <c r="G23" s="230"/>
      <c r="H23" s="263"/>
      <c r="I23" s="464">
        <f t="shared" ref="I23:P23" si="51">SUM(I20:I22)</f>
        <v>5952464</v>
      </c>
      <c r="J23" s="464">
        <f t="shared" si="51"/>
        <v>4393308</v>
      </c>
      <c r="K23" s="464">
        <f t="shared" si="51"/>
        <v>1484938</v>
      </c>
      <c r="L23" s="464">
        <f t="shared" si="51"/>
        <v>43934</v>
      </c>
      <c r="M23" s="464">
        <f t="shared" si="51"/>
        <v>30284</v>
      </c>
      <c r="N23" s="427">
        <f t="shared" si="51"/>
        <v>9.68</v>
      </c>
      <c r="O23" s="427">
        <f t="shared" si="51"/>
        <v>6</v>
      </c>
      <c r="P23" s="427">
        <f t="shared" si="51"/>
        <v>3.6799999999999997</v>
      </c>
      <c r="Q23" s="622">
        <f t="shared" ref="Q23:BA23" si="52">SUM(Q20:Q22)</f>
        <v>-31850</v>
      </c>
      <c r="R23" s="620">
        <f t="shared" si="52"/>
        <v>0</v>
      </c>
      <c r="S23" s="620">
        <f t="shared" si="52"/>
        <v>0</v>
      </c>
      <c r="T23" s="620">
        <f t="shared" si="52"/>
        <v>0</v>
      </c>
      <c r="U23" s="620">
        <f t="shared" si="52"/>
        <v>0</v>
      </c>
      <c r="V23" s="620">
        <f t="shared" si="52"/>
        <v>-31850</v>
      </c>
      <c r="W23" s="620">
        <f t="shared" si="52"/>
        <v>31850</v>
      </c>
      <c r="X23" s="620">
        <f t="shared" si="52"/>
        <v>0</v>
      </c>
      <c r="Y23" s="620">
        <f t="shared" si="52"/>
        <v>0</v>
      </c>
      <c r="Z23" s="620">
        <f t="shared" si="52"/>
        <v>31850</v>
      </c>
      <c r="AA23" s="620">
        <f t="shared" si="52"/>
        <v>0</v>
      </c>
      <c r="AB23" s="620">
        <f t="shared" si="52"/>
        <v>0</v>
      </c>
      <c r="AC23" s="620">
        <f t="shared" si="52"/>
        <v>-319</v>
      </c>
      <c r="AD23" s="620">
        <f t="shared" si="52"/>
        <v>0</v>
      </c>
      <c r="AE23" s="620">
        <f t="shared" si="52"/>
        <v>0</v>
      </c>
      <c r="AF23" s="620">
        <f t="shared" si="52"/>
        <v>0</v>
      </c>
      <c r="AG23" s="620">
        <f t="shared" si="52"/>
        <v>-319</v>
      </c>
      <c r="AH23" s="621">
        <f t="shared" si="52"/>
        <v>-0.06</v>
      </c>
      <c r="AI23" s="621">
        <f t="shared" si="52"/>
        <v>0</v>
      </c>
      <c r="AJ23" s="621">
        <f t="shared" si="52"/>
        <v>0</v>
      </c>
      <c r="AK23" s="621">
        <f t="shared" si="52"/>
        <v>0</v>
      </c>
      <c r="AL23" s="621">
        <f t="shared" si="52"/>
        <v>0</v>
      </c>
      <c r="AM23" s="621">
        <f t="shared" si="52"/>
        <v>0</v>
      </c>
      <c r="AN23" s="621">
        <f t="shared" si="52"/>
        <v>0</v>
      </c>
      <c r="AO23" s="621">
        <f t="shared" si="52"/>
        <v>0</v>
      </c>
      <c r="AP23" s="621">
        <f t="shared" si="52"/>
        <v>-0.06</v>
      </c>
      <c r="AQ23" s="621">
        <f t="shared" si="52"/>
        <v>0</v>
      </c>
      <c r="AR23" s="623">
        <f t="shared" si="52"/>
        <v>-0.06</v>
      </c>
      <c r="AS23" s="618">
        <f t="shared" si="52"/>
        <v>5952145</v>
      </c>
      <c r="AT23" s="464">
        <f t="shared" si="52"/>
        <v>4361458</v>
      </c>
      <c r="AU23" s="464">
        <f t="shared" si="52"/>
        <v>31850</v>
      </c>
      <c r="AV23" s="464">
        <f t="shared" si="52"/>
        <v>1484938</v>
      </c>
      <c r="AW23" s="464">
        <f t="shared" si="52"/>
        <v>43615</v>
      </c>
      <c r="AX23" s="464">
        <f t="shared" si="52"/>
        <v>30284</v>
      </c>
      <c r="AY23" s="427">
        <f t="shared" si="52"/>
        <v>9.620000000000001</v>
      </c>
      <c r="AZ23" s="427">
        <f t="shared" si="52"/>
        <v>5.94</v>
      </c>
      <c r="BA23" s="496">
        <f t="shared" si="52"/>
        <v>3.6799999999999997</v>
      </c>
    </row>
    <row r="24" spans="1:53" s="229" customFormat="1" ht="12.75" customHeight="1" x14ac:dyDescent="0.2">
      <c r="A24" s="231">
        <v>5</v>
      </c>
      <c r="B24" s="232">
        <v>3464</v>
      </c>
      <c r="C24" s="232">
        <v>691001316</v>
      </c>
      <c r="D24" s="232">
        <v>72048140</v>
      </c>
      <c r="E24" s="233" t="s">
        <v>16</v>
      </c>
      <c r="F24" s="232">
        <v>3111</v>
      </c>
      <c r="G24" s="233" t="s">
        <v>307</v>
      </c>
      <c r="H24" s="264" t="s">
        <v>277</v>
      </c>
      <c r="I24" s="457">
        <f t="shared" ref="I24:I25" si="53">SUM(J24:M24)</f>
        <v>6814092</v>
      </c>
      <c r="J24" s="457">
        <v>5028851</v>
      </c>
      <c r="K24" s="457">
        <f t="shared" ref="K24:K25" si="54">ROUND(J24*33.8%,0)</f>
        <v>1699752</v>
      </c>
      <c r="L24" s="457">
        <f t="shared" ref="L24:L25" si="55">ROUND(J24*1%,0)</f>
        <v>50289</v>
      </c>
      <c r="M24" s="457">
        <v>35200</v>
      </c>
      <c r="N24" s="458">
        <f t="shared" ref="N24:N25" si="56">O24+P24</f>
        <v>10.4</v>
      </c>
      <c r="O24" s="459">
        <v>8</v>
      </c>
      <c r="P24" s="468">
        <v>2.4</v>
      </c>
      <c r="Q24" s="470">
        <f t="shared" ref="Q24:Q25" si="57">W24*-1</f>
        <v>-18720</v>
      </c>
      <c r="R24" s="460">
        <v>0</v>
      </c>
      <c r="S24" s="673">
        <v>0</v>
      </c>
      <c r="T24" s="460">
        <v>0</v>
      </c>
      <c r="U24" s="460">
        <v>0</v>
      </c>
      <c r="V24" s="460">
        <f>SUM(Q24:U24)</f>
        <v>-18720</v>
      </c>
      <c r="W24" s="460">
        <v>18720</v>
      </c>
      <c r="X24" s="460">
        <v>0</v>
      </c>
      <c r="Y24" s="460">
        <v>0</v>
      </c>
      <c r="Z24" s="460">
        <f t="shared" ref="Z24:Z25" si="58">SUM(W24:Y24)</f>
        <v>18720</v>
      </c>
      <c r="AA24" s="460">
        <f t="shared" ref="AA24:AA25" si="59">V24+Z24</f>
        <v>0</v>
      </c>
      <c r="AB24" s="69">
        <f t="shared" ref="AB24:AB25" si="60">ROUND((V24+W24+X24)*33.8%,0)</f>
        <v>0</v>
      </c>
      <c r="AC24" s="69">
        <f t="shared" ref="AC24:AC25" si="61">ROUND(V24*1%,0)</f>
        <v>-187</v>
      </c>
      <c r="AD24" s="460">
        <v>0</v>
      </c>
      <c r="AE24" s="460">
        <v>0</v>
      </c>
      <c r="AF24" s="460">
        <f t="shared" ref="AF24:AF25" si="62">SUM(AD24:AE24)</f>
        <v>0</v>
      </c>
      <c r="AG24" s="460">
        <f t="shared" ref="AG24:AG25" si="63">AA24+AB24+AC24+AF24</f>
        <v>-187</v>
      </c>
      <c r="AH24" s="461">
        <v>0</v>
      </c>
      <c r="AI24" s="461">
        <v>-0.08</v>
      </c>
      <c r="AJ24" s="461">
        <v>0</v>
      </c>
      <c r="AK24" s="461">
        <v>0</v>
      </c>
      <c r="AL24" s="674">
        <v>0</v>
      </c>
      <c r="AM24" s="461">
        <v>0</v>
      </c>
      <c r="AN24" s="461">
        <v>0</v>
      </c>
      <c r="AO24" s="461">
        <v>0</v>
      </c>
      <c r="AP24" s="461">
        <f>AH24+AJ24+AK24+AM24+AN24</f>
        <v>0</v>
      </c>
      <c r="AQ24" s="461">
        <f>AI24+AL24+AO24</f>
        <v>-0.08</v>
      </c>
      <c r="AR24" s="463">
        <f t="shared" ref="AR24:AR25" si="64">SUM(AP24:AQ24)</f>
        <v>-0.08</v>
      </c>
      <c r="AS24" s="469">
        <f>I24+AG24</f>
        <v>6813905</v>
      </c>
      <c r="AT24" s="460">
        <f>J24+V24</f>
        <v>5010131</v>
      </c>
      <c r="AU24" s="460">
        <f t="shared" ref="AU24:AU25" si="65">Z24</f>
        <v>18720</v>
      </c>
      <c r="AV24" s="460">
        <f>K24+AB24</f>
        <v>1699752</v>
      </c>
      <c r="AW24" s="460">
        <f>L24+AC24</f>
        <v>50102</v>
      </c>
      <c r="AX24" s="460">
        <f>M24+AF24</f>
        <v>35200</v>
      </c>
      <c r="AY24" s="461">
        <f>N24+AR24</f>
        <v>10.32</v>
      </c>
      <c r="AZ24" s="461">
        <f>O24+AP24</f>
        <v>8</v>
      </c>
      <c r="BA24" s="463">
        <f>P24+AQ24</f>
        <v>2.3199999999999998</v>
      </c>
    </row>
    <row r="25" spans="1:53" s="229" customFormat="1" ht="12.75" customHeight="1" x14ac:dyDescent="0.2">
      <c r="A25" s="231">
        <v>5</v>
      </c>
      <c r="B25" s="232">
        <v>3464</v>
      </c>
      <c r="C25" s="232">
        <v>691001316</v>
      </c>
      <c r="D25" s="232">
        <v>72048140</v>
      </c>
      <c r="E25" s="233" t="s">
        <v>16</v>
      </c>
      <c r="F25" s="232">
        <v>3141</v>
      </c>
      <c r="G25" s="233" t="s">
        <v>311</v>
      </c>
      <c r="H25" s="264" t="s">
        <v>278</v>
      </c>
      <c r="I25" s="457">
        <f t="shared" si="53"/>
        <v>930822</v>
      </c>
      <c r="J25" s="457">
        <v>687242</v>
      </c>
      <c r="K25" s="457">
        <f t="shared" si="54"/>
        <v>232288</v>
      </c>
      <c r="L25" s="457">
        <f t="shared" si="55"/>
        <v>6872</v>
      </c>
      <c r="M25" s="457">
        <v>4420</v>
      </c>
      <c r="N25" s="458">
        <f t="shared" si="56"/>
        <v>2.21</v>
      </c>
      <c r="O25" s="459">
        <v>0</v>
      </c>
      <c r="P25" s="468">
        <v>2.21</v>
      </c>
      <c r="Q25" s="470">
        <f t="shared" si="57"/>
        <v>0</v>
      </c>
      <c r="R25" s="460">
        <v>0</v>
      </c>
      <c r="S25" s="673">
        <v>0</v>
      </c>
      <c r="T25" s="460">
        <v>0</v>
      </c>
      <c r="U25" s="460">
        <v>0</v>
      </c>
      <c r="V25" s="460">
        <f>SUM(Q25:U25)</f>
        <v>0</v>
      </c>
      <c r="W25" s="460">
        <v>0</v>
      </c>
      <c r="X25" s="460">
        <v>0</v>
      </c>
      <c r="Y25" s="460">
        <v>0</v>
      </c>
      <c r="Z25" s="460">
        <f t="shared" si="58"/>
        <v>0</v>
      </c>
      <c r="AA25" s="460">
        <f t="shared" si="59"/>
        <v>0</v>
      </c>
      <c r="AB25" s="69">
        <f t="shared" si="60"/>
        <v>0</v>
      </c>
      <c r="AC25" s="69">
        <f t="shared" si="61"/>
        <v>0</v>
      </c>
      <c r="AD25" s="460">
        <v>0</v>
      </c>
      <c r="AE25" s="460">
        <v>0</v>
      </c>
      <c r="AF25" s="460">
        <f t="shared" si="62"/>
        <v>0</v>
      </c>
      <c r="AG25" s="460">
        <f t="shared" si="63"/>
        <v>0</v>
      </c>
      <c r="AH25" s="461">
        <v>0</v>
      </c>
      <c r="AI25" s="461">
        <v>0</v>
      </c>
      <c r="AJ25" s="461">
        <v>0</v>
      </c>
      <c r="AK25" s="461">
        <v>0</v>
      </c>
      <c r="AL25" s="674">
        <v>0</v>
      </c>
      <c r="AM25" s="461">
        <v>0</v>
      </c>
      <c r="AN25" s="461">
        <v>0</v>
      </c>
      <c r="AO25" s="461">
        <v>0</v>
      </c>
      <c r="AP25" s="461">
        <f>AH25+AJ25+AK25+AM25+AN25</f>
        <v>0</v>
      </c>
      <c r="AQ25" s="461">
        <f>AI25+AL25+AO25</f>
        <v>0</v>
      </c>
      <c r="AR25" s="463">
        <f t="shared" si="64"/>
        <v>0</v>
      </c>
      <c r="AS25" s="469">
        <f>I25+AG25</f>
        <v>930822</v>
      </c>
      <c r="AT25" s="460">
        <f>J25+V25</f>
        <v>687242</v>
      </c>
      <c r="AU25" s="460">
        <f t="shared" si="65"/>
        <v>0</v>
      </c>
      <c r="AV25" s="460">
        <f>K25+AB25</f>
        <v>232288</v>
      </c>
      <c r="AW25" s="460">
        <f>L25+AC25</f>
        <v>6872</v>
      </c>
      <c r="AX25" s="460">
        <f>M25+AF25</f>
        <v>4420</v>
      </c>
      <c r="AY25" s="461">
        <f>N25+AR25</f>
        <v>2.21</v>
      </c>
      <c r="AZ25" s="461">
        <f>O25+AP25</f>
        <v>0</v>
      </c>
      <c r="BA25" s="463">
        <f>P25+AQ25</f>
        <v>2.21</v>
      </c>
    </row>
    <row r="26" spans="1:53" s="229" customFormat="1" ht="12.75" customHeight="1" x14ac:dyDescent="0.2">
      <c r="A26" s="156">
        <v>5</v>
      </c>
      <c r="B26" s="14">
        <v>3464</v>
      </c>
      <c r="C26" s="155">
        <v>691001316</v>
      </c>
      <c r="D26" s="155">
        <v>72048140</v>
      </c>
      <c r="E26" s="230" t="s">
        <v>17</v>
      </c>
      <c r="F26" s="14"/>
      <c r="G26" s="230"/>
      <c r="H26" s="263"/>
      <c r="I26" s="464">
        <f t="shared" ref="I26:P26" si="66">SUM(I24:I25)</f>
        <v>7744914</v>
      </c>
      <c r="J26" s="464">
        <f t="shared" si="66"/>
        <v>5716093</v>
      </c>
      <c r="K26" s="464">
        <f t="shared" si="66"/>
        <v>1932040</v>
      </c>
      <c r="L26" s="464">
        <f t="shared" si="66"/>
        <v>57161</v>
      </c>
      <c r="M26" s="464">
        <f t="shared" si="66"/>
        <v>39620</v>
      </c>
      <c r="N26" s="427">
        <f t="shared" si="66"/>
        <v>12.61</v>
      </c>
      <c r="O26" s="427">
        <f t="shared" si="66"/>
        <v>8</v>
      </c>
      <c r="P26" s="427">
        <f t="shared" si="66"/>
        <v>4.6099999999999994</v>
      </c>
      <c r="Q26" s="622">
        <f t="shared" ref="Q26:BA26" si="67">SUM(Q24:Q25)</f>
        <v>-18720</v>
      </c>
      <c r="R26" s="620">
        <f t="shared" si="67"/>
        <v>0</v>
      </c>
      <c r="S26" s="620">
        <f t="shared" si="67"/>
        <v>0</v>
      </c>
      <c r="T26" s="620">
        <f t="shared" si="67"/>
        <v>0</v>
      </c>
      <c r="U26" s="620">
        <f t="shared" si="67"/>
        <v>0</v>
      </c>
      <c r="V26" s="620">
        <f t="shared" si="67"/>
        <v>-18720</v>
      </c>
      <c r="W26" s="620">
        <f t="shared" si="67"/>
        <v>18720</v>
      </c>
      <c r="X26" s="620">
        <f t="shared" si="67"/>
        <v>0</v>
      </c>
      <c r="Y26" s="620">
        <f t="shared" si="67"/>
        <v>0</v>
      </c>
      <c r="Z26" s="620">
        <f t="shared" si="67"/>
        <v>18720</v>
      </c>
      <c r="AA26" s="620">
        <f t="shared" si="67"/>
        <v>0</v>
      </c>
      <c r="AB26" s="620">
        <f t="shared" si="67"/>
        <v>0</v>
      </c>
      <c r="AC26" s="620">
        <f t="shared" si="67"/>
        <v>-187</v>
      </c>
      <c r="AD26" s="620">
        <f t="shared" si="67"/>
        <v>0</v>
      </c>
      <c r="AE26" s="620">
        <f t="shared" si="67"/>
        <v>0</v>
      </c>
      <c r="AF26" s="620">
        <f t="shared" si="67"/>
        <v>0</v>
      </c>
      <c r="AG26" s="620">
        <f t="shared" si="67"/>
        <v>-187</v>
      </c>
      <c r="AH26" s="621">
        <f t="shared" si="67"/>
        <v>0</v>
      </c>
      <c r="AI26" s="621">
        <f t="shared" si="67"/>
        <v>-0.08</v>
      </c>
      <c r="AJ26" s="621">
        <f t="shared" si="67"/>
        <v>0</v>
      </c>
      <c r="AK26" s="621">
        <f t="shared" si="67"/>
        <v>0</v>
      </c>
      <c r="AL26" s="621">
        <f t="shared" si="67"/>
        <v>0</v>
      </c>
      <c r="AM26" s="621">
        <f t="shared" si="67"/>
        <v>0</v>
      </c>
      <c r="AN26" s="621">
        <f t="shared" si="67"/>
        <v>0</v>
      </c>
      <c r="AO26" s="621">
        <f t="shared" si="67"/>
        <v>0</v>
      </c>
      <c r="AP26" s="621">
        <f t="shared" si="67"/>
        <v>0</v>
      </c>
      <c r="AQ26" s="621">
        <f t="shared" si="67"/>
        <v>-0.08</v>
      </c>
      <c r="AR26" s="623">
        <f t="shared" si="67"/>
        <v>-0.08</v>
      </c>
      <c r="AS26" s="618">
        <f t="shared" si="67"/>
        <v>7744727</v>
      </c>
      <c r="AT26" s="464">
        <f t="shared" si="67"/>
        <v>5697373</v>
      </c>
      <c r="AU26" s="464">
        <f t="shared" si="67"/>
        <v>18720</v>
      </c>
      <c r="AV26" s="464">
        <f t="shared" si="67"/>
        <v>1932040</v>
      </c>
      <c r="AW26" s="464">
        <f t="shared" si="67"/>
        <v>56974</v>
      </c>
      <c r="AX26" s="464">
        <f t="shared" si="67"/>
        <v>39620</v>
      </c>
      <c r="AY26" s="427">
        <f t="shared" si="67"/>
        <v>12.530000000000001</v>
      </c>
      <c r="AZ26" s="427">
        <f t="shared" si="67"/>
        <v>8</v>
      </c>
      <c r="BA26" s="496">
        <f t="shared" si="67"/>
        <v>4.5299999999999994</v>
      </c>
    </row>
    <row r="27" spans="1:53" s="229" customFormat="1" ht="12.75" customHeight="1" x14ac:dyDescent="0.2">
      <c r="A27" s="231">
        <v>6</v>
      </c>
      <c r="B27" s="232">
        <v>3453</v>
      </c>
      <c r="C27" s="232">
        <v>667101411</v>
      </c>
      <c r="D27" s="232">
        <v>75109522</v>
      </c>
      <c r="E27" s="233" t="s">
        <v>18</v>
      </c>
      <c r="F27" s="232">
        <v>3111</v>
      </c>
      <c r="G27" s="233" t="s">
        <v>307</v>
      </c>
      <c r="H27" s="264" t="s">
        <v>277</v>
      </c>
      <c r="I27" s="457">
        <f t="shared" ref="I27:I28" si="68">SUM(J27:M27)</f>
        <v>6682905</v>
      </c>
      <c r="J27" s="457">
        <v>4927600</v>
      </c>
      <c r="K27" s="457">
        <f t="shared" ref="K27:K28" si="69">ROUND(J27*33.8%,0)</f>
        <v>1665529</v>
      </c>
      <c r="L27" s="457">
        <f t="shared" ref="L27:L28" si="70">ROUND(J27*1%,0)</f>
        <v>49276</v>
      </c>
      <c r="M27" s="457">
        <v>40500</v>
      </c>
      <c r="N27" s="458">
        <f t="shared" ref="N27:N28" si="71">O27+P27</f>
        <v>10.3</v>
      </c>
      <c r="O27" s="459">
        <v>7.5</v>
      </c>
      <c r="P27" s="468">
        <v>2.8</v>
      </c>
      <c r="Q27" s="470">
        <f t="shared" ref="Q27:Q28" si="72">W27*-1</f>
        <v>-19500</v>
      </c>
      <c r="R27" s="460">
        <v>0</v>
      </c>
      <c r="S27" s="673">
        <v>0</v>
      </c>
      <c r="T27" s="460">
        <v>0</v>
      </c>
      <c r="U27" s="460">
        <v>0</v>
      </c>
      <c r="V27" s="460">
        <f>SUM(Q27:U27)</f>
        <v>-19500</v>
      </c>
      <c r="W27" s="460">
        <v>19500</v>
      </c>
      <c r="X27" s="460">
        <v>0</v>
      </c>
      <c r="Y27" s="460">
        <v>0</v>
      </c>
      <c r="Z27" s="460">
        <f t="shared" ref="Z27:Z28" si="73">SUM(W27:Y27)</f>
        <v>19500</v>
      </c>
      <c r="AA27" s="460">
        <f t="shared" ref="AA27:AA28" si="74">V27+Z27</f>
        <v>0</v>
      </c>
      <c r="AB27" s="69">
        <f t="shared" ref="AB27:AB28" si="75">ROUND((V27+W27+X27)*33.8%,0)</f>
        <v>0</v>
      </c>
      <c r="AC27" s="69">
        <f t="shared" ref="AC27:AC28" si="76">ROUND(V27*1%,0)</f>
        <v>-195</v>
      </c>
      <c r="AD27" s="460">
        <v>0</v>
      </c>
      <c r="AE27" s="460">
        <v>0</v>
      </c>
      <c r="AF27" s="460">
        <f t="shared" ref="AF27:AF28" si="77">SUM(AD27:AE27)</f>
        <v>0</v>
      </c>
      <c r="AG27" s="460">
        <f t="shared" ref="AG27:AG28" si="78">AA27+AB27+AC27+AF27</f>
        <v>-195</v>
      </c>
      <c r="AH27" s="461">
        <v>0</v>
      </c>
      <c r="AI27" s="461">
        <v>-0.08</v>
      </c>
      <c r="AJ27" s="461">
        <v>0</v>
      </c>
      <c r="AK27" s="461">
        <v>0</v>
      </c>
      <c r="AL27" s="674">
        <v>0</v>
      </c>
      <c r="AM27" s="461">
        <v>0</v>
      </c>
      <c r="AN27" s="461">
        <v>0</v>
      </c>
      <c r="AO27" s="461">
        <v>0</v>
      </c>
      <c r="AP27" s="461">
        <f>AH27+AJ27+AK27+AM27+AN27</f>
        <v>0</v>
      </c>
      <c r="AQ27" s="461">
        <f>AI27+AL27+AO27</f>
        <v>-0.08</v>
      </c>
      <c r="AR27" s="463">
        <f t="shared" ref="AR27:AR28" si="79">SUM(AP27:AQ27)</f>
        <v>-0.08</v>
      </c>
      <c r="AS27" s="469">
        <f>I27+AG27</f>
        <v>6682710</v>
      </c>
      <c r="AT27" s="460">
        <f>J27+V27</f>
        <v>4908100</v>
      </c>
      <c r="AU27" s="460">
        <f t="shared" ref="AU27:AU28" si="80">Z27</f>
        <v>19500</v>
      </c>
      <c r="AV27" s="460">
        <f>K27+AB27</f>
        <v>1665529</v>
      </c>
      <c r="AW27" s="460">
        <f>L27+AC27</f>
        <v>49081</v>
      </c>
      <c r="AX27" s="460">
        <f>M27+AF27</f>
        <v>40500</v>
      </c>
      <c r="AY27" s="461">
        <f>N27+AR27</f>
        <v>10.220000000000001</v>
      </c>
      <c r="AZ27" s="461">
        <f>O27+AP27</f>
        <v>7.5</v>
      </c>
      <c r="BA27" s="463">
        <f>P27+AQ27</f>
        <v>2.7199999999999998</v>
      </c>
    </row>
    <row r="28" spans="1:53" s="229" customFormat="1" ht="12.75" customHeight="1" x14ac:dyDescent="0.2">
      <c r="A28" s="231">
        <v>6</v>
      </c>
      <c r="B28" s="232">
        <v>3453</v>
      </c>
      <c r="C28" s="232">
        <v>667101411</v>
      </c>
      <c r="D28" s="232">
        <v>75109522</v>
      </c>
      <c r="E28" s="233" t="s">
        <v>18</v>
      </c>
      <c r="F28" s="232">
        <v>3141</v>
      </c>
      <c r="G28" s="233" t="s">
        <v>311</v>
      </c>
      <c r="H28" s="264" t="s">
        <v>278</v>
      </c>
      <c r="I28" s="457">
        <f t="shared" si="68"/>
        <v>815351</v>
      </c>
      <c r="J28" s="457">
        <v>602159</v>
      </c>
      <c r="K28" s="457">
        <f t="shared" si="69"/>
        <v>203530</v>
      </c>
      <c r="L28" s="457">
        <f t="shared" si="70"/>
        <v>6022</v>
      </c>
      <c r="M28" s="457">
        <v>3640</v>
      </c>
      <c r="N28" s="458">
        <f t="shared" si="71"/>
        <v>1.94</v>
      </c>
      <c r="O28" s="459">
        <v>0</v>
      </c>
      <c r="P28" s="468">
        <v>1.94</v>
      </c>
      <c r="Q28" s="470">
        <f t="shared" si="72"/>
        <v>0</v>
      </c>
      <c r="R28" s="460">
        <v>0</v>
      </c>
      <c r="S28" s="673">
        <v>0</v>
      </c>
      <c r="T28" s="460">
        <v>0</v>
      </c>
      <c r="U28" s="460">
        <v>0</v>
      </c>
      <c r="V28" s="460">
        <f>SUM(Q28:U28)</f>
        <v>0</v>
      </c>
      <c r="W28" s="460">
        <v>0</v>
      </c>
      <c r="X28" s="460">
        <v>0</v>
      </c>
      <c r="Y28" s="460">
        <v>0</v>
      </c>
      <c r="Z28" s="460">
        <f t="shared" si="73"/>
        <v>0</v>
      </c>
      <c r="AA28" s="460">
        <f t="shared" si="74"/>
        <v>0</v>
      </c>
      <c r="AB28" s="69">
        <f t="shared" si="75"/>
        <v>0</v>
      </c>
      <c r="AC28" s="69">
        <f t="shared" si="76"/>
        <v>0</v>
      </c>
      <c r="AD28" s="460">
        <v>0</v>
      </c>
      <c r="AE28" s="460">
        <v>0</v>
      </c>
      <c r="AF28" s="460">
        <f t="shared" si="77"/>
        <v>0</v>
      </c>
      <c r="AG28" s="460">
        <f t="shared" si="78"/>
        <v>0</v>
      </c>
      <c r="AH28" s="461">
        <v>0</v>
      </c>
      <c r="AI28" s="461">
        <v>0</v>
      </c>
      <c r="AJ28" s="461">
        <v>0</v>
      </c>
      <c r="AK28" s="461">
        <v>0</v>
      </c>
      <c r="AL28" s="674">
        <v>0</v>
      </c>
      <c r="AM28" s="461">
        <v>0</v>
      </c>
      <c r="AN28" s="461">
        <v>0</v>
      </c>
      <c r="AO28" s="461">
        <v>0</v>
      </c>
      <c r="AP28" s="461">
        <f>AH28+AJ28+AK28+AM28+AN28</f>
        <v>0</v>
      </c>
      <c r="AQ28" s="461">
        <f>AI28+AL28+AO28</f>
        <v>0</v>
      </c>
      <c r="AR28" s="463">
        <f t="shared" si="79"/>
        <v>0</v>
      </c>
      <c r="AS28" s="469">
        <f>I28+AG28</f>
        <v>815351</v>
      </c>
      <c r="AT28" s="460">
        <f>J28+V28</f>
        <v>602159</v>
      </c>
      <c r="AU28" s="460">
        <f t="shared" si="80"/>
        <v>0</v>
      </c>
      <c r="AV28" s="460">
        <f>K28+AB28</f>
        <v>203530</v>
      </c>
      <c r="AW28" s="460">
        <f>L28+AC28</f>
        <v>6022</v>
      </c>
      <c r="AX28" s="460">
        <f>M28+AF28</f>
        <v>3640</v>
      </c>
      <c r="AY28" s="461">
        <f>N28+AR28</f>
        <v>1.94</v>
      </c>
      <c r="AZ28" s="461">
        <f>O28+AP28</f>
        <v>0</v>
      </c>
      <c r="BA28" s="463">
        <f>P28+AQ28</f>
        <v>1.94</v>
      </c>
    </row>
    <row r="29" spans="1:53" s="229" customFormat="1" ht="12.75" customHeight="1" x14ac:dyDescent="0.2">
      <c r="A29" s="156">
        <v>6</v>
      </c>
      <c r="B29" s="14">
        <v>3453</v>
      </c>
      <c r="C29" s="155">
        <v>667101411</v>
      </c>
      <c r="D29" s="155">
        <v>75109522</v>
      </c>
      <c r="E29" s="230" t="s">
        <v>19</v>
      </c>
      <c r="F29" s="14"/>
      <c r="G29" s="230"/>
      <c r="H29" s="263"/>
      <c r="I29" s="464">
        <f t="shared" ref="I29:P29" si="81">SUM(I27:I28)</f>
        <v>7498256</v>
      </c>
      <c r="J29" s="464">
        <f t="shared" si="81"/>
        <v>5529759</v>
      </c>
      <c r="K29" s="464">
        <f t="shared" si="81"/>
        <v>1869059</v>
      </c>
      <c r="L29" s="464">
        <f t="shared" si="81"/>
        <v>55298</v>
      </c>
      <c r="M29" s="464">
        <f t="shared" si="81"/>
        <v>44140</v>
      </c>
      <c r="N29" s="427">
        <f t="shared" si="81"/>
        <v>12.24</v>
      </c>
      <c r="O29" s="427">
        <f t="shared" si="81"/>
        <v>7.5</v>
      </c>
      <c r="P29" s="427">
        <f t="shared" si="81"/>
        <v>4.74</v>
      </c>
      <c r="Q29" s="622">
        <f t="shared" ref="Q29:BA29" si="82">SUM(Q27:Q28)</f>
        <v>-19500</v>
      </c>
      <c r="R29" s="620">
        <f t="shared" si="82"/>
        <v>0</v>
      </c>
      <c r="S29" s="620">
        <f t="shared" si="82"/>
        <v>0</v>
      </c>
      <c r="T29" s="620">
        <f t="shared" si="82"/>
        <v>0</v>
      </c>
      <c r="U29" s="620">
        <f t="shared" si="82"/>
        <v>0</v>
      </c>
      <c r="V29" s="620">
        <f t="shared" si="82"/>
        <v>-19500</v>
      </c>
      <c r="W29" s="620">
        <f t="shared" si="82"/>
        <v>19500</v>
      </c>
      <c r="X29" s="620">
        <f t="shared" si="82"/>
        <v>0</v>
      </c>
      <c r="Y29" s="620">
        <f t="shared" si="82"/>
        <v>0</v>
      </c>
      <c r="Z29" s="620">
        <f t="shared" si="82"/>
        <v>19500</v>
      </c>
      <c r="AA29" s="620">
        <f t="shared" si="82"/>
        <v>0</v>
      </c>
      <c r="AB29" s="620">
        <f t="shared" si="82"/>
        <v>0</v>
      </c>
      <c r="AC29" s="620">
        <f t="shared" si="82"/>
        <v>-195</v>
      </c>
      <c r="AD29" s="620">
        <f t="shared" si="82"/>
        <v>0</v>
      </c>
      <c r="AE29" s="620">
        <f t="shared" si="82"/>
        <v>0</v>
      </c>
      <c r="AF29" s="620">
        <f t="shared" si="82"/>
        <v>0</v>
      </c>
      <c r="AG29" s="620">
        <f t="shared" si="82"/>
        <v>-195</v>
      </c>
      <c r="AH29" s="621">
        <f t="shared" si="82"/>
        <v>0</v>
      </c>
      <c r="AI29" s="621">
        <f t="shared" si="82"/>
        <v>-0.08</v>
      </c>
      <c r="AJ29" s="621">
        <f t="shared" si="82"/>
        <v>0</v>
      </c>
      <c r="AK29" s="621">
        <f t="shared" si="82"/>
        <v>0</v>
      </c>
      <c r="AL29" s="621">
        <f t="shared" si="82"/>
        <v>0</v>
      </c>
      <c r="AM29" s="621">
        <f t="shared" si="82"/>
        <v>0</v>
      </c>
      <c r="AN29" s="621">
        <f t="shared" si="82"/>
        <v>0</v>
      </c>
      <c r="AO29" s="621">
        <f t="shared" si="82"/>
        <v>0</v>
      </c>
      <c r="AP29" s="621">
        <f t="shared" si="82"/>
        <v>0</v>
      </c>
      <c r="AQ29" s="621">
        <f t="shared" si="82"/>
        <v>-0.08</v>
      </c>
      <c r="AR29" s="623">
        <f t="shared" si="82"/>
        <v>-0.08</v>
      </c>
      <c r="AS29" s="618">
        <f t="shared" si="82"/>
        <v>7498061</v>
      </c>
      <c r="AT29" s="464">
        <f t="shared" si="82"/>
        <v>5510259</v>
      </c>
      <c r="AU29" s="464">
        <f t="shared" si="82"/>
        <v>19500</v>
      </c>
      <c r="AV29" s="464">
        <f t="shared" si="82"/>
        <v>1869059</v>
      </c>
      <c r="AW29" s="464">
        <f t="shared" si="82"/>
        <v>55103</v>
      </c>
      <c r="AX29" s="464">
        <f t="shared" si="82"/>
        <v>44140</v>
      </c>
      <c r="AY29" s="427">
        <f t="shared" si="82"/>
        <v>12.16</v>
      </c>
      <c r="AZ29" s="427">
        <f t="shared" si="82"/>
        <v>7.5</v>
      </c>
      <c r="BA29" s="496">
        <f t="shared" si="82"/>
        <v>4.66</v>
      </c>
    </row>
    <row r="30" spans="1:53" s="229" customFormat="1" ht="12.75" customHeight="1" x14ac:dyDescent="0.2">
      <c r="A30" s="231">
        <v>7</v>
      </c>
      <c r="B30" s="232">
        <v>3471</v>
      </c>
      <c r="C30" s="232">
        <v>691003491</v>
      </c>
      <c r="D30" s="232">
        <v>72550376</v>
      </c>
      <c r="E30" s="233" t="s">
        <v>20</v>
      </c>
      <c r="F30" s="232">
        <v>3111</v>
      </c>
      <c r="G30" s="233" t="s">
        <v>307</v>
      </c>
      <c r="H30" s="264" t="s">
        <v>277</v>
      </c>
      <c r="I30" s="457">
        <f t="shared" ref="I30:I32" si="83">SUM(J30:M30)</f>
        <v>7055561</v>
      </c>
      <c r="J30" s="457">
        <v>5201677</v>
      </c>
      <c r="K30" s="457">
        <f t="shared" ref="K30:K32" si="84">ROUND(J30*33.8%,0)</f>
        <v>1758167</v>
      </c>
      <c r="L30" s="457">
        <f t="shared" ref="L30:L32" si="85">ROUND(J30*1%,0)</f>
        <v>52017</v>
      </c>
      <c r="M30" s="457">
        <v>43700</v>
      </c>
      <c r="N30" s="458">
        <f t="shared" ref="N30:N32" si="86">O30+P30</f>
        <v>10.4</v>
      </c>
      <c r="O30" s="459">
        <v>8</v>
      </c>
      <c r="P30" s="468">
        <v>2.4</v>
      </c>
      <c r="Q30" s="470">
        <f t="shared" ref="Q30:Q32" si="87">W30*-1</f>
        <v>0</v>
      </c>
      <c r="R30" s="460">
        <v>0</v>
      </c>
      <c r="S30" s="673">
        <v>0</v>
      </c>
      <c r="T30" s="460">
        <v>0</v>
      </c>
      <c r="U30" s="460">
        <v>0</v>
      </c>
      <c r="V30" s="460">
        <f>SUM(Q30:U30)</f>
        <v>0</v>
      </c>
      <c r="W30" s="460">
        <v>0</v>
      </c>
      <c r="X30" s="460">
        <v>0</v>
      </c>
      <c r="Y30" s="460">
        <v>0</v>
      </c>
      <c r="Z30" s="460">
        <f t="shared" ref="Z30:Z32" si="88">SUM(W30:Y30)</f>
        <v>0</v>
      </c>
      <c r="AA30" s="460">
        <f t="shared" ref="AA30:AA32" si="89">V30+Z30</f>
        <v>0</v>
      </c>
      <c r="AB30" s="69">
        <f t="shared" ref="AB30:AB32" si="90">ROUND((V30+W30+X30)*33.8%,0)</f>
        <v>0</v>
      </c>
      <c r="AC30" s="69">
        <f t="shared" ref="AC30:AC32" si="91">ROUND(V30*1%,0)</f>
        <v>0</v>
      </c>
      <c r="AD30" s="460">
        <v>0</v>
      </c>
      <c r="AE30" s="460">
        <v>0</v>
      </c>
      <c r="AF30" s="460">
        <f t="shared" ref="AF30:AF32" si="92">SUM(AD30:AE30)</f>
        <v>0</v>
      </c>
      <c r="AG30" s="460">
        <f t="shared" ref="AG30:AG32" si="93">AA30+AB30+AC30+AF30</f>
        <v>0</v>
      </c>
      <c r="AH30" s="461">
        <v>0</v>
      </c>
      <c r="AI30" s="461">
        <v>0</v>
      </c>
      <c r="AJ30" s="461">
        <v>0</v>
      </c>
      <c r="AK30" s="461">
        <v>0</v>
      </c>
      <c r="AL30" s="674">
        <v>0</v>
      </c>
      <c r="AM30" s="461">
        <v>0</v>
      </c>
      <c r="AN30" s="461">
        <v>0</v>
      </c>
      <c r="AO30" s="461">
        <v>0</v>
      </c>
      <c r="AP30" s="461">
        <f>AH30+AJ30+AK30+AM30+AN30</f>
        <v>0</v>
      </c>
      <c r="AQ30" s="461">
        <f>AI30+AL30+AO30</f>
        <v>0</v>
      </c>
      <c r="AR30" s="463">
        <f t="shared" ref="AR30:AR32" si="94">SUM(AP30:AQ30)</f>
        <v>0</v>
      </c>
      <c r="AS30" s="469">
        <f>I30+AG30</f>
        <v>7055561</v>
      </c>
      <c r="AT30" s="460">
        <f>J30+V30</f>
        <v>5201677</v>
      </c>
      <c r="AU30" s="460">
        <f t="shared" ref="AU30:AU32" si="95">Z30</f>
        <v>0</v>
      </c>
      <c r="AV30" s="460">
        <f t="shared" ref="AV30:AW32" si="96">K30+AB30</f>
        <v>1758167</v>
      </c>
      <c r="AW30" s="460">
        <f t="shared" si="96"/>
        <v>52017</v>
      </c>
      <c r="AX30" s="460">
        <f>M30+AF30</f>
        <v>43700</v>
      </c>
      <c r="AY30" s="461">
        <f>N30+AR30</f>
        <v>10.4</v>
      </c>
      <c r="AZ30" s="461">
        <f t="shared" ref="AZ30:BA32" si="97">O30+AP30</f>
        <v>8</v>
      </c>
      <c r="BA30" s="463">
        <f t="shared" si="97"/>
        <v>2.4</v>
      </c>
    </row>
    <row r="31" spans="1:53" s="229" customFormat="1" ht="12.75" customHeight="1" x14ac:dyDescent="0.2">
      <c r="A31" s="231">
        <v>7</v>
      </c>
      <c r="B31" s="232">
        <v>3471</v>
      </c>
      <c r="C31" s="232">
        <v>691003491</v>
      </c>
      <c r="D31" s="232">
        <v>72550376</v>
      </c>
      <c r="E31" s="233" t="s">
        <v>20</v>
      </c>
      <c r="F31" s="232">
        <v>3111</v>
      </c>
      <c r="G31" s="233" t="s">
        <v>308</v>
      </c>
      <c r="H31" s="264" t="s">
        <v>278</v>
      </c>
      <c r="I31" s="457">
        <f t="shared" si="83"/>
        <v>0</v>
      </c>
      <c r="J31" s="457">
        <v>0</v>
      </c>
      <c r="K31" s="457">
        <f t="shared" si="84"/>
        <v>0</v>
      </c>
      <c r="L31" s="457">
        <f t="shared" si="85"/>
        <v>0</v>
      </c>
      <c r="M31" s="457">
        <v>0</v>
      </c>
      <c r="N31" s="458">
        <f t="shared" si="86"/>
        <v>0</v>
      </c>
      <c r="O31" s="459">
        <v>0</v>
      </c>
      <c r="P31" s="468">
        <v>0</v>
      </c>
      <c r="Q31" s="470">
        <f t="shared" si="87"/>
        <v>0</v>
      </c>
      <c r="R31" s="460">
        <v>0</v>
      </c>
      <c r="S31" s="673">
        <v>0</v>
      </c>
      <c r="T31" s="460">
        <v>0</v>
      </c>
      <c r="U31" s="460">
        <v>0</v>
      </c>
      <c r="V31" s="460">
        <f>SUM(Q31:U31)</f>
        <v>0</v>
      </c>
      <c r="W31" s="460">
        <v>0</v>
      </c>
      <c r="X31" s="460">
        <v>0</v>
      </c>
      <c r="Y31" s="460">
        <v>0</v>
      </c>
      <c r="Z31" s="460">
        <f t="shared" si="88"/>
        <v>0</v>
      </c>
      <c r="AA31" s="460">
        <f t="shared" si="89"/>
        <v>0</v>
      </c>
      <c r="AB31" s="69">
        <f t="shared" si="90"/>
        <v>0</v>
      </c>
      <c r="AC31" s="69">
        <f t="shared" si="91"/>
        <v>0</v>
      </c>
      <c r="AD31" s="460">
        <v>0</v>
      </c>
      <c r="AE31" s="460">
        <v>0</v>
      </c>
      <c r="AF31" s="460">
        <f t="shared" si="92"/>
        <v>0</v>
      </c>
      <c r="AG31" s="460">
        <f t="shared" si="93"/>
        <v>0</v>
      </c>
      <c r="AH31" s="461">
        <v>0</v>
      </c>
      <c r="AI31" s="461">
        <v>0</v>
      </c>
      <c r="AJ31" s="461">
        <v>0</v>
      </c>
      <c r="AK31" s="461">
        <v>0</v>
      </c>
      <c r="AL31" s="674">
        <v>0</v>
      </c>
      <c r="AM31" s="461">
        <v>0</v>
      </c>
      <c r="AN31" s="461">
        <v>0</v>
      </c>
      <c r="AO31" s="461">
        <v>0</v>
      </c>
      <c r="AP31" s="461">
        <f>AH31+AJ31+AK31+AM31+AN31</f>
        <v>0</v>
      </c>
      <c r="AQ31" s="461">
        <f>AI31+AL31+AO31</f>
        <v>0</v>
      </c>
      <c r="AR31" s="463">
        <f t="shared" si="94"/>
        <v>0</v>
      </c>
      <c r="AS31" s="469">
        <f>I31+AG31</f>
        <v>0</v>
      </c>
      <c r="AT31" s="460">
        <f>J31+V31</f>
        <v>0</v>
      </c>
      <c r="AU31" s="460">
        <f t="shared" si="95"/>
        <v>0</v>
      </c>
      <c r="AV31" s="460">
        <f t="shared" si="96"/>
        <v>0</v>
      </c>
      <c r="AW31" s="460">
        <f t="shared" si="96"/>
        <v>0</v>
      </c>
      <c r="AX31" s="460">
        <f>M31+AF31</f>
        <v>0</v>
      </c>
      <c r="AY31" s="461">
        <f>N31+AR31</f>
        <v>0</v>
      </c>
      <c r="AZ31" s="461">
        <f t="shared" si="97"/>
        <v>0</v>
      </c>
      <c r="BA31" s="463">
        <f t="shared" si="97"/>
        <v>0</v>
      </c>
    </row>
    <row r="32" spans="1:53" s="229" customFormat="1" ht="12.75" customHeight="1" x14ac:dyDescent="0.2">
      <c r="A32" s="231">
        <v>7</v>
      </c>
      <c r="B32" s="232">
        <v>3471</v>
      </c>
      <c r="C32" s="232">
        <v>691003491</v>
      </c>
      <c r="D32" s="232">
        <v>72550376</v>
      </c>
      <c r="E32" s="233" t="s">
        <v>20</v>
      </c>
      <c r="F32" s="232">
        <v>3141</v>
      </c>
      <c r="G32" s="233" t="s">
        <v>311</v>
      </c>
      <c r="H32" s="264" t="s">
        <v>278</v>
      </c>
      <c r="I32" s="457">
        <f t="shared" si="83"/>
        <v>1028999</v>
      </c>
      <c r="J32" s="457">
        <v>759572</v>
      </c>
      <c r="K32" s="457">
        <f t="shared" si="84"/>
        <v>256735</v>
      </c>
      <c r="L32" s="457">
        <f t="shared" si="85"/>
        <v>7596</v>
      </c>
      <c r="M32" s="457">
        <v>5096</v>
      </c>
      <c r="N32" s="458">
        <f t="shared" si="86"/>
        <v>2.44</v>
      </c>
      <c r="O32" s="459">
        <v>0</v>
      </c>
      <c r="P32" s="468">
        <v>2.44</v>
      </c>
      <c r="Q32" s="470">
        <f t="shared" si="87"/>
        <v>0</v>
      </c>
      <c r="R32" s="460">
        <v>0</v>
      </c>
      <c r="S32" s="673">
        <v>0</v>
      </c>
      <c r="T32" s="460">
        <v>0</v>
      </c>
      <c r="U32" s="460">
        <v>0</v>
      </c>
      <c r="V32" s="460">
        <f>SUM(Q32:U32)</f>
        <v>0</v>
      </c>
      <c r="W32" s="460">
        <v>0</v>
      </c>
      <c r="X32" s="460">
        <v>0</v>
      </c>
      <c r="Y32" s="460">
        <v>0</v>
      </c>
      <c r="Z32" s="460">
        <f t="shared" si="88"/>
        <v>0</v>
      </c>
      <c r="AA32" s="460">
        <f t="shared" si="89"/>
        <v>0</v>
      </c>
      <c r="AB32" s="69">
        <f t="shared" si="90"/>
        <v>0</v>
      </c>
      <c r="AC32" s="69">
        <f t="shared" si="91"/>
        <v>0</v>
      </c>
      <c r="AD32" s="460">
        <v>0</v>
      </c>
      <c r="AE32" s="460">
        <v>0</v>
      </c>
      <c r="AF32" s="460">
        <f t="shared" si="92"/>
        <v>0</v>
      </c>
      <c r="AG32" s="460">
        <f t="shared" si="93"/>
        <v>0</v>
      </c>
      <c r="AH32" s="461">
        <v>0</v>
      </c>
      <c r="AI32" s="461">
        <v>0</v>
      </c>
      <c r="AJ32" s="461">
        <v>0</v>
      </c>
      <c r="AK32" s="461">
        <v>0</v>
      </c>
      <c r="AL32" s="674">
        <v>0</v>
      </c>
      <c r="AM32" s="461">
        <v>0</v>
      </c>
      <c r="AN32" s="461">
        <v>0</v>
      </c>
      <c r="AO32" s="461">
        <v>0</v>
      </c>
      <c r="AP32" s="461">
        <f>AH32+AJ32+AK32+AM32+AN32</f>
        <v>0</v>
      </c>
      <c r="AQ32" s="461">
        <f>AI32+AL32+AO32</f>
        <v>0</v>
      </c>
      <c r="AR32" s="463">
        <f t="shared" si="94"/>
        <v>0</v>
      </c>
      <c r="AS32" s="469">
        <f>I32+AG32</f>
        <v>1028999</v>
      </c>
      <c r="AT32" s="460">
        <f>J32+V32</f>
        <v>759572</v>
      </c>
      <c r="AU32" s="460">
        <f t="shared" si="95"/>
        <v>0</v>
      </c>
      <c r="AV32" s="460">
        <f t="shared" si="96"/>
        <v>256735</v>
      </c>
      <c r="AW32" s="460">
        <f t="shared" si="96"/>
        <v>7596</v>
      </c>
      <c r="AX32" s="460">
        <f>M32+AF32</f>
        <v>5096</v>
      </c>
      <c r="AY32" s="461">
        <f>N32+AR32</f>
        <v>2.44</v>
      </c>
      <c r="AZ32" s="461">
        <f t="shared" si="97"/>
        <v>0</v>
      </c>
      <c r="BA32" s="463">
        <f t="shared" si="97"/>
        <v>2.44</v>
      </c>
    </row>
    <row r="33" spans="1:53" s="229" customFormat="1" ht="12.75" customHeight="1" x14ac:dyDescent="0.2">
      <c r="A33" s="156">
        <v>7</v>
      </c>
      <c r="B33" s="14">
        <v>3471</v>
      </c>
      <c r="C33" s="155">
        <v>691003491</v>
      </c>
      <c r="D33" s="155">
        <v>72550376</v>
      </c>
      <c r="E33" s="230" t="s">
        <v>21</v>
      </c>
      <c r="F33" s="14"/>
      <c r="G33" s="230"/>
      <c r="H33" s="263"/>
      <c r="I33" s="464">
        <f t="shared" ref="I33:P33" si="98">SUM(I30:I32)</f>
        <v>8084560</v>
      </c>
      <c r="J33" s="464">
        <f t="shared" si="98"/>
        <v>5961249</v>
      </c>
      <c r="K33" s="464">
        <f t="shared" si="98"/>
        <v>2014902</v>
      </c>
      <c r="L33" s="464">
        <f t="shared" si="98"/>
        <v>59613</v>
      </c>
      <c r="M33" s="464">
        <f t="shared" si="98"/>
        <v>48796</v>
      </c>
      <c r="N33" s="427">
        <f t="shared" si="98"/>
        <v>12.84</v>
      </c>
      <c r="O33" s="427">
        <f t="shared" si="98"/>
        <v>8</v>
      </c>
      <c r="P33" s="427">
        <f t="shared" si="98"/>
        <v>4.84</v>
      </c>
      <c r="Q33" s="622">
        <f t="shared" ref="Q33:BA33" si="99">SUM(Q30:Q32)</f>
        <v>0</v>
      </c>
      <c r="R33" s="620">
        <f t="shared" si="99"/>
        <v>0</v>
      </c>
      <c r="S33" s="620">
        <f t="shared" si="99"/>
        <v>0</v>
      </c>
      <c r="T33" s="620">
        <f t="shared" si="99"/>
        <v>0</v>
      </c>
      <c r="U33" s="620">
        <f t="shared" si="99"/>
        <v>0</v>
      </c>
      <c r="V33" s="620">
        <f t="shared" si="99"/>
        <v>0</v>
      </c>
      <c r="W33" s="620">
        <f t="shared" si="99"/>
        <v>0</v>
      </c>
      <c r="X33" s="620">
        <f t="shared" si="99"/>
        <v>0</v>
      </c>
      <c r="Y33" s="620">
        <f t="shared" si="99"/>
        <v>0</v>
      </c>
      <c r="Z33" s="620">
        <f t="shared" si="99"/>
        <v>0</v>
      </c>
      <c r="AA33" s="620">
        <f t="shared" si="99"/>
        <v>0</v>
      </c>
      <c r="AB33" s="620">
        <f t="shared" si="99"/>
        <v>0</v>
      </c>
      <c r="AC33" s="620">
        <f t="shared" si="99"/>
        <v>0</v>
      </c>
      <c r="AD33" s="620">
        <f t="shared" si="99"/>
        <v>0</v>
      </c>
      <c r="AE33" s="620">
        <f t="shared" si="99"/>
        <v>0</v>
      </c>
      <c r="AF33" s="620">
        <f t="shared" si="99"/>
        <v>0</v>
      </c>
      <c r="AG33" s="620">
        <f t="shared" si="99"/>
        <v>0</v>
      </c>
      <c r="AH33" s="621">
        <f t="shared" si="99"/>
        <v>0</v>
      </c>
      <c r="AI33" s="621">
        <f t="shared" si="99"/>
        <v>0</v>
      </c>
      <c r="AJ33" s="621">
        <f t="shared" si="99"/>
        <v>0</v>
      </c>
      <c r="AK33" s="621">
        <f t="shared" si="99"/>
        <v>0</v>
      </c>
      <c r="AL33" s="621">
        <f t="shared" si="99"/>
        <v>0</v>
      </c>
      <c r="AM33" s="621">
        <f t="shared" si="99"/>
        <v>0</v>
      </c>
      <c r="AN33" s="621">
        <f t="shared" si="99"/>
        <v>0</v>
      </c>
      <c r="AO33" s="621">
        <f t="shared" si="99"/>
        <v>0</v>
      </c>
      <c r="AP33" s="621">
        <f t="shared" si="99"/>
        <v>0</v>
      </c>
      <c r="AQ33" s="621">
        <f t="shared" si="99"/>
        <v>0</v>
      </c>
      <c r="AR33" s="623">
        <f t="shared" si="99"/>
        <v>0</v>
      </c>
      <c r="AS33" s="618">
        <f t="shared" si="99"/>
        <v>8084560</v>
      </c>
      <c r="AT33" s="464">
        <f t="shared" si="99"/>
        <v>5961249</v>
      </c>
      <c r="AU33" s="464">
        <f t="shared" si="99"/>
        <v>0</v>
      </c>
      <c r="AV33" s="464">
        <f t="shared" si="99"/>
        <v>2014902</v>
      </c>
      <c r="AW33" s="464">
        <f t="shared" si="99"/>
        <v>59613</v>
      </c>
      <c r="AX33" s="464">
        <f t="shared" si="99"/>
        <v>48796</v>
      </c>
      <c r="AY33" s="427">
        <f t="shared" si="99"/>
        <v>12.84</v>
      </c>
      <c r="AZ33" s="427">
        <f t="shared" si="99"/>
        <v>8</v>
      </c>
      <c r="BA33" s="496">
        <f t="shared" si="99"/>
        <v>4.84</v>
      </c>
    </row>
    <row r="34" spans="1:53" s="229" customFormat="1" ht="12.75" customHeight="1" x14ac:dyDescent="0.2">
      <c r="A34" s="231">
        <v>8</v>
      </c>
      <c r="B34" s="232">
        <v>3472</v>
      </c>
      <c r="C34" s="232">
        <v>691003564</v>
      </c>
      <c r="D34" s="232">
        <v>72550368</v>
      </c>
      <c r="E34" s="233" t="s">
        <v>22</v>
      </c>
      <c r="F34" s="232">
        <v>3111</v>
      </c>
      <c r="G34" s="233" t="s">
        <v>307</v>
      </c>
      <c r="H34" s="264" t="s">
        <v>277</v>
      </c>
      <c r="I34" s="457">
        <f t="shared" ref="I34:I35" si="100">SUM(J34:M34)</f>
        <v>4795093</v>
      </c>
      <c r="J34" s="457">
        <v>3537532</v>
      </c>
      <c r="K34" s="457">
        <f t="shared" ref="K34:K35" si="101">ROUND(J34*33.8%,0)</f>
        <v>1195686</v>
      </c>
      <c r="L34" s="457">
        <f t="shared" ref="L34:L35" si="102">ROUND(J34*1%,0)</f>
        <v>35375</v>
      </c>
      <c r="M34" s="457">
        <v>26500</v>
      </c>
      <c r="N34" s="458">
        <f t="shared" ref="N34:N35" si="103">O34+P34</f>
        <v>7.68</v>
      </c>
      <c r="O34" s="459">
        <v>6</v>
      </c>
      <c r="P34" s="468">
        <v>1.68</v>
      </c>
      <c r="Q34" s="470">
        <f t="shared" ref="Q34:Q35" si="104">W34*-1</f>
        <v>0</v>
      </c>
      <c r="R34" s="460">
        <v>0</v>
      </c>
      <c r="S34" s="673">
        <v>0</v>
      </c>
      <c r="T34" s="460">
        <v>0</v>
      </c>
      <c r="U34" s="460">
        <v>0</v>
      </c>
      <c r="V34" s="460">
        <f>SUM(Q34:U34)</f>
        <v>0</v>
      </c>
      <c r="W34" s="460">
        <v>0</v>
      </c>
      <c r="X34" s="460">
        <v>0</v>
      </c>
      <c r="Y34" s="460">
        <v>0</v>
      </c>
      <c r="Z34" s="460">
        <f t="shared" ref="Z34:Z35" si="105">SUM(W34:Y34)</f>
        <v>0</v>
      </c>
      <c r="AA34" s="460">
        <f t="shared" ref="AA34:AA35" si="106">V34+Z34</f>
        <v>0</v>
      </c>
      <c r="AB34" s="69">
        <f t="shared" ref="AB34:AB35" si="107">ROUND((V34+W34+X34)*33.8%,0)</f>
        <v>0</v>
      </c>
      <c r="AC34" s="69">
        <f t="shared" ref="AC34:AC35" si="108">ROUND(V34*1%,0)</f>
        <v>0</v>
      </c>
      <c r="AD34" s="460">
        <v>0</v>
      </c>
      <c r="AE34" s="460">
        <v>0</v>
      </c>
      <c r="AF34" s="460">
        <f t="shared" ref="AF34:AF35" si="109">SUM(AD34:AE34)</f>
        <v>0</v>
      </c>
      <c r="AG34" s="460">
        <f t="shared" ref="AG34:AG35" si="110">AA34+AB34+AC34+AF34</f>
        <v>0</v>
      </c>
      <c r="AH34" s="461">
        <v>0</v>
      </c>
      <c r="AI34" s="461">
        <v>0</v>
      </c>
      <c r="AJ34" s="461">
        <v>0</v>
      </c>
      <c r="AK34" s="461">
        <v>0</v>
      </c>
      <c r="AL34" s="674">
        <v>0</v>
      </c>
      <c r="AM34" s="461">
        <v>0</v>
      </c>
      <c r="AN34" s="461">
        <v>0</v>
      </c>
      <c r="AO34" s="461">
        <v>0</v>
      </c>
      <c r="AP34" s="461">
        <f>AH34+AJ34+AK34+AM34+AN34</f>
        <v>0</v>
      </c>
      <c r="AQ34" s="461">
        <f>AI34+AL34+AO34</f>
        <v>0</v>
      </c>
      <c r="AR34" s="463">
        <f t="shared" ref="AR34:AR35" si="111">SUM(AP34:AQ34)</f>
        <v>0</v>
      </c>
      <c r="AS34" s="469">
        <f>I34+AG34</f>
        <v>4795093</v>
      </c>
      <c r="AT34" s="460">
        <f>J34+V34</f>
        <v>3537532</v>
      </c>
      <c r="AU34" s="460">
        <f t="shared" ref="AU34:AU35" si="112">Z34</f>
        <v>0</v>
      </c>
      <c r="AV34" s="460">
        <f>K34+AB34</f>
        <v>1195686</v>
      </c>
      <c r="AW34" s="460">
        <f>L34+AC34</f>
        <v>35375</v>
      </c>
      <c r="AX34" s="460">
        <f>M34+AF34</f>
        <v>26500</v>
      </c>
      <c r="AY34" s="461">
        <f>N34+AR34</f>
        <v>7.68</v>
      </c>
      <c r="AZ34" s="461">
        <f>O34+AP34</f>
        <v>6</v>
      </c>
      <c r="BA34" s="463">
        <f>P34+AQ34</f>
        <v>1.68</v>
      </c>
    </row>
    <row r="35" spans="1:53" s="229" customFormat="1" ht="12.75" customHeight="1" x14ac:dyDescent="0.2">
      <c r="A35" s="231">
        <v>8</v>
      </c>
      <c r="B35" s="232">
        <v>3472</v>
      </c>
      <c r="C35" s="232">
        <v>691003564</v>
      </c>
      <c r="D35" s="232">
        <v>72550368</v>
      </c>
      <c r="E35" s="233" t="s">
        <v>22</v>
      </c>
      <c r="F35" s="232">
        <v>3141</v>
      </c>
      <c r="G35" s="233" t="s">
        <v>311</v>
      </c>
      <c r="H35" s="264" t="s">
        <v>278</v>
      </c>
      <c r="I35" s="457">
        <f t="shared" si="100"/>
        <v>684311</v>
      </c>
      <c r="J35" s="457">
        <v>505566</v>
      </c>
      <c r="K35" s="457">
        <f t="shared" si="101"/>
        <v>170881</v>
      </c>
      <c r="L35" s="457">
        <f t="shared" si="102"/>
        <v>5056</v>
      </c>
      <c r="M35" s="457">
        <v>2808</v>
      </c>
      <c r="N35" s="458">
        <f t="shared" si="103"/>
        <v>1.62</v>
      </c>
      <c r="O35" s="459">
        <v>0</v>
      </c>
      <c r="P35" s="468">
        <v>1.62</v>
      </c>
      <c r="Q35" s="470">
        <f t="shared" si="104"/>
        <v>0</v>
      </c>
      <c r="R35" s="460">
        <v>0</v>
      </c>
      <c r="S35" s="673">
        <v>0</v>
      </c>
      <c r="T35" s="460">
        <v>0</v>
      </c>
      <c r="U35" s="460">
        <v>0</v>
      </c>
      <c r="V35" s="460">
        <f>SUM(Q35:U35)</f>
        <v>0</v>
      </c>
      <c r="W35" s="460">
        <v>0</v>
      </c>
      <c r="X35" s="460">
        <v>0</v>
      </c>
      <c r="Y35" s="460">
        <v>0</v>
      </c>
      <c r="Z35" s="460">
        <f t="shared" si="105"/>
        <v>0</v>
      </c>
      <c r="AA35" s="460">
        <f t="shared" si="106"/>
        <v>0</v>
      </c>
      <c r="AB35" s="69">
        <f t="shared" si="107"/>
        <v>0</v>
      </c>
      <c r="AC35" s="69">
        <f t="shared" si="108"/>
        <v>0</v>
      </c>
      <c r="AD35" s="460">
        <v>0</v>
      </c>
      <c r="AE35" s="460">
        <v>0</v>
      </c>
      <c r="AF35" s="460">
        <f t="shared" si="109"/>
        <v>0</v>
      </c>
      <c r="AG35" s="460">
        <f t="shared" si="110"/>
        <v>0</v>
      </c>
      <c r="AH35" s="461">
        <v>0</v>
      </c>
      <c r="AI35" s="461">
        <v>0</v>
      </c>
      <c r="AJ35" s="461">
        <v>0</v>
      </c>
      <c r="AK35" s="461">
        <v>0</v>
      </c>
      <c r="AL35" s="674">
        <v>0</v>
      </c>
      <c r="AM35" s="461">
        <v>0</v>
      </c>
      <c r="AN35" s="461">
        <v>0</v>
      </c>
      <c r="AO35" s="461">
        <v>0</v>
      </c>
      <c r="AP35" s="461">
        <f>AH35+AJ35+AK35+AM35+AN35</f>
        <v>0</v>
      </c>
      <c r="AQ35" s="461">
        <f>AI35+AL35+AO35</f>
        <v>0</v>
      </c>
      <c r="AR35" s="463">
        <f t="shared" si="111"/>
        <v>0</v>
      </c>
      <c r="AS35" s="469">
        <f>I35+AG35</f>
        <v>684311</v>
      </c>
      <c r="AT35" s="460">
        <f>J35+V35</f>
        <v>505566</v>
      </c>
      <c r="AU35" s="460">
        <f t="shared" si="112"/>
        <v>0</v>
      </c>
      <c r="AV35" s="460">
        <f>K35+AB35</f>
        <v>170881</v>
      </c>
      <c r="AW35" s="460">
        <f>L35+AC35</f>
        <v>5056</v>
      </c>
      <c r="AX35" s="460">
        <f>M35+AF35</f>
        <v>2808</v>
      </c>
      <c r="AY35" s="461">
        <f>N35+AR35</f>
        <v>1.62</v>
      </c>
      <c r="AZ35" s="461">
        <f>O35+AP35</f>
        <v>0</v>
      </c>
      <c r="BA35" s="463">
        <f>P35+AQ35</f>
        <v>1.62</v>
      </c>
    </row>
    <row r="36" spans="1:53" s="229" customFormat="1" ht="12.75" customHeight="1" x14ac:dyDescent="0.2">
      <c r="A36" s="156">
        <v>8</v>
      </c>
      <c r="B36" s="14">
        <v>3472</v>
      </c>
      <c r="C36" s="155">
        <v>691003564</v>
      </c>
      <c r="D36" s="155">
        <v>72550368</v>
      </c>
      <c r="E36" s="230" t="s">
        <v>23</v>
      </c>
      <c r="F36" s="14"/>
      <c r="G36" s="230"/>
      <c r="H36" s="263"/>
      <c r="I36" s="464">
        <f t="shared" ref="I36:P36" si="113">SUM(I34:I35)</f>
        <v>5479404</v>
      </c>
      <c r="J36" s="464">
        <f t="shared" si="113"/>
        <v>4043098</v>
      </c>
      <c r="K36" s="464">
        <f t="shared" si="113"/>
        <v>1366567</v>
      </c>
      <c r="L36" s="464">
        <f t="shared" si="113"/>
        <v>40431</v>
      </c>
      <c r="M36" s="464">
        <f t="shared" si="113"/>
        <v>29308</v>
      </c>
      <c r="N36" s="427">
        <f t="shared" si="113"/>
        <v>9.3000000000000007</v>
      </c>
      <c r="O36" s="427">
        <f t="shared" si="113"/>
        <v>6</v>
      </c>
      <c r="P36" s="427">
        <f t="shared" si="113"/>
        <v>3.3</v>
      </c>
      <c r="Q36" s="622">
        <f t="shared" ref="Q36:BA36" si="114">SUM(Q34:Q35)</f>
        <v>0</v>
      </c>
      <c r="R36" s="620">
        <f t="shared" si="114"/>
        <v>0</v>
      </c>
      <c r="S36" s="620">
        <f t="shared" si="114"/>
        <v>0</v>
      </c>
      <c r="T36" s="620">
        <f t="shared" si="114"/>
        <v>0</v>
      </c>
      <c r="U36" s="620">
        <f t="shared" si="114"/>
        <v>0</v>
      </c>
      <c r="V36" s="620">
        <f t="shared" si="114"/>
        <v>0</v>
      </c>
      <c r="W36" s="620">
        <f t="shared" si="114"/>
        <v>0</v>
      </c>
      <c r="X36" s="620">
        <f t="shared" si="114"/>
        <v>0</v>
      </c>
      <c r="Y36" s="620">
        <f t="shared" si="114"/>
        <v>0</v>
      </c>
      <c r="Z36" s="620">
        <f t="shared" si="114"/>
        <v>0</v>
      </c>
      <c r="AA36" s="620">
        <f t="shared" si="114"/>
        <v>0</v>
      </c>
      <c r="AB36" s="620">
        <f t="shared" si="114"/>
        <v>0</v>
      </c>
      <c r="AC36" s="620">
        <f t="shared" si="114"/>
        <v>0</v>
      </c>
      <c r="AD36" s="620">
        <f t="shared" si="114"/>
        <v>0</v>
      </c>
      <c r="AE36" s="620">
        <f t="shared" si="114"/>
        <v>0</v>
      </c>
      <c r="AF36" s="620">
        <f t="shared" si="114"/>
        <v>0</v>
      </c>
      <c r="AG36" s="620">
        <f t="shared" si="114"/>
        <v>0</v>
      </c>
      <c r="AH36" s="621">
        <f t="shared" si="114"/>
        <v>0</v>
      </c>
      <c r="AI36" s="621">
        <f t="shared" si="114"/>
        <v>0</v>
      </c>
      <c r="AJ36" s="621">
        <f t="shared" si="114"/>
        <v>0</v>
      </c>
      <c r="AK36" s="621">
        <f t="shared" si="114"/>
        <v>0</v>
      </c>
      <c r="AL36" s="621">
        <f t="shared" si="114"/>
        <v>0</v>
      </c>
      <c r="AM36" s="621">
        <f t="shared" si="114"/>
        <v>0</v>
      </c>
      <c r="AN36" s="621">
        <f t="shared" si="114"/>
        <v>0</v>
      </c>
      <c r="AO36" s="621">
        <f t="shared" si="114"/>
        <v>0</v>
      </c>
      <c r="AP36" s="621">
        <f t="shared" si="114"/>
        <v>0</v>
      </c>
      <c r="AQ36" s="621">
        <f t="shared" si="114"/>
        <v>0</v>
      </c>
      <c r="AR36" s="623">
        <f t="shared" si="114"/>
        <v>0</v>
      </c>
      <c r="AS36" s="618">
        <f t="shared" si="114"/>
        <v>5479404</v>
      </c>
      <c r="AT36" s="464">
        <f t="shared" si="114"/>
        <v>4043098</v>
      </c>
      <c r="AU36" s="464">
        <f t="shared" si="114"/>
        <v>0</v>
      </c>
      <c r="AV36" s="464">
        <f t="shared" si="114"/>
        <v>1366567</v>
      </c>
      <c r="AW36" s="464">
        <f t="shared" si="114"/>
        <v>40431</v>
      </c>
      <c r="AX36" s="464">
        <f t="shared" si="114"/>
        <v>29308</v>
      </c>
      <c r="AY36" s="427">
        <f t="shared" si="114"/>
        <v>9.3000000000000007</v>
      </c>
      <c r="AZ36" s="427">
        <f t="shared" si="114"/>
        <v>6</v>
      </c>
      <c r="BA36" s="496">
        <f t="shared" si="114"/>
        <v>3.3</v>
      </c>
    </row>
    <row r="37" spans="1:53" s="229" customFormat="1" ht="12.75" customHeight="1" x14ac:dyDescent="0.2">
      <c r="A37" s="231">
        <v>9</v>
      </c>
      <c r="B37" s="232">
        <v>3467</v>
      </c>
      <c r="C37" s="232">
        <v>691001243</v>
      </c>
      <c r="D37" s="232">
        <v>72048174</v>
      </c>
      <c r="E37" s="233" t="s">
        <v>24</v>
      </c>
      <c r="F37" s="232">
        <v>3111</v>
      </c>
      <c r="G37" s="233" t="s">
        <v>307</v>
      </c>
      <c r="H37" s="264" t="s">
        <v>277</v>
      </c>
      <c r="I37" s="457">
        <f t="shared" ref="I37:I39" si="115">SUM(J37:M37)</f>
        <v>8961000</v>
      </c>
      <c r="J37" s="457">
        <v>6612537</v>
      </c>
      <c r="K37" s="457">
        <f t="shared" ref="K37:K39" si="116">ROUND(J37*33.8%,0)</f>
        <v>2235038</v>
      </c>
      <c r="L37" s="457">
        <f t="shared" ref="L37:L39" si="117">ROUND(J37*1%,0)</f>
        <v>66125</v>
      </c>
      <c r="M37" s="457">
        <v>47300</v>
      </c>
      <c r="N37" s="458">
        <f t="shared" ref="N37:N38" si="118">O37+P37</f>
        <v>13.950000000000001</v>
      </c>
      <c r="O37" s="459">
        <v>10.56</v>
      </c>
      <c r="P37" s="468">
        <v>3.39</v>
      </c>
      <c r="Q37" s="470">
        <f t="shared" ref="Q37:Q39" si="119">W37*-1</f>
        <v>0</v>
      </c>
      <c r="R37" s="460">
        <v>0</v>
      </c>
      <c r="S37" s="673">
        <v>0</v>
      </c>
      <c r="T37" s="460">
        <v>0</v>
      </c>
      <c r="U37" s="460">
        <v>0</v>
      </c>
      <c r="V37" s="460">
        <f>SUM(Q37:U37)</f>
        <v>0</v>
      </c>
      <c r="W37" s="460">
        <v>0</v>
      </c>
      <c r="X37" s="460">
        <v>0</v>
      </c>
      <c r="Y37" s="460">
        <v>0</v>
      </c>
      <c r="Z37" s="460">
        <f t="shared" ref="Z37:Z39" si="120">SUM(W37:Y37)</f>
        <v>0</v>
      </c>
      <c r="AA37" s="460">
        <f t="shared" ref="AA37:AA39" si="121">V37+Z37</f>
        <v>0</v>
      </c>
      <c r="AB37" s="69">
        <f t="shared" ref="AB37:AB39" si="122">ROUND((V37+W37+X37)*33.8%,0)</f>
        <v>0</v>
      </c>
      <c r="AC37" s="69">
        <f t="shared" ref="AC37:AC39" si="123">ROUND(V37*1%,0)</f>
        <v>0</v>
      </c>
      <c r="AD37" s="460">
        <v>0</v>
      </c>
      <c r="AE37" s="460">
        <v>0</v>
      </c>
      <c r="AF37" s="460">
        <f t="shared" ref="AF37:AF39" si="124">SUM(AD37:AE37)</f>
        <v>0</v>
      </c>
      <c r="AG37" s="460">
        <f t="shared" ref="AG37:AG39" si="125">AA37+AB37+AC37+AF37</f>
        <v>0</v>
      </c>
      <c r="AH37" s="461">
        <v>0</v>
      </c>
      <c r="AI37" s="461">
        <v>0</v>
      </c>
      <c r="AJ37" s="461">
        <v>0</v>
      </c>
      <c r="AK37" s="461">
        <v>0</v>
      </c>
      <c r="AL37" s="674">
        <v>0</v>
      </c>
      <c r="AM37" s="461">
        <v>0</v>
      </c>
      <c r="AN37" s="461">
        <v>0</v>
      </c>
      <c r="AO37" s="461">
        <v>0</v>
      </c>
      <c r="AP37" s="461">
        <f>AH37+AJ37+AK37+AM37+AN37</f>
        <v>0</v>
      </c>
      <c r="AQ37" s="461">
        <f>AI37+AL37+AO37</f>
        <v>0</v>
      </c>
      <c r="AR37" s="463">
        <f t="shared" ref="AR37:AR39" si="126">SUM(AP37:AQ37)</f>
        <v>0</v>
      </c>
      <c r="AS37" s="469">
        <f>I37+AG37</f>
        <v>8961000</v>
      </c>
      <c r="AT37" s="460">
        <f>J37+V37</f>
        <v>6612537</v>
      </c>
      <c r="AU37" s="460">
        <f t="shared" ref="AU37:AU39" si="127">Z37</f>
        <v>0</v>
      </c>
      <c r="AV37" s="460">
        <f t="shared" ref="AV37:AW39" si="128">K37+AB37</f>
        <v>2235038</v>
      </c>
      <c r="AW37" s="460">
        <f t="shared" si="128"/>
        <v>66125</v>
      </c>
      <c r="AX37" s="460">
        <f>M37+AF37</f>
        <v>47300</v>
      </c>
      <c r="AY37" s="461">
        <f>N37+AR37</f>
        <v>13.950000000000001</v>
      </c>
      <c r="AZ37" s="461">
        <f t="shared" ref="AZ37:BA39" si="129">O37+AP37</f>
        <v>10.56</v>
      </c>
      <c r="BA37" s="463">
        <f t="shared" si="129"/>
        <v>3.39</v>
      </c>
    </row>
    <row r="38" spans="1:53" s="229" customFormat="1" x14ac:dyDescent="0.2">
      <c r="A38" s="231">
        <v>9</v>
      </c>
      <c r="B38" s="232">
        <v>3467</v>
      </c>
      <c r="C38" s="232">
        <v>691001243</v>
      </c>
      <c r="D38" s="232">
        <v>72048174</v>
      </c>
      <c r="E38" s="233" t="s">
        <v>24</v>
      </c>
      <c r="F38" s="232">
        <v>3111</v>
      </c>
      <c r="G38" s="233" t="s">
        <v>308</v>
      </c>
      <c r="H38" s="264" t="s">
        <v>278</v>
      </c>
      <c r="I38" s="457">
        <f t="shared" si="115"/>
        <v>0</v>
      </c>
      <c r="J38" s="457">
        <v>0</v>
      </c>
      <c r="K38" s="457">
        <f t="shared" si="116"/>
        <v>0</v>
      </c>
      <c r="L38" s="457">
        <f t="shared" si="117"/>
        <v>0</v>
      </c>
      <c r="M38" s="457">
        <v>0</v>
      </c>
      <c r="N38" s="458">
        <f t="shared" si="118"/>
        <v>0</v>
      </c>
      <c r="O38" s="459">
        <v>0</v>
      </c>
      <c r="P38" s="468">
        <v>0</v>
      </c>
      <c r="Q38" s="470">
        <f t="shared" si="119"/>
        <v>0</v>
      </c>
      <c r="R38" s="460">
        <v>394568</v>
      </c>
      <c r="S38" s="673">
        <v>0</v>
      </c>
      <c r="T38" s="460">
        <v>0</v>
      </c>
      <c r="U38" s="460">
        <v>0</v>
      </c>
      <c r="V38" s="460">
        <f>SUM(Q38:U38)</f>
        <v>394568</v>
      </c>
      <c r="W38" s="460">
        <v>0</v>
      </c>
      <c r="X38" s="460">
        <v>0</v>
      </c>
      <c r="Y38" s="460">
        <v>0</v>
      </c>
      <c r="Z38" s="460">
        <f t="shared" si="120"/>
        <v>0</v>
      </c>
      <c r="AA38" s="460">
        <f t="shared" si="121"/>
        <v>394568</v>
      </c>
      <c r="AB38" s="69">
        <f t="shared" si="122"/>
        <v>133364</v>
      </c>
      <c r="AC38" s="69">
        <f t="shared" si="123"/>
        <v>3946</v>
      </c>
      <c r="AD38" s="460">
        <v>0</v>
      </c>
      <c r="AE38" s="460">
        <v>0</v>
      </c>
      <c r="AF38" s="460">
        <f t="shared" si="124"/>
        <v>0</v>
      </c>
      <c r="AG38" s="460">
        <f t="shared" si="125"/>
        <v>531878</v>
      </c>
      <c r="AH38" s="461">
        <v>0</v>
      </c>
      <c r="AI38" s="461">
        <v>0</v>
      </c>
      <c r="AJ38" s="461">
        <v>1.1399999999999999</v>
      </c>
      <c r="AK38" s="461">
        <v>0</v>
      </c>
      <c r="AL38" s="674">
        <v>0</v>
      </c>
      <c r="AM38" s="461">
        <v>0</v>
      </c>
      <c r="AN38" s="461">
        <v>0</v>
      </c>
      <c r="AO38" s="461">
        <v>0</v>
      </c>
      <c r="AP38" s="461">
        <f>AH38+AJ38+AK38+AM38+AN38</f>
        <v>1.1399999999999999</v>
      </c>
      <c r="AQ38" s="461">
        <f>AI38+AL38+AO38</f>
        <v>0</v>
      </c>
      <c r="AR38" s="463">
        <f t="shared" si="126"/>
        <v>1.1399999999999999</v>
      </c>
      <c r="AS38" s="469">
        <f>I38+AG38</f>
        <v>531878</v>
      </c>
      <c r="AT38" s="460">
        <f>J38+V38</f>
        <v>394568</v>
      </c>
      <c r="AU38" s="460">
        <f t="shared" si="127"/>
        <v>0</v>
      </c>
      <c r="AV38" s="460">
        <f t="shared" si="128"/>
        <v>133364</v>
      </c>
      <c r="AW38" s="460">
        <f t="shared" si="128"/>
        <v>3946</v>
      </c>
      <c r="AX38" s="460">
        <f>M38+AF38</f>
        <v>0</v>
      </c>
      <c r="AY38" s="461">
        <f>N38+AR38</f>
        <v>1.1399999999999999</v>
      </c>
      <c r="AZ38" s="461">
        <f t="shared" si="129"/>
        <v>1.1399999999999999</v>
      </c>
      <c r="BA38" s="463">
        <f t="shared" si="129"/>
        <v>0</v>
      </c>
    </row>
    <row r="39" spans="1:53" s="229" customFormat="1" ht="12.75" customHeight="1" x14ac:dyDescent="0.2">
      <c r="A39" s="231">
        <v>9</v>
      </c>
      <c r="B39" s="232">
        <v>3467</v>
      </c>
      <c r="C39" s="232">
        <v>691001243</v>
      </c>
      <c r="D39" s="232">
        <v>72048174</v>
      </c>
      <c r="E39" s="233" t="s">
        <v>24</v>
      </c>
      <c r="F39" s="232">
        <v>3141</v>
      </c>
      <c r="G39" s="233" t="s">
        <v>311</v>
      </c>
      <c r="H39" s="264" t="s">
        <v>278</v>
      </c>
      <c r="I39" s="457">
        <f t="shared" si="115"/>
        <v>1272022</v>
      </c>
      <c r="J39" s="457">
        <v>939283</v>
      </c>
      <c r="K39" s="457">
        <f t="shared" si="116"/>
        <v>317478</v>
      </c>
      <c r="L39" s="457">
        <f t="shared" si="117"/>
        <v>9393</v>
      </c>
      <c r="M39" s="457">
        <v>5868</v>
      </c>
      <c r="N39" s="458">
        <v>3.02</v>
      </c>
      <c r="O39" s="459">
        <v>0</v>
      </c>
      <c r="P39" s="468">
        <v>2.72</v>
      </c>
      <c r="Q39" s="470">
        <f t="shared" si="119"/>
        <v>0</v>
      </c>
      <c r="R39" s="460">
        <v>0</v>
      </c>
      <c r="S39" s="673">
        <v>0</v>
      </c>
      <c r="T39" s="460">
        <v>0</v>
      </c>
      <c r="U39" s="460">
        <v>0</v>
      </c>
      <c r="V39" s="460">
        <f>SUM(Q39:U39)</f>
        <v>0</v>
      </c>
      <c r="W39" s="460">
        <v>0</v>
      </c>
      <c r="X39" s="460">
        <v>0</v>
      </c>
      <c r="Y39" s="460">
        <v>0</v>
      </c>
      <c r="Z39" s="460">
        <f t="shared" si="120"/>
        <v>0</v>
      </c>
      <c r="AA39" s="460">
        <f t="shared" si="121"/>
        <v>0</v>
      </c>
      <c r="AB39" s="69">
        <f t="shared" si="122"/>
        <v>0</v>
      </c>
      <c r="AC39" s="69">
        <f t="shared" si="123"/>
        <v>0</v>
      </c>
      <c r="AD39" s="460">
        <v>0</v>
      </c>
      <c r="AE39" s="460">
        <v>0</v>
      </c>
      <c r="AF39" s="460">
        <f t="shared" si="124"/>
        <v>0</v>
      </c>
      <c r="AG39" s="460">
        <f t="shared" si="125"/>
        <v>0</v>
      </c>
      <c r="AH39" s="461">
        <v>0</v>
      </c>
      <c r="AI39" s="461">
        <v>0</v>
      </c>
      <c r="AJ39" s="461">
        <v>0</v>
      </c>
      <c r="AK39" s="461">
        <v>0</v>
      </c>
      <c r="AL39" s="674">
        <v>0</v>
      </c>
      <c r="AM39" s="461">
        <v>0</v>
      </c>
      <c r="AN39" s="461">
        <v>0</v>
      </c>
      <c r="AO39" s="461">
        <v>0</v>
      </c>
      <c r="AP39" s="461">
        <f>AH39+AJ39+AK39+AM39+AN39</f>
        <v>0</v>
      </c>
      <c r="AQ39" s="461">
        <f>AI39+AL39+AO39</f>
        <v>0</v>
      </c>
      <c r="AR39" s="463">
        <f t="shared" si="126"/>
        <v>0</v>
      </c>
      <c r="AS39" s="469">
        <f>I39+AG39</f>
        <v>1272022</v>
      </c>
      <c r="AT39" s="460">
        <f>J39+V39</f>
        <v>939283</v>
      </c>
      <c r="AU39" s="460">
        <f t="shared" si="127"/>
        <v>0</v>
      </c>
      <c r="AV39" s="460">
        <f t="shared" si="128"/>
        <v>317478</v>
      </c>
      <c r="AW39" s="460">
        <f t="shared" si="128"/>
        <v>9393</v>
      </c>
      <c r="AX39" s="460">
        <f>M39+AF39</f>
        <v>5868</v>
      </c>
      <c r="AY39" s="461">
        <f>N39+AR39</f>
        <v>3.02</v>
      </c>
      <c r="AZ39" s="461">
        <f t="shared" si="129"/>
        <v>0</v>
      </c>
      <c r="BA39" s="463">
        <f t="shared" si="129"/>
        <v>2.72</v>
      </c>
    </row>
    <row r="40" spans="1:53" s="229" customFormat="1" ht="12.75" customHeight="1" x14ac:dyDescent="0.2">
      <c r="A40" s="156">
        <v>9</v>
      </c>
      <c r="B40" s="14">
        <v>3467</v>
      </c>
      <c r="C40" s="155">
        <v>691001243</v>
      </c>
      <c r="D40" s="155">
        <v>72048174</v>
      </c>
      <c r="E40" s="230" t="s">
        <v>25</v>
      </c>
      <c r="F40" s="14"/>
      <c r="G40" s="230"/>
      <c r="H40" s="263"/>
      <c r="I40" s="464">
        <f t="shared" ref="I40:P40" si="130">SUM(I37:I39)</f>
        <v>10233022</v>
      </c>
      <c r="J40" s="464">
        <f t="shared" si="130"/>
        <v>7551820</v>
      </c>
      <c r="K40" s="464">
        <f t="shared" si="130"/>
        <v>2552516</v>
      </c>
      <c r="L40" s="464">
        <f t="shared" si="130"/>
        <v>75518</v>
      </c>
      <c r="M40" s="464">
        <f t="shared" si="130"/>
        <v>53168</v>
      </c>
      <c r="N40" s="427">
        <f t="shared" si="130"/>
        <v>16.970000000000002</v>
      </c>
      <c r="O40" s="427">
        <f t="shared" si="130"/>
        <v>10.56</v>
      </c>
      <c r="P40" s="427">
        <f t="shared" si="130"/>
        <v>6.11</v>
      </c>
      <c r="Q40" s="622">
        <f t="shared" ref="Q40:BA40" si="131">SUM(Q37:Q39)</f>
        <v>0</v>
      </c>
      <c r="R40" s="620">
        <f t="shared" si="131"/>
        <v>394568</v>
      </c>
      <c r="S40" s="620">
        <f t="shared" si="131"/>
        <v>0</v>
      </c>
      <c r="T40" s="620">
        <f t="shared" si="131"/>
        <v>0</v>
      </c>
      <c r="U40" s="620">
        <f t="shared" si="131"/>
        <v>0</v>
      </c>
      <c r="V40" s="620">
        <f t="shared" si="131"/>
        <v>394568</v>
      </c>
      <c r="W40" s="620">
        <f t="shared" si="131"/>
        <v>0</v>
      </c>
      <c r="X40" s="620">
        <f t="shared" si="131"/>
        <v>0</v>
      </c>
      <c r="Y40" s="620">
        <f t="shared" si="131"/>
        <v>0</v>
      </c>
      <c r="Z40" s="620">
        <f t="shared" si="131"/>
        <v>0</v>
      </c>
      <c r="AA40" s="620">
        <f t="shared" si="131"/>
        <v>394568</v>
      </c>
      <c r="AB40" s="620">
        <f t="shared" si="131"/>
        <v>133364</v>
      </c>
      <c r="AC40" s="620">
        <f t="shared" si="131"/>
        <v>3946</v>
      </c>
      <c r="AD40" s="620">
        <f t="shared" si="131"/>
        <v>0</v>
      </c>
      <c r="AE40" s="620">
        <f t="shared" si="131"/>
        <v>0</v>
      </c>
      <c r="AF40" s="620">
        <f t="shared" si="131"/>
        <v>0</v>
      </c>
      <c r="AG40" s="620">
        <f t="shared" si="131"/>
        <v>531878</v>
      </c>
      <c r="AH40" s="621">
        <f t="shared" si="131"/>
        <v>0</v>
      </c>
      <c r="AI40" s="621">
        <f t="shared" si="131"/>
        <v>0</v>
      </c>
      <c r="AJ40" s="621">
        <f t="shared" si="131"/>
        <v>1.1399999999999999</v>
      </c>
      <c r="AK40" s="621">
        <f t="shared" si="131"/>
        <v>0</v>
      </c>
      <c r="AL40" s="621">
        <f t="shared" si="131"/>
        <v>0</v>
      </c>
      <c r="AM40" s="621">
        <f t="shared" si="131"/>
        <v>0</v>
      </c>
      <c r="AN40" s="621">
        <f t="shared" si="131"/>
        <v>0</v>
      </c>
      <c r="AO40" s="621">
        <f t="shared" si="131"/>
        <v>0</v>
      </c>
      <c r="AP40" s="621">
        <f t="shared" si="131"/>
        <v>1.1399999999999999</v>
      </c>
      <c r="AQ40" s="621">
        <f t="shared" si="131"/>
        <v>0</v>
      </c>
      <c r="AR40" s="623">
        <f t="shared" si="131"/>
        <v>1.1399999999999999</v>
      </c>
      <c r="AS40" s="618">
        <f t="shared" si="131"/>
        <v>10764900</v>
      </c>
      <c r="AT40" s="464">
        <f t="shared" si="131"/>
        <v>7946388</v>
      </c>
      <c r="AU40" s="464">
        <f t="shared" si="131"/>
        <v>0</v>
      </c>
      <c r="AV40" s="464">
        <f t="shared" si="131"/>
        <v>2685880</v>
      </c>
      <c r="AW40" s="464">
        <f t="shared" si="131"/>
        <v>79464</v>
      </c>
      <c r="AX40" s="464">
        <f t="shared" si="131"/>
        <v>53168</v>
      </c>
      <c r="AY40" s="427">
        <f t="shared" si="131"/>
        <v>18.110000000000003</v>
      </c>
      <c r="AZ40" s="427">
        <f t="shared" si="131"/>
        <v>11.700000000000001</v>
      </c>
      <c r="BA40" s="496">
        <f t="shared" si="131"/>
        <v>6.11</v>
      </c>
    </row>
    <row r="41" spans="1:53" s="229" customFormat="1" ht="12.75" customHeight="1" x14ac:dyDescent="0.2">
      <c r="A41" s="231">
        <v>10</v>
      </c>
      <c r="B41" s="232">
        <v>3461</v>
      </c>
      <c r="C41" s="232">
        <v>691001286</v>
      </c>
      <c r="D41" s="232">
        <v>72048107</v>
      </c>
      <c r="E41" s="233" t="s">
        <v>26</v>
      </c>
      <c r="F41" s="232">
        <v>3111</v>
      </c>
      <c r="G41" s="233" t="s">
        <v>307</v>
      </c>
      <c r="H41" s="264" t="s">
        <v>277</v>
      </c>
      <c r="I41" s="457">
        <f t="shared" ref="I41:I43" si="132">SUM(J41:M41)</f>
        <v>9075616</v>
      </c>
      <c r="J41" s="457">
        <v>6695709</v>
      </c>
      <c r="K41" s="457">
        <f t="shared" ref="K41:K43" si="133">ROUND(J41*33.8%,0)</f>
        <v>2263150</v>
      </c>
      <c r="L41" s="457">
        <f t="shared" ref="L41:L43" si="134">ROUND(J41*1%,0)</f>
        <v>66957</v>
      </c>
      <c r="M41" s="457">
        <v>49800</v>
      </c>
      <c r="N41" s="458">
        <f t="shared" ref="N41:N43" si="135">O41+P41</f>
        <v>13.889999999999999</v>
      </c>
      <c r="O41" s="459">
        <v>10.7</v>
      </c>
      <c r="P41" s="468">
        <v>3.19</v>
      </c>
      <c r="Q41" s="470">
        <f t="shared" ref="Q41:Q43" si="136">W41*-1</f>
        <v>0</v>
      </c>
      <c r="R41" s="460">
        <v>0</v>
      </c>
      <c r="S41" s="673">
        <v>0</v>
      </c>
      <c r="T41" s="460">
        <v>0</v>
      </c>
      <c r="U41" s="460">
        <v>0</v>
      </c>
      <c r="V41" s="460">
        <f>SUM(Q41:U41)</f>
        <v>0</v>
      </c>
      <c r="W41" s="460">
        <v>0</v>
      </c>
      <c r="X41" s="460">
        <v>0</v>
      </c>
      <c r="Y41" s="460">
        <v>0</v>
      </c>
      <c r="Z41" s="460">
        <f t="shared" ref="Z41:Z43" si="137">SUM(W41:Y41)</f>
        <v>0</v>
      </c>
      <c r="AA41" s="460">
        <f t="shared" ref="AA41:AA43" si="138">V41+Z41</f>
        <v>0</v>
      </c>
      <c r="AB41" s="69">
        <f t="shared" ref="AB41:AB43" si="139">ROUND((V41+W41+X41)*33.8%,0)</f>
        <v>0</v>
      </c>
      <c r="AC41" s="69">
        <f t="shared" ref="AC41:AC43" si="140">ROUND(V41*1%,0)</f>
        <v>0</v>
      </c>
      <c r="AD41" s="460">
        <v>0</v>
      </c>
      <c r="AE41" s="460">
        <v>0</v>
      </c>
      <c r="AF41" s="460">
        <f t="shared" ref="AF41:AF43" si="141">SUM(AD41:AE41)</f>
        <v>0</v>
      </c>
      <c r="AG41" s="460">
        <f t="shared" ref="AG41:AG43" si="142">AA41+AB41+AC41+AF41</f>
        <v>0</v>
      </c>
      <c r="AH41" s="461">
        <v>0</v>
      </c>
      <c r="AI41" s="461">
        <v>0</v>
      </c>
      <c r="AJ41" s="461">
        <v>0</v>
      </c>
      <c r="AK41" s="461">
        <v>0</v>
      </c>
      <c r="AL41" s="674">
        <v>0</v>
      </c>
      <c r="AM41" s="461">
        <v>0</v>
      </c>
      <c r="AN41" s="461">
        <v>0</v>
      </c>
      <c r="AO41" s="461">
        <v>0</v>
      </c>
      <c r="AP41" s="461">
        <f>AH41+AJ41+AK41+AM41+AN41</f>
        <v>0</v>
      </c>
      <c r="AQ41" s="461">
        <f>AI41+AL41+AO41</f>
        <v>0</v>
      </c>
      <c r="AR41" s="463">
        <f t="shared" ref="AR41:AR43" si="143">SUM(AP41:AQ41)</f>
        <v>0</v>
      </c>
      <c r="AS41" s="469">
        <f>I41+AG41</f>
        <v>9075616</v>
      </c>
      <c r="AT41" s="460">
        <f>J41+V41</f>
        <v>6695709</v>
      </c>
      <c r="AU41" s="460">
        <f t="shared" ref="AU41:AU43" si="144">Z41</f>
        <v>0</v>
      </c>
      <c r="AV41" s="460">
        <f t="shared" ref="AV41:AW43" si="145">K41+AB41</f>
        <v>2263150</v>
      </c>
      <c r="AW41" s="460">
        <f t="shared" si="145"/>
        <v>66957</v>
      </c>
      <c r="AX41" s="460">
        <f>M41+AF41</f>
        <v>49800</v>
      </c>
      <c r="AY41" s="461">
        <f>N41+AR41</f>
        <v>13.889999999999999</v>
      </c>
      <c r="AZ41" s="461">
        <f t="shared" ref="AZ41:BA43" si="146">O41+AP41</f>
        <v>10.7</v>
      </c>
      <c r="BA41" s="463">
        <f t="shared" si="146"/>
        <v>3.19</v>
      </c>
    </row>
    <row r="42" spans="1:53" s="229" customFormat="1" x14ac:dyDescent="0.2">
      <c r="A42" s="231">
        <v>10</v>
      </c>
      <c r="B42" s="232">
        <v>3461</v>
      </c>
      <c r="C42" s="232">
        <v>691001286</v>
      </c>
      <c r="D42" s="232">
        <v>72048107</v>
      </c>
      <c r="E42" s="233" t="s">
        <v>26</v>
      </c>
      <c r="F42" s="232">
        <v>3111</v>
      </c>
      <c r="G42" s="233" t="s">
        <v>308</v>
      </c>
      <c r="H42" s="264" t="s">
        <v>278</v>
      </c>
      <c r="I42" s="457">
        <f t="shared" si="132"/>
        <v>0</v>
      </c>
      <c r="J42" s="457">
        <v>0</v>
      </c>
      <c r="K42" s="457">
        <f t="shared" si="133"/>
        <v>0</v>
      </c>
      <c r="L42" s="457">
        <f t="shared" si="134"/>
        <v>0</v>
      </c>
      <c r="M42" s="457">
        <v>0</v>
      </c>
      <c r="N42" s="458">
        <f t="shared" si="135"/>
        <v>0</v>
      </c>
      <c r="O42" s="459">
        <v>0</v>
      </c>
      <c r="P42" s="468">
        <v>0</v>
      </c>
      <c r="Q42" s="470">
        <f t="shared" si="136"/>
        <v>0</v>
      </c>
      <c r="R42" s="460">
        <v>427266</v>
      </c>
      <c r="S42" s="673">
        <v>0</v>
      </c>
      <c r="T42" s="460">
        <v>0</v>
      </c>
      <c r="U42" s="460">
        <v>0</v>
      </c>
      <c r="V42" s="460">
        <f>SUM(Q42:U42)</f>
        <v>427266</v>
      </c>
      <c r="W42" s="460">
        <v>0</v>
      </c>
      <c r="X42" s="460">
        <v>0</v>
      </c>
      <c r="Y42" s="460">
        <v>0</v>
      </c>
      <c r="Z42" s="460">
        <f t="shared" si="137"/>
        <v>0</v>
      </c>
      <c r="AA42" s="460">
        <f t="shared" si="138"/>
        <v>427266</v>
      </c>
      <c r="AB42" s="69">
        <f t="shared" si="139"/>
        <v>144416</v>
      </c>
      <c r="AC42" s="69">
        <f t="shared" si="140"/>
        <v>4273</v>
      </c>
      <c r="AD42" s="460">
        <v>0</v>
      </c>
      <c r="AE42" s="460">
        <v>0</v>
      </c>
      <c r="AF42" s="460">
        <f t="shared" si="141"/>
        <v>0</v>
      </c>
      <c r="AG42" s="460">
        <f t="shared" si="142"/>
        <v>575955</v>
      </c>
      <c r="AH42" s="461">
        <v>0</v>
      </c>
      <c r="AI42" s="461">
        <v>0</v>
      </c>
      <c r="AJ42" s="461">
        <v>1.5</v>
      </c>
      <c r="AK42" s="461">
        <v>0</v>
      </c>
      <c r="AL42" s="674">
        <v>0</v>
      </c>
      <c r="AM42" s="461">
        <v>0</v>
      </c>
      <c r="AN42" s="461">
        <v>0</v>
      </c>
      <c r="AO42" s="461">
        <v>0</v>
      </c>
      <c r="AP42" s="461">
        <f>AH42+AJ42+AK42+AM42+AN42</f>
        <v>1.5</v>
      </c>
      <c r="AQ42" s="461">
        <f>AI42+AL42+AO42</f>
        <v>0</v>
      </c>
      <c r="AR42" s="463">
        <f t="shared" si="143"/>
        <v>1.5</v>
      </c>
      <c r="AS42" s="469">
        <f>I42+AG42</f>
        <v>575955</v>
      </c>
      <c r="AT42" s="460">
        <f>J42+V42</f>
        <v>427266</v>
      </c>
      <c r="AU42" s="460">
        <f t="shared" si="144"/>
        <v>0</v>
      </c>
      <c r="AV42" s="460">
        <f t="shared" si="145"/>
        <v>144416</v>
      </c>
      <c r="AW42" s="460">
        <f t="shared" si="145"/>
        <v>4273</v>
      </c>
      <c r="AX42" s="460">
        <f>M42+AF42</f>
        <v>0</v>
      </c>
      <c r="AY42" s="461">
        <f>N42+AR42</f>
        <v>1.5</v>
      </c>
      <c r="AZ42" s="461">
        <f t="shared" si="146"/>
        <v>1.5</v>
      </c>
      <c r="BA42" s="463">
        <f t="shared" si="146"/>
        <v>0</v>
      </c>
    </row>
    <row r="43" spans="1:53" s="229" customFormat="1" ht="12.75" customHeight="1" x14ac:dyDescent="0.2">
      <c r="A43" s="231">
        <v>10</v>
      </c>
      <c r="B43" s="232">
        <v>3461</v>
      </c>
      <c r="C43" s="232">
        <v>691001286</v>
      </c>
      <c r="D43" s="232">
        <v>72048107</v>
      </c>
      <c r="E43" s="233" t="s">
        <v>26</v>
      </c>
      <c r="F43" s="232">
        <v>3141</v>
      </c>
      <c r="G43" s="233" t="s">
        <v>311</v>
      </c>
      <c r="H43" s="264" t="s">
        <v>278</v>
      </c>
      <c r="I43" s="457">
        <f t="shared" si="132"/>
        <v>1299914</v>
      </c>
      <c r="J43" s="457">
        <v>960393</v>
      </c>
      <c r="K43" s="457">
        <f t="shared" si="133"/>
        <v>324613</v>
      </c>
      <c r="L43" s="457">
        <f t="shared" si="134"/>
        <v>9604</v>
      </c>
      <c r="M43" s="457">
        <v>5304</v>
      </c>
      <c r="N43" s="458">
        <f t="shared" si="135"/>
        <v>3.09</v>
      </c>
      <c r="O43" s="459">
        <v>0</v>
      </c>
      <c r="P43" s="468">
        <v>3.09</v>
      </c>
      <c r="Q43" s="470">
        <f t="shared" si="136"/>
        <v>0</v>
      </c>
      <c r="R43" s="460">
        <v>0</v>
      </c>
      <c r="S43" s="673">
        <v>0</v>
      </c>
      <c r="T43" s="460">
        <v>0</v>
      </c>
      <c r="U43" s="460">
        <v>0</v>
      </c>
      <c r="V43" s="460">
        <f>SUM(Q43:U43)</f>
        <v>0</v>
      </c>
      <c r="W43" s="460">
        <v>0</v>
      </c>
      <c r="X43" s="460">
        <v>0</v>
      </c>
      <c r="Y43" s="460">
        <v>0</v>
      </c>
      <c r="Z43" s="460">
        <f t="shared" si="137"/>
        <v>0</v>
      </c>
      <c r="AA43" s="460">
        <f t="shared" si="138"/>
        <v>0</v>
      </c>
      <c r="AB43" s="69">
        <f t="shared" si="139"/>
        <v>0</v>
      </c>
      <c r="AC43" s="69">
        <f t="shared" si="140"/>
        <v>0</v>
      </c>
      <c r="AD43" s="460">
        <v>0</v>
      </c>
      <c r="AE43" s="460">
        <v>0</v>
      </c>
      <c r="AF43" s="460">
        <f t="shared" si="141"/>
        <v>0</v>
      </c>
      <c r="AG43" s="460">
        <f t="shared" si="142"/>
        <v>0</v>
      </c>
      <c r="AH43" s="461">
        <v>0</v>
      </c>
      <c r="AI43" s="461">
        <v>0</v>
      </c>
      <c r="AJ43" s="461">
        <v>0</v>
      </c>
      <c r="AK43" s="461">
        <v>0</v>
      </c>
      <c r="AL43" s="674">
        <v>0</v>
      </c>
      <c r="AM43" s="461">
        <v>0</v>
      </c>
      <c r="AN43" s="461">
        <v>0</v>
      </c>
      <c r="AO43" s="461">
        <v>0</v>
      </c>
      <c r="AP43" s="461">
        <f>AH43+AJ43+AK43+AM43+AN43</f>
        <v>0</v>
      </c>
      <c r="AQ43" s="461">
        <f>AI43+AL43+AO43</f>
        <v>0</v>
      </c>
      <c r="AR43" s="463">
        <f t="shared" si="143"/>
        <v>0</v>
      </c>
      <c r="AS43" s="469">
        <f>I43+AG43</f>
        <v>1299914</v>
      </c>
      <c r="AT43" s="460">
        <f>J43+V43</f>
        <v>960393</v>
      </c>
      <c r="AU43" s="460">
        <f t="shared" si="144"/>
        <v>0</v>
      </c>
      <c r="AV43" s="460">
        <f t="shared" si="145"/>
        <v>324613</v>
      </c>
      <c r="AW43" s="460">
        <f t="shared" si="145"/>
        <v>9604</v>
      </c>
      <c r="AX43" s="460">
        <f>M43+AF43</f>
        <v>5304</v>
      </c>
      <c r="AY43" s="461">
        <f>N43+AR43</f>
        <v>3.09</v>
      </c>
      <c r="AZ43" s="461">
        <f t="shared" si="146"/>
        <v>0</v>
      </c>
      <c r="BA43" s="463">
        <f t="shared" si="146"/>
        <v>3.09</v>
      </c>
    </row>
    <row r="44" spans="1:53" s="229" customFormat="1" ht="12.75" customHeight="1" x14ac:dyDescent="0.2">
      <c r="A44" s="156">
        <v>10</v>
      </c>
      <c r="B44" s="14">
        <v>3461</v>
      </c>
      <c r="C44" s="155">
        <v>691001286</v>
      </c>
      <c r="D44" s="155">
        <v>72048107</v>
      </c>
      <c r="E44" s="230" t="s">
        <v>27</v>
      </c>
      <c r="F44" s="14"/>
      <c r="G44" s="230"/>
      <c r="H44" s="263"/>
      <c r="I44" s="464">
        <f t="shared" ref="I44:P44" si="147">SUM(I41:I43)</f>
        <v>10375530</v>
      </c>
      <c r="J44" s="464">
        <f t="shared" si="147"/>
        <v>7656102</v>
      </c>
      <c r="K44" s="464">
        <f t="shared" si="147"/>
        <v>2587763</v>
      </c>
      <c r="L44" s="464">
        <f t="shared" si="147"/>
        <v>76561</v>
      </c>
      <c r="M44" s="464">
        <f t="shared" si="147"/>
        <v>55104</v>
      </c>
      <c r="N44" s="427">
        <f t="shared" si="147"/>
        <v>16.979999999999997</v>
      </c>
      <c r="O44" s="427">
        <f t="shared" si="147"/>
        <v>10.7</v>
      </c>
      <c r="P44" s="427">
        <f t="shared" si="147"/>
        <v>6.2799999999999994</v>
      </c>
      <c r="Q44" s="622">
        <f t="shared" ref="Q44:BA44" si="148">SUM(Q41:Q43)</f>
        <v>0</v>
      </c>
      <c r="R44" s="620">
        <f t="shared" si="148"/>
        <v>427266</v>
      </c>
      <c r="S44" s="620">
        <f t="shared" si="148"/>
        <v>0</v>
      </c>
      <c r="T44" s="620">
        <f t="shared" si="148"/>
        <v>0</v>
      </c>
      <c r="U44" s="620">
        <f t="shared" si="148"/>
        <v>0</v>
      </c>
      <c r="V44" s="620">
        <f t="shared" si="148"/>
        <v>427266</v>
      </c>
      <c r="W44" s="620">
        <f t="shared" si="148"/>
        <v>0</v>
      </c>
      <c r="X44" s="620">
        <f t="shared" si="148"/>
        <v>0</v>
      </c>
      <c r="Y44" s="620">
        <f t="shared" si="148"/>
        <v>0</v>
      </c>
      <c r="Z44" s="620">
        <f t="shared" si="148"/>
        <v>0</v>
      </c>
      <c r="AA44" s="620">
        <f t="shared" si="148"/>
        <v>427266</v>
      </c>
      <c r="AB44" s="620">
        <f t="shared" si="148"/>
        <v>144416</v>
      </c>
      <c r="AC44" s="620">
        <f t="shared" si="148"/>
        <v>4273</v>
      </c>
      <c r="AD44" s="620">
        <f t="shared" si="148"/>
        <v>0</v>
      </c>
      <c r="AE44" s="620">
        <f t="shared" si="148"/>
        <v>0</v>
      </c>
      <c r="AF44" s="620">
        <f t="shared" si="148"/>
        <v>0</v>
      </c>
      <c r="AG44" s="620">
        <f t="shared" si="148"/>
        <v>575955</v>
      </c>
      <c r="AH44" s="621">
        <f t="shared" si="148"/>
        <v>0</v>
      </c>
      <c r="AI44" s="621">
        <f t="shared" si="148"/>
        <v>0</v>
      </c>
      <c r="AJ44" s="621">
        <f t="shared" si="148"/>
        <v>1.5</v>
      </c>
      <c r="AK44" s="621">
        <f t="shared" si="148"/>
        <v>0</v>
      </c>
      <c r="AL44" s="621">
        <f t="shared" si="148"/>
        <v>0</v>
      </c>
      <c r="AM44" s="621">
        <f t="shared" si="148"/>
        <v>0</v>
      </c>
      <c r="AN44" s="621">
        <f t="shared" si="148"/>
        <v>0</v>
      </c>
      <c r="AO44" s="621">
        <f t="shared" si="148"/>
        <v>0</v>
      </c>
      <c r="AP44" s="621">
        <f t="shared" si="148"/>
        <v>1.5</v>
      </c>
      <c r="AQ44" s="621">
        <f t="shared" si="148"/>
        <v>0</v>
      </c>
      <c r="AR44" s="623">
        <f t="shared" si="148"/>
        <v>1.5</v>
      </c>
      <c r="AS44" s="618">
        <f t="shared" si="148"/>
        <v>10951485</v>
      </c>
      <c r="AT44" s="464">
        <f t="shared" si="148"/>
        <v>8083368</v>
      </c>
      <c r="AU44" s="464">
        <f t="shared" si="148"/>
        <v>0</v>
      </c>
      <c r="AV44" s="464">
        <f t="shared" si="148"/>
        <v>2732179</v>
      </c>
      <c r="AW44" s="464">
        <f t="shared" si="148"/>
        <v>80834</v>
      </c>
      <c r="AX44" s="464">
        <f t="shared" si="148"/>
        <v>55104</v>
      </c>
      <c r="AY44" s="427">
        <f t="shared" si="148"/>
        <v>18.479999999999997</v>
      </c>
      <c r="AZ44" s="427">
        <f t="shared" si="148"/>
        <v>12.2</v>
      </c>
      <c r="BA44" s="496">
        <f t="shared" si="148"/>
        <v>6.2799999999999994</v>
      </c>
    </row>
    <row r="45" spans="1:53" s="229" customFormat="1" ht="12.75" customHeight="1" x14ac:dyDescent="0.2">
      <c r="A45" s="231">
        <v>11</v>
      </c>
      <c r="B45" s="232">
        <v>3468</v>
      </c>
      <c r="C45" s="232">
        <v>691000891</v>
      </c>
      <c r="D45" s="232">
        <v>72048069</v>
      </c>
      <c r="E45" s="233" t="s">
        <v>28</v>
      </c>
      <c r="F45" s="232">
        <v>3111</v>
      </c>
      <c r="G45" s="233" t="s">
        <v>307</v>
      </c>
      <c r="H45" s="264" t="s">
        <v>277</v>
      </c>
      <c r="I45" s="457">
        <f t="shared" ref="I45:I47" si="149">SUM(J45:M45)</f>
        <v>9719126</v>
      </c>
      <c r="J45" s="457">
        <v>7177690</v>
      </c>
      <c r="K45" s="457">
        <f t="shared" ref="K45:K47" si="150">ROUND(J45*33.8%,0)</f>
        <v>2426059</v>
      </c>
      <c r="L45" s="457">
        <f t="shared" ref="L45:L47" si="151">ROUND(J45*1%,0)</f>
        <v>71777</v>
      </c>
      <c r="M45" s="457">
        <v>43600</v>
      </c>
      <c r="N45" s="458">
        <f t="shared" ref="N45:N47" si="152">O45+P45</f>
        <v>15.44</v>
      </c>
      <c r="O45" s="459">
        <v>11.75</v>
      </c>
      <c r="P45" s="468">
        <v>3.69</v>
      </c>
      <c r="Q45" s="470">
        <f t="shared" ref="Q45:Q47" si="153">W45*-1</f>
        <v>-19500</v>
      </c>
      <c r="R45" s="460">
        <v>0</v>
      </c>
      <c r="S45" s="673">
        <v>0</v>
      </c>
      <c r="T45" s="460">
        <v>0</v>
      </c>
      <c r="U45" s="460">
        <v>0</v>
      </c>
      <c r="V45" s="460">
        <f>SUM(Q45:U45)</f>
        <v>-19500</v>
      </c>
      <c r="W45" s="460">
        <v>19500</v>
      </c>
      <c r="X45" s="460">
        <v>0</v>
      </c>
      <c r="Y45" s="460">
        <v>317486</v>
      </c>
      <c r="Z45" s="460">
        <f t="shared" ref="Z45:Z47" si="154">SUM(W45:Y45)</f>
        <v>336986</v>
      </c>
      <c r="AA45" s="460">
        <f t="shared" ref="AA45:AA47" si="155">V45+Z45</f>
        <v>317486</v>
      </c>
      <c r="AB45" s="69">
        <f t="shared" ref="AB45:AB47" si="156">ROUND((V45+W45+X45)*33.8%,0)</f>
        <v>0</v>
      </c>
      <c r="AC45" s="69">
        <f t="shared" ref="AC45:AC47" si="157">ROUND(V45*1%,0)</f>
        <v>-195</v>
      </c>
      <c r="AD45" s="460">
        <v>0</v>
      </c>
      <c r="AE45" s="460">
        <v>0</v>
      </c>
      <c r="AF45" s="460">
        <f t="shared" ref="AF45:AF47" si="158">SUM(AD45:AE45)</f>
        <v>0</v>
      </c>
      <c r="AG45" s="460">
        <f t="shared" ref="AG45:AG47" si="159">AA45+AB45+AC45+AF45</f>
        <v>317291</v>
      </c>
      <c r="AH45" s="461">
        <v>0</v>
      </c>
      <c r="AI45" s="461">
        <v>-0.08</v>
      </c>
      <c r="AJ45" s="461">
        <v>0</v>
      </c>
      <c r="AK45" s="461">
        <v>0</v>
      </c>
      <c r="AL45" s="674">
        <v>0</v>
      </c>
      <c r="AM45" s="461">
        <v>0</v>
      </c>
      <c r="AN45" s="461">
        <v>0</v>
      </c>
      <c r="AO45" s="461">
        <v>0</v>
      </c>
      <c r="AP45" s="461">
        <f>AH45+AJ45+AK45+AM45+AN45</f>
        <v>0</v>
      </c>
      <c r="AQ45" s="461">
        <f>AI45+AL45+AO45</f>
        <v>-0.08</v>
      </c>
      <c r="AR45" s="463">
        <f t="shared" ref="AR45:AR47" si="160">SUM(AP45:AQ45)</f>
        <v>-0.08</v>
      </c>
      <c r="AS45" s="469">
        <f>I45+AG45</f>
        <v>10036417</v>
      </c>
      <c r="AT45" s="460">
        <f>J45+V45</f>
        <v>7158190</v>
      </c>
      <c r="AU45" s="460">
        <f t="shared" ref="AU45:AU47" si="161">Z45</f>
        <v>336986</v>
      </c>
      <c r="AV45" s="460">
        <f t="shared" ref="AV45:AW47" si="162">K45+AB45</f>
        <v>2426059</v>
      </c>
      <c r="AW45" s="460">
        <f t="shared" si="162"/>
        <v>71582</v>
      </c>
      <c r="AX45" s="460">
        <f>M45+AF45</f>
        <v>43600</v>
      </c>
      <c r="AY45" s="461">
        <f>N45+AR45</f>
        <v>15.36</v>
      </c>
      <c r="AZ45" s="461">
        <f t="shared" ref="AZ45:BA47" si="163">O45+AP45</f>
        <v>11.75</v>
      </c>
      <c r="BA45" s="463">
        <f t="shared" si="163"/>
        <v>3.61</v>
      </c>
    </row>
    <row r="46" spans="1:53" s="229" customFormat="1" x14ac:dyDescent="0.2">
      <c r="A46" s="231">
        <v>11</v>
      </c>
      <c r="B46" s="232">
        <v>3468</v>
      </c>
      <c r="C46" s="232">
        <v>691000891</v>
      </c>
      <c r="D46" s="232">
        <v>72048069</v>
      </c>
      <c r="E46" s="233" t="s">
        <v>28</v>
      </c>
      <c r="F46" s="232">
        <v>3111</v>
      </c>
      <c r="G46" s="233" t="s">
        <v>308</v>
      </c>
      <c r="H46" s="264" t="s">
        <v>278</v>
      </c>
      <c r="I46" s="457">
        <f t="shared" si="149"/>
        <v>0</v>
      </c>
      <c r="J46" s="457">
        <v>0</v>
      </c>
      <c r="K46" s="457">
        <f t="shared" si="150"/>
        <v>0</v>
      </c>
      <c r="L46" s="457">
        <f t="shared" si="151"/>
        <v>0</v>
      </c>
      <c r="M46" s="457">
        <v>0</v>
      </c>
      <c r="N46" s="458">
        <f t="shared" si="152"/>
        <v>0</v>
      </c>
      <c r="O46" s="459">
        <v>0</v>
      </c>
      <c r="P46" s="468">
        <v>0</v>
      </c>
      <c r="Q46" s="470">
        <f t="shared" si="153"/>
        <v>0</v>
      </c>
      <c r="R46" s="460">
        <f>1385787-216529</f>
        <v>1169258</v>
      </c>
      <c r="S46" s="673">
        <v>0</v>
      </c>
      <c r="T46" s="460">
        <v>0</v>
      </c>
      <c r="U46" s="460">
        <v>0</v>
      </c>
      <c r="V46" s="460">
        <f>SUM(Q46:U46)</f>
        <v>1169258</v>
      </c>
      <c r="W46" s="460">
        <v>0</v>
      </c>
      <c r="X46" s="460">
        <v>0</v>
      </c>
      <c r="Y46" s="460">
        <v>0</v>
      </c>
      <c r="Z46" s="460">
        <f t="shared" si="154"/>
        <v>0</v>
      </c>
      <c r="AA46" s="460">
        <f t="shared" si="155"/>
        <v>1169258</v>
      </c>
      <c r="AB46" s="69">
        <f t="shared" si="156"/>
        <v>395209</v>
      </c>
      <c r="AC46" s="69">
        <f t="shared" si="157"/>
        <v>11693</v>
      </c>
      <c r="AD46" s="460">
        <v>0</v>
      </c>
      <c r="AE46" s="460">
        <v>0</v>
      </c>
      <c r="AF46" s="460">
        <f t="shared" si="158"/>
        <v>0</v>
      </c>
      <c r="AG46" s="460">
        <f t="shared" si="159"/>
        <v>1576160</v>
      </c>
      <c r="AH46" s="461">
        <v>0</v>
      </c>
      <c r="AI46" s="461">
        <v>0</v>
      </c>
      <c r="AJ46" s="461">
        <f>4-0.63</f>
        <v>3.37</v>
      </c>
      <c r="AK46" s="461">
        <v>0</v>
      </c>
      <c r="AL46" s="674">
        <v>0</v>
      </c>
      <c r="AM46" s="461">
        <v>0</v>
      </c>
      <c r="AN46" s="461">
        <v>0</v>
      </c>
      <c r="AO46" s="461">
        <v>0</v>
      </c>
      <c r="AP46" s="461">
        <f>AH46+AJ46+AK46+AM46+AN46</f>
        <v>3.37</v>
      </c>
      <c r="AQ46" s="461">
        <f>AI46+AL46+AO46</f>
        <v>0</v>
      </c>
      <c r="AR46" s="463">
        <f t="shared" si="160"/>
        <v>3.37</v>
      </c>
      <c r="AS46" s="469">
        <f>I46+AG46</f>
        <v>1576160</v>
      </c>
      <c r="AT46" s="460">
        <f>J46+V46</f>
        <v>1169258</v>
      </c>
      <c r="AU46" s="460">
        <f t="shared" si="161"/>
        <v>0</v>
      </c>
      <c r="AV46" s="460">
        <f t="shared" si="162"/>
        <v>395209</v>
      </c>
      <c r="AW46" s="460">
        <f t="shared" si="162"/>
        <v>11693</v>
      </c>
      <c r="AX46" s="460">
        <f>M46+AF46</f>
        <v>0</v>
      </c>
      <c r="AY46" s="461">
        <f>N46+AR46</f>
        <v>3.37</v>
      </c>
      <c r="AZ46" s="461">
        <f t="shared" si="163"/>
        <v>3.37</v>
      </c>
      <c r="BA46" s="463">
        <f t="shared" si="163"/>
        <v>0</v>
      </c>
    </row>
    <row r="47" spans="1:53" s="229" customFormat="1" ht="12.75" customHeight="1" x14ac:dyDescent="0.2">
      <c r="A47" s="231">
        <v>11</v>
      </c>
      <c r="B47" s="232">
        <v>3468</v>
      </c>
      <c r="C47" s="232">
        <v>691000891</v>
      </c>
      <c r="D47" s="232">
        <v>72048069</v>
      </c>
      <c r="E47" s="233" t="s">
        <v>28</v>
      </c>
      <c r="F47" s="232">
        <v>3141</v>
      </c>
      <c r="G47" s="233" t="s">
        <v>311</v>
      </c>
      <c r="H47" s="264" t="s">
        <v>278</v>
      </c>
      <c r="I47" s="457">
        <f t="shared" si="149"/>
        <v>885131</v>
      </c>
      <c r="J47" s="457">
        <v>653578</v>
      </c>
      <c r="K47" s="457">
        <f t="shared" si="150"/>
        <v>220909</v>
      </c>
      <c r="L47" s="457">
        <f t="shared" si="151"/>
        <v>6536</v>
      </c>
      <c r="M47" s="457">
        <v>4108</v>
      </c>
      <c r="N47" s="458">
        <f t="shared" si="152"/>
        <v>2.1</v>
      </c>
      <c r="O47" s="459">
        <v>0</v>
      </c>
      <c r="P47" s="468">
        <v>2.1</v>
      </c>
      <c r="Q47" s="470">
        <f t="shared" si="153"/>
        <v>0</v>
      </c>
      <c r="R47" s="460">
        <v>0</v>
      </c>
      <c r="S47" s="673">
        <v>0</v>
      </c>
      <c r="T47" s="460">
        <v>0</v>
      </c>
      <c r="U47" s="460">
        <v>0</v>
      </c>
      <c r="V47" s="460">
        <f>SUM(Q47:U47)</f>
        <v>0</v>
      </c>
      <c r="W47" s="460">
        <v>0</v>
      </c>
      <c r="X47" s="460">
        <v>0</v>
      </c>
      <c r="Y47" s="460">
        <v>60000</v>
      </c>
      <c r="Z47" s="460">
        <f t="shared" si="154"/>
        <v>60000</v>
      </c>
      <c r="AA47" s="460">
        <f t="shared" si="155"/>
        <v>60000</v>
      </c>
      <c r="AB47" s="69">
        <f t="shared" si="156"/>
        <v>0</v>
      </c>
      <c r="AC47" s="69">
        <f t="shared" si="157"/>
        <v>0</v>
      </c>
      <c r="AD47" s="460">
        <v>0</v>
      </c>
      <c r="AE47" s="460">
        <v>0</v>
      </c>
      <c r="AF47" s="460">
        <f t="shared" si="158"/>
        <v>0</v>
      </c>
      <c r="AG47" s="460">
        <f t="shared" si="159"/>
        <v>60000</v>
      </c>
      <c r="AH47" s="461">
        <v>0</v>
      </c>
      <c r="AI47" s="461">
        <v>0</v>
      </c>
      <c r="AJ47" s="461">
        <v>0</v>
      </c>
      <c r="AK47" s="461">
        <v>0</v>
      </c>
      <c r="AL47" s="674">
        <v>0</v>
      </c>
      <c r="AM47" s="461">
        <v>0</v>
      </c>
      <c r="AN47" s="461">
        <v>0</v>
      </c>
      <c r="AO47" s="461">
        <v>0</v>
      </c>
      <c r="AP47" s="461">
        <f>AH47+AJ47+AK47+AM47+AN47</f>
        <v>0</v>
      </c>
      <c r="AQ47" s="461">
        <f>AI47+AL47+AO47</f>
        <v>0</v>
      </c>
      <c r="AR47" s="463">
        <f t="shared" si="160"/>
        <v>0</v>
      </c>
      <c r="AS47" s="469">
        <f>I47+AG47</f>
        <v>945131</v>
      </c>
      <c r="AT47" s="460">
        <f>J47+V47</f>
        <v>653578</v>
      </c>
      <c r="AU47" s="460">
        <f t="shared" si="161"/>
        <v>60000</v>
      </c>
      <c r="AV47" s="460">
        <f t="shared" si="162"/>
        <v>220909</v>
      </c>
      <c r="AW47" s="460">
        <f t="shared" si="162"/>
        <v>6536</v>
      </c>
      <c r="AX47" s="460">
        <f>M47+AF47</f>
        <v>4108</v>
      </c>
      <c r="AY47" s="461">
        <f>N47+AR47</f>
        <v>2.1</v>
      </c>
      <c r="AZ47" s="461">
        <f t="shared" si="163"/>
        <v>0</v>
      </c>
      <c r="BA47" s="463">
        <f t="shared" si="163"/>
        <v>2.1</v>
      </c>
    </row>
    <row r="48" spans="1:53" s="229" customFormat="1" ht="12.75" customHeight="1" x14ac:dyDescent="0.2">
      <c r="A48" s="156">
        <v>11</v>
      </c>
      <c r="B48" s="14">
        <v>3468</v>
      </c>
      <c r="C48" s="155">
        <v>691000891</v>
      </c>
      <c r="D48" s="155">
        <v>72048069</v>
      </c>
      <c r="E48" s="230" t="s">
        <v>29</v>
      </c>
      <c r="F48" s="14"/>
      <c r="G48" s="230"/>
      <c r="H48" s="263"/>
      <c r="I48" s="464">
        <f t="shared" ref="I48:P48" si="164">SUM(I45:I47)</f>
        <v>10604257</v>
      </c>
      <c r="J48" s="464">
        <f t="shared" si="164"/>
        <v>7831268</v>
      </c>
      <c r="K48" s="464">
        <f t="shared" si="164"/>
        <v>2646968</v>
      </c>
      <c r="L48" s="464">
        <f t="shared" si="164"/>
        <v>78313</v>
      </c>
      <c r="M48" s="464">
        <f t="shared" si="164"/>
        <v>47708</v>
      </c>
      <c r="N48" s="427">
        <f t="shared" si="164"/>
        <v>17.54</v>
      </c>
      <c r="O48" s="427">
        <f t="shared" si="164"/>
        <v>11.75</v>
      </c>
      <c r="P48" s="427">
        <f t="shared" si="164"/>
        <v>5.79</v>
      </c>
      <c r="Q48" s="622">
        <f t="shared" ref="Q48:BA48" si="165">SUM(Q45:Q47)</f>
        <v>-19500</v>
      </c>
      <c r="R48" s="620">
        <f t="shared" si="165"/>
        <v>1169258</v>
      </c>
      <c r="S48" s="620">
        <f t="shared" si="165"/>
        <v>0</v>
      </c>
      <c r="T48" s="620">
        <f t="shared" si="165"/>
        <v>0</v>
      </c>
      <c r="U48" s="620">
        <f t="shared" si="165"/>
        <v>0</v>
      </c>
      <c r="V48" s="620">
        <f t="shared" si="165"/>
        <v>1149758</v>
      </c>
      <c r="W48" s="620">
        <f t="shared" si="165"/>
        <v>19500</v>
      </c>
      <c r="X48" s="620">
        <f t="shared" si="165"/>
        <v>0</v>
      </c>
      <c r="Y48" s="620">
        <f t="shared" si="165"/>
        <v>377486</v>
      </c>
      <c r="Z48" s="620">
        <f t="shared" si="165"/>
        <v>396986</v>
      </c>
      <c r="AA48" s="620">
        <f t="shared" si="165"/>
        <v>1546744</v>
      </c>
      <c r="AB48" s="620">
        <f t="shared" si="165"/>
        <v>395209</v>
      </c>
      <c r="AC48" s="620">
        <f t="shared" si="165"/>
        <v>11498</v>
      </c>
      <c r="AD48" s="620">
        <f t="shared" si="165"/>
        <v>0</v>
      </c>
      <c r="AE48" s="620">
        <f t="shared" si="165"/>
        <v>0</v>
      </c>
      <c r="AF48" s="620">
        <f t="shared" si="165"/>
        <v>0</v>
      </c>
      <c r="AG48" s="620">
        <f t="shared" si="165"/>
        <v>1953451</v>
      </c>
      <c r="AH48" s="621">
        <f t="shared" si="165"/>
        <v>0</v>
      </c>
      <c r="AI48" s="621">
        <f t="shared" si="165"/>
        <v>-0.08</v>
      </c>
      <c r="AJ48" s="621">
        <f t="shared" si="165"/>
        <v>3.37</v>
      </c>
      <c r="AK48" s="621">
        <f t="shared" si="165"/>
        <v>0</v>
      </c>
      <c r="AL48" s="621">
        <f t="shared" si="165"/>
        <v>0</v>
      </c>
      <c r="AM48" s="621">
        <f t="shared" si="165"/>
        <v>0</v>
      </c>
      <c r="AN48" s="621">
        <f t="shared" si="165"/>
        <v>0</v>
      </c>
      <c r="AO48" s="621">
        <f t="shared" si="165"/>
        <v>0</v>
      </c>
      <c r="AP48" s="621">
        <f t="shared" si="165"/>
        <v>3.37</v>
      </c>
      <c r="AQ48" s="621">
        <f t="shared" si="165"/>
        <v>-0.08</v>
      </c>
      <c r="AR48" s="623">
        <f t="shared" si="165"/>
        <v>3.29</v>
      </c>
      <c r="AS48" s="618">
        <f t="shared" si="165"/>
        <v>12557708</v>
      </c>
      <c r="AT48" s="464">
        <f t="shared" si="165"/>
        <v>8981026</v>
      </c>
      <c r="AU48" s="464">
        <f t="shared" si="165"/>
        <v>396986</v>
      </c>
      <c r="AV48" s="464">
        <f t="shared" si="165"/>
        <v>3042177</v>
      </c>
      <c r="AW48" s="464">
        <f t="shared" si="165"/>
        <v>89811</v>
      </c>
      <c r="AX48" s="464">
        <f t="shared" si="165"/>
        <v>47708</v>
      </c>
      <c r="AY48" s="427">
        <f t="shared" si="165"/>
        <v>20.830000000000002</v>
      </c>
      <c r="AZ48" s="427">
        <f t="shared" si="165"/>
        <v>15.120000000000001</v>
      </c>
      <c r="BA48" s="496">
        <f t="shared" si="165"/>
        <v>5.71</v>
      </c>
    </row>
    <row r="49" spans="1:53" s="229" customFormat="1" ht="12.75" customHeight="1" x14ac:dyDescent="0.2">
      <c r="A49" s="231">
        <v>12</v>
      </c>
      <c r="B49" s="232">
        <v>3465</v>
      </c>
      <c r="C49" s="232">
        <v>691001278</v>
      </c>
      <c r="D49" s="232">
        <v>72048131</v>
      </c>
      <c r="E49" s="233" t="s">
        <v>30</v>
      </c>
      <c r="F49" s="232">
        <v>3111</v>
      </c>
      <c r="G49" s="233" t="s">
        <v>307</v>
      </c>
      <c r="H49" s="264" t="s">
        <v>277</v>
      </c>
      <c r="I49" s="457">
        <f t="shared" ref="I49:I51" si="166">SUM(J49:M49)</f>
        <v>6960116</v>
      </c>
      <c r="J49" s="457">
        <v>5135694</v>
      </c>
      <c r="K49" s="457">
        <f t="shared" ref="K49:K51" si="167">ROUND(J49*33.8%,0)</f>
        <v>1735865</v>
      </c>
      <c r="L49" s="457">
        <f t="shared" ref="L49:L51" si="168">ROUND(J49*1%,0)</f>
        <v>51357</v>
      </c>
      <c r="M49" s="457">
        <v>37200</v>
      </c>
      <c r="N49" s="458">
        <f t="shared" ref="N49:N51" si="169">O49+P49</f>
        <v>10.4</v>
      </c>
      <c r="O49" s="459">
        <v>8</v>
      </c>
      <c r="P49" s="468">
        <v>2.4</v>
      </c>
      <c r="Q49" s="470">
        <f t="shared" ref="Q49:Q51" si="170">W49*-1</f>
        <v>0</v>
      </c>
      <c r="R49" s="460">
        <v>0</v>
      </c>
      <c r="S49" s="673">
        <v>0</v>
      </c>
      <c r="T49" s="460">
        <v>0</v>
      </c>
      <c r="U49" s="460">
        <v>0</v>
      </c>
      <c r="V49" s="460">
        <f>SUM(Q49:U49)</f>
        <v>0</v>
      </c>
      <c r="W49" s="460">
        <v>0</v>
      </c>
      <c r="X49" s="460">
        <v>0</v>
      </c>
      <c r="Y49" s="460">
        <v>0</v>
      </c>
      <c r="Z49" s="460">
        <f t="shared" ref="Z49:Z51" si="171">SUM(W49:Y49)</f>
        <v>0</v>
      </c>
      <c r="AA49" s="460">
        <f t="shared" ref="AA49:AA51" si="172">V49+Z49</f>
        <v>0</v>
      </c>
      <c r="AB49" s="69">
        <f t="shared" ref="AB49:AB51" si="173">ROUND((V49+W49+X49)*33.8%,0)</f>
        <v>0</v>
      </c>
      <c r="AC49" s="69">
        <f t="shared" ref="AC49:AC51" si="174">ROUND(V49*1%,0)</f>
        <v>0</v>
      </c>
      <c r="AD49" s="460">
        <v>0</v>
      </c>
      <c r="AE49" s="460">
        <v>0</v>
      </c>
      <c r="AF49" s="460">
        <f t="shared" ref="AF49:AF51" si="175">SUM(AD49:AE49)</f>
        <v>0</v>
      </c>
      <c r="AG49" s="460">
        <f t="shared" ref="AG49:AG51" si="176">AA49+AB49+AC49+AF49</f>
        <v>0</v>
      </c>
      <c r="AH49" s="461">
        <v>0</v>
      </c>
      <c r="AI49" s="461">
        <v>0</v>
      </c>
      <c r="AJ49" s="461">
        <v>0</v>
      </c>
      <c r="AK49" s="461">
        <v>0</v>
      </c>
      <c r="AL49" s="674">
        <v>0</v>
      </c>
      <c r="AM49" s="461">
        <v>0</v>
      </c>
      <c r="AN49" s="461">
        <v>0</v>
      </c>
      <c r="AO49" s="461">
        <v>0</v>
      </c>
      <c r="AP49" s="461">
        <f>AH49+AJ49+AK49+AM49+AN49</f>
        <v>0</v>
      </c>
      <c r="AQ49" s="461">
        <f>AI49+AL49+AO49</f>
        <v>0</v>
      </c>
      <c r="AR49" s="463">
        <f t="shared" ref="AR49:AR51" si="177">SUM(AP49:AQ49)</f>
        <v>0</v>
      </c>
      <c r="AS49" s="469">
        <f>I49+AG49</f>
        <v>6960116</v>
      </c>
      <c r="AT49" s="460">
        <f>J49+V49</f>
        <v>5135694</v>
      </c>
      <c r="AU49" s="460">
        <f t="shared" ref="AU49:AU51" si="178">Z49</f>
        <v>0</v>
      </c>
      <c r="AV49" s="460">
        <f t="shared" ref="AV49:AW51" si="179">K49+AB49</f>
        <v>1735865</v>
      </c>
      <c r="AW49" s="460">
        <f t="shared" si="179"/>
        <v>51357</v>
      </c>
      <c r="AX49" s="460">
        <f>M49+AF49</f>
        <v>37200</v>
      </c>
      <c r="AY49" s="461">
        <f>N49+AR49</f>
        <v>10.4</v>
      </c>
      <c r="AZ49" s="461">
        <f t="shared" ref="AZ49:BA51" si="180">O49+AP49</f>
        <v>8</v>
      </c>
      <c r="BA49" s="463">
        <f t="shared" si="180"/>
        <v>2.4</v>
      </c>
    </row>
    <row r="50" spans="1:53" s="229" customFormat="1" x14ac:dyDescent="0.2">
      <c r="A50" s="231">
        <v>12</v>
      </c>
      <c r="B50" s="232">
        <v>3465</v>
      </c>
      <c r="C50" s="232">
        <v>691001278</v>
      </c>
      <c r="D50" s="232">
        <v>72048131</v>
      </c>
      <c r="E50" s="233" t="s">
        <v>30</v>
      </c>
      <c r="F50" s="232">
        <v>3111</v>
      </c>
      <c r="G50" s="233" t="s">
        <v>308</v>
      </c>
      <c r="H50" s="264" t="s">
        <v>278</v>
      </c>
      <c r="I50" s="457">
        <f t="shared" si="166"/>
        <v>0</v>
      </c>
      <c r="J50" s="457">
        <v>0</v>
      </c>
      <c r="K50" s="457">
        <f t="shared" si="167"/>
        <v>0</v>
      </c>
      <c r="L50" s="457">
        <f t="shared" si="168"/>
        <v>0</v>
      </c>
      <c r="M50" s="457">
        <v>0</v>
      </c>
      <c r="N50" s="458">
        <f t="shared" si="169"/>
        <v>0</v>
      </c>
      <c r="O50" s="459">
        <v>0</v>
      </c>
      <c r="P50" s="468">
        <v>0</v>
      </c>
      <c r="Q50" s="470">
        <f t="shared" si="170"/>
        <v>0</v>
      </c>
      <c r="R50" s="460">
        <v>127022</v>
      </c>
      <c r="S50" s="673">
        <v>0</v>
      </c>
      <c r="T50" s="460">
        <v>0</v>
      </c>
      <c r="U50" s="460">
        <v>0</v>
      </c>
      <c r="V50" s="460">
        <f>SUM(Q50:U50)</f>
        <v>127022</v>
      </c>
      <c r="W50" s="460">
        <v>0</v>
      </c>
      <c r="X50" s="460">
        <v>0</v>
      </c>
      <c r="Y50" s="460">
        <v>0</v>
      </c>
      <c r="Z50" s="460">
        <f t="shared" si="171"/>
        <v>0</v>
      </c>
      <c r="AA50" s="460">
        <f t="shared" si="172"/>
        <v>127022</v>
      </c>
      <c r="AB50" s="69">
        <f t="shared" si="173"/>
        <v>42933</v>
      </c>
      <c r="AC50" s="69">
        <f t="shared" si="174"/>
        <v>1270</v>
      </c>
      <c r="AD50" s="460">
        <v>0</v>
      </c>
      <c r="AE50" s="460">
        <v>0</v>
      </c>
      <c r="AF50" s="460">
        <f t="shared" si="175"/>
        <v>0</v>
      </c>
      <c r="AG50" s="460">
        <f t="shared" si="176"/>
        <v>171225</v>
      </c>
      <c r="AH50" s="461">
        <v>0</v>
      </c>
      <c r="AI50" s="461">
        <v>0</v>
      </c>
      <c r="AJ50" s="461">
        <v>0.5</v>
      </c>
      <c r="AK50" s="461">
        <v>0</v>
      </c>
      <c r="AL50" s="674">
        <v>0</v>
      </c>
      <c r="AM50" s="461">
        <v>0</v>
      </c>
      <c r="AN50" s="461">
        <v>0</v>
      </c>
      <c r="AO50" s="461">
        <v>0</v>
      </c>
      <c r="AP50" s="461">
        <f>AH50+AJ50+AK50+AM50+AN50</f>
        <v>0.5</v>
      </c>
      <c r="AQ50" s="461">
        <f>AI50+AL50+AO50</f>
        <v>0</v>
      </c>
      <c r="AR50" s="463">
        <f t="shared" si="177"/>
        <v>0.5</v>
      </c>
      <c r="AS50" s="469">
        <f>I50+AG50</f>
        <v>171225</v>
      </c>
      <c r="AT50" s="460">
        <f>J50+V50</f>
        <v>127022</v>
      </c>
      <c r="AU50" s="460">
        <f t="shared" si="178"/>
        <v>0</v>
      </c>
      <c r="AV50" s="460">
        <f t="shared" si="179"/>
        <v>42933</v>
      </c>
      <c r="AW50" s="460">
        <f t="shared" si="179"/>
        <v>1270</v>
      </c>
      <c r="AX50" s="460">
        <f>M50+AF50</f>
        <v>0</v>
      </c>
      <c r="AY50" s="461">
        <f>N50+AR50</f>
        <v>0.5</v>
      </c>
      <c r="AZ50" s="461">
        <f t="shared" si="180"/>
        <v>0.5</v>
      </c>
      <c r="BA50" s="463">
        <f t="shared" si="180"/>
        <v>0</v>
      </c>
    </row>
    <row r="51" spans="1:53" s="229" customFormat="1" ht="12.75" customHeight="1" x14ac:dyDescent="0.2">
      <c r="A51" s="231">
        <v>12</v>
      </c>
      <c r="B51" s="232">
        <v>3465</v>
      </c>
      <c r="C51" s="232">
        <v>691001278</v>
      </c>
      <c r="D51" s="232">
        <v>72048131</v>
      </c>
      <c r="E51" s="233" t="s">
        <v>30</v>
      </c>
      <c r="F51" s="232">
        <v>3141</v>
      </c>
      <c r="G51" s="233" t="s">
        <v>311</v>
      </c>
      <c r="H51" s="264" t="s">
        <v>278</v>
      </c>
      <c r="I51" s="457">
        <f t="shared" si="166"/>
        <v>1006350</v>
      </c>
      <c r="J51" s="457">
        <v>742886</v>
      </c>
      <c r="K51" s="457">
        <f t="shared" si="167"/>
        <v>251095</v>
      </c>
      <c r="L51" s="457">
        <f t="shared" si="168"/>
        <v>7429</v>
      </c>
      <c r="M51" s="457">
        <v>4940</v>
      </c>
      <c r="N51" s="458">
        <f t="shared" si="169"/>
        <v>2.39</v>
      </c>
      <c r="O51" s="459">
        <v>0</v>
      </c>
      <c r="P51" s="468">
        <v>2.39</v>
      </c>
      <c r="Q51" s="470">
        <f t="shared" si="170"/>
        <v>0</v>
      </c>
      <c r="R51" s="460">
        <v>0</v>
      </c>
      <c r="S51" s="673">
        <v>0</v>
      </c>
      <c r="T51" s="460">
        <v>0</v>
      </c>
      <c r="U51" s="460">
        <v>0</v>
      </c>
      <c r="V51" s="460">
        <f>SUM(Q51:U51)</f>
        <v>0</v>
      </c>
      <c r="W51" s="460">
        <v>0</v>
      </c>
      <c r="X51" s="460">
        <v>0</v>
      </c>
      <c r="Y51" s="460">
        <v>0</v>
      </c>
      <c r="Z51" s="460">
        <f t="shared" si="171"/>
        <v>0</v>
      </c>
      <c r="AA51" s="460">
        <f t="shared" si="172"/>
        <v>0</v>
      </c>
      <c r="AB51" s="69">
        <f t="shared" si="173"/>
        <v>0</v>
      </c>
      <c r="AC51" s="69">
        <f t="shared" si="174"/>
        <v>0</v>
      </c>
      <c r="AD51" s="460">
        <v>0</v>
      </c>
      <c r="AE51" s="460">
        <v>0</v>
      </c>
      <c r="AF51" s="460">
        <f t="shared" si="175"/>
        <v>0</v>
      </c>
      <c r="AG51" s="460">
        <f t="shared" si="176"/>
        <v>0</v>
      </c>
      <c r="AH51" s="461">
        <v>0</v>
      </c>
      <c r="AI51" s="461">
        <v>0</v>
      </c>
      <c r="AJ51" s="461">
        <v>0</v>
      </c>
      <c r="AK51" s="461">
        <v>0</v>
      </c>
      <c r="AL51" s="674">
        <v>0</v>
      </c>
      <c r="AM51" s="461">
        <v>0</v>
      </c>
      <c r="AN51" s="461">
        <v>0</v>
      </c>
      <c r="AO51" s="461">
        <v>0</v>
      </c>
      <c r="AP51" s="461">
        <f>AH51+AJ51+AK51+AM51+AN51</f>
        <v>0</v>
      </c>
      <c r="AQ51" s="461">
        <f>AI51+AL51+AO51</f>
        <v>0</v>
      </c>
      <c r="AR51" s="463">
        <f t="shared" si="177"/>
        <v>0</v>
      </c>
      <c r="AS51" s="469">
        <f>I51+AG51</f>
        <v>1006350</v>
      </c>
      <c r="AT51" s="460">
        <f>J51+V51</f>
        <v>742886</v>
      </c>
      <c r="AU51" s="460">
        <f t="shared" si="178"/>
        <v>0</v>
      </c>
      <c r="AV51" s="460">
        <f t="shared" si="179"/>
        <v>251095</v>
      </c>
      <c r="AW51" s="460">
        <f t="shared" si="179"/>
        <v>7429</v>
      </c>
      <c r="AX51" s="460">
        <f>M51+AF51</f>
        <v>4940</v>
      </c>
      <c r="AY51" s="461">
        <f>N51+AR51</f>
        <v>2.39</v>
      </c>
      <c r="AZ51" s="461">
        <f t="shared" si="180"/>
        <v>0</v>
      </c>
      <c r="BA51" s="463">
        <f t="shared" si="180"/>
        <v>2.39</v>
      </c>
    </row>
    <row r="52" spans="1:53" s="229" customFormat="1" ht="12.75" customHeight="1" x14ac:dyDescent="0.2">
      <c r="A52" s="156">
        <v>12</v>
      </c>
      <c r="B52" s="14">
        <v>3465</v>
      </c>
      <c r="C52" s="155">
        <v>691001278</v>
      </c>
      <c r="D52" s="155">
        <v>72048131</v>
      </c>
      <c r="E52" s="230" t="s">
        <v>31</v>
      </c>
      <c r="F52" s="14"/>
      <c r="G52" s="230"/>
      <c r="H52" s="263"/>
      <c r="I52" s="464">
        <f t="shared" ref="I52:P52" si="181">SUM(I49:I51)</f>
        <v>7966466</v>
      </c>
      <c r="J52" s="464">
        <f t="shared" si="181"/>
        <v>5878580</v>
      </c>
      <c r="K52" s="464">
        <f t="shared" si="181"/>
        <v>1986960</v>
      </c>
      <c r="L52" s="464">
        <f t="shared" si="181"/>
        <v>58786</v>
      </c>
      <c r="M52" s="464">
        <f t="shared" si="181"/>
        <v>42140</v>
      </c>
      <c r="N52" s="427">
        <f t="shared" si="181"/>
        <v>12.790000000000001</v>
      </c>
      <c r="O52" s="427">
        <f t="shared" si="181"/>
        <v>8</v>
      </c>
      <c r="P52" s="427">
        <f t="shared" si="181"/>
        <v>4.79</v>
      </c>
      <c r="Q52" s="622">
        <f t="shared" ref="Q52:BA52" si="182">SUM(Q49:Q51)</f>
        <v>0</v>
      </c>
      <c r="R52" s="620">
        <f t="shared" si="182"/>
        <v>127022</v>
      </c>
      <c r="S52" s="620">
        <f t="shared" si="182"/>
        <v>0</v>
      </c>
      <c r="T52" s="620">
        <f t="shared" si="182"/>
        <v>0</v>
      </c>
      <c r="U52" s="620">
        <f t="shared" si="182"/>
        <v>0</v>
      </c>
      <c r="V52" s="620">
        <f t="shared" si="182"/>
        <v>127022</v>
      </c>
      <c r="W52" s="620">
        <f t="shared" si="182"/>
        <v>0</v>
      </c>
      <c r="X52" s="620">
        <f t="shared" si="182"/>
        <v>0</v>
      </c>
      <c r="Y52" s="620">
        <f t="shared" si="182"/>
        <v>0</v>
      </c>
      <c r="Z52" s="620">
        <f t="shared" si="182"/>
        <v>0</v>
      </c>
      <c r="AA52" s="620">
        <f t="shared" si="182"/>
        <v>127022</v>
      </c>
      <c r="AB52" s="620">
        <f t="shared" si="182"/>
        <v>42933</v>
      </c>
      <c r="AC52" s="620">
        <f t="shared" si="182"/>
        <v>1270</v>
      </c>
      <c r="AD52" s="620">
        <f t="shared" si="182"/>
        <v>0</v>
      </c>
      <c r="AE52" s="620">
        <f t="shared" si="182"/>
        <v>0</v>
      </c>
      <c r="AF52" s="620">
        <f t="shared" si="182"/>
        <v>0</v>
      </c>
      <c r="AG52" s="620">
        <f t="shared" si="182"/>
        <v>171225</v>
      </c>
      <c r="AH52" s="621">
        <f t="shared" si="182"/>
        <v>0</v>
      </c>
      <c r="AI52" s="621">
        <f t="shared" si="182"/>
        <v>0</v>
      </c>
      <c r="AJ52" s="621">
        <f t="shared" si="182"/>
        <v>0.5</v>
      </c>
      <c r="AK52" s="621">
        <f t="shared" si="182"/>
        <v>0</v>
      </c>
      <c r="AL52" s="621">
        <f t="shared" si="182"/>
        <v>0</v>
      </c>
      <c r="AM52" s="621">
        <f t="shared" si="182"/>
        <v>0</v>
      </c>
      <c r="AN52" s="621">
        <f t="shared" si="182"/>
        <v>0</v>
      </c>
      <c r="AO52" s="621">
        <f t="shared" si="182"/>
        <v>0</v>
      </c>
      <c r="AP52" s="621">
        <f t="shared" si="182"/>
        <v>0.5</v>
      </c>
      <c r="AQ52" s="621">
        <f t="shared" si="182"/>
        <v>0</v>
      </c>
      <c r="AR52" s="623">
        <f t="shared" si="182"/>
        <v>0.5</v>
      </c>
      <c r="AS52" s="618">
        <f t="shared" si="182"/>
        <v>8137691</v>
      </c>
      <c r="AT52" s="464">
        <f t="shared" si="182"/>
        <v>6005602</v>
      </c>
      <c r="AU52" s="464">
        <f t="shared" si="182"/>
        <v>0</v>
      </c>
      <c r="AV52" s="464">
        <f t="shared" si="182"/>
        <v>2029893</v>
      </c>
      <c r="AW52" s="464">
        <f t="shared" si="182"/>
        <v>60056</v>
      </c>
      <c r="AX52" s="464">
        <f t="shared" si="182"/>
        <v>42140</v>
      </c>
      <c r="AY52" s="427">
        <f t="shared" si="182"/>
        <v>13.290000000000001</v>
      </c>
      <c r="AZ52" s="427">
        <f t="shared" si="182"/>
        <v>8.5</v>
      </c>
      <c r="BA52" s="496">
        <f t="shared" si="182"/>
        <v>4.79</v>
      </c>
    </row>
    <row r="53" spans="1:53" s="229" customFormat="1" ht="12.75" customHeight="1" x14ac:dyDescent="0.2">
      <c r="A53" s="231">
        <v>13</v>
      </c>
      <c r="B53" s="232">
        <v>3473</v>
      </c>
      <c r="C53" s="232">
        <v>691003530</v>
      </c>
      <c r="D53" s="232">
        <v>72550392</v>
      </c>
      <c r="E53" s="233" t="s">
        <v>32</v>
      </c>
      <c r="F53" s="232">
        <v>3111</v>
      </c>
      <c r="G53" s="233" t="s">
        <v>307</v>
      </c>
      <c r="H53" s="264" t="s">
        <v>277</v>
      </c>
      <c r="I53" s="457">
        <f t="shared" ref="I53:I54" si="183">SUM(J53:M53)</f>
        <v>8456690</v>
      </c>
      <c r="J53" s="457">
        <v>6241758</v>
      </c>
      <c r="K53" s="457">
        <f t="shared" ref="K53:K54" si="184">ROUND(J53*33.8%,0)</f>
        <v>2109714</v>
      </c>
      <c r="L53" s="457">
        <f t="shared" ref="L53:L54" si="185">ROUND(J53*1%,0)</f>
        <v>62418</v>
      </c>
      <c r="M53" s="457">
        <v>42800</v>
      </c>
      <c r="N53" s="458">
        <f t="shared" ref="N53:N54" si="186">O53+P53</f>
        <v>12.99</v>
      </c>
      <c r="O53" s="459">
        <v>10</v>
      </c>
      <c r="P53" s="468">
        <v>2.99</v>
      </c>
      <c r="Q53" s="470">
        <f t="shared" ref="Q53:Q54" si="187">W53*-1</f>
        <v>-32500</v>
      </c>
      <c r="R53" s="460">
        <v>0</v>
      </c>
      <c r="S53" s="673">
        <v>0</v>
      </c>
      <c r="T53" s="460">
        <v>0</v>
      </c>
      <c r="U53" s="460">
        <v>0</v>
      </c>
      <c r="V53" s="460">
        <f>SUM(Q53:U53)</f>
        <v>-32500</v>
      </c>
      <c r="W53" s="460">
        <v>32500</v>
      </c>
      <c r="X53" s="460">
        <v>0</v>
      </c>
      <c r="Y53" s="460">
        <v>0</v>
      </c>
      <c r="Z53" s="460">
        <f t="shared" ref="Z53:Z54" si="188">SUM(W53:Y53)</f>
        <v>32500</v>
      </c>
      <c r="AA53" s="460">
        <f t="shared" ref="AA53:AA54" si="189">V53+Z53</f>
        <v>0</v>
      </c>
      <c r="AB53" s="69">
        <f t="shared" ref="AB53:AB54" si="190">ROUND((V53+W53+X53)*33.8%,0)</f>
        <v>0</v>
      </c>
      <c r="AC53" s="69">
        <f t="shared" ref="AC53:AC54" si="191">ROUND(V53*1%,0)</f>
        <v>-325</v>
      </c>
      <c r="AD53" s="460">
        <v>0</v>
      </c>
      <c r="AE53" s="460">
        <v>0</v>
      </c>
      <c r="AF53" s="460">
        <f t="shared" ref="AF53:AF54" si="192">SUM(AD53:AE53)</f>
        <v>0</v>
      </c>
      <c r="AG53" s="460">
        <f t="shared" ref="AG53:AG54" si="193">AA53+AB53+AC53+AF53</f>
        <v>-325</v>
      </c>
      <c r="AH53" s="461">
        <v>0</v>
      </c>
      <c r="AI53" s="461">
        <v>-0.08</v>
      </c>
      <c r="AJ53" s="461">
        <v>0</v>
      </c>
      <c r="AK53" s="461">
        <v>0</v>
      </c>
      <c r="AL53" s="674">
        <v>0</v>
      </c>
      <c r="AM53" s="461">
        <v>0</v>
      </c>
      <c r="AN53" s="461">
        <v>0</v>
      </c>
      <c r="AO53" s="461">
        <v>0</v>
      </c>
      <c r="AP53" s="461">
        <f>AH53+AJ53+AK53+AM53+AN53</f>
        <v>0</v>
      </c>
      <c r="AQ53" s="461">
        <f>AI53+AL53+AO53</f>
        <v>-0.08</v>
      </c>
      <c r="AR53" s="463">
        <f t="shared" ref="AR53:AR54" si="194">SUM(AP53:AQ53)</f>
        <v>-0.08</v>
      </c>
      <c r="AS53" s="469">
        <f>I53+AG53</f>
        <v>8456365</v>
      </c>
      <c r="AT53" s="460">
        <f>J53+V53</f>
        <v>6209258</v>
      </c>
      <c r="AU53" s="460">
        <f t="shared" ref="AU53:AU54" si="195">Z53</f>
        <v>32500</v>
      </c>
      <c r="AV53" s="460">
        <f>K53+AB53</f>
        <v>2109714</v>
      </c>
      <c r="AW53" s="460">
        <f>L53+AC53</f>
        <v>62093</v>
      </c>
      <c r="AX53" s="460">
        <f>M53+AF53</f>
        <v>42800</v>
      </c>
      <c r="AY53" s="461">
        <f>N53+AR53</f>
        <v>12.91</v>
      </c>
      <c r="AZ53" s="461">
        <f>O53+AP53</f>
        <v>10</v>
      </c>
      <c r="BA53" s="463">
        <f>P53+AQ53</f>
        <v>2.91</v>
      </c>
    </row>
    <row r="54" spans="1:53" s="229" customFormat="1" ht="12.75" customHeight="1" x14ac:dyDescent="0.2">
      <c r="A54" s="231">
        <v>13</v>
      </c>
      <c r="B54" s="232">
        <v>3473</v>
      </c>
      <c r="C54" s="232">
        <v>691003530</v>
      </c>
      <c r="D54" s="232">
        <v>72550392</v>
      </c>
      <c r="E54" s="233" t="s">
        <v>33</v>
      </c>
      <c r="F54" s="232">
        <v>3141</v>
      </c>
      <c r="G54" s="233" t="s">
        <v>311</v>
      </c>
      <c r="H54" s="264" t="s">
        <v>278</v>
      </c>
      <c r="I54" s="457">
        <f t="shared" si="183"/>
        <v>1097323</v>
      </c>
      <c r="J54" s="457">
        <v>809910</v>
      </c>
      <c r="K54" s="457">
        <f t="shared" si="184"/>
        <v>273750</v>
      </c>
      <c r="L54" s="457">
        <f t="shared" si="185"/>
        <v>8099</v>
      </c>
      <c r="M54" s="457">
        <v>5564</v>
      </c>
      <c r="N54" s="458">
        <f t="shared" si="186"/>
        <v>2.6</v>
      </c>
      <c r="O54" s="459">
        <v>0</v>
      </c>
      <c r="P54" s="468">
        <v>2.6</v>
      </c>
      <c r="Q54" s="470">
        <f t="shared" si="187"/>
        <v>0</v>
      </c>
      <c r="R54" s="460">
        <v>0</v>
      </c>
      <c r="S54" s="673">
        <v>0</v>
      </c>
      <c r="T54" s="460">
        <v>0</v>
      </c>
      <c r="U54" s="460">
        <v>0</v>
      </c>
      <c r="V54" s="460">
        <f>SUM(Q54:U54)</f>
        <v>0</v>
      </c>
      <c r="W54" s="460">
        <v>0</v>
      </c>
      <c r="X54" s="460">
        <v>0</v>
      </c>
      <c r="Y54" s="460">
        <v>0</v>
      </c>
      <c r="Z54" s="460">
        <f t="shared" si="188"/>
        <v>0</v>
      </c>
      <c r="AA54" s="460">
        <f t="shared" si="189"/>
        <v>0</v>
      </c>
      <c r="AB54" s="69">
        <f t="shared" si="190"/>
        <v>0</v>
      </c>
      <c r="AC54" s="69">
        <f t="shared" si="191"/>
        <v>0</v>
      </c>
      <c r="AD54" s="460">
        <v>0</v>
      </c>
      <c r="AE54" s="460">
        <v>0</v>
      </c>
      <c r="AF54" s="460">
        <f t="shared" si="192"/>
        <v>0</v>
      </c>
      <c r="AG54" s="460">
        <f t="shared" si="193"/>
        <v>0</v>
      </c>
      <c r="AH54" s="461">
        <v>0</v>
      </c>
      <c r="AI54" s="461">
        <v>0</v>
      </c>
      <c r="AJ54" s="461">
        <v>0</v>
      </c>
      <c r="AK54" s="461">
        <v>0</v>
      </c>
      <c r="AL54" s="674">
        <v>0</v>
      </c>
      <c r="AM54" s="461">
        <v>0</v>
      </c>
      <c r="AN54" s="461">
        <v>0</v>
      </c>
      <c r="AO54" s="461">
        <v>0</v>
      </c>
      <c r="AP54" s="461">
        <f>AH54+AJ54+AK54+AM54+AN54</f>
        <v>0</v>
      </c>
      <c r="AQ54" s="461">
        <f>AI54+AL54+AO54</f>
        <v>0</v>
      </c>
      <c r="AR54" s="463">
        <f t="shared" si="194"/>
        <v>0</v>
      </c>
      <c r="AS54" s="469">
        <f>I54+AG54</f>
        <v>1097323</v>
      </c>
      <c r="AT54" s="460">
        <f>J54+V54</f>
        <v>809910</v>
      </c>
      <c r="AU54" s="460">
        <f t="shared" si="195"/>
        <v>0</v>
      </c>
      <c r="AV54" s="460">
        <f>K54+AB54</f>
        <v>273750</v>
      </c>
      <c r="AW54" s="460">
        <f>L54+AC54</f>
        <v>8099</v>
      </c>
      <c r="AX54" s="460">
        <f>M54+AF54</f>
        <v>5564</v>
      </c>
      <c r="AY54" s="461">
        <f>N54+AR54</f>
        <v>2.6</v>
      </c>
      <c r="AZ54" s="461">
        <f>O54+AP54</f>
        <v>0</v>
      </c>
      <c r="BA54" s="463">
        <f>P54+AQ54</f>
        <v>2.6</v>
      </c>
    </row>
    <row r="55" spans="1:53" s="229" customFormat="1" ht="12.75" customHeight="1" x14ac:dyDescent="0.2">
      <c r="A55" s="156">
        <v>13</v>
      </c>
      <c r="B55" s="14">
        <v>3473</v>
      </c>
      <c r="C55" s="155">
        <v>691003530</v>
      </c>
      <c r="D55" s="155">
        <v>72550392</v>
      </c>
      <c r="E55" s="230" t="s">
        <v>34</v>
      </c>
      <c r="F55" s="14"/>
      <c r="G55" s="230"/>
      <c r="H55" s="263"/>
      <c r="I55" s="464">
        <f t="shared" ref="I55:P55" si="196">SUM(I53:I54)</f>
        <v>9554013</v>
      </c>
      <c r="J55" s="464">
        <f t="shared" si="196"/>
        <v>7051668</v>
      </c>
      <c r="K55" s="464">
        <f t="shared" si="196"/>
        <v>2383464</v>
      </c>
      <c r="L55" s="464">
        <f t="shared" si="196"/>
        <v>70517</v>
      </c>
      <c r="M55" s="464">
        <f t="shared" si="196"/>
        <v>48364</v>
      </c>
      <c r="N55" s="427">
        <f t="shared" si="196"/>
        <v>15.59</v>
      </c>
      <c r="O55" s="427">
        <f t="shared" si="196"/>
        <v>10</v>
      </c>
      <c r="P55" s="427">
        <f t="shared" si="196"/>
        <v>5.59</v>
      </c>
      <c r="Q55" s="622">
        <f t="shared" ref="Q55:BA55" si="197">SUM(Q53:Q54)</f>
        <v>-32500</v>
      </c>
      <c r="R55" s="620">
        <f t="shared" si="197"/>
        <v>0</v>
      </c>
      <c r="S55" s="620">
        <f t="shared" si="197"/>
        <v>0</v>
      </c>
      <c r="T55" s="620">
        <f t="shared" si="197"/>
        <v>0</v>
      </c>
      <c r="U55" s="620">
        <f t="shared" si="197"/>
        <v>0</v>
      </c>
      <c r="V55" s="620">
        <f t="shared" si="197"/>
        <v>-32500</v>
      </c>
      <c r="W55" s="620">
        <f t="shared" si="197"/>
        <v>32500</v>
      </c>
      <c r="X55" s="620">
        <f t="shared" si="197"/>
        <v>0</v>
      </c>
      <c r="Y55" s="620">
        <f t="shared" si="197"/>
        <v>0</v>
      </c>
      <c r="Z55" s="620">
        <f t="shared" si="197"/>
        <v>32500</v>
      </c>
      <c r="AA55" s="620">
        <f t="shared" si="197"/>
        <v>0</v>
      </c>
      <c r="AB55" s="620">
        <f t="shared" si="197"/>
        <v>0</v>
      </c>
      <c r="AC55" s="620">
        <f t="shared" si="197"/>
        <v>-325</v>
      </c>
      <c r="AD55" s="620">
        <f t="shared" si="197"/>
        <v>0</v>
      </c>
      <c r="AE55" s="620">
        <f t="shared" si="197"/>
        <v>0</v>
      </c>
      <c r="AF55" s="620">
        <f t="shared" si="197"/>
        <v>0</v>
      </c>
      <c r="AG55" s="620">
        <f t="shared" si="197"/>
        <v>-325</v>
      </c>
      <c r="AH55" s="621">
        <f t="shared" si="197"/>
        <v>0</v>
      </c>
      <c r="AI55" s="621">
        <f t="shared" si="197"/>
        <v>-0.08</v>
      </c>
      <c r="AJ55" s="621">
        <f t="shared" si="197"/>
        <v>0</v>
      </c>
      <c r="AK55" s="621">
        <f t="shared" si="197"/>
        <v>0</v>
      </c>
      <c r="AL55" s="621">
        <f t="shared" si="197"/>
        <v>0</v>
      </c>
      <c r="AM55" s="621">
        <f t="shared" si="197"/>
        <v>0</v>
      </c>
      <c r="AN55" s="621">
        <f t="shared" si="197"/>
        <v>0</v>
      </c>
      <c r="AO55" s="621">
        <f t="shared" si="197"/>
        <v>0</v>
      </c>
      <c r="AP55" s="621">
        <f t="shared" si="197"/>
        <v>0</v>
      </c>
      <c r="AQ55" s="621">
        <f t="shared" si="197"/>
        <v>-0.08</v>
      </c>
      <c r="AR55" s="623">
        <f t="shared" si="197"/>
        <v>-0.08</v>
      </c>
      <c r="AS55" s="618">
        <f t="shared" si="197"/>
        <v>9553688</v>
      </c>
      <c r="AT55" s="464">
        <f t="shared" si="197"/>
        <v>7019168</v>
      </c>
      <c r="AU55" s="464">
        <f t="shared" si="197"/>
        <v>32500</v>
      </c>
      <c r="AV55" s="464">
        <f t="shared" si="197"/>
        <v>2383464</v>
      </c>
      <c r="AW55" s="464">
        <f t="shared" si="197"/>
        <v>70192</v>
      </c>
      <c r="AX55" s="464">
        <f t="shared" si="197"/>
        <v>48364</v>
      </c>
      <c r="AY55" s="427">
        <f t="shared" si="197"/>
        <v>15.51</v>
      </c>
      <c r="AZ55" s="427">
        <f t="shared" si="197"/>
        <v>10</v>
      </c>
      <c r="BA55" s="496">
        <f t="shared" si="197"/>
        <v>5.51</v>
      </c>
    </row>
    <row r="56" spans="1:53" s="229" customFormat="1" ht="12.75" customHeight="1" x14ac:dyDescent="0.2">
      <c r="A56" s="231">
        <v>14</v>
      </c>
      <c r="B56" s="232">
        <v>3474</v>
      </c>
      <c r="C56" s="232">
        <v>691003505</v>
      </c>
      <c r="D56" s="232">
        <v>72550406</v>
      </c>
      <c r="E56" s="233" t="s">
        <v>35</v>
      </c>
      <c r="F56" s="232">
        <v>3111</v>
      </c>
      <c r="G56" s="233" t="s">
        <v>307</v>
      </c>
      <c r="H56" s="264" t="s">
        <v>277</v>
      </c>
      <c r="I56" s="457">
        <f t="shared" ref="I56:I58" si="198">SUM(J56:M56)</f>
        <v>5151545</v>
      </c>
      <c r="J56" s="457">
        <v>3801443</v>
      </c>
      <c r="K56" s="457">
        <f t="shared" ref="K56:K58" si="199">ROUND(J56*33.8%,0)</f>
        <v>1284888</v>
      </c>
      <c r="L56" s="457">
        <f t="shared" ref="L56:L58" si="200">ROUND(J56*1%,0)</f>
        <v>38014</v>
      </c>
      <c r="M56" s="457">
        <v>27200</v>
      </c>
      <c r="N56" s="458">
        <f t="shared" ref="N56:N58" si="201">O56+P56</f>
        <v>8.0400000000000009</v>
      </c>
      <c r="O56" s="459">
        <v>6.24</v>
      </c>
      <c r="P56" s="468">
        <v>1.8</v>
      </c>
      <c r="Q56" s="470">
        <f t="shared" ref="Q56:Q58" si="202">W56*-1</f>
        <v>-17550</v>
      </c>
      <c r="R56" s="460">
        <v>0</v>
      </c>
      <c r="S56" s="673">
        <v>0</v>
      </c>
      <c r="T56" s="460">
        <v>0</v>
      </c>
      <c r="U56" s="460">
        <v>0</v>
      </c>
      <c r="V56" s="460">
        <f>SUM(Q56:U56)</f>
        <v>-17550</v>
      </c>
      <c r="W56" s="460">
        <v>17550</v>
      </c>
      <c r="X56" s="460">
        <v>0</v>
      </c>
      <c r="Y56" s="460">
        <v>0</v>
      </c>
      <c r="Z56" s="460">
        <f t="shared" ref="Z56:Z58" si="203">SUM(W56:Y56)</f>
        <v>17550</v>
      </c>
      <c r="AA56" s="460">
        <f t="shared" ref="AA56:AA58" si="204">V56+Z56</f>
        <v>0</v>
      </c>
      <c r="AB56" s="69">
        <f t="shared" ref="AB56:AB58" si="205">ROUND((V56+W56+X56)*33.8%,0)</f>
        <v>0</v>
      </c>
      <c r="AC56" s="69">
        <f t="shared" ref="AC56:AC58" si="206">ROUND(V56*1%,0)</f>
        <v>-176</v>
      </c>
      <c r="AD56" s="460">
        <v>0</v>
      </c>
      <c r="AE56" s="460">
        <v>0</v>
      </c>
      <c r="AF56" s="460">
        <f t="shared" ref="AF56:AF58" si="207">SUM(AD56:AE56)</f>
        <v>0</v>
      </c>
      <c r="AG56" s="460">
        <f t="shared" ref="AG56:AG58" si="208">AA56+AB56+AC56+AF56</f>
        <v>-176</v>
      </c>
      <c r="AH56" s="461">
        <v>0</v>
      </c>
      <c r="AI56" s="461">
        <v>-0.06</v>
      </c>
      <c r="AJ56" s="461">
        <v>0</v>
      </c>
      <c r="AK56" s="461">
        <v>0</v>
      </c>
      <c r="AL56" s="674">
        <v>0</v>
      </c>
      <c r="AM56" s="461">
        <v>0</v>
      </c>
      <c r="AN56" s="461">
        <v>0</v>
      </c>
      <c r="AO56" s="461">
        <v>0</v>
      </c>
      <c r="AP56" s="461">
        <f>AH56+AJ56+AK56+AM56+AN56</f>
        <v>0</v>
      </c>
      <c r="AQ56" s="461">
        <f>AI56+AL56+AO56</f>
        <v>-0.06</v>
      </c>
      <c r="AR56" s="463">
        <f t="shared" ref="AR56:AR58" si="209">SUM(AP56:AQ56)</f>
        <v>-0.06</v>
      </c>
      <c r="AS56" s="469">
        <f>I56+AG56</f>
        <v>5151369</v>
      </c>
      <c r="AT56" s="460">
        <f>J56+V56</f>
        <v>3783893</v>
      </c>
      <c r="AU56" s="460">
        <f t="shared" ref="AU56:AU58" si="210">Z56</f>
        <v>17550</v>
      </c>
      <c r="AV56" s="460">
        <f t="shared" ref="AV56:AW58" si="211">K56+AB56</f>
        <v>1284888</v>
      </c>
      <c r="AW56" s="460">
        <f t="shared" si="211"/>
        <v>37838</v>
      </c>
      <c r="AX56" s="460">
        <f>M56+AF56</f>
        <v>27200</v>
      </c>
      <c r="AY56" s="461">
        <f>N56+AR56</f>
        <v>7.9800000000000013</v>
      </c>
      <c r="AZ56" s="461">
        <f t="shared" ref="AZ56:BA58" si="212">O56+AP56</f>
        <v>6.24</v>
      </c>
      <c r="BA56" s="463">
        <f t="shared" si="212"/>
        <v>1.74</v>
      </c>
    </row>
    <row r="57" spans="1:53" s="229" customFormat="1" ht="12.75" customHeight="1" x14ac:dyDescent="0.2">
      <c r="A57" s="231">
        <v>14</v>
      </c>
      <c r="B57" s="232">
        <v>3474</v>
      </c>
      <c r="C57" s="232">
        <v>691003505</v>
      </c>
      <c r="D57" s="232">
        <v>72550406</v>
      </c>
      <c r="E57" s="233" t="s">
        <v>35</v>
      </c>
      <c r="F57" s="232">
        <v>3111</v>
      </c>
      <c r="G57" s="233" t="s">
        <v>308</v>
      </c>
      <c r="H57" s="264" t="s">
        <v>278</v>
      </c>
      <c r="I57" s="457">
        <f t="shared" si="198"/>
        <v>0</v>
      </c>
      <c r="J57" s="457">
        <v>0</v>
      </c>
      <c r="K57" s="457">
        <f t="shared" si="199"/>
        <v>0</v>
      </c>
      <c r="L57" s="457">
        <f t="shared" si="200"/>
        <v>0</v>
      </c>
      <c r="M57" s="457">
        <v>0</v>
      </c>
      <c r="N57" s="458">
        <f t="shared" si="201"/>
        <v>0</v>
      </c>
      <c r="O57" s="459">
        <v>0</v>
      </c>
      <c r="P57" s="468">
        <v>0</v>
      </c>
      <c r="Q57" s="470">
        <f t="shared" si="202"/>
        <v>0</v>
      </c>
      <c r="R57" s="460">
        <v>259835</v>
      </c>
      <c r="S57" s="673">
        <v>0</v>
      </c>
      <c r="T57" s="460">
        <v>0</v>
      </c>
      <c r="U57" s="460">
        <v>0</v>
      </c>
      <c r="V57" s="460">
        <f>SUM(Q57:U57)</f>
        <v>259835</v>
      </c>
      <c r="W57" s="460">
        <v>0</v>
      </c>
      <c r="X57" s="460">
        <v>0</v>
      </c>
      <c r="Y57" s="460">
        <v>0</v>
      </c>
      <c r="Z57" s="460">
        <f t="shared" si="203"/>
        <v>0</v>
      </c>
      <c r="AA57" s="460">
        <f t="shared" si="204"/>
        <v>259835</v>
      </c>
      <c r="AB57" s="69">
        <f t="shared" si="205"/>
        <v>87824</v>
      </c>
      <c r="AC57" s="69">
        <f t="shared" si="206"/>
        <v>2598</v>
      </c>
      <c r="AD57" s="460">
        <v>0</v>
      </c>
      <c r="AE57" s="460">
        <v>0</v>
      </c>
      <c r="AF57" s="460">
        <f t="shared" si="207"/>
        <v>0</v>
      </c>
      <c r="AG57" s="460">
        <f t="shared" si="208"/>
        <v>350257</v>
      </c>
      <c r="AH57" s="461">
        <v>0</v>
      </c>
      <c r="AI57" s="461">
        <v>0</v>
      </c>
      <c r="AJ57" s="461">
        <v>0.75</v>
      </c>
      <c r="AK57" s="461">
        <v>0</v>
      </c>
      <c r="AL57" s="674">
        <v>0</v>
      </c>
      <c r="AM57" s="461">
        <v>0</v>
      </c>
      <c r="AN57" s="461">
        <v>0</v>
      </c>
      <c r="AO57" s="461">
        <v>0</v>
      </c>
      <c r="AP57" s="461">
        <f>AH57+AJ57+AK57+AM57+AN57</f>
        <v>0.75</v>
      </c>
      <c r="AQ57" s="461">
        <f>AI57+AL57+AO57</f>
        <v>0</v>
      </c>
      <c r="AR57" s="463">
        <f t="shared" si="209"/>
        <v>0.75</v>
      </c>
      <c r="AS57" s="469">
        <f>I57+AG57</f>
        <v>350257</v>
      </c>
      <c r="AT57" s="460">
        <f>J57+V57</f>
        <v>259835</v>
      </c>
      <c r="AU57" s="460">
        <f t="shared" si="210"/>
        <v>0</v>
      </c>
      <c r="AV57" s="460">
        <f t="shared" si="211"/>
        <v>87824</v>
      </c>
      <c r="AW57" s="460">
        <f t="shared" si="211"/>
        <v>2598</v>
      </c>
      <c r="AX57" s="460">
        <f>M57+AF57</f>
        <v>0</v>
      </c>
      <c r="AY57" s="461">
        <f>N57+AR57</f>
        <v>0.75</v>
      </c>
      <c r="AZ57" s="461">
        <f t="shared" si="212"/>
        <v>0.75</v>
      </c>
      <c r="BA57" s="463">
        <f t="shared" si="212"/>
        <v>0</v>
      </c>
    </row>
    <row r="58" spans="1:53" s="229" customFormat="1" ht="12.75" customHeight="1" x14ac:dyDescent="0.2">
      <c r="A58" s="231">
        <v>14</v>
      </c>
      <c r="B58" s="232">
        <v>3474</v>
      </c>
      <c r="C58" s="232">
        <v>691003505</v>
      </c>
      <c r="D58" s="232">
        <v>72550406</v>
      </c>
      <c r="E58" s="233" t="s">
        <v>36</v>
      </c>
      <c r="F58" s="232">
        <v>3141</v>
      </c>
      <c r="G58" s="233" t="s">
        <v>311</v>
      </c>
      <c r="H58" s="264" t="s">
        <v>278</v>
      </c>
      <c r="I58" s="457">
        <f t="shared" si="198"/>
        <v>799550</v>
      </c>
      <c r="J58" s="457">
        <v>590515</v>
      </c>
      <c r="K58" s="457">
        <f t="shared" si="199"/>
        <v>199594</v>
      </c>
      <c r="L58" s="457">
        <f t="shared" si="200"/>
        <v>5905</v>
      </c>
      <c r="M58" s="457">
        <v>3536</v>
      </c>
      <c r="N58" s="458">
        <f t="shared" si="201"/>
        <v>1.9</v>
      </c>
      <c r="O58" s="459">
        <v>0</v>
      </c>
      <c r="P58" s="468">
        <v>1.9</v>
      </c>
      <c r="Q58" s="470">
        <f t="shared" si="202"/>
        <v>0</v>
      </c>
      <c r="R58" s="460">
        <v>0</v>
      </c>
      <c r="S58" s="673">
        <v>0</v>
      </c>
      <c r="T58" s="460">
        <v>0</v>
      </c>
      <c r="U58" s="460">
        <v>0</v>
      </c>
      <c r="V58" s="460">
        <f>SUM(Q58:U58)</f>
        <v>0</v>
      </c>
      <c r="W58" s="460">
        <v>0</v>
      </c>
      <c r="X58" s="460">
        <v>0</v>
      </c>
      <c r="Y58" s="460">
        <v>0</v>
      </c>
      <c r="Z58" s="460">
        <f t="shared" si="203"/>
        <v>0</v>
      </c>
      <c r="AA58" s="460">
        <f t="shared" si="204"/>
        <v>0</v>
      </c>
      <c r="AB58" s="69">
        <f t="shared" si="205"/>
        <v>0</v>
      </c>
      <c r="AC58" s="69">
        <f t="shared" si="206"/>
        <v>0</v>
      </c>
      <c r="AD58" s="460">
        <v>0</v>
      </c>
      <c r="AE58" s="460">
        <v>0</v>
      </c>
      <c r="AF58" s="460">
        <f t="shared" si="207"/>
        <v>0</v>
      </c>
      <c r="AG58" s="460">
        <f t="shared" si="208"/>
        <v>0</v>
      </c>
      <c r="AH58" s="461">
        <v>0</v>
      </c>
      <c r="AI58" s="461">
        <v>0</v>
      </c>
      <c r="AJ58" s="461">
        <v>0</v>
      </c>
      <c r="AK58" s="461">
        <v>0</v>
      </c>
      <c r="AL58" s="674">
        <v>0</v>
      </c>
      <c r="AM58" s="461">
        <v>0</v>
      </c>
      <c r="AN58" s="461">
        <v>0</v>
      </c>
      <c r="AO58" s="461">
        <v>0</v>
      </c>
      <c r="AP58" s="461">
        <f>AH58+AJ58+AK58+AM58+AN58</f>
        <v>0</v>
      </c>
      <c r="AQ58" s="461">
        <f>AI58+AL58+AO58</f>
        <v>0</v>
      </c>
      <c r="AR58" s="463">
        <f t="shared" si="209"/>
        <v>0</v>
      </c>
      <c r="AS58" s="469">
        <f>I58+AG58</f>
        <v>799550</v>
      </c>
      <c r="AT58" s="460">
        <f>J58+V58</f>
        <v>590515</v>
      </c>
      <c r="AU58" s="460">
        <f t="shared" si="210"/>
        <v>0</v>
      </c>
      <c r="AV58" s="460">
        <f t="shared" si="211"/>
        <v>199594</v>
      </c>
      <c r="AW58" s="460">
        <f t="shared" si="211"/>
        <v>5905</v>
      </c>
      <c r="AX58" s="460">
        <f>M58+AF58</f>
        <v>3536</v>
      </c>
      <c r="AY58" s="461">
        <f>N58+AR58</f>
        <v>1.9</v>
      </c>
      <c r="AZ58" s="461">
        <f t="shared" si="212"/>
        <v>0</v>
      </c>
      <c r="BA58" s="463">
        <f t="shared" si="212"/>
        <v>1.9</v>
      </c>
    </row>
    <row r="59" spans="1:53" s="229" customFormat="1" ht="12.75" customHeight="1" x14ac:dyDescent="0.2">
      <c r="A59" s="156">
        <v>14</v>
      </c>
      <c r="B59" s="14">
        <v>3474</v>
      </c>
      <c r="C59" s="155">
        <v>691003505</v>
      </c>
      <c r="D59" s="155">
        <v>72550406</v>
      </c>
      <c r="E59" s="230" t="s">
        <v>37</v>
      </c>
      <c r="F59" s="14"/>
      <c r="G59" s="230"/>
      <c r="H59" s="263"/>
      <c r="I59" s="464">
        <f t="shared" ref="I59:P59" si="213">SUM(I56:I58)</f>
        <v>5951095</v>
      </c>
      <c r="J59" s="464">
        <f t="shared" si="213"/>
        <v>4391958</v>
      </c>
      <c r="K59" s="464">
        <f t="shared" si="213"/>
        <v>1484482</v>
      </c>
      <c r="L59" s="464">
        <f t="shared" si="213"/>
        <v>43919</v>
      </c>
      <c r="M59" s="464">
        <f t="shared" si="213"/>
        <v>30736</v>
      </c>
      <c r="N59" s="427">
        <f t="shared" si="213"/>
        <v>9.9400000000000013</v>
      </c>
      <c r="O59" s="427">
        <f t="shared" si="213"/>
        <v>6.24</v>
      </c>
      <c r="P59" s="427">
        <f t="shared" si="213"/>
        <v>3.7</v>
      </c>
      <c r="Q59" s="622">
        <f t="shared" ref="Q59:BA59" si="214">SUM(Q56:Q58)</f>
        <v>-17550</v>
      </c>
      <c r="R59" s="620">
        <f t="shared" si="214"/>
        <v>259835</v>
      </c>
      <c r="S59" s="620">
        <f t="shared" si="214"/>
        <v>0</v>
      </c>
      <c r="T59" s="620">
        <f t="shared" si="214"/>
        <v>0</v>
      </c>
      <c r="U59" s="620">
        <f t="shared" si="214"/>
        <v>0</v>
      </c>
      <c r="V59" s="620">
        <f t="shared" si="214"/>
        <v>242285</v>
      </c>
      <c r="W59" s="620">
        <f t="shared" si="214"/>
        <v>17550</v>
      </c>
      <c r="X59" s="620">
        <f t="shared" si="214"/>
        <v>0</v>
      </c>
      <c r="Y59" s="620">
        <f t="shared" si="214"/>
        <v>0</v>
      </c>
      <c r="Z59" s="620">
        <f t="shared" si="214"/>
        <v>17550</v>
      </c>
      <c r="AA59" s="620">
        <f t="shared" si="214"/>
        <v>259835</v>
      </c>
      <c r="AB59" s="620">
        <f t="shared" si="214"/>
        <v>87824</v>
      </c>
      <c r="AC59" s="620">
        <f t="shared" si="214"/>
        <v>2422</v>
      </c>
      <c r="AD59" s="620">
        <f t="shared" si="214"/>
        <v>0</v>
      </c>
      <c r="AE59" s="620">
        <f t="shared" si="214"/>
        <v>0</v>
      </c>
      <c r="AF59" s="620">
        <f t="shared" si="214"/>
        <v>0</v>
      </c>
      <c r="AG59" s="620">
        <f t="shared" si="214"/>
        <v>350081</v>
      </c>
      <c r="AH59" s="621">
        <f t="shared" si="214"/>
        <v>0</v>
      </c>
      <c r="AI59" s="621">
        <f t="shared" si="214"/>
        <v>-0.06</v>
      </c>
      <c r="AJ59" s="621">
        <f t="shared" si="214"/>
        <v>0.75</v>
      </c>
      <c r="AK59" s="621">
        <f t="shared" si="214"/>
        <v>0</v>
      </c>
      <c r="AL59" s="621">
        <f t="shared" si="214"/>
        <v>0</v>
      </c>
      <c r="AM59" s="621">
        <f t="shared" si="214"/>
        <v>0</v>
      </c>
      <c r="AN59" s="621">
        <f t="shared" si="214"/>
        <v>0</v>
      </c>
      <c r="AO59" s="621">
        <f t="shared" si="214"/>
        <v>0</v>
      </c>
      <c r="AP59" s="621">
        <f t="shared" si="214"/>
        <v>0.75</v>
      </c>
      <c r="AQ59" s="621">
        <f t="shared" si="214"/>
        <v>-0.06</v>
      </c>
      <c r="AR59" s="623">
        <f t="shared" si="214"/>
        <v>0.69</v>
      </c>
      <c r="AS59" s="618">
        <f t="shared" si="214"/>
        <v>6301176</v>
      </c>
      <c r="AT59" s="464">
        <f t="shared" si="214"/>
        <v>4634243</v>
      </c>
      <c r="AU59" s="464">
        <f t="shared" si="214"/>
        <v>17550</v>
      </c>
      <c r="AV59" s="464">
        <f t="shared" si="214"/>
        <v>1572306</v>
      </c>
      <c r="AW59" s="464">
        <f t="shared" si="214"/>
        <v>46341</v>
      </c>
      <c r="AX59" s="464">
        <f t="shared" si="214"/>
        <v>30736</v>
      </c>
      <c r="AY59" s="427">
        <f t="shared" si="214"/>
        <v>10.63</v>
      </c>
      <c r="AZ59" s="427">
        <f t="shared" si="214"/>
        <v>6.99</v>
      </c>
      <c r="BA59" s="496">
        <f t="shared" si="214"/>
        <v>3.6399999999999997</v>
      </c>
    </row>
    <row r="60" spans="1:53" s="229" customFormat="1" ht="12.75" customHeight="1" x14ac:dyDescent="0.2">
      <c r="A60" s="231">
        <v>15</v>
      </c>
      <c r="B60" s="232">
        <v>3466</v>
      </c>
      <c r="C60" s="232">
        <v>691001260</v>
      </c>
      <c r="D60" s="232">
        <v>72048085</v>
      </c>
      <c r="E60" s="233" t="s">
        <v>38</v>
      </c>
      <c r="F60" s="232">
        <v>3111</v>
      </c>
      <c r="G60" s="233" t="s">
        <v>307</v>
      </c>
      <c r="H60" s="264" t="s">
        <v>277</v>
      </c>
      <c r="I60" s="457">
        <f t="shared" ref="I60:I62" si="215">SUM(J60:M60)</f>
        <v>5274759</v>
      </c>
      <c r="J60" s="457">
        <v>3892551</v>
      </c>
      <c r="K60" s="457">
        <f t="shared" ref="K60:K62" si="216">ROUND(J60*33.8%,0)</f>
        <v>1315682</v>
      </c>
      <c r="L60" s="457">
        <f t="shared" ref="L60:L62" si="217">ROUND(J60*1%,0)</f>
        <v>38926</v>
      </c>
      <c r="M60" s="457">
        <v>27600</v>
      </c>
      <c r="N60" s="458">
        <f t="shared" ref="N60:N62" si="218">O60+P60</f>
        <v>7.8</v>
      </c>
      <c r="O60" s="459">
        <v>6</v>
      </c>
      <c r="P60" s="468">
        <v>1.8</v>
      </c>
      <c r="Q60" s="470">
        <f t="shared" ref="Q60:Q62" si="219">W60*-1</f>
        <v>-20280</v>
      </c>
      <c r="R60" s="460">
        <v>0</v>
      </c>
      <c r="S60" s="673">
        <v>0</v>
      </c>
      <c r="T60" s="460">
        <v>0</v>
      </c>
      <c r="U60" s="460">
        <v>0</v>
      </c>
      <c r="V60" s="460">
        <f>SUM(Q60:U60)</f>
        <v>-20280</v>
      </c>
      <c r="W60" s="460">
        <v>20280</v>
      </c>
      <c r="X60" s="460">
        <v>0</v>
      </c>
      <c r="Y60" s="460">
        <v>0</v>
      </c>
      <c r="Z60" s="460">
        <f t="shared" ref="Z60:Z62" si="220">SUM(W60:Y60)</f>
        <v>20280</v>
      </c>
      <c r="AA60" s="460">
        <f t="shared" ref="AA60:AA62" si="221">V60+Z60</f>
        <v>0</v>
      </c>
      <c r="AB60" s="69">
        <f t="shared" ref="AB60:AB62" si="222">ROUND((V60+W60+X60)*33.8%,0)</f>
        <v>0</v>
      </c>
      <c r="AC60" s="69">
        <f t="shared" ref="AC60:AC62" si="223">ROUND(V60*1%,0)</f>
        <v>-203</v>
      </c>
      <c r="AD60" s="460">
        <v>0</v>
      </c>
      <c r="AE60" s="460">
        <v>0</v>
      </c>
      <c r="AF60" s="460">
        <f t="shared" ref="AF60:AF62" si="224">SUM(AD60:AE60)</f>
        <v>0</v>
      </c>
      <c r="AG60" s="460">
        <f t="shared" ref="AG60:AG62" si="225">AA60+AB60+AC60+AF60</f>
        <v>-203</v>
      </c>
      <c r="AH60" s="461">
        <v>0</v>
      </c>
      <c r="AI60" s="461">
        <v>-0.09</v>
      </c>
      <c r="AJ60" s="461">
        <v>0</v>
      </c>
      <c r="AK60" s="461">
        <v>0</v>
      </c>
      <c r="AL60" s="674">
        <v>0</v>
      </c>
      <c r="AM60" s="461">
        <v>0</v>
      </c>
      <c r="AN60" s="461">
        <v>0</v>
      </c>
      <c r="AO60" s="461">
        <v>0</v>
      </c>
      <c r="AP60" s="461">
        <f>AH60+AJ60+AK60+AM60+AN60</f>
        <v>0</v>
      </c>
      <c r="AQ60" s="461">
        <f>AI60+AL60+AO60</f>
        <v>-0.09</v>
      </c>
      <c r="AR60" s="463">
        <f t="shared" ref="AR60:AR62" si="226">SUM(AP60:AQ60)</f>
        <v>-0.09</v>
      </c>
      <c r="AS60" s="469">
        <f>I60+AG60</f>
        <v>5274556</v>
      </c>
      <c r="AT60" s="460">
        <f>J60+V60</f>
        <v>3872271</v>
      </c>
      <c r="AU60" s="460">
        <f t="shared" ref="AU60:AU62" si="227">Z60</f>
        <v>20280</v>
      </c>
      <c r="AV60" s="460">
        <f t="shared" ref="AV60:AW62" si="228">K60+AB60</f>
        <v>1315682</v>
      </c>
      <c r="AW60" s="460">
        <f t="shared" si="228"/>
        <v>38723</v>
      </c>
      <c r="AX60" s="460">
        <f>M60+AF60</f>
        <v>27600</v>
      </c>
      <c r="AY60" s="461">
        <f>N60+AR60</f>
        <v>7.71</v>
      </c>
      <c r="AZ60" s="461">
        <f t="shared" ref="AZ60:BA62" si="229">O60+AP60</f>
        <v>6</v>
      </c>
      <c r="BA60" s="463">
        <f t="shared" si="229"/>
        <v>1.71</v>
      </c>
    </row>
    <row r="61" spans="1:53" s="229" customFormat="1" x14ac:dyDescent="0.2">
      <c r="A61" s="231">
        <v>15</v>
      </c>
      <c r="B61" s="232">
        <v>3466</v>
      </c>
      <c r="C61" s="232">
        <v>691001260</v>
      </c>
      <c r="D61" s="232">
        <v>72048085</v>
      </c>
      <c r="E61" s="233" t="s">
        <v>38</v>
      </c>
      <c r="F61" s="232">
        <v>3111</v>
      </c>
      <c r="G61" s="233" t="s">
        <v>308</v>
      </c>
      <c r="H61" s="264" t="s">
        <v>278</v>
      </c>
      <c r="I61" s="457">
        <f t="shared" si="215"/>
        <v>0</v>
      </c>
      <c r="J61" s="457">
        <v>0</v>
      </c>
      <c r="K61" s="457">
        <f t="shared" si="216"/>
        <v>0</v>
      </c>
      <c r="L61" s="457">
        <f t="shared" si="217"/>
        <v>0</v>
      </c>
      <c r="M61" s="457">
        <v>0</v>
      </c>
      <c r="N61" s="458">
        <f t="shared" si="218"/>
        <v>0</v>
      </c>
      <c r="O61" s="459">
        <v>0</v>
      </c>
      <c r="P61" s="468">
        <v>0</v>
      </c>
      <c r="Q61" s="470">
        <f t="shared" si="219"/>
        <v>0</v>
      </c>
      <c r="R61" s="460">
        <v>346446</v>
      </c>
      <c r="S61" s="673">
        <v>0</v>
      </c>
      <c r="T61" s="460">
        <v>0</v>
      </c>
      <c r="U61" s="460">
        <v>0</v>
      </c>
      <c r="V61" s="460">
        <f>SUM(Q61:U61)</f>
        <v>346446</v>
      </c>
      <c r="W61" s="460">
        <v>0</v>
      </c>
      <c r="X61" s="460">
        <v>0</v>
      </c>
      <c r="Y61" s="460">
        <v>0</v>
      </c>
      <c r="Z61" s="460">
        <f t="shared" si="220"/>
        <v>0</v>
      </c>
      <c r="AA61" s="460">
        <f t="shared" si="221"/>
        <v>346446</v>
      </c>
      <c r="AB61" s="69">
        <f t="shared" si="222"/>
        <v>117099</v>
      </c>
      <c r="AC61" s="69">
        <f t="shared" si="223"/>
        <v>3464</v>
      </c>
      <c r="AD61" s="460">
        <v>0</v>
      </c>
      <c r="AE61" s="460">
        <v>0</v>
      </c>
      <c r="AF61" s="460">
        <f t="shared" si="224"/>
        <v>0</v>
      </c>
      <c r="AG61" s="460">
        <f t="shared" si="225"/>
        <v>467009</v>
      </c>
      <c r="AH61" s="461">
        <v>0</v>
      </c>
      <c r="AI61" s="461">
        <v>0</v>
      </c>
      <c r="AJ61" s="461">
        <v>1</v>
      </c>
      <c r="AK61" s="461">
        <v>0</v>
      </c>
      <c r="AL61" s="674">
        <v>0</v>
      </c>
      <c r="AM61" s="461">
        <v>0</v>
      </c>
      <c r="AN61" s="461">
        <v>0</v>
      </c>
      <c r="AO61" s="461">
        <v>0</v>
      </c>
      <c r="AP61" s="461">
        <f>AH61+AJ61+AK61+AM61+AN61</f>
        <v>1</v>
      </c>
      <c r="AQ61" s="461">
        <f>AI61+AL61+AO61</f>
        <v>0</v>
      </c>
      <c r="AR61" s="463">
        <f t="shared" si="226"/>
        <v>1</v>
      </c>
      <c r="AS61" s="469">
        <f>I61+AG61</f>
        <v>467009</v>
      </c>
      <c r="AT61" s="460">
        <f>J61+V61</f>
        <v>346446</v>
      </c>
      <c r="AU61" s="460">
        <f t="shared" si="227"/>
        <v>0</v>
      </c>
      <c r="AV61" s="460">
        <f t="shared" si="228"/>
        <v>117099</v>
      </c>
      <c r="AW61" s="460">
        <f t="shared" si="228"/>
        <v>3464</v>
      </c>
      <c r="AX61" s="460">
        <f>M61+AF61</f>
        <v>0</v>
      </c>
      <c r="AY61" s="461">
        <f>N61+AR61</f>
        <v>1</v>
      </c>
      <c r="AZ61" s="461">
        <f t="shared" si="229"/>
        <v>1</v>
      </c>
      <c r="BA61" s="463">
        <f t="shared" si="229"/>
        <v>0</v>
      </c>
    </row>
    <row r="62" spans="1:53" s="229" customFormat="1" ht="12.75" customHeight="1" x14ac:dyDescent="0.2">
      <c r="A62" s="231">
        <v>15</v>
      </c>
      <c r="B62" s="232">
        <v>3466</v>
      </c>
      <c r="C62" s="232">
        <v>691001260</v>
      </c>
      <c r="D62" s="232">
        <v>72048085</v>
      </c>
      <c r="E62" s="233" t="s">
        <v>38</v>
      </c>
      <c r="F62" s="232">
        <v>3141</v>
      </c>
      <c r="G62" s="233" t="s">
        <v>311</v>
      </c>
      <c r="H62" s="264" t="s">
        <v>278</v>
      </c>
      <c r="I62" s="457">
        <f t="shared" si="215"/>
        <v>807466</v>
      </c>
      <c r="J62" s="457">
        <v>596349</v>
      </c>
      <c r="K62" s="457">
        <f t="shared" si="216"/>
        <v>201566</v>
      </c>
      <c r="L62" s="457">
        <f t="shared" si="217"/>
        <v>5963</v>
      </c>
      <c r="M62" s="457">
        <v>3588</v>
      </c>
      <c r="N62" s="458">
        <f t="shared" si="218"/>
        <v>1.92</v>
      </c>
      <c r="O62" s="459">
        <v>0</v>
      </c>
      <c r="P62" s="468">
        <v>1.92</v>
      </c>
      <c r="Q62" s="470">
        <f t="shared" si="219"/>
        <v>0</v>
      </c>
      <c r="R62" s="460">
        <v>0</v>
      </c>
      <c r="S62" s="673">
        <v>0</v>
      </c>
      <c r="T62" s="460">
        <v>0</v>
      </c>
      <c r="U62" s="460">
        <v>0</v>
      </c>
      <c r="V62" s="460">
        <f>SUM(Q62:U62)</f>
        <v>0</v>
      </c>
      <c r="W62" s="460">
        <v>0</v>
      </c>
      <c r="X62" s="460">
        <v>0</v>
      </c>
      <c r="Y62" s="460">
        <v>0</v>
      </c>
      <c r="Z62" s="460">
        <f t="shared" si="220"/>
        <v>0</v>
      </c>
      <c r="AA62" s="460">
        <f t="shared" si="221"/>
        <v>0</v>
      </c>
      <c r="AB62" s="69">
        <f t="shared" si="222"/>
        <v>0</v>
      </c>
      <c r="AC62" s="69">
        <f t="shared" si="223"/>
        <v>0</v>
      </c>
      <c r="AD62" s="460">
        <v>0</v>
      </c>
      <c r="AE62" s="460">
        <v>0</v>
      </c>
      <c r="AF62" s="460">
        <f t="shared" si="224"/>
        <v>0</v>
      </c>
      <c r="AG62" s="460">
        <f t="shared" si="225"/>
        <v>0</v>
      </c>
      <c r="AH62" s="461">
        <v>0</v>
      </c>
      <c r="AI62" s="461">
        <v>0</v>
      </c>
      <c r="AJ62" s="461">
        <v>0</v>
      </c>
      <c r="AK62" s="461">
        <v>0</v>
      </c>
      <c r="AL62" s="674">
        <v>0</v>
      </c>
      <c r="AM62" s="461">
        <v>0</v>
      </c>
      <c r="AN62" s="461">
        <v>0</v>
      </c>
      <c r="AO62" s="461">
        <v>0</v>
      </c>
      <c r="AP62" s="461">
        <f>AH62+AJ62+AK62+AM62+AN62</f>
        <v>0</v>
      </c>
      <c r="AQ62" s="461">
        <f>AI62+AL62+AO62</f>
        <v>0</v>
      </c>
      <c r="AR62" s="463">
        <f t="shared" si="226"/>
        <v>0</v>
      </c>
      <c r="AS62" s="469">
        <f>I62+AG62</f>
        <v>807466</v>
      </c>
      <c r="AT62" s="460">
        <f>J62+V62</f>
        <v>596349</v>
      </c>
      <c r="AU62" s="460">
        <f t="shared" si="227"/>
        <v>0</v>
      </c>
      <c r="AV62" s="460">
        <f t="shared" si="228"/>
        <v>201566</v>
      </c>
      <c r="AW62" s="460">
        <f t="shared" si="228"/>
        <v>5963</v>
      </c>
      <c r="AX62" s="460">
        <f>M62+AF62</f>
        <v>3588</v>
      </c>
      <c r="AY62" s="461">
        <f>N62+AR62</f>
        <v>1.92</v>
      </c>
      <c r="AZ62" s="461">
        <f t="shared" si="229"/>
        <v>0</v>
      </c>
      <c r="BA62" s="463">
        <f t="shared" si="229"/>
        <v>1.92</v>
      </c>
    </row>
    <row r="63" spans="1:53" s="229" customFormat="1" ht="12.75" customHeight="1" x14ac:dyDescent="0.2">
      <c r="A63" s="156">
        <v>15</v>
      </c>
      <c r="B63" s="14">
        <v>3466</v>
      </c>
      <c r="C63" s="155">
        <v>691001260</v>
      </c>
      <c r="D63" s="155">
        <v>72048085</v>
      </c>
      <c r="E63" s="230" t="s">
        <v>39</v>
      </c>
      <c r="F63" s="14"/>
      <c r="G63" s="230"/>
      <c r="H63" s="263"/>
      <c r="I63" s="464">
        <f t="shared" ref="I63:P63" si="230">SUM(I60:I62)</f>
        <v>6082225</v>
      </c>
      <c r="J63" s="464">
        <f t="shared" si="230"/>
        <v>4488900</v>
      </c>
      <c r="K63" s="464">
        <f t="shared" si="230"/>
        <v>1517248</v>
      </c>
      <c r="L63" s="464">
        <f t="shared" si="230"/>
        <v>44889</v>
      </c>
      <c r="M63" s="464">
        <f t="shared" si="230"/>
        <v>31188</v>
      </c>
      <c r="N63" s="427">
        <f t="shared" si="230"/>
        <v>9.7199999999999989</v>
      </c>
      <c r="O63" s="427">
        <f t="shared" si="230"/>
        <v>6</v>
      </c>
      <c r="P63" s="427">
        <f t="shared" si="230"/>
        <v>3.7199999999999998</v>
      </c>
      <c r="Q63" s="622">
        <f t="shared" ref="Q63:BA63" si="231">SUM(Q60:Q62)</f>
        <v>-20280</v>
      </c>
      <c r="R63" s="620">
        <f t="shared" si="231"/>
        <v>346446</v>
      </c>
      <c r="S63" s="620">
        <f t="shared" si="231"/>
        <v>0</v>
      </c>
      <c r="T63" s="620">
        <f t="shared" si="231"/>
        <v>0</v>
      </c>
      <c r="U63" s="620">
        <f t="shared" si="231"/>
        <v>0</v>
      </c>
      <c r="V63" s="620">
        <f t="shared" si="231"/>
        <v>326166</v>
      </c>
      <c r="W63" s="620">
        <f t="shared" si="231"/>
        <v>20280</v>
      </c>
      <c r="X63" s="620">
        <f t="shared" si="231"/>
        <v>0</v>
      </c>
      <c r="Y63" s="620">
        <f t="shared" si="231"/>
        <v>0</v>
      </c>
      <c r="Z63" s="620">
        <f t="shared" si="231"/>
        <v>20280</v>
      </c>
      <c r="AA63" s="620">
        <f t="shared" si="231"/>
        <v>346446</v>
      </c>
      <c r="AB63" s="620">
        <f t="shared" si="231"/>
        <v>117099</v>
      </c>
      <c r="AC63" s="620">
        <f t="shared" si="231"/>
        <v>3261</v>
      </c>
      <c r="AD63" s="620">
        <f t="shared" si="231"/>
        <v>0</v>
      </c>
      <c r="AE63" s="620">
        <f t="shared" si="231"/>
        <v>0</v>
      </c>
      <c r="AF63" s="620">
        <f t="shared" si="231"/>
        <v>0</v>
      </c>
      <c r="AG63" s="620">
        <f t="shared" si="231"/>
        <v>466806</v>
      </c>
      <c r="AH63" s="621">
        <f t="shared" si="231"/>
        <v>0</v>
      </c>
      <c r="AI63" s="621">
        <f t="shared" si="231"/>
        <v>-0.09</v>
      </c>
      <c r="AJ63" s="621">
        <f t="shared" si="231"/>
        <v>1</v>
      </c>
      <c r="AK63" s="621">
        <f t="shared" si="231"/>
        <v>0</v>
      </c>
      <c r="AL63" s="621">
        <f t="shared" si="231"/>
        <v>0</v>
      </c>
      <c r="AM63" s="621">
        <f t="shared" si="231"/>
        <v>0</v>
      </c>
      <c r="AN63" s="621">
        <f t="shared" si="231"/>
        <v>0</v>
      </c>
      <c r="AO63" s="621">
        <f t="shared" si="231"/>
        <v>0</v>
      </c>
      <c r="AP63" s="621">
        <f t="shared" si="231"/>
        <v>1</v>
      </c>
      <c r="AQ63" s="621">
        <f t="shared" si="231"/>
        <v>-0.09</v>
      </c>
      <c r="AR63" s="623">
        <f t="shared" si="231"/>
        <v>0.91</v>
      </c>
      <c r="AS63" s="618">
        <f t="shared" si="231"/>
        <v>6549031</v>
      </c>
      <c r="AT63" s="464">
        <f t="shared" si="231"/>
        <v>4815066</v>
      </c>
      <c r="AU63" s="464">
        <f t="shared" si="231"/>
        <v>20280</v>
      </c>
      <c r="AV63" s="464">
        <f t="shared" si="231"/>
        <v>1634347</v>
      </c>
      <c r="AW63" s="464">
        <f t="shared" si="231"/>
        <v>48150</v>
      </c>
      <c r="AX63" s="464">
        <f t="shared" si="231"/>
        <v>31188</v>
      </c>
      <c r="AY63" s="427">
        <f t="shared" si="231"/>
        <v>10.63</v>
      </c>
      <c r="AZ63" s="427">
        <f t="shared" si="231"/>
        <v>7</v>
      </c>
      <c r="BA63" s="496">
        <f t="shared" si="231"/>
        <v>3.63</v>
      </c>
    </row>
    <row r="64" spans="1:53" s="229" customFormat="1" ht="12.75" customHeight="1" x14ac:dyDescent="0.2">
      <c r="A64" s="231">
        <v>16</v>
      </c>
      <c r="B64" s="232">
        <v>3407</v>
      </c>
      <c r="C64" s="232">
        <v>667000089</v>
      </c>
      <c r="D64" s="232">
        <v>72743778</v>
      </c>
      <c r="E64" s="233" t="s">
        <v>40</v>
      </c>
      <c r="F64" s="232">
        <v>3111</v>
      </c>
      <c r="G64" s="233" t="s">
        <v>307</v>
      </c>
      <c r="H64" s="264" t="s">
        <v>277</v>
      </c>
      <c r="I64" s="457">
        <f t="shared" ref="I64:I66" si="232">SUM(J64:M64)</f>
        <v>11827724</v>
      </c>
      <c r="J64" s="457">
        <v>8727911</v>
      </c>
      <c r="K64" s="457">
        <f t="shared" ref="K64:K66" si="233">ROUND(J64*33.8%,0)</f>
        <v>2950034</v>
      </c>
      <c r="L64" s="457">
        <f t="shared" ref="L64:L66" si="234">ROUND(J64*1%,0)</f>
        <v>87279</v>
      </c>
      <c r="M64" s="457">
        <v>62500</v>
      </c>
      <c r="N64" s="458">
        <f t="shared" ref="N64:N66" si="235">O64+P64</f>
        <v>18.170000000000002</v>
      </c>
      <c r="O64" s="459">
        <v>14</v>
      </c>
      <c r="P64" s="468">
        <v>4.17</v>
      </c>
      <c r="Q64" s="470">
        <f t="shared" ref="Q64:Q66" si="236">W64*-1</f>
        <v>-13000</v>
      </c>
      <c r="R64" s="460">
        <v>0</v>
      </c>
      <c r="S64" s="673">
        <v>0</v>
      </c>
      <c r="T64" s="460">
        <v>0</v>
      </c>
      <c r="U64" s="460">
        <v>0</v>
      </c>
      <c r="V64" s="460">
        <f>SUM(Q64:U64)</f>
        <v>-13000</v>
      </c>
      <c r="W64" s="460">
        <v>13000</v>
      </c>
      <c r="X64" s="460">
        <v>0</v>
      </c>
      <c r="Y64" s="460">
        <v>0</v>
      </c>
      <c r="Z64" s="460">
        <f t="shared" ref="Z64:Z66" si="237">SUM(W64:Y64)</f>
        <v>13000</v>
      </c>
      <c r="AA64" s="460">
        <f t="shared" ref="AA64:AA66" si="238">V64+Z64</f>
        <v>0</v>
      </c>
      <c r="AB64" s="69">
        <f t="shared" ref="AB64:AB66" si="239">ROUND((V64+W64+X64)*33.8%,0)</f>
        <v>0</v>
      </c>
      <c r="AC64" s="69">
        <f t="shared" ref="AC64:AC66" si="240">ROUND(V64*1%,0)</f>
        <v>-130</v>
      </c>
      <c r="AD64" s="460">
        <v>0</v>
      </c>
      <c r="AE64" s="460">
        <v>0</v>
      </c>
      <c r="AF64" s="460">
        <f t="shared" ref="AF64:AF66" si="241">SUM(AD64:AE64)</f>
        <v>0</v>
      </c>
      <c r="AG64" s="460">
        <f t="shared" ref="AG64:AG66" si="242">AA64+AB64+AC64+AF64</f>
        <v>-130</v>
      </c>
      <c r="AH64" s="461">
        <v>0</v>
      </c>
      <c r="AI64" s="461">
        <v>0</v>
      </c>
      <c r="AJ64" s="461">
        <v>0</v>
      </c>
      <c r="AK64" s="461">
        <v>0</v>
      </c>
      <c r="AL64" s="674">
        <v>0</v>
      </c>
      <c r="AM64" s="461">
        <v>0</v>
      </c>
      <c r="AN64" s="461">
        <v>0</v>
      </c>
      <c r="AO64" s="461">
        <v>0</v>
      </c>
      <c r="AP64" s="461">
        <f>AH64+AJ64+AK64+AM64+AN64</f>
        <v>0</v>
      </c>
      <c r="AQ64" s="461">
        <f>AI64+AL64+AO64</f>
        <v>0</v>
      </c>
      <c r="AR64" s="463">
        <f t="shared" ref="AR64:AR66" si="243">SUM(AP64:AQ64)</f>
        <v>0</v>
      </c>
      <c r="AS64" s="469">
        <f>I64+AG64</f>
        <v>11827594</v>
      </c>
      <c r="AT64" s="460">
        <f>J64+V64</f>
        <v>8714911</v>
      </c>
      <c r="AU64" s="460">
        <f t="shared" ref="AU64:AU66" si="244">Z64</f>
        <v>13000</v>
      </c>
      <c r="AV64" s="460">
        <f t="shared" ref="AV64:AW66" si="245">K64+AB64</f>
        <v>2950034</v>
      </c>
      <c r="AW64" s="460">
        <f t="shared" si="245"/>
        <v>87149</v>
      </c>
      <c r="AX64" s="460">
        <f>M64+AF64</f>
        <v>62500</v>
      </c>
      <c r="AY64" s="461">
        <f>N64+AR64</f>
        <v>18.170000000000002</v>
      </c>
      <c r="AZ64" s="461">
        <f t="shared" ref="AZ64:BA66" si="246">O64+AP64</f>
        <v>14</v>
      </c>
      <c r="BA64" s="463">
        <f t="shared" si="246"/>
        <v>4.17</v>
      </c>
    </row>
    <row r="65" spans="1:53" s="229" customFormat="1" ht="12.75" customHeight="1" x14ac:dyDescent="0.2">
      <c r="A65" s="231">
        <v>16</v>
      </c>
      <c r="B65" s="232">
        <v>3407</v>
      </c>
      <c r="C65" s="232">
        <v>667000089</v>
      </c>
      <c r="D65" s="232">
        <v>72743778</v>
      </c>
      <c r="E65" s="233" t="s">
        <v>40</v>
      </c>
      <c r="F65" s="232">
        <v>3111</v>
      </c>
      <c r="G65" s="233" t="s">
        <v>308</v>
      </c>
      <c r="H65" s="264" t="s">
        <v>278</v>
      </c>
      <c r="I65" s="457">
        <f t="shared" si="232"/>
        <v>0</v>
      </c>
      <c r="J65" s="457">
        <v>0</v>
      </c>
      <c r="K65" s="457">
        <f t="shared" si="233"/>
        <v>0</v>
      </c>
      <c r="L65" s="457">
        <f t="shared" si="234"/>
        <v>0</v>
      </c>
      <c r="M65" s="457">
        <v>0</v>
      </c>
      <c r="N65" s="458">
        <f t="shared" si="235"/>
        <v>0</v>
      </c>
      <c r="O65" s="459">
        <v>0</v>
      </c>
      <c r="P65" s="468">
        <v>0</v>
      </c>
      <c r="Q65" s="470">
        <f t="shared" si="236"/>
        <v>0</v>
      </c>
      <c r="R65" s="460">
        <v>519670</v>
      </c>
      <c r="S65" s="673">
        <v>0</v>
      </c>
      <c r="T65" s="460">
        <v>0</v>
      </c>
      <c r="U65" s="460">
        <v>0</v>
      </c>
      <c r="V65" s="460">
        <f>SUM(Q65:U65)</f>
        <v>519670</v>
      </c>
      <c r="W65" s="460">
        <v>0</v>
      </c>
      <c r="X65" s="460">
        <v>0</v>
      </c>
      <c r="Y65" s="460">
        <v>0</v>
      </c>
      <c r="Z65" s="460">
        <f t="shared" si="237"/>
        <v>0</v>
      </c>
      <c r="AA65" s="460">
        <f t="shared" si="238"/>
        <v>519670</v>
      </c>
      <c r="AB65" s="69">
        <f t="shared" si="239"/>
        <v>175648</v>
      </c>
      <c r="AC65" s="69">
        <f t="shared" si="240"/>
        <v>5197</v>
      </c>
      <c r="AD65" s="460">
        <v>0</v>
      </c>
      <c r="AE65" s="460">
        <v>0</v>
      </c>
      <c r="AF65" s="460">
        <f t="shared" si="241"/>
        <v>0</v>
      </c>
      <c r="AG65" s="460">
        <f t="shared" si="242"/>
        <v>700515</v>
      </c>
      <c r="AH65" s="461">
        <v>0</v>
      </c>
      <c r="AI65" s="461">
        <v>0</v>
      </c>
      <c r="AJ65" s="461">
        <v>1.5</v>
      </c>
      <c r="AK65" s="461">
        <v>0</v>
      </c>
      <c r="AL65" s="674">
        <v>0</v>
      </c>
      <c r="AM65" s="461">
        <v>0</v>
      </c>
      <c r="AN65" s="461">
        <v>0</v>
      </c>
      <c r="AO65" s="461">
        <v>0</v>
      </c>
      <c r="AP65" s="461">
        <f>AH65+AJ65+AK65+AM65+AN65</f>
        <v>1.5</v>
      </c>
      <c r="AQ65" s="461">
        <f>AI65+AL65+AO65</f>
        <v>0</v>
      </c>
      <c r="AR65" s="463">
        <f t="shared" si="243"/>
        <v>1.5</v>
      </c>
      <c r="AS65" s="469">
        <f>I65+AG65</f>
        <v>700515</v>
      </c>
      <c r="AT65" s="460">
        <f>J65+V65</f>
        <v>519670</v>
      </c>
      <c r="AU65" s="460">
        <f t="shared" si="244"/>
        <v>0</v>
      </c>
      <c r="AV65" s="460">
        <f t="shared" si="245"/>
        <v>175648</v>
      </c>
      <c r="AW65" s="460">
        <f t="shared" si="245"/>
        <v>5197</v>
      </c>
      <c r="AX65" s="460">
        <f>M65+AF65</f>
        <v>0</v>
      </c>
      <c r="AY65" s="461">
        <f>N65+AR65</f>
        <v>1.5</v>
      </c>
      <c r="AZ65" s="461">
        <f t="shared" si="246"/>
        <v>1.5</v>
      </c>
      <c r="BA65" s="463">
        <f t="shared" si="246"/>
        <v>0</v>
      </c>
    </row>
    <row r="66" spans="1:53" s="229" customFormat="1" ht="12.75" customHeight="1" x14ac:dyDescent="0.2">
      <c r="A66" s="231">
        <v>16</v>
      </c>
      <c r="B66" s="232">
        <v>3407</v>
      </c>
      <c r="C66" s="232">
        <v>667000089</v>
      </c>
      <c r="D66" s="232">
        <v>72743778</v>
      </c>
      <c r="E66" s="233" t="s">
        <v>40</v>
      </c>
      <c r="F66" s="232">
        <v>3141</v>
      </c>
      <c r="G66" s="233" t="s">
        <v>311</v>
      </c>
      <c r="H66" s="264" t="s">
        <v>278</v>
      </c>
      <c r="I66" s="457">
        <f t="shared" si="232"/>
        <v>1682103</v>
      </c>
      <c r="J66" s="457">
        <v>1242180</v>
      </c>
      <c r="K66" s="457">
        <f t="shared" si="233"/>
        <v>419857</v>
      </c>
      <c r="L66" s="457">
        <f t="shared" si="234"/>
        <v>12422</v>
      </c>
      <c r="M66" s="457">
        <v>7644</v>
      </c>
      <c r="N66" s="458">
        <f t="shared" si="235"/>
        <v>3.99</v>
      </c>
      <c r="O66" s="459">
        <v>0</v>
      </c>
      <c r="P66" s="468">
        <v>3.99</v>
      </c>
      <c r="Q66" s="470">
        <f t="shared" si="236"/>
        <v>0</v>
      </c>
      <c r="R66" s="460">
        <v>0</v>
      </c>
      <c r="S66" s="673">
        <v>0</v>
      </c>
      <c r="T66" s="460">
        <v>0</v>
      </c>
      <c r="U66" s="460">
        <v>0</v>
      </c>
      <c r="V66" s="460">
        <f>SUM(Q66:U66)</f>
        <v>0</v>
      </c>
      <c r="W66" s="460">
        <v>0</v>
      </c>
      <c r="X66" s="460">
        <v>0</v>
      </c>
      <c r="Y66" s="460">
        <v>0</v>
      </c>
      <c r="Z66" s="460">
        <f t="shared" si="237"/>
        <v>0</v>
      </c>
      <c r="AA66" s="460">
        <f t="shared" si="238"/>
        <v>0</v>
      </c>
      <c r="AB66" s="69">
        <f t="shared" si="239"/>
        <v>0</v>
      </c>
      <c r="AC66" s="69">
        <f t="shared" si="240"/>
        <v>0</v>
      </c>
      <c r="AD66" s="460">
        <v>0</v>
      </c>
      <c r="AE66" s="460">
        <v>0</v>
      </c>
      <c r="AF66" s="460">
        <f t="shared" si="241"/>
        <v>0</v>
      </c>
      <c r="AG66" s="460">
        <f t="shared" si="242"/>
        <v>0</v>
      </c>
      <c r="AH66" s="461">
        <v>0</v>
      </c>
      <c r="AI66" s="461">
        <v>0</v>
      </c>
      <c r="AJ66" s="461">
        <v>0</v>
      </c>
      <c r="AK66" s="461">
        <v>0</v>
      </c>
      <c r="AL66" s="674">
        <v>0</v>
      </c>
      <c r="AM66" s="461">
        <v>0</v>
      </c>
      <c r="AN66" s="461">
        <v>0</v>
      </c>
      <c r="AO66" s="461">
        <v>0</v>
      </c>
      <c r="AP66" s="461">
        <f>AH66+AJ66+AK66+AM66+AN66</f>
        <v>0</v>
      </c>
      <c r="AQ66" s="461">
        <f>AI66+AL66+AO66</f>
        <v>0</v>
      </c>
      <c r="AR66" s="463">
        <f t="shared" si="243"/>
        <v>0</v>
      </c>
      <c r="AS66" s="469">
        <f>I66+AG66</f>
        <v>1682103</v>
      </c>
      <c r="AT66" s="460">
        <f>J66+V66</f>
        <v>1242180</v>
      </c>
      <c r="AU66" s="460">
        <f t="shared" si="244"/>
        <v>0</v>
      </c>
      <c r="AV66" s="460">
        <f t="shared" si="245"/>
        <v>419857</v>
      </c>
      <c r="AW66" s="460">
        <f t="shared" si="245"/>
        <v>12422</v>
      </c>
      <c r="AX66" s="460">
        <f>M66+AF66</f>
        <v>7644</v>
      </c>
      <c r="AY66" s="461">
        <f>N66+AR66</f>
        <v>3.99</v>
      </c>
      <c r="AZ66" s="461">
        <f t="shared" si="246"/>
        <v>0</v>
      </c>
      <c r="BA66" s="463">
        <f t="shared" si="246"/>
        <v>3.99</v>
      </c>
    </row>
    <row r="67" spans="1:53" s="229" customFormat="1" ht="12.75" customHeight="1" x14ac:dyDescent="0.2">
      <c r="A67" s="156">
        <v>16</v>
      </c>
      <c r="B67" s="14">
        <v>3407</v>
      </c>
      <c r="C67" s="155">
        <v>667000089</v>
      </c>
      <c r="D67" s="155">
        <v>72743778</v>
      </c>
      <c r="E67" s="230" t="s">
        <v>41</v>
      </c>
      <c r="F67" s="14"/>
      <c r="G67" s="230"/>
      <c r="H67" s="263"/>
      <c r="I67" s="464">
        <f t="shared" ref="I67:P67" si="247">SUM(I64:I66)</f>
        <v>13509827</v>
      </c>
      <c r="J67" s="464">
        <f t="shared" si="247"/>
        <v>9970091</v>
      </c>
      <c r="K67" s="464">
        <f t="shared" si="247"/>
        <v>3369891</v>
      </c>
      <c r="L67" s="464">
        <f t="shared" si="247"/>
        <v>99701</v>
      </c>
      <c r="M67" s="464">
        <f t="shared" si="247"/>
        <v>70144</v>
      </c>
      <c r="N67" s="427">
        <f t="shared" si="247"/>
        <v>22.160000000000004</v>
      </c>
      <c r="O67" s="427">
        <f t="shared" si="247"/>
        <v>14</v>
      </c>
      <c r="P67" s="427">
        <f t="shared" si="247"/>
        <v>8.16</v>
      </c>
      <c r="Q67" s="622">
        <f t="shared" ref="Q67:BA67" si="248">SUM(Q64:Q66)</f>
        <v>-13000</v>
      </c>
      <c r="R67" s="620">
        <f t="shared" si="248"/>
        <v>519670</v>
      </c>
      <c r="S67" s="620">
        <f t="shared" si="248"/>
        <v>0</v>
      </c>
      <c r="T67" s="620">
        <f t="shared" si="248"/>
        <v>0</v>
      </c>
      <c r="U67" s="620">
        <f t="shared" si="248"/>
        <v>0</v>
      </c>
      <c r="V67" s="620">
        <f t="shared" si="248"/>
        <v>506670</v>
      </c>
      <c r="W67" s="620">
        <f t="shared" si="248"/>
        <v>13000</v>
      </c>
      <c r="X67" s="620">
        <f t="shared" si="248"/>
        <v>0</v>
      </c>
      <c r="Y67" s="620">
        <f t="shared" si="248"/>
        <v>0</v>
      </c>
      <c r="Z67" s="620">
        <f t="shared" si="248"/>
        <v>13000</v>
      </c>
      <c r="AA67" s="620">
        <f t="shared" si="248"/>
        <v>519670</v>
      </c>
      <c r="AB67" s="620">
        <f t="shared" si="248"/>
        <v>175648</v>
      </c>
      <c r="AC67" s="620">
        <f t="shared" si="248"/>
        <v>5067</v>
      </c>
      <c r="AD67" s="620">
        <f t="shared" si="248"/>
        <v>0</v>
      </c>
      <c r="AE67" s="620">
        <f t="shared" si="248"/>
        <v>0</v>
      </c>
      <c r="AF67" s="620">
        <f t="shared" si="248"/>
        <v>0</v>
      </c>
      <c r="AG67" s="620">
        <f t="shared" si="248"/>
        <v>700385</v>
      </c>
      <c r="AH67" s="621">
        <f t="shared" si="248"/>
        <v>0</v>
      </c>
      <c r="AI67" s="621">
        <f t="shared" si="248"/>
        <v>0</v>
      </c>
      <c r="AJ67" s="621">
        <f t="shared" si="248"/>
        <v>1.5</v>
      </c>
      <c r="AK67" s="621">
        <f t="shared" si="248"/>
        <v>0</v>
      </c>
      <c r="AL67" s="621">
        <f t="shared" si="248"/>
        <v>0</v>
      </c>
      <c r="AM67" s="621">
        <f t="shared" si="248"/>
        <v>0</v>
      </c>
      <c r="AN67" s="621">
        <f t="shared" si="248"/>
        <v>0</v>
      </c>
      <c r="AO67" s="621">
        <f t="shared" si="248"/>
        <v>0</v>
      </c>
      <c r="AP67" s="621">
        <f t="shared" si="248"/>
        <v>1.5</v>
      </c>
      <c r="AQ67" s="621">
        <f t="shared" si="248"/>
        <v>0</v>
      </c>
      <c r="AR67" s="623">
        <f t="shared" si="248"/>
        <v>1.5</v>
      </c>
      <c r="AS67" s="618">
        <f t="shared" si="248"/>
        <v>14210212</v>
      </c>
      <c r="AT67" s="464">
        <f t="shared" si="248"/>
        <v>10476761</v>
      </c>
      <c r="AU67" s="464">
        <f t="shared" si="248"/>
        <v>13000</v>
      </c>
      <c r="AV67" s="464">
        <f t="shared" si="248"/>
        <v>3545539</v>
      </c>
      <c r="AW67" s="464">
        <f t="shared" si="248"/>
        <v>104768</v>
      </c>
      <c r="AX67" s="464">
        <f t="shared" si="248"/>
        <v>70144</v>
      </c>
      <c r="AY67" s="427">
        <f t="shared" si="248"/>
        <v>23.660000000000004</v>
      </c>
      <c r="AZ67" s="427">
        <f t="shared" si="248"/>
        <v>15.5</v>
      </c>
      <c r="BA67" s="496">
        <f t="shared" si="248"/>
        <v>8.16</v>
      </c>
    </row>
    <row r="68" spans="1:53" s="229" customFormat="1" ht="12.75" customHeight="1" x14ac:dyDescent="0.2">
      <c r="A68" s="231">
        <v>17</v>
      </c>
      <c r="B68" s="232">
        <v>3463</v>
      </c>
      <c r="C68" s="232">
        <v>691001308</v>
      </c>
      <c r="D68" s="232">
        <v>72048166</v>
      </c>
      <c r="E68" s="233" t="s">
        <v>42</v>
      </c>
      <c r="F68" s="232">
        <v>3111</v>
      </c>
      <c r="G68" s="233" t="s">
        <v>307</v>
      </c>
      <c r="H68" s="264" t="s">
        <v>277</v>
      </c>
      <c r="I68" s="457">
        <f t="shared" ref="I68:I70" si="249">SUM(J68:M68)</f>
        <v>7223167</v>
      </c>
      <c r="J68" s="457">
        <v>5328091</v>
      </c>
      <c r="K68" s="457">
        <f t="shared" ref="K68:K70" si="250">ROUND(J68*33.8%,0)</f>
        <v>1800895</v>
      </c>
      <c r="L68" s="457">
        <f t="shared" ref="L68:L70" si="251">ROUND(J68*1%,0)</f>
        <v>53281</v>
      </c>
      <c r="M68" s="457">
        <v>40900</v>
      </c>
      <c r="N68" s="458">
        <f t="shared" ref="N68:N70" si="252">O68+P68</f>
        <v>10.85</v>
      </c>
      <c r="O68" s="459">
        <v>8.4499999999999993</v>
      </c>
      <c r="P68" s="468">
        <v>2.4</v>
      </c>
      <c r="Q68" s="470">
        <f t="shared" ref="Q68:Q70" si="253">W68*-1</f>
        <v>-55250</v>
      </c>
      <c r="R68" s="460">
        <v>0</v>
      </c>
      <c r="S68" s="673">
        <v>0</v>
      </c>
      <c r="T68" s="460">
        <v>0</v>
      </c>
      <c r="U68" s="460">
        <v>0</v>
      </c>
      <c r="V68" s="460">
        <f>SUM(Q68:U68)</f>
        <v>-55250</v>
      </c>
      <c r="W68" s="460">
        <v>55250</v>
      </c>
      <c r="X68" s="460">
        <v>0</v>
      </c>
      <c r="Y68" s="460">
        <v>0</v>
      </c>
      <c r="Z68" s="460">
        <f t="shared" ref="Z68:Z70" si="254">SUM(W68:Y68)</f>
        <v>55250</v>
      </c>
      <c r="AA68" s="460">
        <f t="shared" ref="AA68:AA70" si="255">V68+Z68</f>
        <v>0</v>
      </c>
      <c r="AB68" s="69">
        <f t="shared" ref="AB68:AB70" si="256">ROUND((V68+W68+X68)*33.8%,0)</f>
        <v>0</v>
      </c>
      <c r="AC68" s="69">
        <f t="shared" ref="AC68:AC70" si="257">ROUND(V68*1%,0)</f>
        <v>-553</v>
      </c>
      <c r="AD68" s="460">
        <v>0</v>
      </c>
      <c r="AE68" s="460">
        <v>0</v>
      </c>
      <c r="AF68" s="460">
        <f t="shared" ref="AF68:AF70" si="258">SUM(AD68:AE68)</f>
        <v>0</v>
      </c>
      <c r="AG68" s="460">
        <f t="shared" ref="AG68:AG70" si="259">AA68+AB68+AC68+AF68</f>
        <v>-553</v>
      </c>
      <c r="AH68" s="461">
        <v>0</v>
      </c>
      <c r="AI68" s="461">
        <v>-7.0000000000000007E-2</v>
      </c>
      <c r="AJ68" s="461">
        <v>0</v>
      </c>
      <c r="AK68" s="461">
        <v>0</v>
      </c>
      <c r="AL68" s="674">
        <v>0</v>
      </c>
      <c r="AM68" s="461">
        <v>0</v>
      </c>
      <c r="AN68" s="461">
        <v>0</v>
      </c>
      <c r="AO68" s="461">
        <v>0</v>
      </c>
      <c r="AP68" s="461">
        <f>AH68+AJ68+AK68+AM68+AN68</f>
        <v>0</v>
      </c>
      <c r="AQ68" s="461">
        <f>AI68+AL68+AO68</f>
        <v>-7.0000000000000007E-2</v>
      </c>
      <c r="AR68" s="463">
        <f t="shared" ref="AR68:AR70" si="260">SUM(AP68:AQ68)</f>
        <v>-7.0000000000000007E-2</v>
      </c>
      <c r="AS68" s="469">
        <f>I68+AG68</f>
        <v>7222614</v>
      </c>
      <c r="AT68" s="460">
        <f>J68+V68</f>
        <v>5272841</v>
      </c>
      <c r="AU68" s="460">
        <f t="shared" ref="AU68:AU70" si="261">Z68</f>
        <v>55250</v>
      </c>
      <c r="AV68" s="460">
        <f t="shared" ref="AV68:AW70" si="262">K68+AB68</f>
        <v>1800895</v>
      </c>
      <c r="AW68" s="460">
        <f t="shared" si="262"/>
        <v>52728</v>
      </c>
      <c r="AX68" s="460">
        <f>M68+AF68</f>
        <v>40900</v>
      </c>
      <c r="AY68" s="461">
        <f>N68+AR68</f>
        <v>10.78</v>
      </c>
      <c r="AZ68" s="461">
        <f t="shared" ref="AZ68:BA70" si="263">O68+AP68</f>
        <v>8.4499999999999993</v>
      </c>
      <c r="BA68" s="463">
        <f t="shared" si="263"/>
        <v>2.33</v>
      </c>
    </row>
    <row r="69" spans="1:53" s="229" customFormat="1" x14ac:dyDescent="0.2">
      <c r="A69" s="231">
        <v>17</v>
      </c>
      <c r="B69" s="232">
        <v>3463</v>
      </c>
      <c r="C69" s="232">
        <v>691001308</v>
      </c>
      <c r="D69" s="232">
        <v>72048166</v>
      </c>
      <c r="E69" s="233" t="s">
        <v>42</v>
      </c>
      <c r="F69" s="232">
        <v>3111</v>
      </c>
      <c r="G69" s="233" t="s">
        <v>308</v>
      </c>
      <c r="H69" s="264" t="s">
        <v>278</v>
      </c>
      <c r="I69" s="457">
        <f t="shared" si="249"/>
        <v>0</v>
      </c>
      <c r="J69" s="457">
        <v>0</v>
      </c>
      <c r="K69" s="457">
        <f t="shared" si="250"/>
        <v>0</v>
      </c>
      <c r="L69" s="457">
        <f t="shared" si="251"/>
        <v>0</v>
      </c>
      <c r="M69" s="457">
        <v>0</v>
      </c>
      <c r="N69" s="458">
        <f t="shared" si="252"/>
        <v>0</v>
      </c>
      <c r="O69" s="459">
        <v>0</v>
      </c>
      <c r="P69" s="468">
        <v>0</v>
      </c>
      <c r="Q69" s="470">
        <f t="shared" si="253"/>
        <v>0</v>
      </c>
      <c r="R69" s="460">
        <f>698826+165921</f>
        <v>864747</v>
      </c>
      <c r="S69" s="673">
        <v>0</v>
      </c>
      <c r="T69" s="460">
        <v>0</v>
      </c>
      <c r="U69" s="460">
        <v>0</v>
      </c>
      <c r="V69" s="460">
        <f>SUM(Q69:U69)</f>
        <v>864747</v>
      </c>
      <c r="W69" s="460">
        <v>0</v>
      </c>
      <c r="X69" s="460">
        <v>0</v>
      </c>
      <c r="Y69" s="460">
        <v>0</v>
      </c>
      <c r="Z69" s="460">
        <f t="shared" si="254"/>
        <v>0</v>
      </c>
      <c r="AA69" s="460">
        <f t="shared" si="255"/>
        <v>864747</v>
      </c>
      <c r="AB69" s="69">
        <f t="shared" si="256"/>
        <v>292284</v>
      </c>
      <c r="AC69" s="69">
        <f t="shared" si="257"/>
        <v>8647</v>
      </c>
      <c r="AD69" s="460">
        <v>0</v>
      </c>
      <c r="AE69" s="460">
        <v>0</v>
      </c>
      <c r="AF69" s="460">
        <f t="shared" si="258"/>
        <v>0</v>
      </c>
      <c r="AG69" s="460">
        <f t="shared" si="259"/>
        <v>1165678</v>
      </c>
      <c r="AH69" s="461">
        <v>0</v>
      </c>
      <c r="AI69" s="461">
        <v>0</v>
      </c>
      <c r="AJ69" s="461">
        <f>1.95+0.45</f>
        <v>2.4</v>
      </c>
      <c r="AK69" s="461">
        <v>0</v>
      </c>
      <c r="AL69" s="674">
        <v>0</v>
      </c>
      <c r="AM69" s="461">
        <v>0</v>
      </c>
      <c r="AN69" s="461">
        <v>0</v>
      </c>
      <c r="AO69" s="461">
        <v>0</v>
      </c>
      <c r="AP69" s="461">
        <f>AH69+AJ69+AK69+AM69+AN69</f>
        <v>2.4</v>
      </c>
      <c r="AQ69" s="461">
        <f>AI69+AL69+AO69</f>
        <v>0</v>
      </c>
      <c r="AR69" s="463">
        <f t="shared" si="260"/>
        <v>2.4</v>
      </c>
      <c r="AS69" s="469">
        <f>I69+AG69</f>
        <v>1165678</v>
      </c>
      <c r="AT69" s="460">
        <f>J69+V69</f>
        <v>864747</v>
      </c>
      <c r="AU69" s="460">
        <f t="shared" si="261"/>
        <v>0</v>
      </c>
      <c r="AV69" s="460">
        <f t="shared" si="262"/>
        <v>292284</v>
      </c>
      <c r="AW69" s="460">
        <f t="shared" si="262"/>
        <v>8647</v>
      </c>
      <c r="AX69" s="460">
        <f>M69+AF69</f>
        <v>0</v>
      </c>
      <c r="AY69" s="461">
        <f>N69+AR69</f>
        <v>2.4</v>
      </c>
      <c r="AZ69" s="461">
        <f t="shared" si="263"/>
        <v>2.4</v>
      </c>
      <c r="BA69" s="463">
        <f t="shared" si="263"/>
        <v>0</v>
      </c>
    </row>
    <row r="70" spans="1:53" s="229" customFormat="1" ht="12.75" customHeight="1" x14ac:dyDescent="0.2">
      <c r="A70" s="231">
        <v>17</v>
      </c>
      <c r="B70" s="232">
        <v>3463</v>
      </c>
      <c r="C70" s="232">
        <v>691001308</v>
      </c>
      <c r="D70" s="232">
        <v>72048166</v>
      </c>
      <c r="E70" s="233" t="s">
        <v>42</v>
      </c>
      <c r="F70" s="232">
        <v>3141</v>
      </c>
      <c r="G70" s="233" t="s">
        <v>311</v>
      </c>
      <c r="H70" s="264" t="s">
        <v>278</v>
      </c>
      <c r="I70" s="457">
        <f t="shared" si="249"/>
        <v>976178</v>
      </c>
      <c r="J70" s="457">
        <v>720657</v>
      </c>
      <c r="K70" s="457">
        <f t="shared" si="250"/>
        <v>243582</v>
      </c>
      <c r="L70" s="457">
        <f t="shared" si="251"/>
        <v>7207</v>
      </c>
      <c r="M70" s="457">
        <v>4732</v>
      </c>
      <c r="N70" s="458">
        <f t="shared" si="252"/>
        <v>2.3199999999999998</v>
      </c>
      <c r="O70" s="459">
        <v>0</v>
      </c>
      <c r="P70" s="468">
        <v>2.3199999999999998</v>
      </c>
      <c r="Q70" s="470">
        <f t="shared" si="253"/>
        <v>-16250</v>
      </c>
      <c r="R70" s="460">
        <v>0</v>
      </c>
      <c r="S70" s="673">
        <v>0</v>
      </c>
      <c r="T70" s="460">
        <v>0</v>
      </c>
      <c r="U70" s="460">
        <v>0</v>
      </c>
      <c r="V70" s="460">
        <f>SUM(Q70:U70)</f>
        <v>-16250</v>
      </c>
      <c r="W70" s="460">
        <v>16250</v>
      </c>
      <c r="X70" s="460">
        <v>0</v>
      </c>
      <c r="Y70" s="460">
        <v>0</v>
      </c>
      <c r="Z70" s="460">
        <f t="shared" si="254"/>
        <v>16250</v>
      </c>
      <c r="AA70" s="460">
        <f t="shared" si="255"/>
        <v>0</v>
      </c>
      <c r="AB70" s="69">
        <f t="shared" si="256"/>
        <v>0</v>
      </c>
      <c r="AC70" s="69">
        <f t="shared" si="257"/>
        <v>-163</v>
      </c>
      <c r="AD70" s="460">
        <v>0</v>
      </c>
      <c r="AE70" s="460">
        <v>0</v>
      </c>
      <c r="AF70" s="460">
        <f t="shared" si="258"/>
        <v>0</v>
      </c>
      <c r="AG70" s="460">
        <f t="shared" si="259"/>
        <v>-163</v>
      </c>
      <c r="AH70" s="461">
        <v>0</v>
      </c>
      <c r="AI70" s="461">
        <v>0</v>
      </c>
      <c r="AJ70" s="461">
        <v>0</v>
      </c>
      <c r="AK70" s="461">
        <v>0</v>
      </c>
      <c r="AL70" s="674">
        <v>0</v>
      </c>
      <c r="AM70" s="461">
        <v>0</v>
      </c>
      <c r="AN70" s="461">
        <v>0</v>
      </c>
      <c r="AO70" s="461">
        <v>0</v>
      </c>
      <c r="AP70" s="461">
        <f>AH70+AJ70+AK70+AM70+AN70</f>
        <v>0</v>
      </c>
      <c r="AQ70" s="461">
        <f>AI70+AL70+AO70</f>
        <v>0</v>
      </c>
      <c r="AR70" s="463">
        <f t="shared" si="260"/>
        <v>0</v>
      </c>
      <c r="AS70" s="469">
        <f>I70+AG70</f>
        <v>976015</v>
      </c>
      <c r="AT70" s="460">
        <f>J70+V70</f>
        <v>704407</v>
      </c>
      <c r="AU70" s="460">
        <f t="shared" si="261"/>
        <v>16250</v>
      </c>
      <c r="AV70" s="460">
        <f t="shared" si="262"/>
        <v>243582</v>
      </c>
      <c r="AW70" s="460">
        <f t="shared" si="262"/>
        <v>7044</v>
      </c>
      <c r="AX70" s="460">
        <f>M70+AF70</f>
        <v>4732</v>
      </c>
      <c r="AY70" s="461">
        <f>N70+AR70</f>
        <v>2.3199999999999998</v>
      </c>
      <c r="AZ70" s="461">
        <f t="shared" si="263"/>
        <v>0</v>
      </c>
      <c r="BA70" s="463">
        <f t="shared" si="263"/>
        <v>2.3199999999999998</v>
      </c>
    </row>
    <row r="71" spans="1:53" s="229" customFormat="1" ht="12.75" customHeight="1" x14ac:dyDescent="0.2">
      <c r="A71" s="156">
        <v>17</v>
      </c>
      <c r="B71" s="14">
        <v>3463</v>
      </c>
      <c r="C71" s="155">
        <v>691001308</v>
      </c>
      <c r="D71" s="155">
        <v>72048166</v>
      </c>
      <c r="E71" s="230" t="s">
        <v>43</v>
      </c>
      <c r="F71" s="14"/>
      <c r="G71" s="230"/>
      <c r="H71" s="263"/>
      <c r="I71" s="464">
        <f t="shared" ref="I71:P71" si="264">SUM(I68:I70)</f>
        <v>8199345</v>
      </c>
      <c r="J71" s="464">
        <f t="shared" si="264"/>
        <v>6048748</v>
      </c>
      <c r="K71" s="464">
        <f t="shared" si="264"/>
        <v>2044477</v>
      </c>
      <c r="L71" s="464">
        <f t="shared" si="264"/>
        <v>60488</v>
      </c>
      <c r="M71" s="464">
        <f t="shared" si="264"/>
        <v>45632</v>
      </c>
      <c r="N71" s="427">
        <f t="shared" si="264"/>
        <v>13.17</v>
      </c>
      <c r="O71" s="427">
        <f t="shared" si="264"/>
        <v>8.4499999999999993</v>
      </c>
      <c r="P71" s="427">
        <f t="shared" si="264"/>
        <v>4.72</v>
      </c>
      <c r="Q71" s="622">
        <f t="shared" ref="Q71:BA71" si="265">SUM(Q68:Q70)</f>
        <v>-71500</v>
      </c>
      <c r="R71" s="620">
        <f t="shared" si="265"/>
        <v>864747</v>
      </c>
      <c r="S71" s="620">
        <f t="shared" si="265"/>
        <v>0</v>
      </c>
      <c r="T71" s="620">
        <f t="shared" si="265"/>
        <v>0</v>
      </c>
      <c r="U71" s="620">
        <f t="shared" si="265"/>
        <v>0</v>
      </c>
      <c r="V71" s="620">
        <f t="shared" si="265"/>
        <v>793247</v>
      </c>
      <c r="W71" s="620">
        <f t="shared" si="265"/>
        <v>71500</v>
      </c>
      <c r="X71" s="620">
        <f t="shared" si="265"/>
        <v>0</v>
      </c>
      <c r="Y71" s="620">
        <f t="shared" si="265"/>
        <v>0</v>
      </c>
      <c r="Z71" s="620">
        <f t="shared" si="265"/>
        <v>71500</v>
      </c>
      <c r="AA71" s="620">
        <f t="shared" si="265"/>
        <v>864747</v>
      </c>
      <c r="AB71" s="620">
        <f t="shared" si="265"/>
        <v>292284</v>
      </c>
      <c r="AC71" s="620">
        <f t="shared" si="265"/>
        <v>7931</v>
      </c>
      <c r="AD71" s="620">
        <f t="shared" si="265"/>
        <v>0</v>
      </c>
      <c r="AE71" s="620">
        <f t="shared" si="265"/>
        <v>0</v>
      </c>
      <c r="AF71" s="620">
        <f t="shared" si="265"/>
        <v>0</v>
      </c>
      <c r="AG71" s="620">
        <f t="shared" si="265"/>
        <v>1164962</v>
      </c>
      <c r="AH71" s="621">
        <f t="shared" si="265"/>
        <v>0</v>
      </c>
      <c r="AI71" s="621">
        <f t="shared" si="265"/>
        <v>-7.0000000000000007E-2</v>
      </c>
      <c r="AJ71" s="621">
        <f t="shared" si="265"/>
        <v>2.4</v>
      </c>
      <c r="AK71" s="621">
        <f t="shared" si="265"/>
        <v>0</v>
      </c>
      <c r="AL71" s="621">
        <f t="shared" si="265"/>
        <v>0</v>
      </c>
      <c r="AM71" s="621">
        <f t="shared" si="265"/>
        <v>0</v>
      </c>
      <c r="AN71" s="621">
        <f t="shared" si="265"/>
        <v>0</v>
      </c>
      <c r="AO71" s="621">
        <f t="shared" si="265"/>
        <v>0</v>
      </c>
      <c r="AP71" s="621">
        <f t="shared" si="265"/>
        <v>2.4</v>
      </c>
      <c r="AQ71" s="621">
        <f t="shared" si="265"/>
        <v>-7.0000000000000007E-2</v>
      </c>
      <c r="AR71" s="623">
        <f t="shared" si="265"/>
        <v>2.33</v>
      </c>
      <c r="AS71" s="618">
        <f t="shared" si="265"/>
        <v>9364307</v>
      </c>
      <c r="AT71" s="464">
        <f t="shared" si="265"/>
        <v>6841995</v>
      </c>
      <c r="AU71" s="464">
        <f t="shared" si="265"/>
        <v>71500</v>
      </c>
      <c r="AV71" s="464">
        <f t="shared" si="265"/>
        <v>2336761</v>
      </c>
      <c r="AW71" s="464">
        <f t="shared" si="265"/>
        <v>68419</v>
      </c>
      <c r="AX71" s="464">
        <f t="shared" si="265"/>
        <v>45632</v>
      </c>
      <c r="AY71" s="427">
        <f t="shared" si="265"/>
        <v>15.5</v>
      </c>
      <c r="AZ71" s="427">
        <f t="shared" si="265"/>
        <v>10.85</v>
      </c>
      <c r="BA71" s="496">
        <f t="shared" si="265"/>
        <v>4.6500000000000004</v>
      </c>
    </row>
    <row r="72" spans="1:53" s="229" customFormat="1" ht="12.75" customHeight="1" x14ac:dyDescent="0.2">
      <c r="A72" s="231">
        <v>18</v>
      </c>
      <c r="B72" s="232">
        <v>3460</v>
      </c>
      <c r="C72" s="232">
        <v>691000387</v>
      </c>
      <c r="D72" s="232">
        <v>86797034</v>
      </c>
      <c r="E72" s="233" t="s">
        <v>44</v>
      </c>
      <c r="F72" s="232">
        <v>3111</v>
      </c>
      <c r="G72" s="233" t="s">
        <v>307</v>
      </c>
      <c r="H72" s="264" t="s">
        <v>277</v>
      </c>
      <c r="I72" s="457">
        <f t="shared" ref="I72:I74" si="266">SUM(J72:M72)</f>
        <v>6486542</v>
      </c>
      <c r="J72" s="457">
        <v>4789423</v>
      </c>
      <c r="K72" s="457">
        <f t="shared" ref="K72:K74" si="267">ROUND(J72*33.8%,0)</f>
        <v>1618825</v>
      </c>
      <c r="L72" s="457">
        <f t="shared" ref="L72:L74" si="268">ROUND(J72*1%,0)</f>
        <v>47894</v>
      </c>
      <c r="M72" s="457">
        <v>30400</v>
      </c>
      <c r="N72" s="458">
        <f t="shared" ref="N72:N74" si="269">O72+P72</f>
        <v>10.34</v>
      </c>
      <c r="O72" s="459">
        <v>8.1</v>
      </c>
      <c r="P72" s="468">
        <v>2.2400000000000002</v>
      </c>
      <c r="Q72" s="470">
        <f t="shared" ref="Q72:Q74" si="270">W72*-1</f>
        <v>0</v>
      </c>
      <c r="R72" s="460">
        <v>0</v>
      </c>
      <c r="S72" s="673">
        <v>0</v>
      </c>
      <c r="T72" s="460">
        <v>0</v>
      </c>
      <c r="U72" s="460">
        <v>0</v>
      </c>
      <c r="V72" s="460">
        <f>SUM(Q72:U72)</f>
        <v>0</v>
      </c>
      <c r="W72" s="460">
        <v>0</v>
      </c>
      <c r="X72" s="460">
        <v>0</v>
      </c>
      <c r="Y72" s="460">
        <v>0</v>
      </c>
      <c r="Z72" s="460">
        <f t="shared" ref="Z72:Z74" si="271">SUM(W72:Y72)</f>
        <v>0</v>
      </c>
      <c r="AA72" s="460">
        <f t="shared" ref="AA72:AA74" si="272">V72+Z72</f>
        <v>0</v>
      </c>
      <c r="AB72" s="69">
        <f t="shared" ref="AB72:AB74" si="273">ROUND((V72+W72+X72)*33.8%,0)</f>
        <v>0</v>
      </c>
      <c r="AC72" s="69">
        <f t="shared" ref="AC72:AC74" si="274">ROUND(V72*1%,0)</f>
        <v>0</v>
      </c>
      <c r="AD72" s="460">
        <v>0</v>
      </c>
      <c r="AE72" s="460">
        <v>0</v>
      </c>
      <c r="AF72" s="460">
        <f t="shared" ref="AF72:AF74" si="275">SUM(AD72:AE72)</f>
        <v>0</v>
      </c>
      <c r="AG72" s="460">
        <f t="shared" ref="AG72:AG74" si="276">AA72+AB72+AC72+AF72</f>
        <v>0</v>
      </c>
      <c r="AH72" s="461">
        <v>0</v>
      </c>
      <c r="AI72" s="461">
        <v>0</v>
      </c>
      <c r="AJ72" s="461">
        <v>0</v>
      </c>
      <c r="AK72" s="461">
        <v>0</v>
      </c>
      <c r="AL72" s="674">
        <v>0</v>
      </c>
      <c r="AM72" s="461">
        <v>0</v>
      </c>
      <c r="AN72" s="461">
        <v>0</v>
      </c>
      <c r="AO72" s="461">
        <v>0</v>
      </c>
      <c r="AP72" s="461">
        <f>AH72+AJ72+AK72+AM72+AN72</f>
        <v>0</v>
      </c>
      <c r="AQ72" s="461">
        <f>AI72+AL72+AO72</f>
        <v>0</v>
      </c>
      <c r="AR72" s="463">
        <f t="shared" ref="AR72:AR74" si="277">SUM(AP72:AQ72)</f>
        <v>0</v>
      </c>
      <c r="AS72" s="469">
        <f>I72+AG72</f>
        <v>6486542</v>
      </c>
      <c r="AT72" s="460">
        <f>J72+V72</f>
        <v>4789423</v>
      </c>
      <c r="AU72" s="460">
        <f t="shared" ref="AU72:AU74" si="278">Z72</f>
        <v>0</v>
      </c>
      <c r="AV72" s="460">
        <f t="shared" ref="AV72:AW74" si="279">K72+AB72</f>
        <v>1618825</v>
      </c>
      <c r="AW72" s="460">
        <f t="shared" si="279"/>
        <v>47894</v>
      </c>
      <c r="AX72" s="460">
        <f>M72+AF72</f>
        <v>30400</v>
      </c>
      <c r="AY72" s="461">
        <f>N72+AR72</f>
        <v>10.34</v>
      </c>
      <c r="AZ72" s="461">
        <f t="shared" ref="AZ72:BA74" si="280">O72+AP72</f>
        <v>8.1</v>
      </c>
      <c r="BA72" s="463">
        <f t="shared" si="280"/>
        <v>2.2400000000000002</v>
      </c>
    </row>
    <row r="73" spans="1:53" s="229" customFormat="1" ht="12.75" customHeight="1" x14ac:dyDescent="0.2">
      <c r="A73" s="231">
        <v>18</v>
      </c>
      <c r="B73" s="232">
        <v>3460</v>
      </c>
      <c r="C73" s="232">
        <v>691000387</v>
      </c>
      <c r="D73" s="232">
        <v>86797034</v>
      </c>
      <c r="E73" s="233" t="s">
        <v>44</v>
      </c>
      <c r="F73" s="232">
        <v>3111</v>
      </c>
      <c r="G73" s="233" t="s">
        <v>308</v>
      </c>
      <c r="H73" s="264" t="s">
        <v>278</v>
      </c>
      <c r="I73" s="457">
        <f t="shared" si="266"/>
        <v>0</v>
      </c>
      <c r="J73" s="457">
        <v>0</v>
      </c>
      <c r="K73" s="457">
        <f t="shared" si="267"/>
        <v>0</v>
      </c>
      <c r="L73" s="457">
        <f t="shared" si="268"/>
        <v>0</v>
      </c>
      <c r="M73" s="457">
        <v>0</v>
      </c>
      <c r="N73" s="458">
        <f t="shared" si="269"/>
        <v>0</v>
      </c>
      <c r="O73" s="459">
        <v>0</v>
      </c>
      <c r="P73" s="468">
        <v>0</v>
      </c>
      <c r="Q73" s="470">
        <f t="shared" si="270"/>
        <v>0</v>
      </c>
      <c r="R73" s="460">
        <v>433058</v>
      </c>
      <c r="S73" s="673">
        <v>0</v>
      </c>
      <c r="T73" s="460">
        <v>0</v>
      </c>
      <c r="U73" s="460">
        <v>0</v>
      </c>
      <c r="V73" s="460">
        <f>SUM(Q73:U73)</f>
        <v>433058</v>
      </c>
      <c r="W73" s="460">
        <v>0</v>
      </c>
      <c r="X73" s="460">
        <v>0</v>
      </c>
      <c r="Y73" s="460">
        <v>0</v>
      </c>
      <c r="Z73" s="460">
        <f t="shared" si="271"/>
        <v>0</v>
      </c>
      <c r="AA73" s="460">
        <f t="shared" si="272"/>
        <v>433058</v>
      </c>
      <c r="AB73" s="69">
        <f t="shared" si="273"/>
        <v>146374</v>
      </c>
      <c r="AC73" s="69">
        <f t="shared" si="274"/>
        <v>4331</v>
      </c>
      <c r="AD73" s="460">
        <v>0</v>
      </c>
      <c r="AE73" s="460">
        <v>0</v>
      </c>
      <c r="AF73" s="460">
        <f t="shared" si="275"/>
        <v>0</v>
      </c>
      <c r="AG73" s="460">
        <f t="shared" si="276"/>
        <v>583763</v>
      </c>
      <c r="AH73" s="461">
        <v>0</v>
      </c>
      <c r="AI73" s="461">
        <v>0</v>
      </c>
      <c r="AJ73" s="461">
        <v>1.25</v>
      </c>
      <c r="AK73" s="461">
        <v>0</v>
      </c>
      <c r="AL73" s="674">
        <v>0</v>
      </c>
      <c r="AM73" s="461">
        <v>0</v>
      </c>
      <c r="AN73" s="461">
        <v>0</v>
      </c>
      <c r="AO73" s="461">
        <v>0</v>
      </c>
      <c r="AP73" s="461">
        <f>AH73+AJ73+AK73+AM73+AN73</f>
        <v>1.25</v>
      </c>
      <c r="AQ73" s="461">
        <f>AI73+AL73+AO73</f>
        <v>0</v>
      </c>
      <c r="AR73" s="463">
        <f t="shared" si="277"/>
        <v>1.25</v>
      </c>
      <c r="AS73" s="469">
        <f>I73+AG73</f>
        <v>583763</v>
      </c>
      <c r="AT73" s="460">
        <f>J73+V73</f>
        <v>433058</v>
      </c>
      <c r="AU73" s="460">
        <f t="shared" si="278"/>
        <v>0</v>
      </c>
      <c r="AV73" s="460">
        <f t="shared" si="279"/>
        <v>146374</v>
      </c>
      <c r="AW73" s="460">
        <f t="shared" si="279"/>
        <v>4331</v>
      </c>
      <c r="AX73" s="460">
        <f>M73+AF73</f>
        <v>0</v>
      </c>
      <c r="AY73" s="461">
        <f>N73+AR73</f>
        <v>1.25</v>
      </c>
      <c r="AZ73" s="461">
        <f t="shared" si="280"/>
        <v>1.25</v>
      </c>
      <c r="BA73" s="463">
        <f t="shared" si="280"/>
        <v>0</v>
      </c>
    </row>
    <row r="74" spans="1:53" s="229" customFormat="1" ht="12.75" customHeight="1" x14ac:dyDescent="0.2">
      <c r="A74" s="231">
        <v>18</v>
      </c>
      <c r="B74" s="232">
        <v>3460</v>
      </c>
      <c r="C74" s="232">
        <v>691000387</v>
      </c>
      <c r="D74" s="232">
        <v>86797034</v>
      </c>
      <c r="E74" s="233" t="s">
        <v>44</v>
      </c>
      <c r="F74" s="232">
        <v>3141</v>
      </c>
      <c r="G74" s="233" t="s">
        <v>311</v>
      </c>
      <c r="H74" s="264" t="s">
        <v>278</v>
      </c>
      <c r="I74" s="457">
        <f t="shared" si="266"/>
        <v>862075</v>
      </c>
      <c r="J74" s="457">
        <v>636590</v>
      </c>
      <c r="K74" s="457">
        <f t="shared" si="267"/>
        <v>215167</v>
      </c>
      <c r="L74" s="457">
        <f t="shared" si="268"/>
        <v>6366</v>
      </c>
      <c r="M74" s="457">
        <v>3952</v>
      </c>
      <c r="N74" s="458">
        <f t="shared" si="269"/>
        <v>2.0499999999999998</v>
      </c>
      <c r="O74" s="459">
        <v>0</v>
      </c>
      <c r="P74" s="468">
        <v>2.0499999999999998</v>
      </c>
      <c r="Q74" s="470">
        <f t="shared" si="270"/>
        <v>0</v>
      </c>
      <c r="R74" s="460">
        <v>0</v>
      </c>
      <c r="S74" s="673">
        <v>0</v>
      </c>
      <c r="T74" s="460">
        <v>0</v>
      </c>
      <c r="U74" s="460">
        <v>0</v>
      </c>
      <c r="V74" s="460">
        <f>SUM(Q74:U74)</f>
        <v>0</v>
      </c>
      <c r="W74" s="460">
        <v>0</v>
      </c>
      <c r="X74" s="460">
        <v>0</v>
      </c>
      <c r="Y74" s="460">
        <v>0</v>
      </c>
      <c r="Z74" s="460">
        <f t="shared" si="271"/>
        <v>0</v>
      </c>
      <c r="AA74" s="460">
        <f t="shared" si="272"/>
        <v>0</v>
      </c>
      <c r="AB74" s="69">
        <f t="shared" si="273"/>
        <v>0</v>
      </c>
      <c r="AC74" s="69">
        <f t="shared" si="274"/>
        <v>0</v>
      </c>
      <c r="AD74" s="460">
        <v>0</v>
      </c>
      <c r="AE74" s="460">
        <v>0</v>
      </c>
      <c r="AF74" s="460">
        <f t="shared" si="275"/>
        <v>0</v>
      </c>
      <c r="AG74" s="460">
        <f t="shared" si="276"/>
        <v>0</v>
      </c>
      <c r="AH74" s="461">
        <v>0</v>
      </c>
      <c r="AI74" s="461">
        <v>0</v>
      </c>
      <c r="AJ74" s="461">
        <v>0</v>
      </c>
      <c r="AK74" s="461">
        <v>0</v>
      </c>
      <c r="AL74" s="674">
        <v>0</v>
      </c>
      <c r="AM74" s="461">
        <v>0</v>
      </c>
      <c r="AN74" s="461">
        <v>0</v>
      </c>
      <c r="AO74" s="461">
        <v>0</v>
      </c>
      <c r="AP74" s="461">
        <f>AH74+AJ74+AK74+AM74+AN74</f>
        <v>0</v>
      </c>
      <c r="AQ74" s="461">
        <f>AI74+AL74+AO74</f>
        <v>0</v>
      </c>
      <c r="AR74" s="463">
        <f t="shared" si="277"/>
        <v>0</v>
      </c>
      <c r="AS74" s="469">
        <f>I74+AG74</f>
        <v>862075</v>
      </c>
      <c r="AT74" s="460">
        <f>J74+V74</f>
        <v>636590</v>
      </c>
      <c r="AU74" s="460">
        <f t="shared" si="278"/>
        <v>0</v>
      </c>
      <c r="AV74" s="460">
        <f t="shared" si="279"/>
        <v>215167</v>
      </c>
      <c r="AW74" s="460">
        <f t="shared" si="279"/>
        <v>6366</v>
      </c>
      <c r="AX74" s="460">
        <f>M74+AF74</f>
        <v>3952</v>
      </c>
      <c r="AY74" s="461">
        <f>N74+AR74</f>
        <v>2.0499999999999998</v>
      </c>
      <c r="AZ74" s="461">
        <f t="shared" si="280"/>
        <v>0</v>
      </c>
      <c r="BA74" s="463">
        <f t="shared" si="280"/>
        <v>2.0499999999999998</v>
      </c>
    </row>
    <row r="75" spans="1:53" s="229" customFormat="1" ht="12.75" customHeight="1" x14ac:dyDescent="0.2">
      <c r="A75" s="156">
        <v>18</v>
      </c>
      <c r="B75" s="14">
        <v>3460</v>
      </c>
      <c r="C75" s="155">
        <v>691000387</v>
      </c>
      <c r="D75" s="155">
        <v>86797034</v>
      </c>
      <c r="E75" s="230" t="s">
        <v>45</v>
      </c>
      <c r="F75" s="14"/>
      <c r="G75" s="230"/>
      <c r="H75" s="263"/>
      <c r="I75" s="464">
        <f t="shared" ref="I75:P75" si="281">SUM(I72:I74)</f>
        <v>7348617</v>
      </c>
      <c r="J75" s="464">
        <f t="shared" si="281"/>
        <v>5426013</v>
      </c>
      <c r="K75" s="464">
        <f t="shared" si="281"/>
        <v>1833992</v>
      </c>
      <c r="L75" s="464">
        <f t="shared" si="281"/>
        <v>54260</v>
      </c>
      <c r="M75" s="464">
        <f t="shared" si="281"/>
        <v>34352</v>
      </c>
      <c r="N75" s="427">
        <f t="shared" si="281"/>
        <v>12.39</v>
      </c>
      <c r="O75" s="427">
        <f t="shared" si="281"/>
        <v>8.1</v>
      </c>
      <c r="P75" s="427">
        <f t="shared" si="281"/>
        <v>4.29</v>
      </c>
      <c r="Q75" s="622">
        <f t="shared" ref="Q75:BA75" si="282">SUM(Q72:Q74)</f>
        <v>0</v>
      </c>
      <c r="R75" s="620">
        <f t="shared" si="282"/>
        <v>433058</v>
      </c>
      <c r="S75" s="620">
        <f t="shared" si="282"/>
        <v>0</v>
      </c>
      <c r="T75" s="620">
        <f t="shared" si="282"/>
        <v>0</v>
      </c>
      <c r="U75" s="620">
        <f t="shared" si="282"/>
        <v>0</v>
      </c>
      <c r="V75" s="620">
        <f t="shared" si="282"/>
        <v>433058</v>
      </c>
      <c r="W75" s="620">
        <f t="shared" si="282"/>
        <v>0</v>
      </c>
      <c r="X75" s="620">
        <f t="shared" si="282"/>
        <v>0</v>
      </c>
      <c r="Y75" s="620">
        <f t="shared" si="282"/>
        <v>0</v>
      </c>
      <c r="Z75" s="620">
        <f t="shared" si="282"/>
        <v>0</v>
      </c>
      <c r="AA75" s="620">
        <f t="shared" si="282"/>
        <v>433058</v>
      </c>
      <c r="AB75" s="620">
        <f t="shared" si="282"/>
        <v>146374</v>
      </c>
      <c r="AC75" s="620">
        <f t="shared" si="282"/>
        <v>4331</v>
      </c>
      <c r="AD75" s="620">
        <f t="shared" si="282"/>
        <v>0</v>
      </c>
      <c r="AE75" s="620">
        <f t="shared" si="282"/>
        <v>0</v>
      </c>
      <c r="AF75" s="620">
        <f t="shared" si="282"/>
        <v>0</v>
      </c>
      <c r="AG75" s="620">
        <f t="shared" si="282"/>
        <v>583763</v>
      </c>
      <c r="AH75" s="621">
        <f t="shared" si="282"/>
        <v>0</v>
      </c>
      <c r="AI75" s="621">
        <f t="shared" si="282"/>
        <v>0</v>
      </c>
      <c r="AJ75" s="621">
        <f t="shared" si="282"/>
        <v>1.25</v>
      </c>
      <c r="AK75" s="621">
        <f t="shared" si="282"/>
        <v>0</v>
      </c>
      <c r="AL75" s="621">
        <f t="shared" si="282"/>
        <v>0</v>
      </c>
      <c r="AM75" s="621">
        <f t="shared" si="282"/>
        <v>0</v>
      </c>
      <c r="AN75" s="621">
        <f t="shared" si="282"/>
        <v>0</v>
      </c>
      <c r="AO75" s="621">
        <f t="shared" si="282"/>
        <v>0</v>
      </c>
      <c r="AP75" s="621">
        <f t="shared" si="282"/>
        <v>1.25</v>
      </c>
      <c r="AQ75" s="621">
        <f t="shared" si="282"/>
        <v>0</v>
      </c>
      <c r="AR75" s="623">
        <f t="shared" si="282"/>
        <v>1.25</v>
      </c>
      <c r="AS75" s="618">
        <f t="shared" si="282"/>
        <v>7932380</v>
      </c>
      <c r="AT75" s="464">
        <f t="shared" si="282"/>
        <v>5859071</v>
      </c>
      <c r="AU75" s="464">
        <f t="shared" si="282"/>
        <v>0</v>
      </c>
      <c r="AV75" s="464">
        <f t="shared" si="282"/>
        <v>1980366</v>
      </c>
      <c r="AW75" s="464">
        <f t="shared" si="282"/>
        <v>58591</v>
      </c>
      <c r="AX75" s="464">
        <f t="shared" si="282"/>
        <v>34352</v>
      </c>
      <c r="AY75" s="427">
        <f t="shared" si="282"/>
        <v>13.64</v>
      </c>
      <c r="AZ75" s="427">
        <f t="shared" si="282"/>
        <v>9.35</v>
      </c>
      <c r="BA75" s="496">
        <f t="shared" si="282"/>
        <v>4.29</v>
      </c>
    </row>
    <row r="76" spans="1:53" s="229" customFormat="1" ht="12.75" customHeight="1" x14ac:dyDescent="0.2">
      <c r="A76" s="231">
        <v>19</v>
      </c>
      <c r="B76" s="232">
        <v>3413</v>
      </c>
      <c r="C76" s="232">
        <v>600077918</v>
      </c>
      <c r="D76" s="232">
        <v>72743433</v>
      </c>
      <c r="E76" s="233" t="s">
        <v>279</v>
      </c>
      <c r="F76" s="232">
        <v>3111</v>
      </c>
      <c r="G76" s="233" t="s">
        <v>307</v>
      </c>
      <c r="H76" s="264" t="s">
        <v>277</v>
      </c>
      <c r="I76" s="457">
        <f t="shared" ref="I76:I79" si="283">SUM(J76:M76)</f>
        <v>11434609</v>
      </c>
      <c r="J76" s="457">
        <v>8436089</v>
      </c>
      <c r="K76" s="457">
        <f>ROUND(J76*33.8%,0)+1</f>
        <v>2851399</v>
      </c>
      <c r="L76" s="457">
        <f t="shared" ref="L76:L79" si="284">ROUND(J76*1%,0)</f>
        <v>84361</v>
      </c>
      <c r="M76" s="457">
        <v>62760</v>
      </c>
      <c r="N76" s="458">
        <f t="shared" ref="N76:N79" si="285">O76+P76</f>
        <v>16.96</v>
      </c>
      <c r="O76" s="459">
        <v>12.71</v>
      </c>
      <c r="P76" s="468">
        <v>4.25</v>
      </c>
      <c r="Q76" s="470">
        <f t="shared" ref="Q76:Q79" si="286">W76*-1</f>
        <v>0</v>
      </c>
      <c r="R76" s="460">
        <v>0</v>
      </c>
      <c r="S76" s="673">
        <v>0</v>
      </c>
      <c r="T76" s="460">
        <v>0</v>
      </c>
      <c r="U76" s="460">
        <v>0</v>
      </c>
      <c r="V76" s="460">
        <f>SUM(Q76:U76)</f>
        <v>0</v>
      </c>
      <c r="W76" s="460">
        <v>0</v>
      </c>
      <c r="X76" s="460">
        <v>0</v>
      </c>
      <c r="Y76" s="460">
        <v>0</v>
      </c>
      <c r="Z76" s="460">
        <f t="shared" ref="Z76:Z79" si="287">SUM(W76:Y76)</f>
        <v>0</v>
      </c>
      <c r="AA76" s="460">
        <f t="shared" ref="AA76:AA79" si="288">V76+Z76</f>
        <v>0</v>
      </c>
      <c r="AB76" s="69">
        <f t="shared" ref="AB76:AB79" si="289">ROUND((V76+W76+X76)*33.8%,0)</f>
        <v>0</v>
      </c>
      <c r="AC76" s="69">
        <f t="shared" ref="AC76:AC79" si="290">ROUND(V76*1%,0)</f>
        <v>0</v>
      </c>
      <c r="AD76" s="460">
        <v>0</v>
      </c>
      <c r="AE76" s="460">
        <v>0</v>
      </c>
      <c r="AF76" s="460">
        <f t="shared" ref="AF76:AF79" si="291">SUM(AD76:AE76)</f>
        <v>0</v>
      </c>
      <c r="AG76" s="460">
        <f t="shared" ref="AG76:AG79" si="292">AA76+AB76+AC76+AF76</f>
        <v>0</v>
      </c>
      <c r="AH76" s="461">
        <v>0</v>
      </c>
      <c r="AI76" s="461">
        <v>0</v>
      </c>
      <c r="AJ76" s="461">
        <v>0</v>
      </c>
      <c r="AK76" s="461">
        <v>0</v>
      </c>
      <c r="AL76" s="674">
        <v>0</v>
      </c>
      <c r="AM76" s="461">
        <v>0</v>
      </c>
      <c r="AN76" s="461">
        <v>0</v>
      </c>
      <c r="AO76" s="461">
        <v>0</v>
      </c>
      <c r="AP76" s="461">
        <f>AH76+AJ76+AK76+AM76+AN76</f>
        <v>0</v>
      </c>
      <c r="AQ76" s="461">
        <f>AI76+AL76+AO76</f>
        <v>0</v>
      </c>
      <c r="AR76" s="463">
        <f t="shared" ref="AR76:AR79" si="293">SUM(AP76:AQ76)</f>
        <v>0</v>
      </c>
      <c r="AS76" s="469">
        <f>I76+AG76</f>
        <v>11434609</v>
      </c>
      <c r="AT76" s="460">
        <f>J76+V76</f>
        <v>8436089</v>
      </c>
      <c r="AU76" s="460">
        <f t="shared" ref="AU76:AU79" si="294">Z76</f>
        <v>0</v>
      </c>
      <c r="AV76" s="460">
        <f t="shared" ref="AV76:AW79" si="295">K76+AB76</f>
        <v>2851399</v>
      </c>
      <c r="AW76" s="460">
        <f t="shared" si="295"/>
        <v>84361</v>
      </c>
      <c r="AX76" s="460">
        <f>M76+AF76</f>
        <v>62760</v>
      </c>
      <c r="AY76" s="461">
        <f>N76+AR76</f>
        <v>16.96</v>
      </c>
      <c r="AZ76" s="461">
        <f t="shared" ref="AZ76:BA79" si="296">O76+AP76</f>
        <v>12.71</v>
      </c>
      <c r="BA76" s="463">
        <f t="shared" si="296"/>
        <v>4.25</v>
      </c>
    </row>
    <row r="77" spans="1:53" s="229" customFormat="1" ht="12.75" customHeight="1" x14ac:dyDescent="0.2">
      <c r="A77" s="231">
        <v>19</v>
      </c>
      <c r="B77" s="232">
        <v>3413</v>
      </c>
      <c r="C77" s="232">
        <v>600077918</v>
      </c>
      <c r="D77" s="232">
        <v>72743433</v>
      </c>
      <c r="E77" s="233" t="s">
        <v>279</v>
      </c>
      <c r="F77" s="232">
        <v>3111</v>
      </c>
      <c r="G77" s="233" t="s">
        <v>309</v>
      </c>
      <c r="H77" s="264" t="s">
        <v>277</v>
      </c>
      <c r="I77" s="457">
        <f t="shared" si="283"/>
        <v>1888677</v>
      </c>
      <c r="J77" s="457">
        <v>1401096</v>
      </c>
      <c r="K77" s="457">
        <f t="shared" ref="K77:K79" si="297">ROUND(J77*33.8%,0)</f>
        <v>473570</v>
      </c>
      <c r="L77" s="457">
        <f t="shared" si="284"/>
        <v>14011</v>
      </c>
      <c r="M77" s="457">
        <v>0</v>
      </c>
      <c r="N77" s="458">
        <f t="shared" si="285"/>
        <v>4</v>
      </c>
      <c r="O77" s="459">
        <v>4</v>
      </c>
      <c r="P77" s="468">
        <v>0</v>
      </c>
      <c r="Q77" s="470">
        <f t="shared" si="286"/>
        <v>0</v>
      </c>
      <c r="R77" s="460">
        <v>0</v>
      </c>
      <c r="S77" s="673">
        <v>0</v>
      </c>
      <c r="T77" s="460">
        <v>0</v>
      </c>
      <c r="U77" s="460">
        <v>0</v>
      </c>
      <c r="V77" s="460">
        <f>SUM(Q77:U77)</f>
        <v>0</v>
      </c>
      <c r="W77" s="460">
        <v>0</v>
      </c>
      <c r="X77" s="460">
        <v>0</v>
      </c>
      <c r="Y77" s="460">
        <v>0</v>
      </c>
      <c r="Z77" s="460">
        <f t="shared" si="287"/>
        <v>0</v>
      </c>
      <c r="AA77" s="460">
        <f t="shared" si="288"/>
        <v>0</v>
      </c>
      <c r="AB77" s="69">
        <f t="shared" si="289"/>
        <v>0</v>
      </c>
      <c r="AC77" s="69">
        <f t="shared" si="290"/>
        <v>0</v>
      </c>
      <c r="AD77" s="460">
        <v>0</v>
      </c>
      <c r="AE77" s="460">
        <v>0</v>
      </c>
      <c r="AF77" s="460">
        <f t="shared" si="291"/>
        <v>0</v>
      </c>
      <c r="AG77" s="460">
        <f t="shared" si="292"/>
        <v>0</v>
      </c>
      <c r="AH77" s="461">
        <v>0</v>
      </c>
      <c r="AI77" s="461">
        <v>0</v>
      </c>
      <c r="AJ77" s="461">
        <v>0</v>
      </c>
      <c r="AK77" s="461">
        <v>0</v>
      </c>
      <c r="AL77" s="674">
        <v>0</v>
      </c>
      <c r="AM77" s="461">
        <v>0</v>
      </c>
      <c r="AN77" s="461">
        <v>0</v>
      </c>
      <c r="AO77" s="461">
        <v>0</v>
      </c>
      <c r="AP77" s="461">
        <f>AH77+AJ77+AK77+AM77+AN77</f>
        <v>0</v>
      </c>
      <c r="AQ77" s="461">
        <f>AI77+AL77+AO77</f>
        <v>0</v>
      </c>
      <c r="AR77" s="463">
        <f t="shared" si="293"/>
        <v>0</v>
      </c>
      <c r="AS77" s="469">
        <f>I77+AG77</f>
        <v>1888677</v>
      </c>
      <c r="AT77" s="460">
        <f>J77+V77</f>
        <v>1401096</v>
      </c>
      <c r="AU77" s="460">
        <f t="shared" si="294"/>
        <v>0</v>
      </c>
      <c r="AV77" s="460">
        <f t="shared" si="295"/>
        <v>473570</v>
      </c>
      <c r="AW77" s="460">
        <f t="shared" si="295"/>
        <v>14011</v>
      </c>
      <c r="AX77" s="460">
        <f>M77+AF77</f>
        <v>0</v>
      </c>
      <c r="AY77" s="461">
        <f>N77+AR77</f>
        <v>4</v>
      </c>
      <c r="AZ77" s="461">
        <f t="shared" si="296"/>
        <v>4</v>
      </c>
      <c r="BA77" s="463">
        <f t="shared" si="296"/>
        <v>0</v>
      </c>
    </row>
    <row r="78" spans="1:53" s="229" customFormat="1" x14ac:dyDescent="0.2">
      <c r="A78" s="231">
        <v>19</v>
      </c>
      <c r="B78" s="232">
        <v>3413</v>
      </c>
      <c r="C78" s="232">
        <v>600077918</v>
      </c>
      <c r="D78" s="232">
        <v>72743433</v>
      </c>
      <c r="E78" s="233" t="s">
        <v>279</v>
      </c>
      <c r="F78" s="232">
        <v>3111</v>
      </c>
      <c r="G78" s="233" t="s">
        <v>308</v>
      </c>
      <c r="H78" s="264" t="s">
        <v>278</v>
      </c>
      <c r="I78" s="457">
        <f t="shared" si="283"/>
        <v>0</v>
      </c>
      <c r="J78" s="457">
        <v>0</v>
      </c>
      <c r="K78" s="457">
        <f t="shared" si="297"/>
        <v>0</v>
      </c>
      <c r="L78" s="457">
        <f t="shared" si="284"/>
        <v>0</v>
      </c>
      <c r="M78" s="457">
        <v>0</v>
      </c>
      <c r="N78" s="458">
        <f t="shared" si="285"/>
        <v>0</v>
      </c>
      <c r="O78" s="459">
        <v>0</v>
      </c>
      <c r="P78" s="468">
        <v>0</v>
      </c>
      <c r="Q78" s="470">
        <f t="shared" si="286"/>
        <v>0</v>
      </c>
      <c r="R78" s="460">
        <v>0</v>
      </c>
      <c r="S78" s="673">
        <v>0</v>
      </c>
      <c r="T78" s="460">
        <v>0</v>
      </c>
      <c r="U78" s="460">
        <v>0</v>
      </c>
      <c r="V78" s="460">
        <f>SUM(Q78:U78)</f>
        <v>0</v>
      </c>
      <c r="W78" s="460">
        <v>0</v>
      </c>
      <c r="X78" s="460">
        <v>0</v>
      </c>
      <c r="Y78" s="460">
        <v>0</v>
      </c>
      <c r="Z78" s="460">
        <f t="shared" si="287"/>
        <v>0</v>
      </c>
      <c r="AA78" s="460">
        <f t="shared" si="288"/>
        <v>0</v>
      </c>
      <c r="AB78" s="69">
        <f t="shared" si="289"/>
        <v>0</v>
      </c>
      <c r="AC78" s="69">
        <f t="shared" si="290"/>
        <v>0</v>
      </c>
      <c r="AD78" s="460">
        <v>0</v>
      </c>
      <c r="AE78" s="460">
        <v>0</v>
      </c>
      <c r="AF78" s="460">
        <f t="shared" si="291"/>
        <v>0</v>
      </c>
      <c r="AG78" s="460">
        <f t="shared" si="292"/>
        <v>0</v>
      </c>
      <c r="AH78" s="461">
        <v>0</v>
      </c>
      <c r="AI78" s="461">
        <v>0</v>
      </c>
      <c r="AJ78" s="461">
        <v>0</v>
      </c>
      <c r="AK78" s="461">
        <v>0</v>
      </c>
      <c r="AL78" s="674">
        <v>0</v>
      </c>
      <c r="AM78" s="461">
        <v>0</v>
      </c>
      <c r="AN78" s="461">
        <v>0</v>
      </c>
      <c r="AO78" s="461">
        <v>0</v>
      </c>
      <c r="AP78" s="461">
        <f>AH78+AJ78+AK78+AM78+AN78</f>
        <v>0</v>
      </c>
      <c r="AQ78" s="461">
        <f>AI78+AL78+AO78</f>
        <v>0</v>
      </c>
      <c r="AR78" s="463">
        <f t="shared" si="293"/>
        <v>0</v>
      </c>
      <c r="AS78" s="469">
        <f>I78+AG78</f>
        <v>0</v>
      </c>
      <c r="AT78" s="460">
        <f>J78+V78</f>
        <v>0</v>
      </c>
      <c r="AU78" s="460">
        <f t="shared" si="294"/>
        <v>0</v>
      </c>
      <c r="AV78" s="460">
        <f t="shared" si="295"/>
        <v>0</v>
      </c>
      <c r="AW78" s="460">
        <f t="shared" si="295"/>
        <v>0</v>
      </c>
      <c r="AX78" s="460">
        <f>M78+AF78</f>
        <v>0</v>
      </c>
      <c r="AY78" s="461">
        <f>N78+AR78</f>
        <v>0</v>
      </c>
      <c r="AZ78" s="461">
        <f t="shared" si="296"/>
        <v>0</v>
      </c>
      <c r="BA78" s="463">
        <f t="shared" si="296"/>
        <v>0</v>
      </c>
    </row>
    <row r="79" spans="1:53" s="229" customFormat="1" ht="12.75" customHeight="1" x14ac:dyDescent="0.2">
      <c r="A79" s="231">
        <v>19</v>
      </c>
      <c r="B79" s="232">
        <v>3413</v>
      </c>
      <c r="C79" s="232">
        <v>600077918</v>
      </c>
      <c r="D79" s="232">
        <v>72743433</v>
      </c>
      <c r="E79" s="233" t="s">
        <v>279</v>
      </c>
      <c r="F79" s="232">
        <v>3141</v>
      </c>
      <c r="G79" s="233" t="s">
        <v>311</v>
      </c>
      <c r="H79" s="264" t="s">
        <v>278</v>
      </c>
      <c r="I79" s="457">
        <f t="shared" si="283"/>
        <v>1226865</v>
      </c>
      <c r="J79" s="457">
        <v>906066</v>
      </c>
      <c r="K79" s="457">
        <f t="shared" si="297"/>
        <v>306250</v>
      </c>
      <c r="L79" s="457">
        <f t="shared" si="284"/>
        <v>9061</v>
      </c>
      <c r="M79" s="457">
        <v>5488</v>
      </c>
      <c r="N79" s="458">
        <f t="shared" si="285"/>
        <v>2.91</v>
      </c>
      <c r="O79" s="459">
        <v>0</v>
      </c>
      <c r="P79" s="468">
        <v>2.91</v>
      </c>
      <c r="Q79" s="470">
        <f t="shared" si="286"/>
        <v>0</v>
      </c>
      <c r="R79" s="460">
        <v>0</v>
      </c>
      <c r="S79" s="673">
        <v>0</v>
      </c>
      <c r="T79" s="460">
        <v>0</v>
      </c>
      <c r="U79" s="460">
        <v>0</v>
      </c>
      <c r="V79" s="460">
        <f>SUM(Q79:U79)</f>
        <v>0</v>
      </c>
      <c r="W79" s="460">
        <v>0</v>
      </c>
      <c r="X79" s="460">
        <v>0</v>
      </c>
      <c r="Y79" s="460">
        <v>0</v>
      </c>
      <c r="Z79" s="460">
        <f t="shared" si="287"/>
        <v>0</v>
      </c>
      <c r="AA79" s="460">
        <f t="shared" si="288"/>
        <v>0</v>
      </c>
      <c r="AB79" s="69">
        <f t="shared" si="289"/>
        <v>0</v>
      </c>
      <c r="AC79" s="69">
        <f t="shared" si="290"/>
        <v>0</v>
      </c>
      <c r="AD79" s="460">
        <v>0</v>
      </c>
      <c r="AE79" s="460">
        <v>0</v>
      </c>
      <c r="AF79" s="460">
        <f t="shared" si="291"/>
        <v>0</v>
      </c>
      <c r="AG79" s="460">
        <f t="shared" si="292"/>
        <v>0</v>
      </c>
      <c r="AH79" s="461">
        <v>0</v>
      </c>
      <c r="AI79" s="461">
        <v>0</v>
      </c>
      <c r="AJ79" s="461">
        <v>0</v>
      </c>
      <c r="AK79" s="461">
        <v>0</v>
      </c>
      <c r="AL79" s="674">
        <v>0</v>
      </c>
      <c r="AM79" s="461">
        <v>0</v>
      </c>
      <c r="AN79" s="461">
        <v>0</v>
      </c>
      <c r="AO79" s="461">
        <v>0</v>
      </c>
      <c r="AP79" s="461">
        <f>AH79+AJ79+AK79+AM79+AN79</f>
        <v>0</v>
      </c>
      <c r="AQ79" s="461">
        <f>AI79+AL79+AO79</f>
        <v>0</v>
      </c>
      <c r="AR79" s="463">
        <f t="shared" si="293"/>
        <v>0</v>
      </c>
      <c r="AS79" s="469">
        <f>I79+AG79</f>
        <v>1226865</v>
      </c>
      <c r="AT79" s="460">
        <f>J79+V79</f>
        <v>906066</v>
      </c>
      <c r="AU79" s="460">
        <f t="shared" si="294"/>
        <v>0</v>
      </c>
      <c r="AV79" s="460">
        <f t="shared" si="295"/>
        <v>306250</v>
      </c>
      <c r="AW79" s="460">
        <f t="shared" si="295"/>
        <v>9061</v>
      </c>
      <c r="AX79" s="460">
        <f>M79+AF79</f>
        <v>5488</v>
      </c>
      <c r="AY79" s="461">
        <f>N79+AR79</f>
        <v>2.91</v>
      </c>
      <c r="AZ79" s="461">
        <f t="shared" si="296"/>
        <v>0</v>
      </c>
      <c r="BA79" s="463">
        <f t="shared" si="296"/>
        <v>2.91</v>
      </c>
    </row>
    <row r="80" spans="1:53" s="229" customFormat="1" ht="12.75" customHeight="1" x14ac:dyDescent="0.2">
      <c r="A80" s="156">
        <v>19</v>
      </c>
      <c r="B80" s="14">
        <v>3413</v>
      </c>
      <c r="C80" s="155">
        <v>600077918</v>
      </c>
      <c r="D80" s="155">
        <v>72743433</v>
      </c>
      <c r="E80" s="230" t="s">
        <v>46</v>
      </c>
      <c r="F80" s="14"/>
      <c r="G80" s="230"/>
      <c r="H80" s="263"/>
      <c r="I80" s="464">
        <f t="shared" ref="I80:P80" si="298">SUM(I76:I79)</f>
        <v>14550151</v>
      </c>
      <c r="J80" s="464">
        <f t="shared" si="298"/>
        <v>10743251</v>
      </c>
      <c r="K80" s="464">
        <f t="shared" si="298"/>
        <v>3631219</v>
      </c>
      <c r="L80" s="464">
        <f t="shared" si="298"/>
        <v>107433</v>
      </c>
      <c r="M80" s="464">
        <f t="shared" si="298"/>
        <v>68248</v>
      </c>
      <c r="N80" s="427">
        <f t="shared" si="298"/>
        <v>23.87</v>
      </c>
      <c r="O80" s="427">
        <f t="shared" si="298"/>
        <v>16.71</v>
      </c>
      <c r="P80" s="427">
        <f t="shared" si="298"/>
        <v>7.16</v>
      </c>
      <c r="Q80" s="622">
        <f t="shared" ref="Q80:BA80" si="299">SUM(Q76:Q79)</f>
        <v>0</v>
      </c>
      <c r="R80" s="620">
        <f t="shared" si="299"/>
        <v>0</v>
      </c>
      <c r="S80" s="620">
        <f t="shared" si="299"/>
        <v>0</v>
      </c>
      <c r="T80" s="620">
        <f t="shared" si="299"/>
        <v>0</v>
      </c>
      <c r="U80" s="620">
        <f t="shared" si="299"/>
        <v>0</v>
      </c>
      <c r="V80" s="620">
        <f t="shared" si="299"/>
        <v>0</v>
      </c>
      <c r="W80" s="620">
        <f t="shared" si="299"/>
        <v>0</v>
      </c>
      <c r="X80" s="620">
        <f t="shared" si="299"/>
        <v>0</v>
      </c>
      <c r="Y80" s="620">
        <f t="shared" si="299"/>
        <v>0</v>
      </c>
      <c r="Z80" s="620">
        <f t="shared" si="299"/>
        <v>0</v>
      </c>
      <c r="AA80" s="620">
        <f t="shared" si="299"/>
        <v>0</v>
      </c>
      <c r="AB80" s="620">
        <f t="shared" si="299"/>
        <v>0</v>
      </c>
      <c r="AC80" s="620">
        <f t="shared" si="299"/>
        <v>0</v>
      </c>
      <c r="AD80" s="620">
        <f t="shared" si="299"/>
        <v>0</v>
      </c>
      <c r="AE80" s="620">
        <f t="shared" si="299"/>
        <v>0</v>
      </c>
      <c r="AF80" s="620">
        <f t="shared" si="299"/>
        <v>0</v>
      </c>
      <c r="AG80" s="620">
        <f t="shared" si="299"/>
        <v>0</v>
      </c>
      <c r="AH80" s="621">
        <f t="shared" si="299"/>
        <v>0</v>
      </c>
      <c r="AI80" s="621">
        <f t="shared" si="299"/>
        <v>0</v>
      </c>
      <c r="AJ80" s="621">
        <f t="shared" si="299"/>
        <v>0</v>
      </c>
      <c r="AK80" s="621">
        <f t="shared" si="299"/>
        <v>0</v>
      </c>
      <c r="AL80" s="621">
        <f t="shared" si="299"/>
        <v>0</v>
      </c>
      <c r="AM80" s="621">
        <f t="shared" si="299"/>
        <v>0</v>
      </c>
      <c r="AN80" s="621">
        <f t="shared" si="299"/>
        <v>0</v>
      </c>
      <c r="AO80" s="621">
        <f t="shared" si="299"/>
        <v>0</v>
      </c>
      <c r="AP80" s="621">
        <f t="shared" si="299"/>
        <v>0</v>
      </c>
      <c r="AQ80" s="621">
        <f t="shared" si="299"/>
        <v>0</v>
      </c>
      <c r="AR80" s="623">
        <f t="shared" si="299"/>
        <v>0</v>
      </c>
      <c r="AS80" s="618">
        <f t="shared" si="299"/>
        <v>14550151</v>
      </c>
      <c r="AT80" s="464">
        <f t="shared" si="299"/>
        <v>10743251</v>
      </c>
      <c r="AU80" s="464">
        <f t="shared" si="299"/>
        <v>0</v>
      </c>
      <c r="AV80" s="464">
        <f t="shared" si="299"/>
        <v>3631219</v>
      </c>
      <c r="AW80" s="464">
        <f t="shared" si="299"/>
        <v>107433</v>
      </c>
      <c r="AX80" s="464">
        <f t="shared" si="299"/>
        <v>68248</v>
      </c>
      <c r="AY80" s="427">
        <f t="shared" si="299"/>
        <v>23.87</v>
      </c>
      <c r="AZ80" s="427">
        <f t="shared" si="299"/>
        <v>16.71</v>
      </c>
      <c r="BA80" s="496">
        <f t="shared" si="299"/>
        <v>7.16</v>
      </c>
    </row>
    <row r="81" spans="1:53" s="229" customFormat="1" ht="12.75" customHeight="1" x14ac:dyDescent="0.2">
      <c r="A81" s="231">
        <v>20</v>
      </c>
      <c r="B81" s="232">
        <v>3409</v>
      </c>
      <c r="C81" s="232">
        <v>600078396</v>
      </c>
      <c r="D81" s="232">
        <v>43257399</v>
      </c>
      <c r="E81" s="233" t="s">
        <v>47</v>
      </c>
      <c r="F81" s="232">
        <v>3113</v>
      </c>
      <c r="G81" s="233" t="s">
        <v>310</v>
      </c>
      <c r="H81" s="264" t="s">
        <v>277</v>
      </c>
      <c r="I81" s="457">
        <f t="shared" ref="I81:I85" si="300">SUM(J81:M81)</f>
        <v>24783925</v>
      </c>
      <c r="J81" s="457">
        <v>18023549</v>
      </c>
      <c r="K81" s="457">
        <f t="shared" ref="K81:K85" si="301">ROUND(J81*33.8%,0)</f>
        <v>6091960</v>
      </c>
      <c r="L81" s="457">
        <f>ROUND(J81*1%,0)+1</f>
        <v>180236</v>
      </c>
      <c r="M81" s="457">
        <v>488180</v>
      </c>
      <c r="N81" s="458">
        <f t="shared" ref="N81:N85" si="302">O81+P81</f>
        <v>32.044499999999999</v>
      </c>
      <c r="O81" s="459">
        <v>25.454499999999999</v>
      </c>
      <c r="P81" s="468">
        <v>6.59</v>
      </c>
      <c r="Q81" s="470">
        <f t="shared" ref="Q81:Q85" si="303">W81*-1</f>
        <v>-39000</v>
      </c>
      <c r="R81" s="460">
        <v>0</v>
      </c>
      <c r="S81" s="673">
        <v>0</v>
      </c>
      <c r="T81" s="460">
        <v>99504</v>
      </c>
      <c r="U81" s="460">
        <v>0</v>
      </c>
      <c r="V81" s="460">
        <f>SUM(Q81:U81)</f>
        <v>60504</v>
      </c>
      <c r="W81" s="460">
        <v>39000</v>
      </c>
      <c r="X81" s="460">
        <v>0</v>
      </c>
      <c r="Y81" s="460">
        <v>0</v>
      </c>
      <c r="Z81" s="460">
        <f t="shared" ref="Z81:Z85" si="304">SUM(W81:Y81)</f>
        <v>39000</v>
      </c>
      <c r="AA81" s="460">
        <f t="shared" ref="AA81:AA85" si="305">V81+Z81</f>
        <v>99504</v>
      </c>
      <c r="AB81" s="69">
        <f t="shared" ref="AB81:AB85" si="306">ROUND((V81+W81+X81)*33.8%,0)</f>
        <v>33632</v>
      </c>
      <c r="AC81" s="69">
        <f t="shared" ref="AC81:AC85" si="307">ROUND(V81*1%,0)</f>
        <v>605</v>
      </c>
      <c r="AD81" s="460">
        <v>0</v>
      </c>
      <c r="AE81" s="460">
        <v>0</v>
      </c>
      <c r="AF81" s="460">
        <f t="shared" ref="AF81:AF85" si="308">SUM(AD81:AE81)</f>
        <v>0</v>
      </c>
      <c r="AG81" s="460">
        <f t="shared" ref="AG81:AG85" si="309">AA81+AB81+AC81+AF81</f>
        <v>133741</v>
      </c>
      <c r="AH81" s="461">
        <v>-0.05</v>
      </c>
      <c r="AI81" s="461">
        <v>-0.06</v>
      </c>
      <c r="AJ81" s="461">
        <v>0</v>
      </c>
      <c r="AK81" s="461">
        <v>0</v>
      </c>
      <c r="AL81" s="674">
        <v>0</v>
      </c>
      <c r="AM81" s="461">
        <v>0.14000000000000001</v>
      </c>
      <c r="AN81" s="461">
        <v>0</v>
      </c>
      <c r="AO81" s="461">
        <v>0</v>
      </c>
      <c r="AP81" s="461">
        <f>AH81+AJ81+AK81+AM81+AN81</f>
        <v>9.0000000000000011E-2</v>
      </c>
      <c r="AQ81" s="461">
        <f>AI81+AL81+AO81</f>
        <v>-0.06</v>
      </c>
      <c r="AR81" s="463">
        <f t="shared" ref="AR81:AR85" si="310">SUM(AP81:AQ81)</f>
        <v>3.0000000000000013E-2</v>
      </c>
      <c r="AS81" s="469">
        <f>I81+AG81</f>
        <v>24917666</v>
      </c>
      <c r="AT81" s="460">
        <f>J81+V81</f>
        <v>18084053</v>
      </c>
      <c r="AU81" s="460">
        <f t="shared" ref="AU81:AU85" si="311">Z81</f>
        <v>39000</v>
      </c>
      <c r="AV81" s="460">
        <f t="shared" ref="AV81:AW85" si="312">K81+AB81</f>
        <v>6125592</v>
      </c>
      <c r="AW81" s="460">
        <f t="shared" si="312"/>
        <v>180841</v>
      </c>
      <c r="AX81" s="460">
        <f>M81+AF81</f>
        <v>488180</v>
      </c>
      <c r="AY81" s="461">
        <f>N81+AR81</f>
        <v>32.0745</v>
      </c>
      <c r="AZ81" s="461">
        <f t="shared" ref="AZ81:BA85" si="313">O81+AP81</f>
        <v>25.544499999999999</v>
      </c>
      <c r="BA81" s="463">
        <f t="shared" si="313"/>
        <v>6.53</v>
      </c>
    </row>
    <row r="82" spans="1:53" s="229" customFormat="1" x14ac:dyDescent="0.2">
      <c r="A82" s="231">
        <v>20</v>
      </c>
      <c r="B82" s="232">
        <v>3409</v>
      </c>
      <c r="C82" s="232">
        <v>600078396</v>
      </c>
      <c r="D82" s="232">
        <v>43257399</v>
      </c>
      <c r="E82" s="233" t="s">
        <v>47</v>
      </c>
      <c r="F82" s="232">
        <v>3113</v>
      </c>
      <c r="G82" s="233" t="s">
        <v>308</v>
      </c>
      <c r="H82" s="264" t="s">
        <v>278</v>
      </c>
      <c r="I82" s="457">
        <f t="shared" si="300"/>
        <v>0</v>
      </c>
      <c r="J82" s="457">
        <v>0</v>
      </c>
      <c r="K82" s="457">
        <f t="shared" si="301"/>
        <v>0</v>
      </c>
      <c r="L82" s="457">
        <f t="shared" ref="L82:L85" si="314">ROUND(J82*1%,0)</f>
        <v>0</v>
      </c>
      <c r="M82" s="457">
        <v>0</v>
      </c>
      <c r="N82" s="458">
        <f t="shared" si="302"/>
        <v>0</v>
      </c>
      <c r="O82" s="459">
        <v>0</v>
      </c>
      <c r="P82" s="468">
        <v>0</v>
      </c>
      <c r="Q82" s="470">
        <f t="shared" si="303"/>
        <v>0</v>
      </c>
      <c r="R82" s="460">
        <f>2683318+21208+577411</f>
        <v>3281937</v>
      </c>
      <c r="S82" s="673">
        <v>0</v>
      </c>
      <c r="T82" s="460">
        <v>0</v>
      </c>
      <c r="U82" s="460">
        <v>0</v>
      </c>
      <c r="V82" s="460">
        <f>SUM(Q82:U82)</f>
        <v>3281937</v>
      </c>
      <c r="W82" s="460">
        <v>0</v>
      </c>
      <c r="X82" s="460">
        <v>0</v>
      </c>
      <c r="Y82" s="460">
        <v>0</v>
      </c>
      <c r="Z82" s="460">
        <f t="shared" si="304"/>
        <v>0</v>
      </c>
      <c r="AA82" s="460">
        <f t="shared" si="305"/>
        <v>3281937</v>
      </c>
      <c r="AB82" s="69">
        <f t="shared" si="306"/>
        <v>1109295</v>
      </c>
      <c r="AC82" s="69">
        <f t="shared" si="307"/>
        <v>32819</v>
      </c>
      <c r="AD82" s="460">
        <v>0</v>
      </c>
      <c r="AE82" s="460">
        <v>0</v>
      </c>
      <c r="AF82" s="460">
        <f t="shared" si="308"/>
        <v>0</v>
      </c>
      <c r="AG82" s="460">
        <f t="shared" si="309"/>
        <v>4424051</v>
      </c>
      <c r="AH82" s="461">
        <v>0</v>
      </c>
      <c r="AI82" s="461">
        <v>0</v>
      </c>
      <c r="AJ82" s="461">
        <f>7.41+0.05+1.67</f>
        <v>9.129999999999999</v>
      </c>
      <c r="AK82" s="461">
        <v>0</v>
      </c>
      <c r="AL82" s="674">
        <v>0</v>
      </c>
      <c r="AM82" s="461">
        <v>0</v>
      </c>
      <c r="AN82" s="461">
        <v>0</v>
      </c>
      <c r="AO82" s="461">
        <v>0</v>
      </c>
      <c r="AP82" s="461">
        <f>AH82+AJ82+AK82+AM82+AN82</f>
        <v>9.129999999999999</v>
      </c>
      <c r="AQ82" s="461">
        <f>AI82+AL82+AO82</f>
        <v>0</v>
      </c>
      <c r="AR82" s="463">
        <f t="shared" si="310"/>
        <v>9.129999999999999</v>
      </c>
      <c r="AS82" s="469">
        <f>I82+AG82</f>
        <v>4424051</v>
      </c>
      <c r="AT82" s="460">
        <f>J82+V82</f>
        <v>3281937</v>
      </c>
      <c r="AU82" s="460">
        <f t="shared" si="311"/>
        <v>0</v>
      </c>
      <c r="AV82" s="460">
        <f t="shared" si="312"/>
        <v>1109295</v>
      </c>
      <c r="AW82" s="460">
        <f t="shared" si="312"/>
        <v>32819</v>
      </c>
      <c r="AX82" s="460">
        <f>M82+AF82</f>
        <v>0</v>
      </c>
      <c r="AY82" s="461">
        <f>N82+AR82</f>
        <v>9.129999999999999</v>
      </c>
      <c r="AZ82" s="461">
        <f t="shared" si="313"/>
        <v>9.129999999999999</v>
      </c>
      <c r="BA82" s="463">
        <f t="shared" si="313"/>
        <v>0</v>
      </c>
    </row>
    <row r="83" spans="1:53" s="229" customFormat="1" ht="12.75" customHeight="1" x14ac:dyDescent="0.2">
      <c r="A83" s="231">
        <v>20</v>
      </c>
      <c r="B83" s="232">
        <v>3409</v>
      </c>
      <c r="C83" s="232">
        <v>600078396</v>
      </c>
      <c r="D83" s="232">
        <v>43257399</v>
      </c>
      <c r="E83" s="233" t="s">
        <v>47</v>
      </c>
      <c r="F83" s="232">
        <v>3141</v>
      </c>
      <c r="G83" s="233" t="s">
        <v>311</v>
      </c>
      <c r="H83" s="264" t="s">
        <v>278</v>
      </c>
      <c r="I83" s="457">
        <f t="shared" si="300"/>
        <v>2099058</v>
      </c>
      <c r="J83" s="457">
        <v>1546788</v>
      </c>
      <c r="K83" s="457">
        <f t="shared" si="301"/>
        <v>522814</v>
      </c>
      <c r="L83" s="457">
        <f t="shared" si="314"/>
        <v>15468</v>
      </c>
      <c r="M83" s="457">
        <v>13988</v>
      </c>
      <c r="N83" s="458">
        <f t="shared" si="302"/>
        <v>4.97</v>
      </c>
      <c r="O83" s="459">
        <v>0</v>
      </c>
      <c r="P83" s="468">
        <v>4.97</v>
      </c>
      <c r="Q83" s="470">
        <f t="shared" si="303"/>
        <v>0</v>
      </c>
      <c r="R83" s="460">
        <v>0</v>
      </c>
      <c r="S83" s="673">
        <v>0</v>
      </c>
      <c r="T83" s="460">
        <v>0</v>
      </c>
      <c r="U83" s="460">
        <v>0</v>
      </c>
      <c r="V83" s="460">
        <f>SUM(Q83:U83)</f>
        <v>0</v>
      </c>
      <c r="W83" s="460">
        <v>0</v>
      </c>
      <c r="X83" s="460">
        <v>0</v>
      </c>
      <c r="Y83" s="460">
        <v>81708</v>
      </c>
      <c r="Z83" s="460">
        <f t="shared" si="304"/>
        <v>81708</v>
      </c>
      <c r="AA83" s="460">
        <f t="shared" si="305"/>
        <v>81708</v>
      </c>
      <c r="AB83" s="69">
        <f t="shared" si="306"/>
        <v>0</v>
      </c>
      <c r="AC83" s="69">
        <f t="shared" si="307"/>
        <v>0</v>
      </c>
      <c r="AD83" s="460">
        <v>0</v>
      </c>
      <c r="AE83" s="460">
        <v>0</v>
      </c>
      <c r="AF83" s="460">
        <f t="shared" si="308"/>
        <v>0</v>
      </c>
      <c r="AG83" s="460">
        <f t="shared" si="309"/>
        <v>81708</v>
      </c>
      <c r="AH83" s="461">
        <v>0</v>
      </c>
      <c r="AI83" s="461">
        <v>0</v>
      </c>
      <c r="AJ83" s="461">
        <v>0</v>
      </c>
      <c r="AK83" s="461">
        <v>0</v>
      </c>
      <c r="AL83" s="674">
        <v>0</v>
      </c>
      <c r="AM83" s="461">
        <v>0</v>
      </c>
      <c r="AN83" s="461">
        <v>0</v>
      </c>
      <c r="AO83" s="461">
        <v>0</v>
      </c>
      <c r="AP83" s="461">
        <f>AH83+AJ83+AK83+AM83+AN83</f>
        <v>0</v>
      </c>
      <c r="AQ83" s="461">
        <f>AI83+AL83+AO83</f>
        <v>0</v>
      </c>
      <c r="AR83" s="463">
        <f t="shared" si="310"/>
        <v>0</v>
      </c>
      <c r="AS83" s="469">
        <f>I83+AG83</f>
        <v>2180766</v>
      </c>
      <c r="AT83" s="460">
        <f>J83+V83</f>
        <v>1546788</v>
      </c>
      <c r="AU83" s="460">
        <f t="shared" si="311"/>
        <v>81708</v>
      </c>
      <c r="AV83" s="460">
        <f t="shared" si="312"/>
        <v>522814</v>
      </c>
      <c r="AW83" s="460">
        <f t="shared" si="312"/>
        <v>15468</v>
      </c>
      <c r="AX83" s="460">
        <f>M83+AF83</f>
        <v>13988</v>
      </c>
      <c r="AY83" s="461">
        <f>N83+AR83</f>
        <v>4.97</v>
      </c>
      <c r="AZ83" s="461">
        <f t="shared" si="313"/>
        <v>0</v>
      </c>
      <c r="BA83" s="463">
        <f t="shared" si="313"/>
        <v>4.97</v>
      </c>
    </row>
    <row r="84" spans="1:53" s="229" customFormat="1" ht="12.75" customHeight="1" x14ac:dyDescent="0.2">
      <c r="A84" s="231">
        <v>20</v>
      </c>
      <c r="B84" s="232">
        <v>3409</v>
      </c>
      <c r="C84" s="232">
        <v>600078396</v>
      </c>
      <c r="D84" s="232">
        <v>43257399</v>
      </c>
      <c r="E84" s="233" t="s">
        <v>47</v>
      </c>
      <c r="F84" s="232">
        <v>3143</v>
      </c>
      <c r="G84" s="233" t="s">
        <v>616</v>
      </c>
      <c r="H84" s="264" t="s">
        <v>277</v>
      </c>
      <c r="I84" s="457">
        <f t="shared" si="300"/>
        <v>2735511</v>
      </c>
      <c r="J84" s="457">
        <v>2029311</v>
      </c>
      <c r="K84" s="457">
        <f t="shared" si="301"/>
        <v>685907</v>
      </c>
      <c r="L84" s="457">
        <f t="shared" si="314"/>
        <v>20293</v>
      </c>
      <c r="M84" s="457">
        <v>0</v>
      </c>
      <c r="N84" s="458">
        <f t="shared" si="302"/>
        <v>4.5</v>
      </c>
      <c r="O84" s="459">
        <v>4.5</v>
      </c>
      <c r="P84" s="468">
        <v>0</v>
      </c>
      <c r="Q84" s="470">
        <f t="shared" si="303"/>
        <v>0</v>
      </c>
      <c r="R84" s="460">
        <v>0</v>
      </c>
      <c r="S84" s="673">
        <v>0</v>
      </c>
      <c r="T84" s="460">
        <v>0</v>
      </c>
      <c r="U84" s="460">
        <v>0</v>
      </c>
      <c r="V84" s="460">
        <f>SUM(Q84:U84)</f>
        <v>0</v>
      </c>
      <c r="W84" s="460">
        <v>0</v>
      </c>
      <c r="X84" s="460">
        <v>0</v>
      </c>
      <c r="Y84" s="460">
        <v>0</v>
      </c>
      <c r="Z84" s="460">
        <f t="shared" si="304"/>
        <v>0</v>
      </c>
      <c r="AA84" s="460">
        <f t="shared" si="305"/>
        <v>0</v>
      </c>
      <c r="AB84" s="69">
        <f t="shared" si="306"/>
        <v>0</v>
      </c>
      <c r="AC84" s="69">
        <f t="shared" si="307"/>
        <v>0</v>
      </c>
      <c r="AD84" s="460">
        <v>0</v>
      </c>
      <c r="AE84" s="460">
        <v>0</v>
      </c>
      <c r="AF84" s="460">
        <f t="shared" si="308"/>
        <v>0</v>
      </c>
      <c r="AG84" s="460">
        <f t="shared" si="309"/>
        <v>0</v>
      </c>
      <c r="AH84" s="461">
        <v>0</v>
      </c>
      <c r="AI84" s="461">
        <v>0</v>
      </c>
      <c r="AJ84" s="461">
        <v>0</v>
      </c>
      <c r="AK84" s="461">
        <v>0</v>
      </c>
      <c r="AL84" s="674">
        <v>0</v>
      </c>
      <c r="AM84" s="461">
        <v>0</v>
      </c>
      <c r="AN84" s="461">
        <v>0</v>
      </c>
      <c r="AO84" s="461">
        <v>0</v>
      </c>
      <c r="AP84" s="461">
        <f>AH84+AJ84+AK84+AM84+AN84</f>
        <v>0</v>
      </c>
      <c r="AQ84" s="461">
        <f>AI84+AL84+AO84</f>
        <v>0</v>
      </c>
      <c r="AR84" s="463">
        <f t="shared" si="310"/>
        <v>0</v>
      </c>
      <c r="AS84" s="469">
        <f>I84+AG84</f>
        <v>2735511</v>
      </c>
      <c r="AT84" s="460">
        <f>J84+V84</f>
        <v>2029311</v>
      </c>
      <c r="AU84" s="460">
        <f t="shared" si="311"/>
        <v>0</v>
      </c>
      <c r="AV84" s="460">
        <f t="shared" si="312"/>
        <v>685907</v>
      </c>
      <c r="AW84" s="460">
        <f t="shared" si="312"/>
        <v>20293</v>
      </c>
      <c r="AX84" s="460">
        <f>M84+AF84</f>
        <v>0</v>
      </c>
      <c r="AY84" s="461">
        <f>N84+AR84</f>
        <v>4.5</v>
      </c>
      <c r="AZ84" s="461">
        <f t="shared" si="313"/>
        <v>4.5</v>
      </c>
      <c r="BA84" s="463">
        <f t="shared" si="313"/>
        <v>0</v>
      </c>
    </row>
    <row r="85" spans="1:53" s="229" customFormat="1" ht="12.75" customHeight="1" x14ac:dyDescent="0.2">
      <c r="A85" s="231">
        <v>20</v>
      </c>
      <c r="B85" s="232">
        <v>3409</v>
      </c>
      <c r="C85" s="232">
        <v>600078396</v>
      </c>
      <c r="D85" s="232">
        <v>43257399</v>
      </c>
      <c r="E85" s="233" t="s">
        <v>47</v>
      </c>
      <c r="F85" s="232">
        <v>3143</v>
      </c>
      <c r="G85" s="233" t="s">
        <v>617</v>
      </c>
      <c r="H85" s="264" t="s">
        <v>278</v>
      </c>
      <c r="I85" s="457">
        <f t="shared" si="300"/>
        <v>86494</v>
      </c>
      <c r="J85" s="457">
        <v>61801</v>
      </c>
      <c r="K85" s="457">
        <f t="shared" si="301"/>
        <v>20889</v>
      </c>
      <c r="L85" s="457">
        <f t="shared" si="314"/>
        <v>618</v>
      </c>
      <c r="M85" s="457">
        <v>3186</v>
      </c>
      <c r="N85" s="458">
        <f t="shared" si="302"/>
        <v>0.25</v>
      </c>
      <c r="O85" s="459">
        <v>0</v>
      </c>
      <c r="P85" s="468">
        <v>0.25</v>
      </c>
      <c r="Q85" s="470">
        <f t="shared" si="303"/>
        <v>0</v>
      </c>
      <c r="R85" s="460">
        <v>0</v>
      </c>
      <c r="S85" s="673">
        <v>0</v>
      </c>
      <c r="T85" s="460">
        <v>0</v>
      </c>
      <c r="U85" s="460">
        <v>0</v>
      </c>
      <c r="V85" s="460">
        <f>SUM(Q85:U85)</f>
        <v>0</v>
      </c>
      <c r="W85" s="460">
        <v>0</v>
      </c>
      <c r="X85" s="460">
        <v>0</v>
      </c>
      <c r="Y85" s="460">
        <v>0</v>
      </c>
      <c r="Z85" s="460">
        <f t="shared" si="304"/>
        <v>0</v>
      </c>
      <c r="AA85" s="460">
        <f t="shared" si="305"/>
        <v>0</v>
      </c>
      <c r="AB85" s="69">
        <f t="shared" si="306"/>
        <v>0</v>
      </c>
      <c r="AC85" s="69">
        <f t="shared" si="307"/>
        <v>0</v>
      </c>
      <c r="AD85" s="460">
        <v>0</v>
      </c>
      <c r="AE85" s="460">
        <v>0</v>
      </c>
      <c r="AF85" s="460">
        <f t="shared" si="308"/>
        <v>0</v>
      </c>
      <c r="AG85" s="460">
        <f t="shared" si="309"/>
        <v>0</v>
      </c>
      <c r="AH85" s="461">
        <v>0</v>
      </c>
      <c r="AI85" s="461">
        <v>0</v>
      </c>
      <c r="AJ85" s="461">
        <v>0</v>
      </c>
      <c r="AK85" s="461">
        <v>0</v>
      </c>
      <c r="AL85" s="674">
        <v>0</v>
      </c>
      <c r="AM85" s="461">
        <v>0</v>
      </c>
      <c r="AN85" s="461">
        <v>0</v>
      </c>
      <c r="AO85" s="461">
        <v>0</v>
      </c>
      <c r="AP85" s="461">
        <f>AH85+AJ85+AK85+AM85+AN85</f>
        <v>0</v>
      </c>
      <c r="AQ85" s="461">
        <f>AI85+AL85+AO85</f>
        <v>0</v>
      </c>
      <c r="AR85" s="463">
        <f t="shared" si="310"/>
        <v>0</v>
      </c>
      <c r="AS85" s="469">
        <f>I85+AG85</f>
        <v>86494</v>
      </c>
      <c r="AT85" s="460">
        <f>J85+V85</f>
        <v>61801</v>
      </c>
      <c r="AU85" s="460">
        <f t="shared" si="311"/>
        <v>0</v>
      </c>
      <c r="AV85" s="460">
        <f t="shared" si="312"/>
        <v>20889</v>
      </c>
      <c r="AW85" s="460">
        <f t="shared" si="312"/>
        <v>618</v>
      </c>
      <c r="AX85" s="460">
        <f>M85+AF85</f>
        <v>3186</v>
      </c>
      <c r="AY85" s="461">
        <f>N85+AR85</f>
        <v>0.25</v>
      </c>
      <c r="AZ85" s="461">
        <f t="shared" si="313"/>
        <v>0</v>
      </c>
      <c r="BA85" s="463">
        <f t="shared" si="313"/>
        <v>0.25</v>
      </c>
    </row>
    <row r="86" spans="1:53" s="229" customFormat="1" ht="12.75" customHeight="1" x14ac:dyDescent="0.2">
      <c r="A86" s="156">
        <v>20</v>
      </c>
      <c r="B86" s="14">
        <v>3409</v>
      </c>
      <c r="C86" s="155">
        <v>600078396</v>
      </c>
      <c r="D86" s="155">
        <v>43257399</v>
      </c>
      <c r="E86" s="230" t="s">
        <v>48</v>
      </c>
      <c r="F86" s="14"/>
      <c r="G86" s="230"/>
      <c r="H86" s="263"/>
      <c r="I86" s="464">
        <f t="shared" ref="I86:P86" si="315">SUM(I81:I85)</f>
        <v>29704988</v>
      </c>
      <c r="J86" s="464">
        <f t="shared" si="315"/>
        <v>21661449</v>
      </c>
      <c r="K86" s="464">
        <f t="shared" si="315"/>
        <v>7321570</v>
      </c>
      <c r="L86" s="464">
        <f t="shared" si="315"/>
        <v>216615</v>
      </c>
      <c r="M86" s="464">
        <f t="shared" si="315"/>
        <v>505354</v>
      </c>
      <c r="N86" s="427">
        <f t="shared" si="315"/>
        <v>41.764499999999998</v>
      </c>
      <c r="O86" s="427">
        <f t="shared" si="315"/>
        <v>29.954499999999999</v>
      </c>
      <c r="P86" s="427">
        <f t="shared" si="315"/>
        <v>11.809999999999999</v>
      </c>
      <c r="Q86" s="622">
        <f t="shared" ref="Q86:BA86" si="316">SUM(Q81:Q85)</f>
        <v>-39000</v>
      </c>
      <c r="R86" s="620">
        <f t="shared" si="316"/>
        <v>3281937</v>
      </c>
      <c r="S86" s="620">
        <f t="shared" si="316"/>
        <v>0</v>
      </c>
      <c r="T86" s="620">
        <f t="shared" si="316"/>
        <v>99504</v>
      </c>
      <c r="U86" s="620">
        <f t="shared" si="316"/>
        <v>0</v>
      </c>
      <c r="V86" s="620">
        <f t="shared" si="316"/>
        <v>3342441</v>
      </c>
      <c r="W86" s="620">
        <f t="shared" si="316"/>
        <v>39000</v>
      </c>
      <c r="X86" s="620">
        <f t="shared" si="316"/>
        <v>0</v>
      </c>
      <c r="Y86" s="620">
        <f t="shared" si="316"/>
        <v>81708</v>
      </c>
      <c r="Z86" s="620">
        <f t="shared" si="316"/>
        <v>120708</v>
      </c>
      <c r="AA86" s="620">
        <f t="shared" si="316"/>
        <v>3463149</v>
      </c>
      <c r="AB86" s="620">
        <f t="shared" si="316"/>
        <v>1142927</v>
      </c>
      <c r="AC86" s="620">
        <f t="shared" si="316"/>
        <v>33424</v>
      </c>
      <c r="AD86" s="620">
        <f t="shared" si="316"/>
        <v>0</v>
      </c>
      <c r="AE86" s="620">
        <f t="shared" si="316"/>
        <v>0</v>
      </c>
      <c r="AF86" s="620">
        <f t="shared" si="316"/>
        <v>0</v>
      </c>
      <c r="AG86" s="620">
        <f t="shared" si="316"/>
        <v>4639500</v>
      </c>
      <c r="AH86" s="621">
        <f t="shared" si="316"/>
        <v>-0.05</v>
      </c>
      <c r="AI86" s="621">
        <f t="shared" si="316"/>
        <v>-0.06</v>
      </c>
      <c r="AJ86" s="621">
        <f t="shared" si="316"/>
        <v>9.129999999999999</v>
      </c>
      <c r="AK86" s="621">
        <f t="shared" si="316"/>
        <v>0</v>
      </c>
      <c r="AL86" s="621">
        <f t="shared" si="316"/>
        <v>0</v>
      </c>
      <c r="AM86" s="621">
        <f t="shared" si="316"/>
        <v>0.14000000000000001</v>
      </c>
      <c r="AN86" s="621">
        <f t="shared" si="316"/>
        <v>0</v>
      </c>
      <c r="AO86" s="621">
        <f t="shared" si="316"/>
        <v>0</v>
      </c>
      <c r="AP86" s="621">
        <f t="shared" si="316"/>
        <v>9.2199999999999989</v>
      </c>
      <c r="AQ86" s="621">
        <f t="shared" si="316"/>
        <v>-0.06</v>
      </c>
      <c r="AR86" s="623">
        <f t="shared" si="316"/>
        <v>9.1599999999999984</v>
      </c>
      <c r="AS86" s="618">
        <f t="shared" si="316"/>
        <v>34344488</v>
      </c>
      <c r="AT86" s="464">
        <f t="shared" si="316"/>
        <v>25003890</v>
      </c>
      <c r="AU86" s="464">
        <f t="shared" si="316"/>
        <v>120708</v>
      </c>
      <c r="AV86" s="464">
        <f t="shared" si="316"/>
        <v>8464497</v>
      </c>
      <c r="AW86" s="464">
        <f t="shared" si="316"/>
        <v>250039</v>
      </c>
      <c r="AX86" s="464">
        <f t="shared" si="316"/>
        <v>505354</v>
      </c>
      <c r="AY86" s="427">
        <f t="shared" si="316"/>
        <v>50.924499999999995</v>
      </c>
      <c r="AZ86" s="427">
        <f t="shared" si="316"/>
        <v>39.174499999999995</v>
      </c>
      <c r="BA86" s="496">
        <f t="shared" si="316"/>
        <v>11.75</v>
      </c>
    </row>
    <row r="87" spans="1:53" s="229" customFormat="1" ht="12.75" customHeight="1" x14ac:dyDescent="0.2">
      <c r="A87" s="231">
        <v>21</v>
      </c>
      <c r="B87" s="232">
        <v>3415</v>
      </c>
      <c r="C87" s="232">
        <v>600078523</v>
      </c>
      <c r="D87" s="232">
        <v>72743271</v>
      </c>
      <c r="E87" s="233" t="s">
        <v>49</v>
      </c>
      <c r="F87" s="232">
        <v>3113</v>
      </c>
      <c r="G87" s="233" t="s">
        <v>310</v>
      </c>
      <c r="H87" s="264" t="s">
        <v>277</v>
      </c>
      <c r="I87" s="457">
        <f t="shared" ref="I87:I91" si="317">SUM(J87:M87)</f>
        <v>31201492</v>
      </c>
      <c r="J87" s="457">
        <v>22730914</v>
      </c>
      <c r="K87" s="457">
        <f t="shared" ref="K87:K91" si="318">ROUND(J87*33.8%,0)</f>
        <v>7683049</v>
      </c>
      <c r="L87" s="457">
        <f t="shared" ref="L87:L91" si="319">ROUND(J87*1%,0)</f>
        <v>227309</v>
      </c>
      <c r="M87" s="457">
        <v>560220</v>
      </c>
      <c r="N87" s="458">
        <f t="shared" ref="N87:N91" si="320">O87+P87</f>
        <v>36.254599999999996</v>
      </c>
      <c r="O87" s="459">
        <v>29.204599999999999</v>
      </c>
      <c r="P87" s="468">
        <v>7.05</v>
      </c>
      <c r="Q87" s="470">
        <f t="shared" ref="Q87:Q91" si="321">W87*-1</f>
        <v>-6500</v>
      </c>
      <c r="R87" s="460">
        <v>0</v>
      </c>
      <c r="S87" s="673">
        <v>0</v>
      </c>
      <c r="T87" s="460">
        <v>0</v>
      </c>
      <c r="U87" s="460">
        <v>0</v>
      </c>
      <c r="V87" s="460">
        <f>SUM(Q87:U87)</f>
        <v>-6500</v>
      </c>
      <c r="W87" s="460">
        <v>6500</v>
      </c>
      <c r="X87" s="460">
        <v>0</v>
      </c>
      <c r="Y87" s="460">
        <v>0</v>
      </c>
      <c r="Z87" s="460">
        <f t="shared" ref="Z87:Z91" si="322">SUM(W87:Y87)</f>
        <v>6500</v>
      </c>
      <c r="AA87" s="460">
        <f t="shared" ref="AA87:AA91" si="323">V87+Z87</f>
        <v>0</v>
      </c>
      <c r="AB87" s="69">
        <f t="shared" ref="AB87:AB91" si="324">ROUND((V87+W87+X87)*33.8%,0)</f>
        <v>0</v>
      </c>
      <c r="AC87" s="69">
        <f t="shared" ref="AC87:AC91" si="325">ROUND(V87*1%,0)</f>
        <v>-65</v>
      </c>
      <c r="AD87" s="460">
        <v>0</v>
      </c>
      <c r="AE87" s="460">
        <v>0</v>
      </c>
      <c r="AF87" s="460">
        <f t="shared" ref="AF87:AF91" si="326">SUM(AD87:AE87)</f>
        <v>0</v>
      </c>
      <c r="AG87" s="460">
        <f t="shared" ref="AG87:AG91" si="327">AA87+AB87+AC87+AF87</f>
        <v>-65</v>
      </c>
      <c r="AH87" s="461">
        <v>0</v>
      </c>
      <c r="AI87" s="461">
        <v>0</v>
      </c>
      <c r="AJ87" s="461">
        <v>0</v>
      </c>
      <c r="AK87" s="461">
        <v>0</v>
      </c>
      <c r="AL87" s="674">
        <v>0</v>
      </c>
      <c r="AM87" s="461">
        <v>0</v>
      </c>
      <c r="AN87" s="461">
        <v>0</v>
      </c>
      <c r="AO87" s="461">
        <v>0</v>
      </c>
      <c r="AP87" s="461">
        <f>AH87+AJ87+AK87+AM87+AN87</f>
        <v>0</v>
      </c>
      <c r="AQ87" s="461">
        <f>AI87+AL87+AO87</f>
        <v>0</v>
      </c>
      <c r="AR87" s="463">
        <f t="shared" ref="AR87:AR91" si="328">SUM(AP87:AQ87)</f>
        <v>0</v>
      </c>
      <c r="AS87" s="469">
        <f>I87+AG87</f>
        <v>31201427</v>
      </c>
      <c r="AT87" s="460">
        <f>J87+V87</f>
        <v>22724414</v>
      </c>
      <c r="AU87" s="460">
        <f t="shared" ref="AU87:AU91" si="329">Z87</f>
        <v>6500</v>
      </c>
      <c r="AV87" s="460">
        <f t="shared" ref="AV87:AW91" si="330">K87+AB87</f>
        <v>7683049</v>
      </c>
      <c r="AW87" s="460">
        <f t="shared" si="330"/>
        <v>227244</v>
      </c>
      <c r="AX87" s="460">
        <f>M87+AF87</f>
        <v>560220</v>
      </c>
      <c r="AY87" s="461">
        <f>N87+AR87</f>
        <v>36.254599999999996</v>
      </c>
      <c r="AZ87" s="461">
        <f t="shared" ref="AZ87:BA91" si="331">O87+AP87</f>
        <v>29.204599999999999</v>
      </c>
      <c r="BA87" s="463">
        <f t="shared" si="331"/>
        <v>7.05</v>
      </c>
    </row>
    <row r="88" spans="1:53" s="229" customFormat="1" x14ac:dyDescent="0.2">
      <c r="A88" s="231">
        <v>21</v>
      </c>
      <c r="B88" s="232">
        <v>3415</v>
      </c>
      <c r="C88" s="232">
        <v>600078523</v>
      </c>
      <c r="D88" s="232">
        <v>72743271</v>
      </c>
      <c r="E88" s="233" t="s">
        <v>49</v>
      </c>
      <c r="F88" s="232">
        <v>3113</v>
      </c>
      <c r="G88" s="233" t="s">
        <v>308</v>
      </c>
      <c r="H88" s="264" t="s">
        <v>278</v>
      </c>
      <c r="I88" s="457">
        <f t="shared" si="317"/>
        <v>0</v>
      </c>
      <c r="J88" s="457">
        <v>0</v>
      </c>
      <c r="K88" s="457">
        <f t="shared" si="318"/>
        <v>0</v>
      </c>
      <c r="L88" s="457">
        <f t="shared" si="319"/>
        <v>0</v>
      </c>
      <c r="M88" s="457">
        <v>0</v>
      </c>
      <c r="N88" s="458">
        <f t="shared" si="320"/>
        <v>0</v>
      </c>
      <c r="O88" s="459">
        <v>0</v>
      </c>
      <c r="P88" s="468">
        <v>0</v>
      </c>
      <c r="Q88" s="470">
        <f t="shared" si="321"/>
        <v>0</v>
      </c>
      <c r="R88" s="460">
        <f>1449368+19280</f>
        <v>1468648</v>
      </c>
      <c r="S88" s="673">
        <v>0</v>
      </c>
      <c r="T88" s="460">
        <v>0</v>
      </c>
      <c r="U88" s="460">
        <v>0</v>
      </c>
      <c r="V88" s="460">
        <f>SUM(Q88:U88)</f>
        <v>1468648</v>
      </c>
      <c r="W88" s="460">
        <v>0</v>
      </c>
      <c r="X88" s="460">
        <v>0</v>
      </c>
      <c r="Y88" s="460">
        <v>0</v>
      </c>
      <c r="Z88" s="460">
        <f t="shared" si="322"/>
        <v>0</v>
      </c>
      <c r="AA88" s="460">
        <f t="shared" si="323"/>
        <v>1468648</v>
      </c>
      <c r="AB88" s="69">
        <f t="shared" si="324"/>
        <v>496403</v>
      </c>
      <c r="AC88" s="69">
        <f t="shared" si="325"/>
        <v>14686</v>
      </c>
      <c r="AD88" s="460">
        <v>4500</v>
      </c>
      <c r="AE88" s="460">
        <v>0</v>
      </c>
      <c r="AF88" s="460">
        <f t="shared" si="326"/>
        <v>4500</v>
      </c>
      <c r="AG88" s="460">
        <f t="shared" si="327"/>
        <v>1984237</v>
      </c>
      <c r="AH88" s="461">
        <v>0</v>
      </c>
      <c r="AI88" s="461">
        <v>0</v>
      </c>
      <c r="AJ88" s="461">
        <f>4.35+0.04</f>
        <v>4.3899999999999997</v>
      </c>
      <c r="AK88" s="461">
        <v>0</v>
      </c>
      <c r="AL88" s="674">
        <v>0</v>
      </c>
      <c r="AM88" s="461">
        <v>0</v>
      </c>
      <c r="AN88" s="461">
        <v>0</v>
      </c>
      <c r="AO88" s="461">
        <v>0</v>
      </c>
      <c r="AP88" s="461">
        <f>AH88+AJ88+AK88+AM88+AN88</f>
        <v>4.3899999999999997</v>
      </c>
      <c r="AQ88" s="461">
        <f>AI88+AL88+AO88</f>
        <v>0</v>
      </c>
      <c r="AR88" s="463">
        <f t="shared" si="328"/>
        <v>4.3899999999999997</v>
      </c>
      <c r="AS88" s="469">
        <f>I88+AG88</f>
        <v>1984237</v>
      </c>
      <c r="AT88" s="460">
        <f>J88+V88</f>
        <v>1468648</v>
      </c>
      <c r="AU88" s="460">
        <f t="shared" si="329"/>
        <v>0</v>
      </c>
      <c r="AV88" s="460">
        <f t="shared" si="330"/>
        <v>496403</v>
      </c>
      <c r="AW88" s="460">
        <f t="shared" si="330"/>
        <v>14686</v>
      </c>
      <c r="AX88" s="460">
        <f>M88+AF88</f>
        <v>4500</v>
      </c>
      <c r="AY88" s="461">
        <f>N88+AR88</f>
        <v>4.3899999999999997</v>
      </c>
      <c r="AZ88" s="461">
        <f t="shared" si="331"/>
        <v>4.3899999999999997</v>
      </c>
      <c r="BA88" s="463">
        <f t="shared" si="331"/>
        <v>0</v>
      </c>
    </row>
    <row r="89" spans="1:53" s="229" customFormat="1" ht="12.75" customHeight="1" x14ac:dyDescent="0.2">
      <c r="A89" s="231">
        <v>21</v>
      </c>
      <c r="B89" s="232">
        <v>3415</v>
      </c>
      <c r="C89" s="232">
        <v>600078523</v>
      </c>
      <c r="D89" s="232">
        <v>72743271</v>
      </c>
      <c r="E89" s="233" t="s">
        <v>49</v>
      </c>
      <c r="F89" s="232">
        <v>3141</v>
      </c>
      <c r="G89" s="233" t="s">
        <v>311</v>
      </c>
      <c r="H89" s="264" t="s">
        <v>278</v>
      </c>
      <c r="I89" s="457">
        <f t="shared" si="317"/>
        <v>2554907</v>
      </c>
      <c r="J89" s="457">
        <v>1879361</v>
      </c>
      <c r="K89" s="457">
        <f t="shared" si="318"/>
        <v>635224</v>
      </c>
      <c r="L89" s="457">
        <f t="shared" si="319"/>
        <v>18794</v>
      </c>
      <c r="M89" s="457">
        <v>21528</v>
      </c>
      <c r="N89" s="458">
        <f t="shared" si="320"/>
        <v>6.04</v>
      </c>
      <c r="O89" s="459">
        <v>0</v>
      </c>
      <c r="P89" s="468">
        <v>6.04</v>
      </c>
      <c r="Q89" s="470">
        <f t="shared" si="321"/>
        <v>0</v>
      </c>
      <c r="R89" s="460">
        <v>0</v>
      </c>
      <c r="S89" s="673">
        <v>0</v>
      </c>
      <c r="T89" s="460">
        <v>0</v>
      </c>
      <c r="U89" s="460">
        <v>0</v>
      </c>
      <c r="V89" s="460">
        <f>SUM(Q89:U89)</f>
        <v>0</v>
      </c>
      <c r="W89" s="460">
        <v>0</v>
      </c>
      <c r="X89" s="460">
        <v>0</v>
      </c>
      <c r="Y89" s="460">
        <v>0</v>
      </c>
      <c r="Z89" s="460">
        <f t="shared" si="322"/>
        <v>0</v>
      </c>
      <c r="AA89" s="460">
        <f t="shared" si="323"/>
        <v>0</v>
      </c>
      <c r="AB89" s="69">
        <f t="shared" si="324"/>
        <v>0</v>
      </c>
      <c r="AC89" s="69">
        <f t="shared" si="325"/>
        <v>0</v>
      </c>
      <c r="AD89" s="460">
        <v>0</v>
      </c>
      <c r="AE89" s="460">
        <v>0</v>
      </c>
      <c r="AF89" s="460">
        <f t="shared" si="326"/>
        <v>0</v>
      </c>
      <c r="AG89" s="460">
        <f t="shared" si="327"/>
        <v>0</v>
      </c>
      <c r="AH89" s="461">
        <v>0</v>
      </c>
      <c r="AI89" s="461">
        <v>0</v>
      </c>
      <c r="AJ89" s="461">
        <v>0</v>
      </c>
      <c r="AK89" s="461">
        <v>0</v>
      </c>
      <c r="AL89" s="674">
        <v>0</v>
      </c>
      <c r="AM89" s="461">
        <v>0</v>
      </c>
      <c r="AN89" s="461">
        <v>0</v>
      </c>
      <c r="AO89" s="461">
        <v>0</v>
      </c>
      <c r="AP89" s="461">
        <f>AH89+AJ89+AK89+AM89+AN89</f>
        <v>0</v>
      </c>
      <c r="AQ89" s="461">
        <f>AI89+AL89+AO89</f>
        <v>0</v>
      </c>
      <c r="AR89" s="463">
        <f t="shared" si="328"/>
        <v>0</v>
      </c>
      <c r="AS89" s="469">
        <f>I89+AG89</f>
        <v>2554907</v>
      </c>
      <c r="AT89" s="460">
        <f>J89+V89</f>
        <v>1879361</v>
      </c>
      <c r="AU89" s="460">
        <f t="shared" si="329"/>
        <v>0</v>
      </c>
      <c r="AV89" s="460">
        <f t="shared" si="330"/>
        <v>635224</v>
      </c>
      <c r="AW89" s="460">
        <f t="shared" si="330"/>
        <v>18794</v>
      </c>
      <c r="AX89" s="460">
        <f>M89+AF89</f>
        <v>21528</v>
      </c>
      <c r="AY89" s="461">
        <f>N89+AR89</f>
        <v>6.04</v>
      </c>
      <c r="AZ89" s="461">
        <f t="shared" si="331"/>
        <v>0</v>
      </c>
      <c r="BA89" s="463">
        <f t="shared" si="331"/>
        <v>6.04</v>
      </c>
    </row>
    <row r="90" spans="1:53" s="229" customFormat="1" ht="12.75" customHeight="1" x14ac:dyDescent="0.2">
      <c r="A90" s="231">
        <v>21</v>
      </c>
      <c r="B90" s="232">
        <v>3415</v>
      </c>
      <c r="C90" s="232">
        <v>600078523</v>
      </c>
      <c r="D90" s="232">
        <v>72743271</v>
      </c>
      <c r="E90" s="233" t="s">
        <v>49</v>
      </c>
      <c r="F90" s="232">
        <v>3143</v>
      </c>
      <c r="G90" s="233" t="s">
        <v>616</v>
      </c>
      <c r="H90" s="264" t="s">
        <v>277</v>
      </c>
      <c r="I90" s="457">
        <f t="shared" si="317"/>
        <v>2834869</v>
      </c>
      <c r="J90" s="457">
        <v>2103019</v>
      </c>
      <c r="K90" s="457">
        <f t="shared" si="318"/>
        <v>710820</v>
      </c>
      <c r="L90" s="457">
        <f t="shared" si="319"/>
        <v>21030</v>
      </c>
      <c r="M90" s="457">
        <v>0</v>
      </c>
      <c r="N90" s="458">
        <f t="shared" si="320"/>
        <v>4.4284999999999997</v>
      </c>
      <c r="O90" s="459">
        <v>4.4284999999999997</v>
      </c>
      <c r="P90" s="468">
        <v>0</v>
      </c>
      <c r="Q90" s="470">
        <f t="shared" si="321"/>
        <v>0</v>
      </c>
      <c r="R90" s="460">
        <v>0</v>
      </c>
      <c r="S90" s="673">
        <v>0</v>
      </c>
      <c r="T90" s="460">
        <v>0</v>
      </c>
      <c r="U90" s="460">
        <v>0</v>
      </c>
      <c r="V90" s="460">
        <f>SUM(Q90:U90)</f>
        <v>0</v>
      </c>
      <c r="W90" s="460">
        <v>0</v>
      </c>
      <c r="X90" s="460">
        <v>0</v>
      </c>
      <c r="Y90" s="460">
        <v>0</v>
      </c>
      <c r="Z90" s="460">
        <f t="shared" si="322"/>
        <v>0</v>
      </c>
      <c r="AA90" s="460">
        <f t="shared" si="323"/>
        <v>0</v>
      </c>
      <c r="AB90" s="69">
        <f t="shared" si="324"/>
        <v>0</v>
      </c>
      <c r="AC90" s="69">
        <f t="shared" si="325"/>
        <v>0</v>
      </c>
      <c r="AD90" s="460">
        <v>0</v>
      </c>
      <c r="AE90" s="460">
        <v>0</v>
      </c>
      <c r="AF90" s="460">
        <f t="shared" si="326"/>
        <v>0</v>
      </c>
      <c r="AG90" s="460">
        <f t="shared" si="327"/>
        <v>0</v>
      </c>
      <c r="AH90" s="461">
        <v>0</v>
      </c>
      <c r="AI90" s="461">
        <v>0</v>
      </c>
      <c r="AJ90" s="461">
        <v>0</v>
      </c>
      <c r="AK90" s="461">
        <v>0</v>
      </c>
      <c r="AL90" s="674">
        <v>0</v>
      </c>
      <c r="AM90" s="461">
        <v>0</v>
      </c>
      <c r="AN90" s="461">
        <v>0</v>
      </c>
      <c r="AO90" s="461">
        <v>0</v>
      </c>
      <c r="AP90" s="461">
        <f>AH90+AJ90+AK90+AM90+AN90</f>
        <v>0</v>
      </c>
      <c r="AQ90" s="461">
        <f>AI90+AL90+AO90</f>
        <v>0</v>
      </c>
      <c r="AR90" s="463">
        <f t="shared" si="328"/>
        <v>0</v>
      </c>
      <c r="AS90" s="469">
        <f>I90+AG90</f>
        <v>2834869</v>
      </c>
      <c r="AT90" s="460">
        <f>J90+V90</f>
        <v>2103019</v>
      </c>
      <c r="AU90" s="460">
        <f t="shared" si="329"/>
        <v>0</v>
      </c>
      <c r="AV90" s="460">
        <f t="shared" si="330"/>
        <v>710820</v>
      </c>
      <c r="AW90" s="460">
        <f t="shared" si="330"/>
        <v>21030</v>
      </c>
      <c r="AX90" s="460">
        <f>M90+AF90</f>
        <v>0</v>
      </c>
      <c r="AY90" s="461">
        <f>N90+AR90</f>
        <v>4.4284999999999997</v>
      </c>
      <c r="AZ90" s="461">
        <f t="shared" si="331"/>
        <v>4.4284999999999997</v>
      </c>
      <c r="BA90" s="463">
        <f t="shared" si="331"/>
        <v>0</v>
      </c>
    </row>
    <row r="91" spans="1:53" s="229" customFormat="1" ht="12.75" customHeight="1" x14ac:dyDescent="0.2">
      <c r="A91" s="231">
        <v>21</v>
      </c>
      <c r="B91" s="232">
        <v>3415</v>
      </c>
      <c r="C91" s="232">
        <v>600078523</v>
      </c>
      <c r="D91" s="232">
        <v>72743271</v>
      </c>
      <c r="E91" s="233" t="s">
        <v>49</v>
      </c>
      <c r="F91" s="232">
        <v>3143</v>
      </c>
      <c r="G91" s="233" t="s">
        <v>617</v>
      </c>
      <c r="H91" s="264" t="s">
        <v>278</v>
      </c>
      <c r="I91" s="457">
        <f t="shared" si="317"/>
        <v>86494</v>
      </c>
      <c r="J91" s="457">
        <v>61801</v>
      </c>
      <c r="K91" s="457">
        <f t="shared" si="318"/>
        <v>20889</v>
      </c>
      <c r="L91" s="457">
        <f t="shared" si="319"/>
        <v>618</v>
      </c>
      <c r="M91" s="457">
        <v>3186</v>
      </c>
      <c r="N91" s="458">
        <f t="shared" si="320"/>
        <v>0.25</v>
      </c>
      <c r="O91" s="459">
        <v>0</v>
      </c>
      <c r="P91" s="468">
        <v>0.25</v>
      </c>
      <c r="Q91" s="470">
        <f t="shared" si="321"/>
        <v>0</v>
      </c>
      <c r="R91" s="460">
        <v>0</v>
      </c>
      <c r="S91" s="673">
        <v>0</v>
      </c>
      <c r="T91" s="460">
        <v>0</v>
      </c>
      <c r="U91" s="460">
        <v>0</v>
      </c>
      <c r="V91" s="460">
        <f>SUM(Q91:U91)</f>
        <v>0</v>
      </c>
      <c r="W91" s="460">
        <v>0</v>
      </c>
      <c r="X91" s="460">
        <v>0</v>
      </c>
      <c r="Y91" s="460">
        <v>0</v>
      </c>
      <c r="Z91" s="460">
        <f t="shared" si="322"/>
        <v>0</v>
      </c>
      <c r="AA91" s="460">
        <f t="shared" si="323"/>
        <v>0</v>
      </c>
      <c r="AB91" s="69">
        <f t="shared" si="324"/>
        <v>0</v>
      </c>
      <c r="AC91" s="69">
        <f t="shared" si="325"/>
        <v>0</v>
      </c>
      <c r="AD91" s="460">
        <v>0</v>
      </c>
      <c r="AE91" s="460">
        <v>0</v>
      </c>
      <c r="AF91" s="460">
        <f t="shared" si="326"/>
        <v>0</v>
      </c>
      <c r="AG91" s="460">
        <f t="shared" si="327"/>
        <v>0</v>
      </c>
      <c r="AH91" s="461">
        <v>0</v>
      </c>
      <c r="AI91" s="461">
        <v>0</v>
      </c>
      <c r="AJ91" s="461">
        <v>0</v>
      </c>
      <c r="AK91" s="461">
        <v>0</v>
      </c>
      <c r="AL91" s="674">
        <v>0</v>
      </c>
      <c r="AM91" s="461">
        <v>0</v>
      </c>
      <c r="AN91" s="461">
        <v>0</v>
      </c>
      <c r="AO91" s="461">
        <v>0</v>
      </c>
      <c r="AP91" s="461">
        <f>AH91+AJ91+AK91+AM91+AN91</f>
        <v>0</v>
      </c>
      <c r="AQ91" s="461">
        <f>AI91+AL91+AO91</f>
        <v>0</v>
      </c>
      <c r="AR91" s="463">
        <f t="shared" si="328"/>
        <v>0</v>
      </c>
      <c r="AS91" s="469">
        <f>I91+AG91</f>
        <v>86494</v>
      </c>
      <c r="AT91" s="460">
        <f>J91+V91</f>
        <v>61801</v>
      </c>
      <c r="AU91" s="460">
        <f t="shared" si="329"/>
        <v>0</v>
      </c>
      <c r="AV91" s="460">
        <f t="shared" si="330"/>
        <v>20889</v>
      </c>
      <c r="AW91" s="460">
        <f t="shared" si="330"/>
        <v>618</v>
      </c>
      <c r="AX91" s="460">
        <f>M91+AF91</f>
        <v>3186</v>
      </c>
      <c r="AY91" s="461">
        <f>N91+AR91</f>
        <v>0.25</v>
      </c>
      <c r="AZ91" s="461">
        <f t="shared" si="331"/>
        <v>0</v>
      </c>
      <c r="BA91" s="463">
        <f t="shared" si="331"/>
        <v>0.25</v>
      </c>
    </row>
    <row r="92" spans="1:53" s="229" customFormat="1" ht="12.75" customHeight="1" x14ac:dyDescent="0.2">
      <c r="A92" s="156">
        <v>21</v>
      </c>
      <c r="B92" s="14">
        <v>3415</v>
      </c>
      <c r="C92" s="155">
        <v>600078523</v>
      </c>
      <c r="D92" s="155">
        <v>72743271</v>
      </c>
      <c r="E92" s="230" t="s">
        <v>50</v>
      </c>
      <c r="F92" s="14"/>
      <c r="G92" s="230"/>
      <c r="H92" s="263"/>
      <c r="I92" s="464">
        <f t="shared" ref="I92:P92" si="332">SUM(I87:I91)</f>
        <v>36677762</v>
      </c>
      <c r="J92" s="464">
        <f t="shared" si="332"/>
        <v>26775095</v>
      </c>
      <c r="K92" s="464">
        <f t="shared" si="332"/>
        <v>9049982</v>
      </c>
      <c r="L92" s="464">
        <f t="shared" si="332"/>
        <v>267751</v>
      </c>
      <c r="M92" s="464">
        <f t="shared" si="332"/>
        <v>584934</v>
      </c>
      <c r="N92" s="427">
        <f t="shared" si="332"/>
        <v>46.973099999999995</v>
      </c>
      <c r="O92" s="427">
        <f t="shared" si="332"/>
        <v>33.633099999999999</v>
      </c>
      <c r="P92" s="427">
        <f t="shared" si="332"/>
        <v>13.34</v>
      </c>
      <c r="Q92" s="622">
        <f t="shared" ref="Q92:BA92" si="333">SUM(Q87:Q91)</f>
        <v>-6500</v>
      </c>
      <c r="R92" s="620">
        <f t="shared" si="333"/>
        <v>1468648</v>
      </c>
      <c r="S92" s="620">
        <f t="shared" si="333"/>
        <v>0</v>
      </c>
      <c r="T92" s="620">
        <f t="shared" si="333"/>
        <v>0</v>
      </c>
      <c r="U92" s="620">
        <f t="shared" si="333"/>
        <v>0</v>
      </c>
      <c r="V92" s="620">
        <f t="shared" si="333"/>
        <v>1462148</v>
      </c>
      <c r="W92" s="620">
        <f t="shared" si="333"/>
        <v>6500</v>
      </c>
      <c r="X92" s="620">
        <f t="shared" si="333"/>
        <v>0</v>
      </c>
      <c r="Y92" s="620">
        <f t="shared" si="333"/>
        <v>0</v>
      </c>
      <c r="Z92" s="620">
        <f t="shared" si="333"/>
        <v>6500</v>
      </c>
      <c r="AA92" s="620">
        <f t="shared" si="333"/>
        <v>1468648</v>
      </c>
      <c r="AB92" s="620">
        <f t="shared" si="333"/>
        <v>496403</v>
      </c>
      <c r="AC92" s="620">
        <f t="shared" si="333"/>
        <v>14621</v>
      </c>
      <c r="AD92" s="620">
        <f t="shared" si="333"/>
        <v>4500</v>
      </c>
      <c r="AE92" s="620">
        <f t="shared" si="333"/>
        <v>0</v>
      </c>
      <c r="AF92" s="620">
        <f t="shared" si="333"/>
        <v>4500</v>
      </c>
      <c r="AG92" s="620">
        <f t="shared" si="333"/>
        <v>1984172</v>
      </c>
      <c r="AH92" s="621">
        <f t="shared" si="333"/>
        <v>0</v>
      </c>
      <c r="AI92" s="621">
        <f t="shared" si="333"/>
        <v>0</v>
      </c>
      <c r="AJ92" s="621">
        <f t="shared" si="333"/>
        <v>4.3899999999999997</v>
      </c>
      <c r="AK92" s="621">
        <f t="shared" si="333"/>
        <v>0</v>
      </c>
      <c r="AL92" s="621">
        <f t="shared" si="333"/>
        <v>0</v>
      </c>
      <c r="AM92" s="621">
        <f t="shared" si="333"/>
        <v>0</v>
      </c>
      <c r="AN92" s="621">
        <f t="shared" si="333"/>
        <v>0</v>
      </c>
      <c r="AO92" s="621">
        <f t="shared" si="333"/>
        <v>0</v>
      </c>
      <c r="AP92" s="621">
        <f t="shared" si="333"/>
        <v>4.3899999999999997</v>
      </c>
      <c r="AQ92" s="621">
        <f t="shared" si="333"/>
        <v>0</v>
      </c>
      <c r="AR92" s="623">
        <f t="shared" si="333"/>
        <v>4.3899999999999997</v>
      </c>
      <c r="AS92" s="618">
        <f t="shared" si="333"/>
        <v>38661934</v>
      </c>
      <c r="AT92" s="464">
        <f t="shared" si="333"/>
        <v>28237243</v>
      </c>
      <c r="AU92" s="464">
        <f t="shared" si="333"/>
        <v>6500</v>
      </c>
      <c r="AV92" s="464">
        <f t="shared" si="333"/>
        <v>9546385</v>
      </c>
      <c r="AW92" s="464">
        <f t="shared" si="333"/>
        <v>282372</v>
      </c>
      <c r="AX92" s="464">
        <f t="shared" si="333"/>
        <v>589434</v>
      </c>
      <c r="AY92" s="427">
        <f t="shared" si="333"/>
        <v>51.363099999999996</v>
      </c>
      <c r="AZ92" s="427">
        <f t="shared" si="333"/>
        <v>38.023099999999999</v>
      </c>
      <c r="BA92" s="496">
        <f t="shared" si="333"/>
        <v>13.34</v>
      </c>
    </row>
    <row r="93" spans="1:53" s="229" customFormat="1" ht="12.75" customHeight="1" x14ac:dyDescent="0.2">
      <c r="A93" s="231">
        <v>22</v>
      </c>
      <c r="B93" s="232">
        <v>3412</v>
      </c>
      <c r="C93" s="232">
        <v>600078540</v>
      </c>
      <c r="D93" s="232">
        <v>72742879</v>
      </c>
      <c r="E93" s="233" t="s">
        <v>51</v>
      </c>
      <c r="F93" s="232">
        <v>3113</v>
      </c>
      <c r="G93" s="233" t="s">
        <v>310</v>
      </c>
      <c r="H93" s="264" t="s">
        <v>277</v>
      </c>
      <c r="I93" s="457">
        <f t="shared" ref="I93:I97" si="334">SUM(J93:M93)</f>
        <v>42993928</v>
      </c>
      <c r="J93" s="457">
        <v>31273252</v>
      </c>
      <c r="K93" s="457">
        <f t="shared" ref="K93:K97" si="335">ROUND(J93*33.8%,0)</f>
        <v>10570359</v>
      </c>
      <c r="L93" s="457">
        <f>ROUND(J93*1%,0)-1</f>
        <v>312732</v>
      </c>
      <c r="M93" s="457">
        <v>837585</v>
      </c>
      <c r="N93" s="458">
        <f t="shared" ref="N93:N97" si="336">O93+P93</f>
        <v>50.775700000000001</v>
      </c>
      <c r="O93" s="459">
        <v>41.115699999999997</v>
      </c>
      <c r="P93" s="468">
        <v>9.66</v>
      </c>
      <c r="Q93" s="470">
        <f t="shared" ref="Q93:Q97" si="337">W93*-1</f>
        <v>-78000</v>
      </c>
      <c r="R93" s="460">
        <v>0</v>
      </c>
      <c r="S93" s="673">
        <v>0</v>
      </c>
      <c r="T93" s="460">
        <v>46425</v>
      </c>
      <c r="U93" s="460">
        <v>0</v>
      </c>
      <c r="V93" s="460">
        <f>SUM(Q93:U93)</f>
        <v>-31575</v>
      </c>
      <c r="W93" s="460">
        <v>78000</v>
      </c>
      <c r="X93" s="460">
        <v>0</v>
      </c>
      <c r="Y93" s="460">
        <v>0</v>
      </c>
      <c r="Z93" s="460">
        <f t="shared" ref="Z93:Z97" si="338">SUM(W93:Y93)</f>
        <v>78000</v>
      </c>
      <c r="AA93" s="460">
        <f t="shared" ref="AA93:AA97" si="339">V93+Z93</f>
        <v>46425</v>
      </c>
      <c r="AB93" s="69">
        <f t="shared" ref="AB93:AB97" si="340">ROUND((V93+W93+X93)*33.8%,0)</f>
        <v>15692</v>
      </c>
      <c r="AC93" s="69">
        <f t="shared" ref="AC93:AC97" si="341">ROUND(V93*1%,0)</f>
        <v>-316</v>
      </c>
      <c r="AD93" s="460">
        <v>0</v>
      </c>
      <c r="AE93" s="460">
        <v>0</v>
      </c>
      <c r="AF93" s="460">
        <f t="shared" ref="AF93:AF97" si="342">SUM(AD93:AE93)</f>
        <v>0</v>
      </c>
      <c r="AG93" s="460">
        <f t="shared" ref="AG93:AG97" si="343">AA93+AB93+AC93+AF93</f>
        <v>61801</v>
      </c>
      <c r="AH93" s="461">
        <v>0</v>
      </c>
      <c r="AI93" s="461">
        <v>-0.21</v>
      </c>
      <c r="AJ93" s="461">
        <v>0</v>
      </c>
      <c r="AK93" s="461">
        <v>0</v>
      </c>
      <c r="AL93" s="674">
        <v>0</v>
      </c>
      <c r="AM93" s="461">
        <v>7.0000000000000007E-2</v>
      </c>
      <c r="AN93" s="461">
        <v>0</v>
      </c>
      <c r="AO93" s="461">
        <v>0</v>
      </c>
      <c r="AP93" s="461">
        <f>AH93+AJ93+AK93+AM93+AN93</f>
        <v>7.0000000000000007E-2</v>
      </c>
      <c r="AQ93" s="461">
        <f>AI93+AL93+AO93</f>
        <v>-0.21</v>
      </c>
      <c r="AR93" s="463">
        <f t="shared" ref="AR93:AR97" si="344">SUM(AP93:AQ93)</f>
        <v>-0.13999999999999999</v>
      </c>
      <c r="AS93" s="469">
        <f>I93+AG93</f>
        <v>43055729</v>
      </c>
      <c r="AT93" s="460">
        <f>J93+V93</f>
        <v>31241677</v>
      </c>
      <c r="AU93" s="460">
        <f t="shared" ref="AU93:AU97" si="345">Z93</f>
        <v>78000</v>
      </c>
      <c r="AV93" s="460">
        <f t="shared" ref="AV93:AW97" si="346">K93+AB93</f>
        <v>10586051</v>
      </c>
      <c r="AW93" s="460">
        <f t="shared" si="346"/>
        <v>312416</v>
      </c>
      <c r="AX93" s="460">
        <f>M93+AF93</f>
        <v>837585</v>
      </c>
      <c r="AY93" s="461">
        <f>N93+AR93</f>
        <v>50.6357</v>
      </c>
      <c r="AZ93" s="461">
        <f t="shared" ref="AZ93:BA97" si="347">O93+AP93</f>
        <v>41.185699999999997</v>
      </c>
      <c r="BA93" s="463">
        <f t="shared" si="347"/>
        <v>9.4499999999999993</v>
      </c>
    </row>
    <row r="94" spans="1:53" s="229" customFormat="1" x14ac:dyDescent="0.2">
      <c r="A94" s="231">
        <v>22</v>
      </c>
      <c r="B94" s="232">
        <v>3412</v>
      </c>
      <c r="C94" s="232">
        <v>600078540</v>
      </c>
      <c r="D94" s="232">
        <v>72742879</v>
      </c>
      <c r="E94" s="233" t="s">
        <v>51</v>
      </c>
      <c r="F94" s="232">
        <v>3113</v>
      </c>
      <c r="G94" s="233" t="s">
        <v>308</v>
      </c>
      <c r="H94" s="264" t="s">
        <v>278</v>
      </c>
      <c r="I94" s="457">
        <f t="shared" si="334"/>
        <v>0</v>
      </c>
      <c r="J94" s="457">
        <v>0</v>
      </c>
      <c r="K94" s="457">
        <f t="shared" si="335"/>
        <v>0</v>
      </c>
      <c r="L94" s="457">
        <f t="shared" ref="L94:L97" si="348">ROUND(J94*1%,0)</f>
        <v>0</v>
      </c>
      <c r="M94" s="457">
        <v>0</v>
      </c>
      <c r="N94" s="458">
        <f t="shared" si="336"/>
        <v>0</v>
      </c>
      <c r="O94" s="459">
        <v>0</v>
      </c>
      <c r="P94" s="468">
        <v>0</v>
      </c>
      <c r="Q94" s="470">
        <f t="shared" si="337"/>
        <v>0</v>
      </c>
      <c r="R94" s="460">
        <v>3887926</v>
      </c>
      <c r="S94" s="673">
        <v>0</v>
      </c>
      <c r="T94" s="460">
        <v>0</v>
      </c>
      <c r="U94" s="460">
        <v>0</v>
      </c>
      <c r="V94" s="460">
        <f>SUM(Q94:U94)</f>
        <v>3887926</v>
      </c>
      <c r="W94" s="460">
        <v>0</v>
      </c>
      <c r="X94" s="460">
        <v>0</v>
      </c>
      <c r="Y94" s="460">
        <v>0</v>
      </c>
      <c r="Z94" s="460">
        <f t="shared" si="338"/>
        <v>0</v>
      </c>
      <c r="AA94" s="460">
        <f t="shared" si="339"/>
        <v>3887926</v>
      </c>
      <c r="AB94" s="69">
        <f t="shared" si="340"/>
        <v>1314119</v>
      </c>
      <c r="AC94" s="69">
        <f t="shared" si="341"/>
        <v>38879</v>
      </c>
      <c r="AD94" s="460">
        <v>0</v>
      </c>
      <c r="AE94" s="460">
        <v>0</v>
      </c>
      <c r="AF94" s="460">
        <f t="shared" si="342"/>
        <v>0</v>
      </c>
      <c r="AG94" s="460">
        <f t="shared" si="343"/>
        <v>5240924</v>
      </c>
      <c r="AH94" s="461">
        <v>0</v>
      </c>
      <c r="AI94" s="461">
        <v>0</v>
      </c>
      <c r="AJ94" s="461">
        <v>11.23</v>
      </c>
      <c r="AK94" s="461">
        <v>0</v>
      </c>
      <c r="AL94" s="674">
        <v>0</v>
      </c>
      <c r="AM94" s="461">
        <v>0</v>
      </c>
      <c r="AN94" s="461">
        <v>0</v>
      </c>
      <c r="AO94" s="461">
        <v>0</v>
      </c>
      <c r="AP94" s="461">
        <f>AH94+AJ94+AK94+AM94+AN94</f>
        <v>11.23</v>
      </c>
      <c r="AQ94" s="461">
        <f>AI94+AL94+AO94</f>
        <v>0</v>
      </c>
      <c r="AR94" s="463">
        <f t="shared" si="344"/>
        <v>11.23</v>
      </c>
      <c r="AS94" s="469">
        <f>I94+AG94</f>
        <v>5240924</v>
      </c>
      <c r="AT94" s="460">
        <f>J94+V94</f>
        <v>3887926</v>
      </c>
      <c r="AU94" s="460">
        <f t="shared" si="345"/>
        <v>0</v>
      </c>
      <c r="AV94" s="460">
        <f t="shared" si="346"/>
        <v>1314119</v>
      </c>
      <c r="AW94" s="460">
        <f t="shared" si="346"/>
        <v>38879</v>
      </c>
      <c r="AX94" s="460">
        <f>M94+AF94</f>
        <v>0</v>
      </c>
      <c r="AY94" s="461">
        <f>N94+AR94</f>
        <v>11.23</v>
      </c>
      <c r="AZ94" s="461">
        <f t="shared" si="347"/>
        <v>11.23</v>
      </c>
      <c r="BA94" s="463">
        <f t="shared" si="347"/>
        <v>0</v>
      </c>
    </row>
    <row r="95" spans="1:53" s="229" customFormat="1" ht="12.75" customHeight="1" x14ac:dyDescent="0.2">
      <c r="A95" s="231">
        <v>22</v>
      </c>
      <c r="B95" s="232">
        <v>3412</v>
      </c>
      <c r="C95" s="232">
        <v>600078540</v>
      </c>
      <c r="D95" s="232">
        <v>72742879</v>
      </c>
      <c r="E95" s="233" t="s">
        <v>51</v>
      </c>
      <c r="F95" s="232">
        <v>3141</v>
      </c>
      <c r="G95" s="233" t="s">
        <v>311</v>
      </c>
      <c r="H95" s="264" t="s">
        <v>278</v>
      </c>
      <c r="I95" s="457">
        <f t="shared" si="334"/>
        <v>3557513</v>
      </c>
      <c r="J95" s="457">
        <v>2614995</v>
      </c>
      <c r="K95" s="457">
        <f t="shared" si="335"/>
        <v>883868</v>
      </c>
      <c r="L95" s="457">
        <f t="shared" si="348"/>
        <v>26150</v>
      </c>
      <c r="M95" s="457">
        <v>32500</v>
      </c>
      <c r="N95" s="458">
        <f t="shared" si="336"/>
        <v>8.4</v>
      </c>
      <c r="O95" s="459">
        <v>0</v>
      </c>
      <c r="P95" s="468">
        <v>8.4</v>
      </c>
      <c r="Q95" s="470">
        <f t="shared" si="337"/>
        <v>-13000</v>
      </c>
      <c r="R95" s="460">
        <v>0</v>
      </c>
      <c r="S95" s="673">
        <v>0</v>
      </c>
      <c r="T95" s="460">
        <v>0</v>
      </c>
      <c r="U95" s="460">
        <v>0</v>
      </c>
      <c r="V95" s="460">
        <f>SUM(Q95:U95)</f>
        <v>-13000</v>
      </c>
      <c r="W95" s="460">
        <v>13000</v>
      </c>
      <c r="X95" s="460">
        <v>0</v>
      </c>
      <c r="Y95" s="460">
        <v>0</v>
      </c>
      <c r="Z95" s="460">
        <f t="shared" si="338"/>
        <v>13000</v>
      </c>
      <c r="AA95" s="460">
        <f t="shared" si="339"/>
        <v>0</v>
      </c>
      <c r="AB95" s="69">
        <f t="shared" si="340"/>
        <v>0</v>
      </c>
      <c r="AC95" s="69">
        <f t="shared" si="341"/>
        <v>-130</v>
      </c>
      <c r="AD95" s="460">
        <v>0</v>
      </c>
      <c r="AE95" s="460">
        <v>0</v>
      </c>
      <c r="AF95" s="460">
        <f t="shared" si="342"/>
        <v>0</v>
      </c>
      <c r="AG95" s="460">
        <f t="shared" si="343"/>
        <v>-130</v>
      </c>
      <c r="AH95" s="461">
        <v>0</v>
      </c>
      <c r="AI95" s="461">
        <v>0</v>
      </c>
      <c r="AJ95" s="461">
        <v>0</v>
      </c>
      <c r="AK95" s="461">
        <v>0</v>
      </c>
      <c r="AL95" s="674">
        <v>0</v>
      </c>
      <c r="AM95" s="461">
        <v>0</v>
      </c>
      <c r="AN95" s="461">
        <v>0</v>
      </c>
      <c r="AO95" s="461">
        <v>0</v>
      </c>
      <c r="AP95" s="461">
        <f>AH95+AJ95+AK95+AM95+AN95</f>
        <v>0</v>
      </c>
      <c r="AQ95" s="461">
        <f>AI95+AL95+AO95</f>
        <v>0</v>
      </c>
      <c r="AR95" s="463">
        <f t="shared" si="344"/>
        <v>0</v>
      </c>
      <c r="AS95" s="469">
        <f>I95+AG95</f>
        <v>3557383</v>
      </c>
      <c r="AT95" s="460">
        <f>J95+V95</f>
        <v>2601995</v>
      </c>
      <c r="AU95" s="460">
        <f t="shared" si="345"/>
        <v>13000</v>
      </c>
      <c r="AV95" s="460">
        <f t="shared" si="346"/>
        <v>883868</v>
      </c>
      <c r="AW95" s="460">
        <f t="shared" si="346"/>
        <v>26020</v>
      </c>
      <c r="AX95" s="460">
        <f>M95+AF95</f>
        <v>32500</v>
      </c>
      <c r="AY95" s="461">
        <f>N95+AR95</f>
        <v>8.4</v>
      </c>
      <c r="AZ95" s="461">
        <f t="shared" si="347"/>
        <v>0</v>
      </c>
      <c r="BA95" s="463">
        <f t="shared" si="347"/>
        <v>8.4</v>
      </c>
    </row>
    <row r="96" spans="1:53" s="229" customFormat="1" ht="12.75" customHeight="1" x14ac:dyDescent="0.2">
      <c r="A96" s="231">
        <v>22</v>
      </c>
      <c r="B96" s="232">
        <v>3412</v>
      </c>
      <c r="C96" s="232">
        <v>600078540</v>
      </c>
      <c r="D96" s="232">
        <v>72742879</v>
      </c>
      <c r="E96" s="233" t="s">
        <v>51</v>
      </c>
      <c r="F96" s="232">
        <v>3143</v>
      </c>
      <c r="G96" s="233" t="s">
        <v>616</v>
      </c>
      <c r="H96" s="264" t="s">
        <v>277</v>
      </c>
      <c r="I96" s="457">
        <f t="shared" si="334"/>
        <v>4282452</v>
      </c>
      <c r="J96" s="457">
        <v>3176893</v>
      </c>
      <c r="K96" s="457">
        <f t="shared" si="335"/>
        <v>1073790</v>
      </c>
      <c r="L96" s="457">
        <f t="shared" si="348"/>
        <v>31769</v>
      </c>
      <c r="M96" s="457">
        <v>0</v>
      </c>
      <c r="N96" s="458">
        <f t="shared" si="336"/>
        <v>6.2584999999999997</v>
      </c>
      <c r="O96" s="459">
        <v>6.2584999999999997</v>
      </c>
      <c r="P96" s="468">
        <v>0</v>
      </c>
      <c r="Q96" s="470">
        <f t="shared" si="337"/>
        <v>-6500</v>
      </c>
      <c r="R96" s="460">
        <v>0</v>
      </c>
      <c r="S96" s="673">
        <v>0</v>
      </c>
      <c r="T96" s="460">
        <v>0</v>
      </c>
      <c r="U96" s="460">
        <v>0</v>
      </c>
      <c r="V96" s="460">
        <f>SUM(Q96:U96)</f>
        <v>-6500</v>
      </c>
      <c r="W96" s="460">
        <v>6500</v>
      </c>
      <c r="X96" s="460">
        <v>0</v>
      </c>
      <c r="Y96" s="460">
        <v>0</v>
      </c>
      <c r="Z96" s="460">
        <f t="shared" si="338"/>
        <v>6500</v>
      </c>
      <c r="AA96" s="460">
        <f t="shared" si="339"/>
        <v>0</v>
      </c>
      <c r="AB96" s="69">
        <f t="shared" si="340"/>
        <v>0</v>
      </c>
      <c r="AC96" s="69">
        <f t="shared" si="341"/>
        <v>-65</v>
      </c>
      <c r="AD96" s="460">
        <v>0</v>
      </c>
      <c r="AE96" s="460">
        <v>0</v>
      </c>
      <c r="AF96" s="460">
        <f t="shared" si="342"/>
        <v>0</v>
      </c>
      <c r="AG96" s="460">
        <f t="shared" si="343"/>
        <v>-65</v>
      </c>
      <c r="AH96" s="461">
        <v>0</v>
      </c>
      <c r="AI96" s="461">
        <v>0</v>
      </c>
      <c r="AJ96" s="461">
        <v>0</v>
      </c>
      <c r="AK96" s="461">
        <v>0</v>
      </c>
      <c r="AL96" s="674">
        <v>0</v>
      </c>
      <c r="AM96" s="461">
        <v>0</v>
      </c>
      <c r="AN96" s="461">
        <v>0</v>
      </c>
      <c r="AO96" s="461">
        <v>0</v>
      </c>
      <c r="AP96" s="461">
        <f>AH96+AJ96+AK96+AM96+AN96</f>
        <v>0</v>
      </c>
      <c r="AQ96" s="461">
        <f>AI96+AL96+AO96</f>
        <v>0</v>
      </c>
      <c r="AR96" s="463">
        <f t="shared" si="344"/>
        <v>0</v>
      </c>
      <c r="AS96" s="469">
        <f>I96+AG96</f>
        <v>4282387</v>
      </c>
      <c r="AT96" s="460">
        <f>J96+V96</f>
        <v>3170393</v>
      </c>
      <c r="AU96" s="460">
        <f t="shared" si="345"/>
        <v>6500</v>
      </c>
      <c r="AV96" s="460">
        <f t="shared" si="346"/>
        <v>1073790</v>
      </c>
      <c r="AW96" s="460">
        <f t="shared" si="346"/>
        <v>31704</v>
      </c>
      <c r="AX96" s="460">
        <f>M96+AF96</f>
        <v>0</v>
      </c>
      <c r="AY96" s="461">
        <f>N96+AR96</f>
        <v>6.2584999999999997</v>
      </c>
      <c r="AZ96" s="461">
        <f t="shared" si="347"/>
        <v>6.2584999999999997</v>
      </c>
      <c r="BA96" s="463">
        <f t="shared" si="347"/>
        <v>0</v>
      </c>
    </row>
    <row r="97" spans="1:53" s="229" customFormat="1" ht="12.75" customHeight="1" x14ac:dyDescent="0.2">
      <c r="A97" s="231">
        <v>22</v>
      </c>
      <c r="B97" s="232">
        <v>3412</v>
      </c>
      <c r="C97" s="232">
        <v>600078540</v>
      </c>
      <c r="D97" s="232">
        <v>72742879</v>
      </c>
      <c r="E97" s="233" t="s">
        <v>51</v>
      </c>
      <c r="F97" s="232">
        <v>3143</v>
      </c>
      <c r="G97" s="233" t="s">
        <v>617</v>
      </c>
      <c r="H97" s="264" t="s">
        <v>278</v>
      </c>
      <c r="I97" s="457">
        <f t="shared" si="334"/>
        <v>153197</v>
      </c>
      <c r="J97" s="457">
        <v>109461</v>
      </c>
      <c r="K97" s="457">
        <f t="shared" si="335"/>
        <v>36998</v>
      </c>
      <c r="L97" s="457">
        <f t="shared" si="348"/>
        <v>1095</v>
      </c>
      <c r="M97" s="457">
        <v>5643</v>
      </c>
      <c r="N97" s="458">
        <f t="shared" si="336"/>
        <v>0.44</v>
      </c>
      <c r="O97" s="459">
        <v>0</v>
      </c>
      <c r="P97" s="468">
        <v>0.44</v>
      </c>
      <c r="Q97" s="470">
        <f t="shared" si="337"/>
        <v>0</v>
      </c>
      <c r="R97" s="460">
        <v>0</v>
      </c>
      <c r="S97" s="673">
        <v>0</v>
      </c>
      <c r="T97" s="460">
        <v>0</v>
      </c>
      <c r="U97" s="460">
        <v>0</v>
      </c>
      <c r="V97" s="460">
        <f>SUM(Q97:U97)</f>
        <v>0</v>
      </c>
      <c r="W97" s="460">
        <v>0</v>
      </c>
      <c r="X97" s="460">
        <v>0</v>
      </c>
      <c r="Y97" s="460">
        <v>0</v>
      </c>
      <c r="Z97" s="460">
        <f t="shared" si="338"/>
        <v>0</v>
      </c>
      <c r="AA97" s="460">
        <f t="shared" si="339"/>
        <v>0</v>
      </c>
      <c r="AB97" s="69">
        <f t="shared" si="340"/>
        <v>0</v>
      </c>
      <c r="AC97" s="69">
        <f t="shared" si="341"/>
        <v>0</v>
      </c>
      <c r="AD97" s="460">
        <v>0</v>
      </c>
      <c r="AE97" s="460">
        <v>0</v>
      </c>
      <c r="AF97" s="460">
        <f t="shared" si="342"/>
        <v>0</v>
      </c>
      <c r="AG97" s="460">
        <f t="shared" si="343"/>
        <v>0</v>
      </c>
      <c r="AH97" s="461">
        <v>0</v>
      </c>
      <c r="AI97" s="461">
        <v>0</v>
      </c>
      <c r="AJ97" s="461">
        <v>0</v>
      </c>
      <c r="AK97" s="461">
        <v>0</v>
      </c>
      <c r="AL97" s="674">
        <v>0</v>
      </c>
      <c r="AM97" s="461">
        <v>0</v>
      </c>
      <c r="AN97" s="461">
        <v>0</v>
      </c>
      <c r="AO97" s="461">
        <v>0</v>
      </c>
      <c r="AP97" s="461">
        <f>AH97+AJ97+AK97+AM97+AN97</f>
        <v>0</v>
      </c>
      <c r="AQ97" s="461">
        <f>AI97+AL97+AO97</f>
        <v>0</v>
      </c>
      <c r="AR97" s="463">
        <f t="shared" si="344"/>
        <v>0</v>
      </c>
      <c r="AS97" s="469">
        <f>I97+AG97</f>
        <v>153197</v>
      </c>
      <c r="AT97" s="460">
        <f>J97+V97</f>
        <v>109461</v>
      </c>
      <c r="AU97" s="460">
        <f t="shared" si="345"/>
        <v>0</v>
      </c>
      <c r="AV97" s="460">
        <f t="shared" si="346"/>
        <v>36998</v>
      </c>
      <c r="AW97" s="460">
        <f t="shared" si="346"/>
        <v>1095</v>
      </c>
      <c r="AX97" s="460">
        <f>M97+AF97</f>
        <v>5643</v>
      </c>
      <c r="AY97" s="461">
        <f>N97+AR97</f>
        <v>0.44</v>
      </c>
      <c r="AZ97" s="461">
        <f t="shared" si="347"/>
        <v>0</v>
      </c>
      <c r="BA97" s="463">
        <f t="shared" si="347"/>
        <v>0.44</v>
      </c>
    </row>
    <row r="98" spans="1:53" s="229" customFormat="1" ht="12.75" customHeight="1" x14ac:dyDescent="0.2">
      <c r="A98" s="156">
        <v>22</v>
      </c>
      <c r="B98" s="14">
        <v>3412</v>
      </c>
      <c r="C98" s="155">
        <v>600078540</v>
      </c>
      <c r="D98" s="155">
        <v>72742879</v>
      </c>
      <c r="E98" s="230" t="s">
        <v>52</v>
      </c>
      <c r="F98" s="14"/>
      <c r="G98" s="230"/>
      <c r="H98" s="263"/>
      <c r="I98" s="464">
        <f t="shared" ref="I98:P98" si="349">SUM(I93:I97)</f>
        <v>50987090</v>
      </c>
      <c r="J98" s="464">
        <f t="shared" si="349"/>
        <v>37174601</v>
      </c>
      <c r="K98" s="464">
        <f t="shared" si="349"/>
        <v>12565015</v>
      </c>
      <c r="L98" s="464">
        <f t="shared" si="349"/>
        <v>371746</v>
      </c>
      <c r="M98" s="464">
        <f t="shared" si="349"/>
        <v>875728</v>
      </c>
      <c r="N98" s="427">
        <f t="shared" si="349"/>
        <v>65.874200000000002</v>
      </c>
      <c r="O98" s="427">
        <f t="shared" si="349"/>
        <v>47.374199999999995</v>
      </c>
      <c r="P98" s="427">
        <f t="shared" si="349"/>
        <v>18.500000000000004</v>
      </c>
      <c r="Q98" s="622">
        <f t="shared" ref="Q98:BA98" si="350">SUM(Q93:Q97)</f>
        <v>-97500</v>
      </c>
      <c r="R98" s="620">
        <f t="shared" si="350"/>
        <v>3887926</v>
      </c>
      <c r="S98" s="620">
        <f t="shared" si="350"/>
        <v>0</v>
      </c>
      <c r="T98" s="620">
        <f t="shared" si="350"/>
        <v>46425</v>
      </c>
      <c r="U98" s="620">
        <f t="shared" si="350"/>
        <v>0</v>
      </c>
      <c r="V98" s="620">
        <f t="shared" si="350"/>
        <v>3836851</v>
      </c>
      <c r="W98" s="620">
        <f t="shared" si="350"/>
        <v>97500</v>
      </c>
      <c r="X98" s="620">
        <f t="shared" si="350"/>
        <v>0</v>
      </c>
      <c r="Y98" s="620">
        <f t="shared" si="350"/>
        <v>0</v>
      </c>
      <c r="Z98" s="620">
        <f t="shared" si="350"/>
        <v>97500</v>
      </c>
      <c r="AA98" s="620">
        <f t="shared" si="350"/>
        <v>3934351</v>
      </c>
      <c r="AB98" s="620">
        <f t="shared" si="350"/>
        <v>1329811</v>
      </c>
      <c r="AC98" s="620">
        <f t="shared" si="350"/>
        <v>38368</v>
      </c>
      <c r="AD98" s="620">
        <f t="shared" si="350"/>
        <v>0</v>
      </c>
      <c r="AE98" s="620">
        <f t="shared" si="350"/>
        <v>0</v>
      </c>
      <c r="AF98" s="620">
        <f t="shared" si="350"/>
        <v>0</v>
      </c>
      <c r="AG98" s="620">
        <f t="shared" si="350"/>
        <v>5302530</v>
      </c>
      <c r="AH98" s="621">
        <f t="shared" si="350"/>
        <v>0</v>
      </c>
      <c r="AI98" s="621">
        <f t="shared" si="350"/>
        <v>-0.21</v>
      </c>
      <c r="AJ98" s="621">
        <f t="shared" si="350"/>
        <v>11.23</v>
      </c>
      <c r="AK98" s="621">
        <f t="shared" si="350"/>
        <v>0</v>
      </c>
      <c r="AL98" s="621">
        <f t="shared" si="350"/>
        <v>0</v>
      </c>
      <c r="AM98" s="621">
        <f t="shared" si="350"/>
        <v>7.0000000000000007E-2</v>
      </c>
      <c r="AN98" s="621">
        <f t="shared" si="350"/>
        <v>0</v>
      </c>
      <c r="AO98" s="621">
        <f t="shared" si="350"/>
        <v>0</v>
      </c>
      <c r="AP98" s="621">
        <f t="shared" si="350"/>
        <v>11.3</v>
      </c>
      <c r="AQ98" s="621">
        <f t="shared" si="350"/>
        <v>-0.21</v>
      </c>
      <c r="AR98" s="623">
        <f t="shared" si="350"/>
        <v>11.09</v>
      </c>
      <c r="AS98" s="618">
        <f t="shared" si="350"/>
        <v>56289620</v>
      </c>
      <c r="AT98" s="464">
        <f t="shared" si="350"/>
        <v>41011452</v>
      </c>
      <c r="AU98" s="464">
        <f t="shared" si="350"/>
        <v>97500</v>
      </c>
      <c r="AV98" s="464">
        <f t="shared" si="350"/>
        <v>13894826</v>
      </c>
      <c r="AW98" s="464">
        <f t="shared" si="350"/>
        <v>410114</v>
      </c>
      <c r="AX98" s="464">
        <f t="shared" si="350"/>
        <v>875728</v>
      </c>
      <c r="AY98" s="427">
        <f t="shared" si="350"/>
        <v>76.964200000000005</v>
      </c>
      <c r="AZ98" s="427">
        <f t="shared" si="350"/>
        <v>58.674199999999999</v>
      </c>
      <c r="BA98" s="496">
        <f t="shared" si="350"/>
        <v>18.290000000000003</v>
      </c>
    </row>
    <row r="99" spans="1:53" s="229" customFormat="1" ht="12" customHeight="1" x14ac:dyDescent="0.2">
      <c r="A99" s="231">
        <v>23</v>
      </c>
      <c r="B99" s="232">
        <v>3416</v>
      </c>
      <c r="C99" s="232">
        <v>600078426</v>
      </c>
      <c r="D99" s="232">
        <v>72743034</v>
      </c>
      <c r="E99" s="233" t="s">
        <v>53</v>
      </c>
      <c r="F99" s="232">
        <v>3113</v>
      </c>
      <c r="G99" s="233" t="s">
        <v>310</v>
      </c>
      <c r="H99" s="264" t="s">
        <v>277</v>
      </c>
      <c r="I99" s="457">
        <f t="shared" ref="I99:I103" si="351">SUM(J99:M99)</f>
        <v>36531973</v>
      </c>
      <c r="J99" s="457">
        <v>26567609</v>
      </c>
      <c r="K99" s="457">
        <f t="shared" ref="K99:K103" si="352">ROUND(J99*33.8%,0)</f>
        <v>8979852</v>
      </c>
      <c r="L99" s="457">
        <f>ROUND(J99*1%,0)+1</f>
        <v>265677</v>
      </c>
      <c r="M99" s="457">
        <v>718835</v>
      </c>
      <c r="N99" s="458">
        <f t="shared" ref="N99:N103" si="353">O99+P99</f>
        <v>43.802700000000002</v>
      </c>
      <c r="O99" s="459">
        <v>35.2727</v>
      </c>
      <c r="P99" s="468">
        <v>8.5300000000000011</v>
      </c>
      <c r="Q99" s="470">
        <f t="shared" ref="Q99:Q103" si="354">W99*-1</f>
        <v>-58500</v>
      </c>
      <c r="R99" s="460">
        <v>0</v>
      </c>
      <c r="S99" s="673">
        <v>0</v>
      </c>
      <c r="T99" s="460">
        <v>0</v>
      </c>
      <c r="U99" s="460">
        <v>0</v>
      </c>
      <c r="V99" s="460">
        <f>SUM(Q99:U99)</f>
        <v>-58500</v>
      </c>
      <c r="W99" s="460">
        <v>58500</v>
      </c>
      <c r="X99" s="460">
        <v>0</v>
      </c>
      <c r="Y99" s="460">
        <v>0</v>
      </c>
      <c r="Z99" s="460">
        <f t="shared" ref="Z99:Z103" si="355">SUM(W99:Y99)</f>
        <v>58500</v>
      </c>
      <c r="AA99" s="460">
        <f t="shared" ref="AA99:AA103" si="356">V99+Z99</f>
        <v>0</v>
      </c>
      <c r="AB99" s="69">
        <f t="shared" ref="AB99:AB103" si="357">ROUND((V99+W99+X99)*33.8%,0)</f>
        <v>0</v>
      </c>
      <c r="AC99" s="69">
        <f t="shared" ref="AC99:AC103" si="358">ROUND(V99*1%,0)</f>
        <v>-585</v>
      </c>
      <c r="AD99" s="460">
        <v>0</v>
      </c>
      <c r="AE99" s="460">
        <v>0</v>
      </c>
      <c r="AF99" s="460">
        <f t="shared" ref="AF99:AF103" si="359">SUM(AD99:AE99)</f>
        <v>0</v>
      </c>
      <c r="AG99" s="460">
        <f t="shared" ref="AG99:AG103" si="360">AA99+AB99+AC99+AF99</f>
        <v>-585</v>
      </c>
      <c r="AH99" s="461">
        <v>-0.04</v>
      </c>
      <c r="AI99" s="461">
        <v>0</v>
      </c>
      <c r="AJ99" s="461">
        <v>0</v>
      </c>
      <c r="AK99" s="461">
        <v>0</v>
      </c>
      <c r="AL99" s="674">
        <v>0</v>
      </c>
      <c r="AM99" s="461">
        <v>0</v>
      </c>
      <c r="AN99" s="461">
        <v>0</v>
      </c>
      <c r="AO99" s="461">
        <v>0</v>
      </c>
      <c r="AP99" s="461">
        <f>AH99+AJ99+AK99+AM99+AN99</f>
        <v>-0.04</v>
      </c>
      <c r="AQ99" s="461">
        <f>AI99+AL99+AO99</f>
        <v>0</v>
      </c>
      <c r="AR99" s="463">
        <f t="shared" ref="AR99:AR103" si="361">SUM(AP99:AQ99)</f>
        <v>-0.04</v>
      </c>
      <c r="AS99" s="469">
        <f>I99+AG99</f>
        <v>36531388</v>
      </c>
      <c r="AT99" s="460">
        <f>J99+V99</f>
        <v>26509109</v>
      </c>
      <c r="AU99" s="460">
        <f t="shared" ref="AU99:AU103" si="362">Z99</f>
        <v>58500</v>
      </c>
      <c r="AV99" s="460">
        <f t="shared" ref="AV99:AW103" si="363">K99+AB99</f>
        <v>8979852</v>
      </c>
      <c r="AW99" s="460">
        <f t="shared" si="363"/>
        <v>265092</v>
      </c>
      <c r="AX99" s="460">
        <f>M99+AF99</f>
        <v>718835</v>
      </c>
      <c r="AY99" s="461">
        <f>N99+AR99</f>
        <v>43.762700000000002</v>
      </c>
      <c r="AZ99" s="461">
        <f t="shared" ref="AZ99:BA103" si="364">O99+AP99</f>
        <v>35.232700000000001</v>
      </c>
      <c r="BA99" s="463">
        <f t="shared" si="364"/>
        <v>8.5300000000000011</v>
      </c>
    </row>
    <row r="100" spans="1:53" s="229" customFormat="1" ht="12" customHeight="1" x14ac:dyDescent="0.2">
      <c r="A100" s="231">
        <v>23</v>
      </c>
      <c r="B100" s="232">
        <v>3416</v>
      </c>
      <c r="C100" s="232">
        <v>600078426</v>
      </c>
      <c r="D100" s="232">
        <v>72743034</v>
      </c>
      <c r="E100" s="233" t="s">
        <v>53</v>
      </c>
      <c r="F100" s="232">
        <v>3113</v>
      </c>
      <c r="G100" s="233" t="s">
        <v>308</v>
      </c>
      <c r="H100" s="264" t="s">
        <v>278</v>
      </c>
      <c r="I100" s="457">
        <f t="shared" si="351"/>
        <v>0</v>
      </c>
      <c r="J100" s="457">
        <v>0</v>
      </c>
      <c r="K100" s="457">
        <f t="shared" si="352"/>
        <v>0</v>
      </c>
      <c r="L100" s="457">
        <f t="shared" ref="L100:L103" si="365">ROUND(J100*1%,0)</f>
        <v>0</v>
      </c>
      <c r="M100" s="457">
        <v>0</v>
      </c>
      <c r="N100" s="458">
        <f t="shared" si="353"/>
        <v>0</v>
      </c>
      <c r="O100" s="459">
        <v>0</v>
      </c>
      <c r="P100" s="468">
        <v>0</v>
      </c>
      <c r="Q100" s="470">
        <f t="shared" si="354"/>
        <v>0</v>
      </c>
      <c r="R100" s="460">
        <v>2964059</v>
      </c>
      <c r="S100" s="673">
        <v>0</v>
      </c>
      <c r="T100" s="460">
        <v>0</v>
      </c>
      <c r="U100" s="460">
        <v>0</v>
      </c>
      <c r="V100" s="460">
        <f>SUM(Q100:U100)</f>
        <v>2964059</v>
      </c>
      <c r="W100" s="460">
        <v>0</v>
      </c>
      <c r="X100" s="460">
        <v>0</v>
      </c>
      <c r="Y100" s="460">
        <v>0</v>
      </c>
      <c r="Z100" s="460">
        <f t="shared" si="355"/>
        <v>0</v>
      </c>
      <c r="AA100" s="460">
        <f t="shared" si="356"/>
        <v>2964059</v>
      </c>
      <c r="AB100" s="69">
        <f t="shared" si="357"/>
        <v>1001852</v>
      </c>
      <c r="AC100" s="69">
        <f t="shared" si="358"/>
        <v>29641</v>
      </c>
      <c r="AD100" s="460">
        <v>0</v>
      </c>
      <c r="AE100" s="460">
        <v>0</v>
      </c>
      <c r="AF100" s="460">
        <f t="shared" si="359"/>
        <v>0</v>
      </c>
      <c r="AG100" s="460">
        <f t="shared" si="360"/>
        <v>3995552</v>
      </c>
      <c r="AH100" s="461">
        <v>0</v>
      </c>
      <c r="AI100" s="461">
        <v>0</v>
      </c>
      <c r="AJ100" s="461">
        <v>8.56</v>
      </c>
      <c r="AK100" s="461">
        <v>0</v>
      </c>
      <c r="AL100" s="674">
        <v>0</v>
      </c>
      <c r="AM100" s="461">
        <v>0</v>
      </c>
      <c r="AN100" s="461">
        <v>0</v>
      </c>
      <c r="AO100" s="461">
        <v>0</v>
      </c>
      <c r="AP100" s="461">
        <f>AH100+AJ100+AK100+AM100+AN100</f>
        <v>8.56</v>
      </c>
      <c r="AQ100" s="461">
        <f>AI100+AL100+AO100</f>
        <v>0</v>
      </c>
      <c r="AR100" s="463">
        <f t="shared" si="361"/>
        <v>8.56</v>
      </c>
      <c r="AS100" s="469">
        <f>I100+AG100</f>
        <v>3995552</v>
      </c>
      <c r="AT100" s="460">
        <f>J100+V100</f>
        <v>2964059</v>
      </c>
      <c r="AU100" s="460">
        <f t="shared" si="362"/>
        <v>0</v>
      </c>
      <c r="AV100" s="460">
        <f t="shared" si="363"/>
        <v>1001852</v>
      </c>
      <c r="AW100" s="460">
        <f t="shared" si="363"/>
        <v>29641</v>
      </c>
      <c r="AX100" s="460">
        <f>M100+AF100</f>
        <v>0</v>
      </c>
      <c r="AY100" s="461">
        <f>N100+AR100</f>
        <v>8.56</v>
      </c>
      <c r="AZ100" s="461">
        <f t="shared" si="364"/>
        <v>8.56</v>
      </c>
      <c r="BA100" s="463">
        <f t="shared" si="364"/>
        <v>0</v>
      </c>
    </row>
    <row r="101" spans="1:53" s="229" customFormat="1" ht="12.75" customHeight="1" x14ac:dyDescent="0.2">
      <c r="A101" s="231">
        <v>23</v>
      </c>
      <c r="B101" s="232">
        <v>3416</v>
      </c>
      <c r="C101" s="232">
        <v>600078426</v>
      </c>
      <c r="D101" s="232">
        <v>72743034</v>
      </c>
      <c r="E101" s="233" t="s">
        <v>53</v>
      </c>
      <c r="F101" s="232">
        <v>3141</v>
      </c>
      <c r="G101" s="233" t="s">
        <v>311</v>
      </c>
      <c r="H101" s="264" t="s">
        <v>278</v>
      </c>
      <c r="I101" s="457">
        <f t="shared" si="351"/>
        <v>2963725</v>
      </c>
      <c r="J101" s="457">
        <v>2179398</v>
      </c>
      <c r="K101" s="457">
        <f t="shared" si="352"/>
        <v>736637</v>
      </c>
      <c r="L101" s="457">
        <f t="shared" si="365"/>
        <v>21794</v>
      </c>
      <c r="M101" s="457">
        <v>25896</v>
      </c>
      <c r="N101" s="458">
        <f t="shared" si="353"/>
        <v>7</v>
      </c>
      <c r="O101" s="459">
        <v>0</v>
      </c>
      <c r="P101" s="468">
        <v>7</v>
      </c>
      <c r="Q101" s="470">
        <f t="shared" si="354"/>
        <v>0</v>
      </c>
      <c r="R101" s="460">
        <v>0</v>
      </c>
      <c r="S101" s="673">
        <v>0</v>
      </c>
      <c r="T101" s="460">
        <v>0</v>
      </c>
      <c r="U101" s="460">
        <v>0</v>
      </c>
      <c r="V101" s="460">
        <f>SUM(Q101:U101)</f>
        <v>0</v>
      </c>
      <c r="W101" s="460">
        <v>0</v>
      </c>
      <c r="X101" s="460">
        <v>0</v>
      </c>
      <c r="Y101" s="460">
        <v>0</v>
      </c>
      <c r="Z101" s="460">
        <f t="shared" si="355"/>
        <v>0</v>
      </c>
      <c r="AA101" s="460">
        <f t="shared" si="356"/>
        <v>0</v>
      </c>
      <c r="AB101" s="69">
        <f t="shared" si="357"/>
        <v>0</v>
      </c>
      <c r="AC101" s="69">
        <f t="shared" si="358"/>
        <v>0</v>
      </c>
      <c r="AD101" s="460">
        <v>0</v>
      </c>
      <c r="AE101" s="460">
        <v>0</v>
      </c>
      <c r="AF101" s="460">
        <f t="shared" si="359"/>
        <v>0</v>
      </c>
      <c r="AG101" s="460">
        <f t="shared" si="360"/>
        <v>0</v>
      </c>
      <c r="AH101" s="461">
        <v>0</v>
      </c>
      <c r="AI101" s="461">
        <v>0</v>
      </c>
      <c r="AJ101" s="461">
        <v>0</v>
      </c>
      <c r="AK101" s="461">
        <v>0</v>
      </c>
      <c r="AL101" s="674">
        <v>0</v>
      </c>
      <c r="AM101" s="461">
        <v>0</v>
      </c>
      <c r="AN101" s="461">
        <v>0</v>
      </c>
      <c r="AO101" s="461">
        <v>0</v>
      </c>
      <c r="AP101" s="461">
        <f>AH101+AJ101+AK101+AM101+AN101</f>
        <v>0</v>
      </c>
      <c r="AQ101" s="461">
        <f>AI101+AL101+AO101</f>
        <v>0</v>
      </c>
      <c r="AR101" s="463">
        <f t="shared" si="361"/>
        <v>0</v>
      </c>
      <c r="AS101" s="469">
        <f>I101+AG101</f>
        <v>2963725</v>
      </c>
      <c r="AT101" s="460">
        <f>J101+V101</f>
        <v>2179398</v>
      </c>
      <c r="AU101" s="460">
        <f t="shared" si="362"/>
        <v>0</v>
      </c>
      <c r="AV101" s="460">
        <f t="shared" si="363"/>
        <v>736637</v>
      </c>
      <c r="AW101" s="460">
        <f t="shared" si="363"/>
        <v>21794</v>
      </c>
      <c r="AX101" s="460">
        <f>M101+AF101</f>
        <v>25896</v>
      </c>
      <c r="AY101" s="461">
        <f>N101+AR101</f>
        <v>7</v>
      </c>
      <c r="AZ101" s="461">
        <f t="shared" si="364"/>
        <v>0</v>
      </c>
      <c r="BA101" s="463">
        <f t="shared" si="364"/>
        <v>7</v>
      </c>
    </row>
    <row r="102" spans="1:53" s="229" customFormat="1" ht="12.75" customHeight="1" x14ac:dyDescent="0.2">
      <c r="A102" s="231">
        <v>23</v>
      </c>
      <c r="B102" s="232">
        <v>3416</v>
      </c>
      <c r="C102" s="232">
        <v>600078426</v>
      </c>
      <c r="D102" s="232">
        <v>72743034</v>
      </c>
      <c r="E102" s="233" t="s">
        <v>53</v>
      </c>
      <c r="F102" s="232">
        <v>3143</v>
      </c>
      <c r="G102" s="233" t="s">
        <v>616</v>
      </c>
      <c r="H102" s="264" t="s">
        <v>277</v>
      </c>
      <c r="I102" s="457">
        <f t="shared" si="351"/>
        <v>3811131</v>
      </c>
      <c r="J102" s="457">
        <v>2827249</v>
      </c>
      <c r="K102" s="457">
        <f t="shared" si="352"/>
        <v>955610</v>
      </c>
      <c r="L102" s="457">
        <f t="shared" si="365"/>
        <v>28272</v>
      </c>
      <c r="M102" s="457">
        <v>0</v>
      </c>
      <c r="N102" s="458">
        <f t="shared" si="353"/>
        <v>5.6891999999999996</v>
      </c>
      <c r="O102" s="459">
        <v>5.6891999999999996</v>
      </c>
      <c r="P102" s="468">
        <v>0</v>
      </c>
      <c r="Q102" s="470">
        <f t="shared" si="354"/>
        <v>0</v>
      </c>
      <c r="R102" s="460">
        <v>0</v>
      </c>
      <c r="S102" s="673">
        <v>0</v>
      </c>
      <c r="T102" s="460">
        <v>0</v>
      </c>
      <c r="U102" s="460">
        <v>0</v>
      </c>
      <c r="V102" s="460">
        <f>SUM(Q102:U102)</f>
        <v>0</v>
      </c>
      <c r="W102" s="460">
        <v>0</v>
      </c>
      <c r="X102" s="460">
        <v>0</v>
      </c>
      <c r="Y102" s="460">
        <v>0</v>
      </c>
      <c r="Z102" s="460">
        <f t="shared" si="355"/>
        <v>0</v>
      </c>
      <c r="AA102" s="460">
        <f t="shared" si="356"/>
        <v>0</v>
      </c>
      <c r="AB102" s="69">
        <f t="shared" si="357"/>
        <v>0</v>
      </c>
      <c r="AC102" s="69">
        <f t="shared" si="358"/>
        <v>0</v>
      </c>
      <c r="AD102" s="460">
        <v>0</v>
      </c>
      <c r="AE102" s="460">
        <v>0</v>
      </c>
      <c r="AF102" s="460">
        <f t="shared" si="359"/>
        <v>0</v>
      </c>
      <c r="AG102" s="460">
        <f t="shared" si="360"/>
        <v>0</v>
      </c>
      <c r="AH102" s="461">
        <v>0</v>
      </c>
      <c r="AI102" s="461">
        <v>0</v>
      </c>
      <c r="AJ102" s="461">
        <v>0</v>
      </c>
      <c r="AK102" s="461">
        <v>0</v>
      </c>
      <c r="AL102" s="674">
        <v>0</v>
      </c>
      <c r="AM102" s="461">
        <v>0</v>
      </c>
      <c r="AN102" s="461">
        <v>0</v>
      </c>
      <c r="AO102" s="461">
        <v>0</v>
      </c>
      <c r="AP102" s="461">
        <f>AH102+AJ102+AK102+AM102+AN102</f>
        <v>0</v>
      </c>
      <c r="AQ102" s="461">
        <f>AI102+AL102+AO102</f>
        <v>0</v>
      </c>
      <c r="AR102" s="463">
        <f t="shared" si="361"/>
        <v>0</v>
      </c>
      <c r="AS102" s="469">
        <f>I102+AG102</f>
        <v>3811131</v>
      </c>
      <c r="AT102" s="460">
        <f>J102+V102</f>
        <v>2827249</v>
      </c>
      <c r="AU102" s="460">
        <f t="shared" si="362"/>
        <v>0</v>
      </c>
      <c r="AV102" s="460">
        <f t="shared" si="363"/>
        <v>955610</v>
      </c>
      <c r="AW102" s="460">
        <f t="shared" si="363"/>
        <v>28272</v>
      </c>
      <c r="AX102" s="460">
        <f>M102+AF102</f>
        <v>0</v>
      </c>
      <c r="AY102" s="461">
        <f>N102+AR102</f>
        <v>5.6891999999999996</v>
      </c>
      <c r="AZ102" s="461">
        <f t="shared" si="364"/>
        <v>5.6891999999999996</v>
      </c>
      <c r="BA102" s="463">
        <f t="shared" si="364"/>
        <v>0</v>
      </c>
    </row>
    <row r="103" spans="1:53" s="229" customFormat="1" ht="12.75" customHeight="1" x14ac:dyDescent="0.2">
      <c r="A103" s="231">
        <v>23</v>
      </c>
      <c r="B103" s="232">
        <v>3416</v>
      </c>
      <c r="C103" s="232">
        <v>600078426</v>
      </c>
      <c r="D103" s="232">
        <v>72743034</v>
      </c>
      <c r="E103" s="233" t="s">
        <v>53</v>
      </c>
      <c r="F103" s="232">
        <v>3143</v>
      </c>
      <c r="G103" s="233" t="s">
        <v>617</v>
      </c>
      <c r="H103" s="264" t="s">
        <v>278</v>
      </c>
      <c r="I103" s="457">
        <f t="shared" si="351"/>
        <v>118746</v>
      </c>
      <c r="J103" s="457">
        <v>84846</v>
      </c>
      <c r="K103" s="457">
        <f t="shared" si="352"/>
        <v>28678</v>
      </c>
      <c r="L103" s="457">
        <f t="shared" si="365"/>
        <v>848</v>
      </c>
      <c r="M103" s="457">
        <v>4374</v>
      </c>
      <c r="N103" s="458">
        <f t="shared" si="353"/>
        <v>0.34</v>
      </c>
      <c r="O103" s="459">
        <v>0</v>
      </c>
      <c r="P103" s="468">
        <v>0.34</v>
      </c>
      <c r="Q103" s="470">
        <f t="shared" si="354"/>
        <v>0</v>
      </c>
      <c r="R103" s="460">
        <v>0</v>
      </c>
      <c r="S103" s="673">
        <v>0</v>
      </c>
      <c r="T103" s="460">
        <v>0</v>
      </c>
      <c r="U103" s="460">
        <v>0</v>
      </c>
      <c r="V103" s="460">
        <f>SUM(Q103:U103)</f>
        <v>0</v>
      </c>
      <c r="W103" s="460">
        <v>0</v>
      </c>
      <c r="X103" s="460">
        <v>0</v>
      </c>
      <c r="Y103" s="460">
        <v>0</v>
      </c>
      <c r="Z103" s="460">
        <f t="shared" si="355"/>
        <v>0</v>
      </c>
      <c r="AA103" s="460">
        <f t="shared" si="356"/>
        <v>0</v>
      </c>
      <c r="AB103" s="69">
        <f t="shared" si="357"/>
        <v>0</v>
      </c>
      <c r="AC103" s="69">
        <f t="shared" si="358"/>
        <v>0</v>
      </c>
      <c r="AD103" s="460">
        <v>0</v>
      </c>
      <c r="AE103" s="460">
        <v>0</v>
      </c>
      <c r="AF103" s="460">
        <f t="shared" si="359"/>
        <v>0</v>
      </c>
      <c r="AG103" s="460">
        <f t="shared" si="360"/>
        <v>0</v>
      </c>
      <c r="AH103" s="461">
        <v>0</v>
      </c>
      <c r="AI103" s="461">
        <v>0</v>
      </c>
      <c r="AJ103" s="461">
        <v>0</v>
      </c>
      <c r="AK103" s="461">
        <v>0</v>
      </c>
      <c r="AL103" s="674">
        <v>0</v>
      </c>
      <c r="AM103" s="461">
        <v>0</v>
      </c>
      <c r="AN103" s="461">
        <v>0</v>
      </c>
      <c r="AO103" s="461">
        <v>0</v>
      </c>
      <c r="AP103" s="461">
        <f>AH103+AJ103+AK103+AM103+AN103</f>
        <v>0</v>
      </c>
      <c r="AQ103" s="461">
        <f>AI103+AL103+AO103</f>
        <v>0</v>
      </c>
      <c r="AR103" s="463">
        <f t="shared" si="361"/>
        <v>0</v>
      </c>
      <c r="AS103" s="469">
        <f>I103+AG103</f>
        <v>118746</v>
      </c>
      <c r="AT103" s="460">
        <f>J103+V103</f>
        <v>84846</v>
      </c>
      <c r="AU103" s="460">
        <f t="shared" si="362"/>
        <v>0</v>
      </c>
      <c r="AV103" s="460">
        <f t="shared" si="363"/>
        <v>28678</v>
      </c>
      <c r="AW103" s="460">
        <f t="shared" si="363"/>
        <v>848</v>
      </c>
      <c r="AX103" s="460">
        <f>M103+AF103</f>
        <v>4374</v>
      </c>
      <c r="AY103" s="461">
        <f>N103+AR103</f>
        <v>0.34</v>
      </c>
      <c r="AZ103" s="461">
        <f t="shared" si="364"/>
        <v>0</v>
      </c>
      <c r="BA103" s="463">
        <f t="shared" si="364"/>
        <v>0.34</v>
      </c>
    </row>
    <row r="104" spans="1:53" s="229" customFormat="1" ht="12.75" customHeight="1" x14ac:dyDescent="0.2">
      <c r="A104" s="156">
        <v>23</v>
      </c>
      <c r="B104" s="14">
        <v>3416</v>
      </c>
      <c r="C104" s="155">
        <v>600078426</v>
      </c>
      <c r="D104" s="155">
        <v>72743034</v>
      </c>
      <c r="E104" s="230" t="s">
        <v>54</v>
      </c>
      <c r="F104" s="14"/>
      <c r="G104" s="230"/>
      <c r="H104" s="263"/>
      <c r="I104" s="464">
        <f t="shared" ref="I104:P104" si="366">SUM(I99:I103)</f>
        <v>43425575</v>
      </c>
      <c r="J104" s="464">
        <f t="shared" si="366"/>
        <v>31659102</v>
      </c>
      <c r="K104" s="464">
        <f t="shared" si="366"/>
        <v>10700777</v>
      </c>
      <c r="L104" s="464">
        <f t="shared" si="366"/>
        <v>316591</v>
      </c>
      <c r="M104" s="464">
        <f t="shared" si="366"/>
        <v>749105</v>
      </c>
      <c r="N104" s="427">
        <f t="shared" si="366"/>
        <v>56.831900000000005</v>
      </c>
      <c r="O104" s="427">
        <f t="shared" si="366"/>
        <v>40.9619</v>
      </c>
      <c r="P104" s="427">
        <f t="shared" si="366"/>
        <v>15.870000000000001</v>
      </c>
      <c r="Q104" s="622">
        <f t="shared" ref="Q104:BA104" si="367">SUM(Q99:Q103)</f>
        <v>-58500</v>
      </c>
      <c r="R104" s="620">
        <f t="shared" si="367"/>
        <v>2964059</v>
      </c>
      <c r="S104" s="620">
        <f t="shared" si="367"/>
        <v>0</v>
      </c>
      <c r="T104" s="620">
        <f t="shared" si="367"/>
        <v>0</v>
      </c>
      <c r="U104" s="620">
        <f t="shared" si="367"/>
        <v>0</v>
      </c>
      <c r="V104" s="620">
        <f t="shared" si="367"/>
        <v>2905559</v>
      </c>
      <c r="W104" s="620">
        <f t="shared" si="367"/>
        <v>58500</v>
      </c>
      <c r="X104" s="620">
        <f t="shared" si="367"/>
        <v>0</v>
      </c>
      <c r="Y104" s="620">
        <f t="shared" si="367"/>
        <v>0</v>
      </c>
      <c r="Z104" s="620">
        <f t="shared" si="367"/>
        <v>58500</v>
      </c>
      <c r="AA104" s="620">
        <f t="shared" si="367"/>
        <v>2964059</v>
      </c>
      <c r="AB104" s="620">
        <f t="shared" si="367"/>
        <v>1001852</v>
      </c>
      <c r="AC104" s="620">
        <f t="shared" si="367"/>
        <v>29056</v>
      </c>
      <c r="AD104" s="620">
        <f t="shared" si="367"/>
        <v>0</v>
      </c>
      <c r="AE104" s="620">
        <f t="shared" si="367"/>
        <v>0</v>
      </c>
      <c r="AF104" s="620">
        <f t="shared" si="367"/>
        <v>0</v>
      </c>
      <c r="AG104" s="620">
        <f t="shared" si="367"/>
        <v>3994967</v>
      </c>
      <c r="AH104" s="621">
        <f t="shared" si="367"/>
        <v>-0.04</v>
      </c>
      <c r="AI104" s="621">
        <f t="shared" si="367"/>
        <v>0</v>
      </c>
      <c r="AJ104" s="621">
        <f t="shared" si="367"/>
        <v>8.56</v>
      </c>
      <c r="AK104" s="621">
        <f t="shared" si="367"/>
        <v>0</v>
      </c>
      <c r="AL104" s="621">
        <f t="shared" si="367"/>
        <v>0</v>
      </c>
      <c r="AM104" s="621">
        <f t="shared" si="367"/>
        <v>0</v>
      </c>
      <c r="AN104" s="621">
        <f t="shared" si="367"/>
        <v>0</v>
      </c>
      <c r="AO104" s="621">
        <f t="shared" si="367"/>
        <v>0</v>
      </c>
      <c r="AP104" s="621">
        <f t="shared" si="367"/>
        <v>8.5200000000000014</v>
      </c>
      <c r="AQ104" s="621">
        <f t="shared" si="367"/>
        <v>0</v>
      </c>
      <c r="AR104" s="623">
        <f t="shared" si="367"/>
        <v>8.5200000000000014</v>
      </c>
      <c r="AS104" s="618">
        <f t="shared" si="367"/>
        <v>47420542</v>
      </c>
      <c r="AT104" s="464">
        <f t="shared" si="367"/>
        <v>34564661</v>
      </c>
      <c r="AU104" s="464">
        <f t="shared" si="367"/>
        <v>58500</v>
      </c>
      <c r="AV104" s="464">
        <f t="shared" si="367"/>
        <v>11702629</v>
      </c>
      <c r="AW104" s="464">
        <f t="shared" si="367"/>
        <v>345647</v>
      </c>
      <c r="AX104" s="464">
        <f t="shared" si="367"/>
        <v>749105</v>
      </c>
      <c r="AY104" s="427">
        <f t="shared" si="367"/>
        <v>65.351900000000001</v>
      </c>
      <c r="AZ104" s="427">
        <f t="shared" si="367"/>
        <v>49.481900000000003</v>
      </c>
      <c r="BA104" s="496">
        <f t="shared" si="367"/>
        <v>15.870000000000001</v>
      </c>
    </row>
    <row r="105" spans="1:53" s="229" customFormat="1" ht="12.75" customHeight="1" x14ac:dyDescent="0.2">
      <c r="A105" s="231">
        <v>24</v>
      </c>
      <c r="B105" s="232">
        <v>3414</v>
      </c>
      <c r="C105" s="232">
        <v>600078388</v>
      </c>
      <c r="D105" s="232">
        <v>43257721</v>
      </c>
      <c r="E105" s="233" t="s">
        <v>55</v>
      </c>
      <c r="F105" s="232">
        <v>3113</v>
      </c>
      <c r="G105" s="233" t="s">
        <v>310</v>
      </c>
      <c r="H105" s="264" t="s">
        <v>277</v>
      </c>
      <c r="I105" s="457">
        <f t="shared" ref="I105:I109" si="368">SUM(J105:M105)</f>
        <v>36461903</v>
      </c>
      <c r="J105" s="457">
        <v>26526552</v>
      </c>
      <c r="K105" s="457">
        <f t="shared" ref="K105:K109" si="369">ROUND(J105*33.8%,0)</f>
        <v>8965975</v>
      </c>
      <c r="L105" s="457">
        <f t="shared" ref="L105:L109" si="370">ROUND(J105*1%,0)</f>
        <v>265266</v>
      </c>
      <c r="M105" s="457">
        <v>704110</v>
      </c>
      <c r="N105" s="458">
        <f t="shared" ref="N105:N109" si="371">O105+P105</f>
        <v>44.668999999999997</v>
      </c>
      <c r="O105" s="459">
        <v>36.408999999999999</v>
      </c>
      <c r="P105" s="468">
        <v>8.26</v>
      </c>
      <c r="Q105" s="470">
        <f t="shared" ref="Q105:Q109" si="372">W105*-1</f>
        <v>-65000</v>
      </c>
      <c r="R105" s="460">
        <v>0</v>
      </c>
      <c r="S105" s="673">
        <v>0</v>
      </c>
      <c r="T105" s="460">
        <v>0</v>
      </c>
      <c r="U105" s="460">
        <v>0</v>
      </c>
      <c r="V105" s="460">
        <f>SUM(Q105:U105)</f>
        <v>-65000</v>
      </c>
      <c r="W105" s="460">
        <v>65000</v>
      </c>
      <c r="X105" s="460">
        <v>0</v>
      </c>
      <c r="Y105" s="460">
        <v>0</v>
      </c>
      <c r="Z105" s="460">
        <f t="shared" ref="Z105:Z109" si="373">SUM(W105:Y105)</f>
        <v>65000</v>
      </c>
      <c r="AA105" s="460">
        <f t="shared" ref="AA105:AA109" si="374">V105+Z105</f>
        <v>0</v>
      </c>
      <c r="AB105" s="69">
        <f t="shared" ref="AB105:AB109" si="375">ROUND((V105+W105+X105)*33.8%,0)</f>
        <v>0</v>
      </c>
      <c r="AC105" s="69">
        <f t="shared" ref="AC105:AC109" si="376">ROUND(V105*1%,0)</f>
        <v>-650</v>
      </c>
      <c r="AD105" s="460">
        <v>0</v>
      </c>
      <c r="AE105" s="460">
        <v>0</v>
      </c>
      <c r="AF105" s="460">
        <f t="shared" ref="AF105:AF109" si="377">SUM(AD105:AE105)</f>
        <v>0</v>
      </c>
      <c r="AG105" s="460">
        <f t="shared" ref="AG105:AG109" si="378">AA105+AB105+AC105+AF105</f>
        <v>-650</v>
      </c>
      <c r="AH105" s="461">
        <v>-0.06</v>
      </c>
      <c r="AI105" s="461">
        <v>0</v>
      </c>
      <c r="AJ105" s="461">
        <v>0</v>
      </c>
      <c r="AK105" s="461">
        <v>0</v>
      </c>
      <c r="AL105" s="674">
        <v>0</v>
      </c>
      <c r="AM105" s="461">
        <v>0</v>
      </c>
      <c r="AN105" s="461">
        <v>0</v>
      </c>
      <c r="AO105" s="461">
        <v>0</v>
      </c>
      <c r="AP105" s="461">
        <f>AH105+AJ105+AK105+AM105+AN105</f>
        <v>-0.06</v>
      </c>
      <c r="AQ105" s="461">
        <f>AI105+AL105+AO105</f>
        <v>0</v>
      </c>
      <c r="AR105" s="463">
        <f t="shared" ref="AR105:AR109" si="379">SUM(AP105:AQ105)</f>
        <v>-0.06</v>
      </c>
      <c r="AS105" s="469">
        <f>I105+AG105</f>
        <v>36461253</v>
      </c>
      <c r="AT105" s="460">
        <f>J105+V105</f>
        <v>26461552</v>
      </c>
      <c r="AU105" s="460">
        <f t="shared" ref="AU105:AU109" si="380">Z105</f>
        <v>65000</v>
      </c>
      <c r="AV105" s="460">
        <f t="shared" ref="AV105:AW109" si="381">K105+AB105</f>
        <v>8965975</v>
      </c>
      <c r="AW105" s="460">
        <f t="shared" si="381"/>
        <v>264616</v>
      </c>
      <c r="AX105" s="460">
        <f>M105+AF105</f>
        <v>704110</v>
      </c>
      <c r="AY105" s="461">
        <f>N105+AR105</f>
        <v>44.608999999999995</v>
      </c>
      <c r="AZ105" s="461">
        <f t="shared" ref="AZ105:BA109" si="382">O105+AP105</f>
        <v>36.348999999999997</v>
      </c>
      <c r="BA105" s="463">
        <f t="shared" si="382"/>
        <v>8.26</v>
      </c>
    </row>
    <row r="106" spans="1:53" s="229" customFormat="1" x14ac:dyDescent="0.2">
      <c r="A106" s="231">
        <v>24</v>
      </c>
      <c r="B106" s="232">
        <v>3414</v>
      </c>
      <c r="C106" s="232">
        <v>600078388</v>
      </c>
      <c r="D106" s="232">
        <v>43257721</v>
      </c>
      <c r="E106" s="233" t="s">
        <v>55</v>
      </c>
      <c r="F106" s="232">
        <v>3113</v>
      </c>
      <c r="G106" s="233" t="s">
        <v>308</v>
      </c>
      <c r="H106" s="264" t="s">
        <v>278</v>
      </c>
      <c r="I106" s="457">
        <f t="shared" si="368"/>
        <v>0</v>
      </c>
      <c r="J106" s="457">
        <v>0</v>
      </c>
      <c r="K106" s="457">
        <f t="shared" si="369"/>
        <v>0</v>
      </c>
      <c r="L106" s="457">
        <f t="shared" si="370"/>
        <v>0</v>
      </c>
      <c r="M106" s="457">
        <v>0</v>
      </c>
      <c r="N106" s="458">
        <f t="shared" si="371"/>
        <v>0</v>
      </c>
      <c r="O106" s="459">
        <v>0</v>
      </c>
      <c r="P106" s="468">
        <v>0</v>
      </c>
      <c r="Q106" s="470">
        <f t="shared" si="372"/>
        <v>0</v>
      </c>
      <c r="R106" s="460">
        <v>3684382</v>
      </c>
      <c r="S106" s="673">
        <v>0</v>
      </c>
      <c r="T106" s="460">
        <v>0</v>
      </c>
      <c r="U106" s="460">
        <v>0</v>
      </c>
      <c r="V106" s="460">
        <f>SUM(Q106:U106)</f>
        <v>3684382</v>
      </c>
      <c r="W106" s="460">
        <v>0</v>
      </c>
      <c r="X106" s="460">
        <v>0</v>
      </c>
      <c r="Y106" s="460">
        <v>0</v>
      </c>
      <c r="Z106" s="460">
        <f t="shared" si="373"/>
        <v>0</v>
      </c>
      <c r="AA106" s="460">
        <f t="shared" si="374"/>
        <v>3684382</v>
      </c>
      <c r="AB106" s="69">
        <f t="shared" si="375"/>
        <v>1245321</v>
      </c>
      <c r="AC106" s="69">
        <f t="shared" si="376"/>
        <v>36844</v>
      </c>
      <c r="AD106" s="460">
        <v>0</v>
      </c>
      <c r="AE106" s="460">
        <v>0</v>
      </c>
      <c r="AF106" s="460">
        <f t="shared" si="377"/>
        <v>0</v>
      </c>
      <c r="AG106" s="460">
        <f t="shared" si="378"/>
        <v>4966547</v>
      </c>
      <c r="AH106" s="461">
        <v>0</v>
      </c>
      <c r="AI106" s="461">
        <v>0</v>
      </c>
      <c r="AJ106" s="461">
        <v>10.44</v>
      </c>
      <c r="AK106" s="461">
        <v>0</v>
      </c>
      <c r="AL106" s="674">
        <v>0</v>
      </c>
      <c r="AM106" s="461">
        <v>0</v>
      </c>
      <c r="AN106" s="461">
        <v>0</v>
      </c>
      <c r="AO106" s="461">
        <v>0</v>
      </c>
      <c r="AP106" s="461">
        <f>AH106+AJ106+AK106+AM106+AN106</f>
        <v>10.44</v>
      </c>
      <c r="AQ106" s="461">
        <f>AI106+AL106+AO106</f>
        <v>0</v>
      </c>
      <c r="AR106" s="463">
        <f t="shared" si="379"/>
        <v>10.44</v>
      </c>
      <c r="AS106" s="469">
        <f>I106+AG106</f>
        <v>4966547</v>
      </c>
      <c r="AT106" s="460">
        <f>J106+V106</f>
        <v>3684382</v>
      </c>
      <c r="AU106" s="460">
        <f t="shared" si="380"/>
        <v>0</v>
      </c>
      <c r="AV106" s="460">
        <f t="shared" si="381"/>
        <v>1245321</v>
      </c>
      <c r="AW106" s="460">
        <f t="shared" si="381"/>
        <v>36844</v>
      </c>
      <c r="AX106" s="460">
        <f>M106+AF106</f>
        <v>0</v>
      </c>
      <c r="AY106" s="461">
        <f>N106+AR106</f>
        <v>10.44</v>
      </c>
      <c r="AZ106" s="461">
        <f t="shared" si="382"/>
        <v>10.44</v>
      </c>
      <c r="BA106" s="463">
        <f t="shared" si="382"/>
        <v>0</v>
      </c>
    </row>
    <row r="107" spans="1:53" s="229" customFormat="1" ht="12.75" customHeight="1" x14ac:dyDescent="0.2">
      <c r="A107" s="231">
        <v>24</v>
      </c>
      <c r="B107" s="232">
        <v>3414</v>
      </c>
      <c r="C107" s="232">
        <v>600078388</v>
      </c>
      <c r="D107" s="232">
        <v>43257721</v>
      </c>
      <c r="E107" s="233" t="s">
        <v>55</v>
      </c>
      <c r="F107" s="232">
        <v>3141</v>
      </c>
      <c r="G107" s="233" t="s">
        <v>311</v>
      </c>
      <c r="H107" s="264" t="s">
        <v>278</v>
      </c>
      <c r="I107" s="457">
        <f t="shared" si="368"/>
        <v>3210083</v>
      </c>
      <c r="J107" s="457">
        <v>2360150</v>
      </c>
      <c r="K107" s="457">
        <f t="shared" si="369"/>
        <v>797731</v>
      </c>
      <c r="L107" s="457">
        <f t="shared" si="370"/>
        <v>23602</v>
      </c>
      <c r="M107" s="457">
        <v>28600</v>
      </c>
      <c r="N107" s="458">
        <f t="shared" si="371"/>
        <v>7.58</v>
      </c>
      <c r="O107" s="459">
        <v>0</v>
      </c>
      <c r="P107" s="468">
        <v>7.58</v>
      </c>
      <c r="Q107" s="470">
        <f t="shared" si="372"/>
        <v>0</v>
      </c>
      <c r="R107" s="460">
        <v>0</v>
      </c>
      <c r="S107" s="673">
        <v>0</v>
      </c>
      <c r="T107" s="460">
        <v>0</v>
      </c>
      <c r="U107" s="460">
        <v>0</v>
      </c>
      <c r="V107" s="460">
        <f>SUM(Q107:U107)</f>
        <v>0</v>
      </c>
      <c r="W107" s="460">
        <v>0</v>
      </c>
      <c r="X107" s="460">
        <v>0</v>
      </c>
      <c r="Y107" s="460">
        <v>0</v>
      </c>
      <c r="Z107" s="460">
        <f t="shared" si="373"/>
        <v>0</v>
      </c>
      <c r="AA107" s="460">
        <f t="shared" si="374"/>
        <v>0</v>
      </c>
      <c r="AB107" s="69">
        <f t="shared" si="375"/>
        <v>0</v>
      </c>
      <c r="AC107" s="69">
        <f t="shared" si="376"/>
        <v>0</v>
      </c>
      <c r="AD107" s="460">
        <v>0</v>
      </c>
      <c r="AE107" s="460">
        <v>0</v>
      </c>
      <c r="AF107" s="460">
        <f t="shared" si="377"/>
        <v>0</v>
      </c>
      <c r="AG107" s="460">
        <f t="shared" si="378"/>
        <v>0</v>
      </c>
      <c r="AH107" s="461">
        <v>0</v>
      </c>
      <c r="AI107" s="461">
        <v>0</v>
      </c>
      <c r="AJ107" s="461">
        <v>0</v>
      </c>
      <c r="AK107" s="461">
        <v>0</v>
      </c>
      <c r="AL107" s="674">
        <v>0</v>
      </c>
      <c r="AM107" s="461">
        <v>0</v>
      </c>
      <c r="AN107" s="461">
        <v>0</v>
      </c>
      <c r="AO107" s="461">
        <v>0</v>
      </c>
      <c r="AP107" s="461">
        <f>AH107+AJ107+AK107+AM107+AN107</f>
        <v>0</v>
      </c>
      <c r="AQ107" s="461">
        <f>AI107+AL107+AO107</f>
        <v>0</v>
      </c>
      <c r="AR107" s="463">
        <f t="shared" si="379"/>
        <v>0</v>
      </c>
      <c r="AS107" s="469">
        <f>I107+AG107</f>
        <v>3210083</v>
      </c>
      <c r="AT107" s="460">
        <f>J107+V107</f>
        <v>2360150</v>
      </c>
      <c r="AU107" s="460">
        <f t="shared" si="380"/>
        <v>0</v>
      </c>
      <c r="AV107" s="460">
        <f t="shared" si="381"/>
        <v>797731</v>
      </c>
      <c r="AW107" s="460">
        <f t="shared" si="381"/>
        <v>23602</v>
      </c>
      <c r="AX107" s="460">
        <f>M107+AF107</f>
        <v>28600</v>
      </c>
      <c r="AY107" s="461">
        <f>N107+AR107</f>
        <v>7.58</v>
      </c>
      <c r="AZ107" s="461">
        <f t="shared" si="382"/>
        <v>0</v>
      </c>
      <c r="BA107" s="463">
        <f t="shared" si="382"/>
        <v>7.58</v>
      </c>
    </row>
    <row r="108" spans="1:53" s="229" customFormat="1" ht="12.75" customHeight="1" x14ac:dyDescent="0.2">
      <c r="A108" s="231">
        <v>24</v>
      </c>
      <c r="B108" s="232">
        <v>3414</v>
      </c>
      <c r="C108" s="232">
        <v>600078388</v>
      </c>
      <c r="D108" s="232">
        <v>43257721</v>
      </c>
      <c r="E108" s="233" t="s">
        <v>55</v>
      </c>
      <c r="F108" s="232">
        <v>3143</v>
      </c>
      <c r="G108" s="233" t="s">
        <v>616</v>
      </c>
      <c r="H108" s="264" t="s">
        <v>277</v>
      </c>
      <c r="I108" s="457">
        <f t="shared" si="368"/>
        <v>3680635</v>
      </c>
      <c r="J108" s="457">
        <v>2730442</v>
      </c>
      <c r="K108" s="457">
        <f t="shared" si="369"/>
        <v>922889</v>
      </c>
      <c r="L108" s="457">
        <f t="shared" si="370"/>
        <v>27304</v>
      </c>
      <c r="M108" s="457">
        <v>0</v>
      </c>
      <c r="N108" s="458">
        <f t="shared" si="371"/>
        <v>5.4820000000000002</v>
      </c>
      <c r="O108" s="459">
        <v>5.4820000000000002</v>
      </c>
      <c r="P108" s="468">
        <v>0</v>
      </c>
      <c r="Q108" s="470">
        <f t="shared" si="372"/>
        <v>0</v>
      </c>
      <c r="R108" s="460">
        <v>0</v>
      </c>
      <c r="S108" s="673">
        <v>0</v>
      </c>
      <c r="T108" s="460">
        <v>0</v>
      </c>
      <c r="U108" s="460">
        <v>0</v>
      </c>
      <c r="V108" s="460">
        <f>SUM(Q108:U108)</f>
        <v>0</v>
      </c>
      <c r="W108" s="460">
        <v>0</v>
      </c>
      <c r="X108" s="460">
        <v>0</v>
      </c>
      <c r="Y108" s="460">
        <v>0</v>
      </c>
      <c r="Z108" s="460">
        <f t="shared" si="373"/>
        <v>0</v>
      </c>
      <c r="AA108" s="460">
        <f t="shared" si="374"/>
        <v>0</v>
      </c>
      <c r="AB108" s="69">
        <f t="shared" si="375"/>
        <v>0</v>
      </c>
      <c r="AC108" s="69">
        <f t="shared" si="376"/>
        <v>0</v>
      </c>
      <c r="AD108" s="460">
        <v>0</v>
      </c>
      <c r="AE108" s="460">
        <v>0</v>
      </c>
      <c r="AF108" s="460">
        <f t="shared" si="377"/>
        <v>0</v>
      </c>
      <c r="AG108" s="460">
        <f t="shared" si="378"/>
        <v>0</v>
      </c>
      <c r="AH108" s="461">
        <v>0</v>
      </c>
      <c r="AI108" s="461">
        <v>0</v>
      </c>
      <c r="AJ108" s="461">
        <v>0</v>
      </c>
      <c r="AK108" s="461">
        <v>0</v>
      </c>
      <c r="AL108" s="674">
        <v>0</v>
      </c>
      <c r="AM108" s="461">
        <v>0</v>
      </c>
      <c r="AN108" s="461">
        <v>0</v>
      </c>
      <c r="AO108" s="461">
        <v>0</v>
      </c>
      <c r="AP108" s="461">
        <f>AH108+AJ108+AK108+AM108+AN108</f>
        <v>0</v>
      </c>
      <c r="AQ108" s="461">
        <f>AI108+AL108+AO108</f>
        <v>0</v>
      </c>
      <c r="AR108" s="463">
        <f t="shared" si="379"/>
        <v>0</v>
      </c>
      <c r="AS108" s="469">
        <f>I108+AG108</f>
        <v>3680635</v>
      </c>
      <c r="AT108" s="460">
        <f>J108+V108</f>
        <v>2730442</v>
      </c>
      <c r="AU108" s="460">
        <f t="shared" si="380"/>
        <v>0</v>
      </c>
      <c r="AV108" s="460">
        <f t="shared" si="381"/>
        <v>922889</v>
      </c>
      <c r="AW108" s="460">
        <f t="shared" si="381"/>
        <v>27304</v>
      </c>
      <c r="AX108" s="460">
        <f>M108+AF108</f>
        <v>0</v>
      </c>
      <c r="AY108" s="461">
        <f>N108+AR108</f>
        <v>5.4820000000000002</v>
      </c>
      <c r="AZ108" s="461">
        <f t="shared" si="382"/>
        <v>5.4820000000000002</v>
      </c>
      <c r="BA108" s="463">
        <f t="shared" si="382"/>
        <v>0</v>
      </c>
    </row>
    <row r="109" spans="1:53" s="229" customFormat="1" ht="12.75" customHeight="1" x14ac:dyDescent="0.2">
      <c r="A109" s="231">
        <v>24</v>
      </c>
      <c r="B109" s="232">
        <v>3414</v>
      </c>
      <c r="C109" s="232">
        <v>600078388</v>
      </c>
      <c r="D109" s="232">
        <v>43257721</v>
      </c>
      <c r="E109" s="233" t="s">
        <v>55</v>
      </c>
      <c r="F109" s="232">
        <v>3143</v>
      </c>
      <c r="G109" s="233" t="s">
        <v>617</v>
      </c>
      <c r="H109" s="264" t="s">
        <v>278</v>
      </c>
      <c r="I109" s="457">
        <f t="shared" si="368"/>
        <v>126076</v>
      </c>
      <c r="J109" s="457">
        <v>90083</v>
      </c>
      <c r="K109" s="457">
        <f t="shared" si="369"/>
        <v>30448</v>
      </c>
      <c r="L109" s="457">
        <f t="shared" si="370"/>
        <v>901</v>
      </c>
      <c r="M109" s="457">
        <v>4644</v>
      </c>
      <c r="N109" s="458">
        <f t="shared" si="371"/>
        <v>0.36</v>
      </c>
      <c r="O109" s="459">
        <v>0</v>
      </c>
      <c r="P109" s="468">
        <v>0.36</v>
      </c>
      <c r="Q109" s="470">
        <f t="shared" si="372"/>
        <v>0</v>
      </c>
      <c r="R109" s="460">
        <v>0</v>
      </c>
      <c r="S109" s="673">
        <v>0</v>
      </c>
      <c r="T109" s="460">
        <v>0</v>
      </c>
      <c r="U109" s="460">
        <v>0</v>
      </c>
      <c r="V109" s="460">
        <f>SUM(Q109:U109)</f>
        <v>0</v>
      </c>
      <c r="W109" s="460">
        <v>0</v>
      </c>
      <c r="X109" s="460">
        <v>0</v>
      </c>
      <c r="Y109" s="460">
        <v>0</v>
      </c>
      <c r="Z109" s="460">
        <f t="shared" si="373"/>
        <v>0</v>
      </c>
      <c r="AA109" s="460">
        <f t="shared" si="374"/>
        <v>0</v>
      </c>
      <c r="AB109" s="69">
        <f t="shared" si="375"/>
        <v>0</v>
      </c>
      <c r="AC109" s="69">
        <f t="shared" si="376"/>
        <v>0</v>
      </c>
      <c r="AD109" s="460">
        <v>0</v>
      </c>
      <c r="AE109" s="460">
        <v>0</v>
      </c>
      <c r="AF109" s="460">
        <f t="shared" si="377"/>
        <v>0</v>
      </c>
      <c r="AG109" s="460">
        <f t="shared" si="378"/>
        <v>0</v>
      </c>
      <c r="AH109" s="461">
        <v>0</v>
      </c>
      <c r="AI109" s="461">
        <v>0</v>
      </c>
      <c r="AJ109" s="461">
        <v>0</v>
      </c>
      <c r="AK109" s="461">
        <v>0</v>
      </c>
      <c r="AL109" s="674">
        <v>0</v>
      </c>
      <c r="AM109" s="461">
        <v>0</v>
      </c>
      <c r="AN109" s="461">
        <v>0</v>
      </c>
      <c r="AO109" s="461">
        <v>0</v>
      </c>
      <c r="AP109" s="461">
        <f>AH109+AJ109+AK109+AM109+AN109</f>
        <v>0</v>
      </c>
      <c r="AQ109" s="461">
        <f>AI109+AL109+AO109</f>
        <v>0</v>
      </c>
      <c r="AR109" s="463">
        <f t="shared" si="379"/>
        <v>0</v>
      </c>
      <c r="AS109" s="469">
        <f>I109+AG109</f>
        <v>126076</v>
      </c>
      <c r="AT109" s="460">
        <f>J109+V109</f>
        <v>90083</v>
      </c>
      <c r="AU109" s="460">
        <f t="shared" si="380"/>
        <v>0</v>
      </c>
      <c r="AV109" s="460">
        <f t="shared" si="381"/>
        <v>30448</v>
      </c>
      <c r="AW109" s="460">
        <f t="shared" si="381"/>
        <v>901</v>
      </c>
      <c r="AX109" s="460">
        <f>M109+AF109</f>
        <v>4644</v>
      </c>
      <c r="AY109" s="461">
        <f>N109+AR109</f>
        <v>0.36</v>
      </c>
      <c r="AZ109" s="461">
        <f t="shared" si="382"/>
        <v>0</v>
      </c>
      <c r="BA109" s="463">
        <f t="shared" si="382"/>
        <v>0.36</v>
      </c>
    </row>
    <row r="110" spans="1:53" s="229" customFormat="1" ht="12.75" customHeight="1" x14ac:dyDescent="0.2">
      <c r="A110" s="156">
        <v>24</v>
      </c>
      <c r="B110" s="14">
        <v>3414</v>
      </c>
      <c r="C110" s="155">
        <v>600078388</v>
      </c>
      <c r="D110" s="155">
        <v>43257721</v>
      </c>
      <c r="E110" s="230" t="s">
        <v>56</v>
      </c>
      <c r="F110" s="14"/>
      <c r="G110" s="230"/>
      <c r="H110" s="263"/>
      <c r="I110" s="464">
        <f t="shared" ref="I110:P110" si="383">SUM(I105:I109)</f>
        <v>43478697</v>
      </c>
      <c r="J110" s="464">
        <f t="shared" si="383"/>
        <v>31707227</v>
      </c>
      <c r="K110" s="464">
        <f t="shared" si="383"/>
        <v>10717043</v>
      </c>
      <c r="L110" s="464">
        <f t="shared" si="383"/>
        <v>317073</v>
      </c>
      <c r="M110" s="464">
        <f t="shared" si="383"/>
        <v>737354</v>
      </c>
      <c r="N110" s="427">
        <f t="shared" si="383"/>
        <v>58.090999999999994</v>
      </c>
      <c r="O110" s="427">
        <f t="shared" si="383"/>
        <v>41.890999999999998</v>
      </c>
      <c r="P110" s="427">
        <f t="shared" si="383"/>
        <v>16.2</v>
      </c>
      <c r="Q110" s="622">
        <f t="shared" ref="Q110:BA110" si="384">SUM(Q105:Q109)</f>
        <v>-65000</v>
      </c>
      <c r="R110" s="620">
        <f t="shared" si="384"/>
        <v>3684382</v>
      </c>
      <c r="S110" s="620">
        <f t="shared" si="384"/>
        <v>0</v>
      </c>
      <c r="T110" s="620">
        <f t="shared" si="384"/>
        <v>0</v>
      </c>
      <c r="U110" s="620">
        <f t="shared" si="384"/>
        <v>0</v>
      </c>
      <c r="V110" s="620">
        <f t="shared" si="384"/>
        <v>3619382</v>
      </c>
      <c r="W110" s="620">
        <f t="shared" si="384"/>
        <v>65000</v>
      </c>
      <c r="X110" s="620">
        <f t="shared" si="384"/>
        <v>0</v>
      </c>
      <c r="Y110" s="620">
        <f t="shared" si="384"/>
        <v>0</v>
      </c>
      <c r="Z110" s="620">
        <f t="shared" si="384"/>
        <v>65000</v>
      </c>
      <c r="AA110" s="620">
        <f t="shared" si="384"/>
        <v>3684382</v>
      </c>
      <c r="AB110" s="620">
        <f t="shared" si="384"/>
        <v>1245321</v>
      </c>
      <c r="AC110" s="620">
        <f t="shared" si="384"/>
        <v>36194</v>
      </c>
      <c r="AD110" s="620">
        <f t="shared" si="384"/>
        <v>0</v>
      </c>
      <c r="AE110" s="620">
        <f t="shared" si="384"/>
        <v>0</v>
      </c>
      <c r="AF110" s="620">
        <f t="shared" si="384"/>
        <v>0</v>
      </c>
      <c r="AG110" s="620">
        <f t="shared" si="384"/>
        <v>4965897</v>
      </c>
      <c r="AH110" s="621">
        <f t="shared" si="384"/>
        <v>-0.06</v>
      </c>
      <c r="AI110" s="621">
        <f t="shared" si="384"/>
        <v>0</v>
      </c>
      <c r="AJ110" s="621">
        <f t="shared" si="384"/>
        <v>10.44</v>
      </c>
      <c r="AK110" s="621">
        <f t="shared" si="384"/>
        <v>0</v>
      </c>
      <c r="AL110" s="621">
        <f t="shared" si="384"/>
        <v>0</v>
      </c>
      <c r="AM110" s="621">
        <f t="shared" si="384"/>
        <v>0</v>
      </c>
      <c r="AN110" s="621">
        <f t="shared" si="384"/>
        <v>0</v>
      </c>
      <c r="AO110" s="621">
        <f t="shared" si="384"/>
        <v>0</v>
      </c>
      <c r="AP110" s="621">
        <f t="shared" si="384"/>
        <v>10.379999999999999</v>
      </c>
      <c r="AQ110" s="621">
        <f t="shared" si="384"/>
        <v>0</v>
      </c>
      <c r="AR110" s="623">
        <f t="shared" si="384"/>
        <v>10.379999999999999</v>
      </c>
      <c r="AS110" s="618">
        <f t="shared" si="384"/>
        <v>48444594</v>
      </c>
      <c r="AT110" s="464">
        <f t="shared" si="384"/>
        <v>35326609</v>
      </c>
      <c r="AU110" s="464">
        <f t="shared" si="384"/>
        <v>65000</v>
      </c>
      <c r="AV110" s="464">
        <f t="shared" si="384"/>
        <v>11962364</v>
      </c>
      <c r="AW110" s="464">
        <f t="shared" si="384"/>
        <v>353267</v>
      </c>
      <c r="AX110" s="464">
        <f t="shared" si="384"/>
        <v>737354</v>
      </c>
      <c r="AY110" s="427">
        <f t="shared" si="384"/>
        <v>68.470999999999989</v>
      </c>
      <c r="AZ110" s="427">
        <f t="shared" si="384"/>
        <v>52.270999999999994</v>
      </c>
      <c r="BA110" s="496">
        <f t="shared" si="384"/>
        <v>16.2</v>
      </c>
    </row>
    <row r="111" spans="1:53" s="229" customFormat="1" ht="12.75" customHeight="1" x14ac:dyDescent="0.2">
      <c r="A111" s="231">
        <v>25</v>
      </c>
      <c r="B111" s="232">
        <v>3411</v>
      </c>
      <c r="C111" s="232">
        <v>600078400</v>
      </c>
      <c r="D111" s="232">
        <v>72742950</v>
      </c>
      <c r="E111" s="233" t="s">
        <v>57</v>
      </c>
      <c r="F111" s="232">
        <v>3113</v>
      </c>
      <c r="G111" s="233" t="s">
        <v>310</v>
      </c>
      <c r="H111" s="264" t="s">
        <v>277</v>
      </c>
      <c r="I111" s="457">
        <f t="shared" ref="I111:I115" si="385">SUM(J111:M111)</f>
        <v>33780390</v>
      </c>
      <c r="J111" s="457">
        <v>24534348</v>
      </c>
      <c r="K111" s="457">
        <f>ROUND(J111*33.8%,0)-1</f>
        <v>8292609</v>
      </c>
      <c r="L111" s="457">
        <f t="shared" ref="L111:L115" si="386">ROUND(J111*1%,0)</f>
        <v>245343</v>
      </c>
      <c r="M111" s="457">
        <v>708090</v>
      </c>
      <c r="N111" s="458">
        <f t="shared" ref="N111:N115" si="387">O111+P111</f>
        <v>39.722700000000003</v>
      </c>
      <c r="O111" s="459">
        <v>31.7727</v>
      </c>
      <c r="P111" s="468">
        <v>7.95</v>
      </c>
      <c r="Q111" s="470">
        <f t="shared" ref="Q111:Q115" si="388">W111*-1</f>
        <v>0</v>
      </c>
      <c r="R111" s="460">
        <v>0</v>
      </c>
      <c r="S111" s="673">
        <v>0</v>
      </c>
      <c r="T111" s="460">
        <v>43330</v>
      </c>
      <c r="U111" s="460">
        <v>0</v>
      </c>
      <c r="V111" s="460">
        <f>SUM(Q111:U111)</f>
        <v>43330</v>
      </c>
      <c r="W111" s="460">
        <v>0</v>
      </c>
      <c r="X111" s="460">
        <v>0</v>
      </c>
      <c r="Y111" s="460">
        <v>0</v>
      </c>
      <c r="Z111" s="460">
        <f t="shared" ref="Z111:Z115" si="389">SUM(W111:Y111)</f>
        <v>0</v>
      </c>
      <c r="AA111" s="460">
        <f t="shared" ref="AA111:AA115" si="390">V111+Z111</f>
        <v>43330</v>
      </c>
      <c r="AB111" s="69">
        <f t="shared" ref="AB111:AB115" si="391">ROUND((V111+W111+X111)*33.8%,0)</f>
        <v>14646</v>
      </c>
      <c r="AC111" s="69">
        <f t="shared" ref="AC111:AC115" si="392">ROUND(V111*1%,0)</f>
        <v>433</v>
      </c>
      <c r="AD111" s="460">
        <v>0</v>
      </c>
      <c r="AE111" s="460">
        <v>0</v>
      </c>
      <c r="AF111" s="460">
        <f t="shared" ref="AF111:AF115" si="393">SUM(AD111:AE111)</f>
        <v>0</v>
      </c>
      <c r="AG111" s="460">
        <f t="shared" ref="AG111:AG115" si="394">AA111+AB111+AC111+AF111</f>
        <v>58409</v>
      </c>
      <c r="AH111" s="461">
        <v>0</v>
      </c>
      <c r="AI111" s="461">
        <v>0</v>
      </c>
      <c r="AJ111" s="461">
        <v>0</v>
      </c>
      <c r="AK111" s="461">
        <v>0</v>
      </c>
      <c r="AL111" s="674">
        <v>0</v>
      </c>
      <c r="AM111" s="461">
        <v>7.0000000000000007E-2</v>
      </c>
      <c r="AN111" s="461">
        <v>0</v>
      </c>
      <c r="AO111" s="461">
        <v>0</v>
      </c>
      <c r="AP111" s="461">
        <f>AH111+AJ111+AK111+AM111+AN111</f>
        <v>7.0000000000000007E-2</v>
      </c>
      <c r="AQ111" s="461">
        <f>AI111+AL111+AO111</f>
        <v>0</v>
      </c>
      <c r="AR111" s="463">
        <f t="shared" ref="AR111:AR115" si="395">SUM(AP111:AQ111)</f>
        <v>7.0000000000000007E-2</v>
      </c>
      <c r="AS111" s="469">
        <f>I111+AG111</f>
        <v>33838799</v>
      </c>
      <c r="AT111" s="460">
        <f>J111+V111</f>
        <v>24577678</v>
      </c>
      <c r="AU111" s="460">
        <f t="shared" ref="AU111:AU115" si="396">Z111</f>
        <v>0</v>
      </c>
      <c r="AV111" s="460">
        <f t="shared" ref="AV111:AW115" si="397">K111+AB111</f>
        <v>8307255</v>
      </c>
      <c r="AW111" s="460">
        <f t="shared" si="397"/>
        <v>245776</v>
      </c>
      <c r="AX111" s="460">
        <f>M111+AF111</f>
        <v>708090</v>
      </c>
      <c r="AY111" s="461">
        <f>N111+AR111</f>
        <v>39.792700000000004</v>
      </c>
      <c r="AZ111" s="461">
        <f t="shared" ref="AZ111:BA115" si="398">O111+AP111</f>
        <v>31.842700000000001</v>
      </c>
      <c r="BA111" s="463">
        <f t="shared" si="398"/>
        <v>7.95</v>
      </c>
    </row>
    <row r="112" spans="1:53" s="229" customFormat="1" x14ac:dyDescent="0.2">
      <c r="A112" s="231">
        <v>25</v>
      </c>
      <c r="B112" s="232">
        <v>3411</v>
      </c>
      <c r="C112" s="232">
        <v>600078400</v>
      </c>
      <c r="D112" s="232">
        <v>72742950</v>
      </c>
      <c r="E112" s="233" t="s">
        <v>57</v>
      </c>
      <c r="F112" s="232">
        <v>3113</v>
      </c>
      <c r="G112" s="233" t="s">
        <v>308</v>
      </c>
      <c r="H112" s="264" t="s">
        <v>278</v>
      </c>
      <c r="I112" s="457">
        <f t="shared" si="385"/>
        <v>0</v>
      </c>
      <c r="J112" s="457">
        <v>0</v>
      </c>
      <c r="K112" s="457">
        <f t="shared" ref="K112:K115" si="399">ROUND(J112*33.8%,0)</f>
        <v>0</v>
      </c>
      <c r="L112" s="457">
        <f t="shared" si="386"/>
        <v>0</v>
      </c>
      <c r="M112" s="457">
        <v>0</v>
      </c>
      <c r="N112" s="458">
        <f t="shared" si="387"/>
        <v>0</v>
      </c>
      <c r="O112" s="459">
        <v>0</v>
      </c>
      <c r="P112" s="468">
        <v>0</v>
      </c>
      <c r="Q112" s="470">
        <f t="shared" si="388"/>
        <v>0</v>
      </c>
      <c r="R112" s="460">
        <f>3519704-19280</f>
        <v>3500424</v>
      </c>
      <c r="S112" s="673">
        <v>0</v>
      </c>
      <c r="T112" s="460">
        <v>0</v>
      </c>
      <c r="U112" s="460">
        <v>0</v>
      </c>
      <c r="V112" s="460">
        <f>SUM(Q112:U112)</f>
        <v>3500424</v>
      </c>
      <c r="W112" s="460">
        <v>0</v>
      </c>
      <c r="X112" s="460">
        <v>0</v>
      </c>
      <c r="Y112" s="460">
        <v>0</v>
      </c>
      <c r="Z112" s="460">
        <f t="shared" si="389"/>
        <v>0</v>
      </c>
      <c r="AA112" s="460">
        <f t="shared" si="390"/>
        <v>3500424</v>
      </c>
      <c r="AB112" s="69">
        <f t="shared" si="391"/>
        <v>1183143</v>
      </c>
      <c r="AC112" s="69">
        <f t="shared" si="392"/>
        <v>35004</v>
      </c>
      <c r="AD112" s="460">
        <v>0</v>
      </c>
      <c r="AE112" s="460">
        <v>0</v>
      </c>
      <c r="AF112" s="460">
        <f t="shared" si="393"/>
        <v>0</v>
      </c>
      <c r="AG112" s="460">
        <f t="shared" si="394"/>
        <v>4718571</v>
      </c>
      <c r="AH112" s="461">
        <v>0</v>
      </c>
      <c r="AI112" s="461">
        <v>0</v>
      </c>
      <c r="AJ112" s="461">
        <f>9.37-0.04</f>
        <v>9.33</v>
      </c>
      <c r="AK112" s="461">
        <v>0</v>
      </c>
      <c r="AL112" s="674">
        <v>0</v>
      </c>
      <c r="AM112" s="461">
        <v>0</v>
      </c>
      <c r="AN112" s="461">
        <v>0</v>
      </c>
      <c r="AO112" s="461">
        <v>0</v>
      </c>
      <c r="AP112" s="461">
        <f>AH112+AJ112+AK112+AM112+AN112</f>
        <v>9.33</v>
      </c>
      <c r="AQ112" s="461">
        <f>AI112+AL112+AO112</f>
        <v>0</v>
      </c>
      <c r="AR112" s="463">
        <f t="shared" si="395"/>
        <v>9.33</v>
      </c>
      <c r="AS112" s="469">
        <f>I112+AG112</f>
        <v>4718571</v>
      </c>
      <c r="AT112" s="460">
        <f>J112+V112</f>
        <v>3500424</v>
      </c>
      <c r="AU112" s="460">
        <f t="shared" si="396"/>
        <v>0</v>
      </c>
      <c r="AV112" s="460">
        <f t="shared" si="397"/>
        <v>1183143</v>
      </c>
      <c r="AW112" s="460">
        <f t="shared" si="397"/>
        <v>35004</v>
      </c>
      <c r="AX112" s="460">
        <f>M112+AF112</f>
        <v>0</v>
      </c>
      <c r="AY112" s="461">
        <f>N112+AR112</f>
        <v>9.33</v>
      </c>
      <c r="AZ112" s="461">
        <f t="shared" si="398"/>
        <v>9.33</v>
      </c>
      <c r="BA112" s="463">
        <f t="shared" si="398"/>
        <v>0</v>
      </c>
    </row>
    <row r="113" spans="1:53" s="229" customFormat="1" ht="12.75" customHeight="1" x14ac:dyDescent="0.2">
      <c r="A113" s="231">
        <v>25</v>
      </c>
      <c r="B113" s="232">
        <v>3411</v>
      </c>
      <c r="C113" s="232">
        <v>600078400</v>
      </c>
      <c r="D113" s="232">
        <v>72742950</v>
      </c>
      <c r="E113" s="233" t="s">
        <v>57</v>
      </c>
      <c r="F113" s="232">
        <v>3141</v>
      </c>
      <c r="G113" s="233" t="s">
        <v>311</v>
      </c>
      <c r="H113" s="264" t="s">
        <v>278</v>
      </c>
      <c r="I113" s="457">
        <f t="shared" si="385"/>
        <v>3452085</v>
      </c>
      <c r="J113" s="457">
        <v>2539639</v>
      </c>
      <c r="K113" s="457">
        <f t="shared" si="399"/>
        <v>858398</v>
      </c>
      <c r="L113" s="457">
        <f t="shared" si="386"/>
        <v>25396</v>
      </c>
      <c r="M113" s="457">
        <v>28652</v>
      </c>
      <c r="N113" s="458">
        <f t="shared" si="387"/>
        <v>8.16</v>
      </c>
      <c r="O113" s="459">
        <v>0</v>
      </c>
      <c r="P113" s="468">
        <v>8.16</v>
      </c>
      <c r="Q113" s="470">
        <f t="shared" si="388"/>
        <v>0</v>
      </c>
      <c r="R113" s="460">
        <v>0</v>
      </c>
      <c r="S113" s="673">
        <v>0</v>
      </c>
      <c r="T113" s="460">
        <v>0</v>
      </c>
      <c r="U113" s="460">
        <v>0</v>
      </c>
      <c r="V113" s="460">
        <f>SUM(Q113:U113)</f>
        <v>0</v>
      </c>
      <c r="W113" s="460">
        <v>0</v>
      </c>
      <c r="X113" s="460">
        <v>0</v>
      </c>
      <c r="Y113" s="460">
        <v>0</v>
      </c>
      <c r="Z113" s="460">
        <f t="shared" si="389"/>
        <v>0</v>
      </c>
      <c r="AA113" s="460">
        <f t="shared" si="390"/>
        <v>0</v>
      </c>
      <c r="AB113" s="69">
        <f t="shared" si="391"/>
        <v>0</v>
      </c>
      <c r="AC113" s="69">
        <f t="shared" si="392"/>
        <v>0</v>
      </c>
      <c r="AD113" s="460">
        <v>0</v>
      </c>
      <c r="AE113" s="460">
        <v>0</v>
      </c>
      <c r="AF113" s="460">
        <f t="shared" si="393"/>
        <v>0</v>
      </c>
      <c r="AG113" s="460">
        <f t="shared" si="394"/>
        <v>0</v>
      </c>
      <c r="AH113" s="461">
        <v>0</v>
      </c>
      <c r="AI113" s="461">
        <v>0</v>
      </c>
      <c r="AJ113" s="461">
        <v>0</v>
      </c>
      <c r="AK113" s="461">
        <v>0</v>
      </c>
      <c r="AL113" s="674">
        <v>0</v>
      </c>
      <c r="AM113" s="461">
        <v>0</v>
      </c>
      <c r="AN113" s="461">
        <v>0</v>
      </c>
      <c r="AO113" s="461">
        <v>0</v>
      </c>
      <c r="AP113" s="461">
        <f>AH113+AJ113+AK113+AM113+AN113</f>
        <v>0</v>
      </c>
      <c r="AQ113" s="461">
        <f>AI113+AL113+AO113</f>
        <v>0</v>
      </c>
      <c r="AR113" s="463">
        <f t="shared" si="395"/>
        <v>0</v>
      </c>
      <c r="AS113" s="469">
        <f>I113+AG113</f>
        <v>3452085</v>
      </c>
      <c r="AT113" s="460">
        <f>J113+V113</f>
        <v>2539639</v>
      </c>
      <c r="AU113" s="460">
        <f t="shared" si="396"/>
        <v>0</v>
      </c>
      <c r="AV113" s="460">
        <f t="shared" si="397"/>
        <v>858398</v>
      </c>
      <c r="AW113" s="460">
        <f t="shared" si="397"/>
        <v>25396</v>
      </c>
      <c r="AX113" s="460">
        <f>M113+AF113</f>
        <v>28652</v>
      </c>
      <c r="AY113" s="461">
        <f>N113+AR113</f>
        <v>8.16</v>
      </c>
      <c r="AZ113" s="461">
        <f t="shared" si="398"/>
        <v>0</v>
      </c>
      <c r="BA113" s="463">
        <f t="shared" si="398"/>
        <v>8.16</v>
      </c>
    </row>
    <row r="114" spans="1:53" s="229" customFormat="1" ht="12.75" customHeight="1" x14ac:dyDescent="0.2">
      <c r="A114" s="231">
        <v>25</v>
      </c>
      <c r="B114" s="232">
        <v>3411</v>
      </c>
      <c r="C114" s="232">
        <v>600078400</v>
      </c>
      <c r="D114" s="232">
        <v>72742950</v>
      </c>
      <c r="E114" s="233" t="s">
        <v>57</v>
      </c>
      <c r="F114" s="232">
        <v>3143</v>
      </c>
      <c r="G114" s="233" t="s">
        <v>616</v>
      </c>
      <c r="H114" s="264" t="s">
        <v>277</v>
      </c>
      <c r="I114" s="457">
        <f t="shared" si="385"/>
        <v>2967869</v>
      </c>
      <c r="J114" s="457">
        <v>2201683</v>
      </c>
      <c r="K114" s="457">
        <f t="shared" si="399"/>
        <v>744169</v>
      </c>
      <c r="L114" s="457">
        <f t="shared" si="386"/>
        <v>22017</v>
      </c>
      <c r="M114" s="457">
        <v>0</v>
      </c>
      <c r="N114" s="458">
        <f t="shared" si="387"/>
        <v>4.75</v>
      </c>
      <c r="O114" s="459">
        <v>4.75</v>
      </c>
      <c r="P114" s="468">
        <v>0</v>
      </c>
      <c r="Q114" s="470">
        <f t="shared" si="388"/>
        <v>0</v>
      </c>
      <c r="R114" s="460">
        <v>0</v>
      </c>
      <c r="S114" s="673">
        <v>0</v>
      </c>
      <c r="T114" s="460">
        <v>0</v>
      </c>
      <c r="U114" s="460">
        <v>0</v>
      </c>
      <c r="V114" s="460">
        <f>SUM(Q114:U114)</f>
        <v>0</v>
      </c>
      <c r="W114" s="460">
        <v>0</v>
      </c>
      <c r="X114" s="460">
        <v>0</v>
      </c>
      <c r="Y114" s="460">
        <v>0</v>
      </c>
      <c r="Z114" s="460">
        <f t="shared" si="389"/>
        <v>0</v>
      </c>
      <c r="AA114" s="460">
        <f t="shared" si="390"/>
        <v>0</v>
      </c>
      <c r="AB114" s="69">
        <f t="shared" si="391"/>
        <v>0</v>
      </c>
      <c r="AC114" s="69">
        <f t="shared" si="392"/>
        <v>0</v>
      </c>
      <c r="AD114" s="460">
        <v>0</v>
      </c>
      <c r="AE114" s="460">
        <v>0</v>
      </c>
      <c r="AF114" s="460">
        <f t="shared" si="393"/>
        <v>0</v>
      </c>
      <c r="AG114" s="460">
        <f t="shared" si="394"/>
        <v>0</v>
      </c>
      <c r="AH114" s="461">
        <v>0</v>
      </c>
      <c r="AI114" s="461">
        <v>0</v>
      </c>
      <c r="AJ114" s="461">
        <v>0</v>
      </c>
      <c r="AK114" s="461">
        <v>0</v>
      </c>
      <c r="AL114" s="674">
        <v>0</v>
      </c>
      <c r="AM114" s="461">
        <v>0</v>
      </c>
      <c r="AN114" s="461">
        <v>0</v>
      </c>
      <c r="AO114" s="461">
        <v>0</v>
      </c>
      <c r="AP114" s="461">
        <f>AH114+AJ114+AK114+AM114+AN114</f>
        <v>0</v>
      </c>
      <c r="AQ114" s="461">
        <f>AI114+AL114+AO114</f>
        <v>0</v>
      </c>
      <c r="AR114" s="463">
        <f t="shared" si="395"/>
        <v>0</v>
      </c>
      <c r="AS114" s="469">
        <f>I114+AG114</f>
        <v>2967869</v>
      </c>
      <c r="AT114" s="460">
        <f>J114+V114</f>
        <v>2201683</v>
      </c>
      <c r="AU114" s="460">
        <f t="shared" si="396"/>
        <v>0</v>
      </c>
      <c r="AV114" s="460">
        <f t="shared" si="397"/>
        <v>744169</v>
      </c>
      <c r="AW114" s="460">
        <f t="shared" si="397"/>
        <v>22017</v>
      </c>
      <c r="AX114" s="460">
        <f>M114+AF114</f>
        <v>0</v>
      </c>
      <c r="AY114" s="461">
        <f>N114+AR114</f>
        <v>4.75</v>
      </c>
      <c r="AZ114" s="461">
        <f t="shared" si="398"/>
        <v>4.75</v>
      </c>
      <c r="BA114" s="463">
        <f t="shared" si="398"/>
        <v>0</v>
      </c>
    </row>
    <row r="115" spans="1:53" s="229" customFormat="1" ht="12.75" customHeight="1" x14ac:dyDescent="0.2">
      <c r="A115" s="231">
        <v>25</v>
      </c>
      <c r="B115" s="232">
        <v>3411</v>
      </c>
      <c r="C115" s="232">
        <v>600078400</v>
      </c>
      <c r="D115" s="232">
        <v>72742950</v>
      </c>
      <c r="E115" s="233" t="s">
        <v>57</v>
      </c>
      <c r="F115" s="232">
        <v>3143</v>
      </c>
      <c r="G115" s="233" t="s">
        <v>617</v>
      </c>
      <c r="H115" s="264" t="s">
        <v>278</v>
      </c>
      <c r="I115" s="457">
        <f t="shared" si="385"/>
        <v>99687</v>
      </c>
      <c r="J115" s="457">
        <v>71228</v>
      </c>
      <c r="K115" s="457">
        <f t="shared" si="399"/>
        <v>24075</v>
      </c>
      <c r="L115" s="457">
        <f t="shared" si="386"/>
        <v>712</v>
      </c>
      <c r="M115" s="457">
        <v>3672</v>
      </c>
      <c r="N115" s="458">
        <f t="shared" si="387"/>
        <v>0.28000000000000003</v>
      </c>
      <c r="O115" s="459">
        <v>0</v>
      </c>
      <c r="P115" s="468">
        <v>0.28000000000000003</v>
      </c>
      <c r="Q115" s="470">
        <f t="shared" si="388"/>
        <v>0</v>
      </c>
      <c r="R115" s="460">
        <v>0</v>
      </c>
      <c r="S115" s="673">
        <v>0</v>
      </c>
      <c r="T115" s="460">
        <v>0</v>
      </c>
      <c r="U115" s="460">
        <v>0</v>
      </c>
      <c r="V115" s="460">
        <f>SUM(Q115:U115)</f>
        <v>0</v>
      </c>
      <c r="W115" s="460">
        <v>0</v>
      </c>
      <c r="X115" s="460">
        <v>0</v>
      </c>
      <c r="Y115" s="460">
        <v>0</v>
      </c>
      <c r="Z115" s="460">
        <f t="shared" si="389"/>
        <v>0</v>
      </c>
      <c r="AA115" s="460">
        <f t="shared" si="390"/>
        <v>0</v>
      </c>
      <c r="AB115" s="69">
        <f t="shared" si="391"/>
        <v>0</v>
      </c>
      <c r="AC115" s="69">
        <f t="shared" si="392"/>
        <v>0</v>
      </c>
      <c r="AD115" s="460">
        <v>0</v>
      </c>
      <c r="AE115" s="460">
        <v>0</v>
      </c>
      <c r="AF115" s="460">
        <f t="shared" si="393"/>
        <v>0</v>
      </c>
      <c r="AG115" s="460">
        <f t="shared" si="394"/>
        <v>0</v>
      </c>
      <c r="AH115" s="461">
        <v>0</v>
      </c>
      <c r="AI115" s="461">
        <v>0</v>
      </c>
      <c r="AJ115" s="461">
        <v>0</v>
      </c>
      <c r="AK115" s="461">
        <v>0</v>
      </c>
      <c r="AL115" s="674">
        <v>0</v>
      </c>
      <c r="AM115" s="461">
        <v>0</v>
      </c>
      <c r="AN115" s="461">
        <v>0</v>
      </c>
      <c r="AO115" s="461">
        <v>0</v>
      </c>
      <c r="AP115" s="461">
        <f>AH115+AJ115+AK115+AM115+AN115</f>
        <v>0</v>
      </c>
      <c r="AQ115" s="461">
        <f>AI115+AL115+AO115</f>
        <v>0</v>
      </c>
      <c r="AR115" s="463">
        <f t="shared" si="395"/>
        <v>0</v>
      </c>
      <c r="AS115" s="469">
        <f>I115+AG115</f>
        <v>99687</v>
      </c>
      <c r="AT115" s="460">
        <f>J115+V115</f>
        <v>71228</v>
      </c>
      <c r="AU115" s="460">
        <f t="shared" si="396"/>
        <v>0</v>
      </c>
      <c r="AV115" s="460">
        <f t="shared" si="397"/>
        <v>24075</v>
      </c>
      <c r="AW115" s="460">
        <f t="shared" si="397"/>
        <v>712</v>
      </c>
      <c r="AX115" s="460">
        <f>M115+AF115</f>
        <v>3672</v>
      </c>
      <c r="AY115" s="461">
        <f>N115+AR115</f>
        <v>0.28000000000000003</v>
      </c>
      <c r="AZ115" s="461">
        <f t="shared" si="398"/>
        <v>0</v>
      </c>
      <c r="BA115" s="463">
        <f t="shared" si="398"/>
        <v>0.28000000000000003</v>
      </c>
    </row>
    <row r="116" spans="1:53" s="229" customFormat="1" ht="12.75" customHeight="1" x14ac:dyDescent="0.2">
      <c r="A116" s="156">
        <v>25</v>
      </c>
      <c r="B116" s="14">
        <v>3411</v>
      </c>
      <c r="C116" s="155">
        <v>600078400</v>
      </c>
      <c r="D116" s="155">
        <v>72742950</v>
      </c>
      <c r="E116" s="230" t="s">
        <v>58</v>
      </c>
      <c r="F116" s="14"/>
      <c r="G116" s="230"/>
      <c r="H116" s="263"/>
      <c r="I116" s="464">
        <f t="shared" ref="I116:P116" si="400">SUM(I111:I115)</f>
        <v>40300031</v>
      </c>
      <c r="J116" s="464">
        <f t="shared" si="400"/>
        <v>29346898</v>
      </c>
      <c r="K116" s="464">
        <f t="shared" si="400"/>
        <v>9919251</v>
      </c>
      <c r="L116" s="464">
        <f t="shared" si="400"/>
        <v>293468</v>
      </c>
      <c r="M116" s="464">
        <f t="shared" si="400"/>
        <v>740414</v>
      </c>
      <c r="N116" s="427">
        <f t="shared" si="400"/>
        <v>52.912700000000001</v>
      </c>
      <c r="O116" s="427">
        <f t="shared" si="400"/>
        <v>36.5227</v>
      </c>
      <c r="P116" s="427">
        <f t="shared" si="400"/>
        <v>16.39</v>
      </c>
      <c r="Q116" s="622">
        <f t="shared" ref="Q116:BA116" si="401">SUM(Q111:Q115)</f>
        <v>0</v>
      </c>
      <c r="R116" s="620">
        <f t="shared" si="401"/>
        <v>3500424</v>
      </c>
      <c r="S116" s="620">
        <f t="shared" si="401"/>
        <v>0</v>
      </c>
      <c r="T116" s="620">
        <f t="shared" si="401"/>
        <v>43330</v>
      </c>
      <c r="U116" s="620">
        <f t="shared" si="401"/>
        <v>0</v>
      </c>
      <c r="V116" s="620">
        <f t="shared" si="401"/>
        <v>3543754</v>
      </c>
      <c r="W116" s="620">
        <f t="shared" si="401"/>
        <v>0</v>
      </c>
      <c r="X116" s="620">
        <f t="shared" si="401"/>
        <v>0</v>
      </c>
      <c r="Y116" s="620">
        <f t="shared" si="401"/>
        <v>0</v>
      </c>
      <c r="Z116" s="620">
        <f t="shared" si="401"/>
        <v>0</v>
      </c>
      <c r="AA116" s="620">
        <f t="shared" si="401"/>
        <v>3543754</v>
      </c>
      <c r="AB116" s="620">
        <f t="shared" si="401"/>
        <v>1197789</v>
      </c>
      <c r="AC116" s="620">
        <f t="shared" si="401"/>
        <v>35437</v>
      </c>
      <c r="AD116" s="620">
        <f t="shared" si="401"/>
        <v>0</v>
      </c>
      <c r="AE116" s="620">
        <f t="shared" si="401"/>
        <v>0</v>
      </c>
      <c r="AF116" s="620">
        <f t="shared" si="401"/>
        <v>0</v>
      </c>
      <c r="AG116" s="620">
        <f t="shared" si="401"/>
        <v>4776980</v>
      </c>
      <c r="AH116" s="621">
        <f t="shared" si="401"/>
        <v>0</v>
      </c>
      <c r="AI116" s="621">
        <f t="shared" si="401"/>
        <v>0</v>
      </c>
      <c r="AJ116" s="621">
        <f t="shared" si="401"/>
        <v>9.33</v>
      </c>
      <c r="AK116" s="621">
        <f t="shared" si="401"/>
        <v>0</v>
      </c>
      <c r="AL116" s="621">
        <f t="shared" si="401"/>
        <v>0</v>
      </c>
      <c r="AM116" s="621">
        <f t="shared" si="401"/>
        <v>7.0000000000000007E-2</v>
      </c>
      <c r="AN116" s="621">
        <f t="shared" si="401"/>
        <v>0</v>
      </c>
      <c r="AO116" s="621">
        <f t="shared" si="401"/>
        <v>0</v>
      </c>
      <c r="AP116" s="621">
        <f t="shared" si="401"/>
        <v>9.4</v>
      </c>
      <c r="AQ116" s="621">
        <f t="shared" si="401"/>
        <v>0</v>
      </c>
      <c r="AR116" s="623">
        <f t="shared" si="401"/>
        <v>9.4</v>
      </c>
      <c r="AS116" s="618">
        <f t="shared" si="401"/>
        <v>45077011</v>
      </c>
      <c r="AT116" s="464">
        <f t="shared" si="401"/>
        <v>32890652</v>
      </c>
      <c r="AU116" s="464">
        <f t="shared" si="401"/>
        <v>0</v>
      </c>
      <c r="AV116" s="464">
        <f t="shared" si="401"/>
        <v>11117040</v>
      </c>
      <c r="AW116" s="464">
        <f t="shared" si="401"/>
        <v>328905</v>
      </c>
      <c r="AX116" s="464">
        <f t="shared" si="401"/>
        <v>740414</v>
      </c>
      <c r="AY116" s="427">
        <f t="shared" si="401"/>
        <v>62.312700000000007</v>
      </c>
      <c r="AZ116" s="427">
        <f t="shared" si="401"/>
        <v>45.922699999999999</v>
      </c>
      <c r="BA116" s="496">
        <f t="shared" si="401"/>
        <v>16.39</v>
      </c>
    </row>
    <row r="117" spans="1:53" s="229" customFormat="1" ht="12.75" customHeight="1" x14ac:dyDescent="0.2">
      <c r="A117" s="231">
        <v>26</v>
      </c>
      <c r="B117" s="232">
        <v>3408</v>
      </c>
      <c r="C117" s="232">
        <v>600078566</v>
      </c>
      <c r="D117" s="232">
        <v>72743115</v>
      </c>
      <c r="E117" s="233" t="s">
        <v>59</v>
      </c>
      <c r="F117" s="232">
        <v>3113</v>
      </c>
      <c r="G117" s="233" t="s">
        <v>310</v>
      </c>
      <c r="H117" s="264" t="s">
        <v>277</v>
      </c>
      <c r="I117" s="457">
        <f t="shared" ref="I117:I121" si="402">SUM(J117:M117)</f>
        <v>19188798</v>
      </c>
      <c r="J117" s="457">
        <v>13981382</v>
      </c>
      <c r="K117" s="457">
        <f t="shared" ref="K117:K121" si="403">ROUND(J117*33.8%,0)</f>
        <v>4725707</v>
      </c>
      <c r="L117" s="457">
        <f t="shared" ref="L117:L121" si="404">ROUND(J117*1%,0)</f>
        <v>139814</v>
      </c>
      <c r="M117" s="457">
        <v>341895</v>
      </c>
      <c r="N117" s="458">
        <f t="shared" ref="N117:N121" si="405">O117+P117</f>
        <v>23.251100000000001</v>
      </c>
      <c r="O117" s="459">
        <v>18.591100000000001</v>
      </c>
      <c r="P117" s="468">
        <v>4.66</v>
      </c>
      <c r="Q117" s="470">
        <f t="shared" ref="Q117:Q121" si="406">W117*-1</f>
        <v>0</v>
      </c>
      <c r="R117" s="460">
        <v>0</v>
      </c>
      <c r="S117" s="673">
        <v>0</v>
      </c>
      <c r="T117" s="460">
        <v>48901</v>
      </c>
      <c r="U117" s="460">
        <v>0</v>
      </c>
      <c r="V117" s="460">
        <f>SUM(Q117:U117)</f>
        <v>48901</v>
      </c>
      <c r="W117" s="460">
        <v>0</v>
      </c>
      <c r="X117" s="460">
        <v>0</v>
      </c>
      <c r="Y117" s="460">
        <v>0</v>
      </c>
      <c r="Z117" s="460">
        <f t="shared" ref="Z117:Z121" si="407">SUM(W117:Y117)</f>
        <v>0</v>
      </c>
      <c r="AA117" s="460">
        <f t="shared" ref="AA117:AA121" si="408">V117+Z117</f>
        <v>48901</v>
      </c>
      <c r="AB117" s="69">
        <f t="shared" ref="AB117:AB121" si="409">ROUND((V117+W117+X117)*33.8%,0)</f>
        <v>16529</v>
      </c>
      <c r="AC117" s="69">
        <f t="shared" ref="AC117:AC121" si="410">ROUND(V117*1%,0)</f>
        <v>489</v>
      </c>
      <c r="AD117" s="460">
        <v>0</v>
      </c>
      <c r="AE117" s="460">
        <v>0</v>
      </c>
      <c r="AF117" s="460">
        <f t="shared" ref="AF117:AF121" si="411">SUM(AD117:AE117)</f>
        <v>0</v>
      </c>
      <c r="AG117" s="460">
        <f t="shared" ref="AG117:AG121" si="412">AA117+AB117+AC117+AF117</f>
        <v>65919</v>
      </c>
      <c r="AH117" s="461">
        <v>0</v>
      </c>
      <c r="AI117" s="461">
        <v>0</v>
      </c>
      <c r="AJ117" s="461">
        <v>0</v>
      </c>
      <c r="AK117" s="461">
        <v>0</v>
      </c>
      <c r="AL117" s="674">
        <v>0</v>
      </c>
      <c r="AM117" s="461">
        <v>7.0000000000000007E-2</v>
      </c>
      <c r="AN117" s="461">
        <v>0</v>
      </c>
      <c r="AO117" s="461">
        <v>0</v>
      </c>
      <c r="AP117" s="461">
        <f>AH117+AJ117+AK117+AM117+AN117</f>
        <v>7.0000000000000007E-2</v>
      </c>
      <c r="AQ117" s="461">
        <f>AI117+AL117+AO117</f>
        <v>0</v>
      </c>
      <c r="AR117" s="463">
        <f t="shared" ref="AR117:AR121" si="413">SUM(AP117:AQ117)</f>
        <v>7.0000000000000007E-2</v>
      </c>
      <c r="AS117" s="469">
        <f>I117+AG117</f>
        <v>19254717</v>
      </c>
      <c r="AT117" s="460">
        <f>J117+V117</f>
        <v>14030283</v>
      </c>
      <c r="AU117" s="460">
        <f t="shared" ref="AU117:AU121" si="414">Z117</f>
        <v>0</v>
      </c>
      <c r="AV117" s="460">
        <f t="shared" ref="AV117:AW121" si="415">K117+AB117</f>
        <v>4742236</v>
      </c>
      <c r="AW117" s="460">
        <f t="shared" si="415"/>
        <v>140303</v>
      </c>
      <c r="AX117" s="460">
        <f>M117+AF117</f>
        <v>341895</v>
      </c>
      <c r="AY117" s="461">
        <f>N117+AR117</f>
        <v>23.321100000000001</v>
      </c>
      <c r="AZ117" s="461">
        <f t="shared" ref="AZ117:BA121" si="416">O117+AP117</f>
        <v>18.661100000000001</v>
      </c>
      <c r="BA117" s="463">
        <f t="shared" si="416"/>
        <v>4.66</v>
      </c>
    </row>
    <row r="118" spans="1:53" s="229" customFormat="1" x14ac:dyDescent="0.2">
      <c r="A118" s="231">
        <v>26</v>
      </c>
      <c r="B118" s="232">
        <v>3408</v>
      </c>
      <c r="C118" s="232">
        <v>600078566</v>
      </c>
      <c r="D118" s="232">
        <v>72743115</v>
      </c>
      <c r="E118" s="233" t="s">
        <v>59</v>
      </c>
      <c r="F118" s="232">
        <v>3113</v>
      </c>
      <c r="G118" s="233" t="s">
        <v>308</v>
      </c>
      <c r="H118" s="264" t="s">
        <v>278</v>
      </c>
      <c r="I118" s="457">
        <f t="shared" si="402"/>
        <v>0</v>
      </c>
      <c r="J118" s="457">
        <v>0</v>
      </c>
      <c r="K118" s="457">
        <f t="shared" si="403"/>
        <v>0</v>
      </c>
      <c r="L118" s="457">
        <f t="shared" si="404"/>
        <v>0</v>
      </c>
      <c r="M118" s="457">
        <v>0</v>
      </c>
      <c r="N118" s="458">
        <f t="shared" si="405"/>
        <v>0</v>
      </c>
      <c r="O118" s="459">
        <v>0</v>
      </c>
      <c r="P118" s="468">
        <v>0</v>
      </c>
      <c r="Q118" s="470">
        <f t="shared" si="406"/>
        <v>0</v>
      </c>
      <c r="R118" s="460">
        <v>1722638</v>
      </c>
      <c r="S118" s="673">
        <v>0</v>
      </c>
      <c r="T118" s="460">
        <v>0</v>
      </c>
      <c r="U118" s="460">
        <v>0</v>
      </c>
      <c r="V118" s="460">
        <f>SUM(Q118:U118)</f>
        <v>1722638</v>
      </c>
      <c r="W118" s="460">
        <v>0</v>
      </c>
      <c r="X118" s="460">
        <v>0</v>
      </c>
      <c r="Y118" s="460">
        <v>0</v>
      </c>
      <c r="Z118" s="460">
        <f t="shared" si="407"/>
        <v>0</v>
      </c>
      <c r="AA118" s="460">
        <f t="shared" si="408"/>
        <v>1722638</v>
      </c>
      <c r="AB118" s="69">
        <f t="shared" si="409"/>
        <v>582252</v>
      </c>
      <c r="AC118" s="69">
        <f t="shared" si="410"/>
        <v>17226</v>
      </c>
      <c r="AD118" s="460">
        <v>0</v>
      </c>
      <c r="AE118" s="460">
        <v>0</v>
      </c>
      <c r="AF118" s="460">
        <f t="shared" si="411"/>
        <v>0</v>
      </c>
      <c r="AG118" s="460">
        <f t="shared" si="412"/>
        <v>2322116</v>
      </c>
      <c r="AH118" s="461">
        <v>0</v>
      </c>
      <c r="AI118" s="461">
        <v>0</v>
      </c>
      <c r="AJ118" s="461">
        <v>4.9800000000000004</v>
      </c>
      <c r="AK118" s="461">
        <v>0</v>
      </c>
      <c r="AL118" s="674">
        <v>0</v>
      </c>
      <c r="AM118" s="461">
        <v>0</v>
      </c>
      <c r="AN118" s="461">
        <v>0</v>
      </c>
      <c r="AO118" s="461">
        <v>0</v>
      </c>
      <c r="AP118" s="461">
        <f>AH118+AJ118+AK118+AM118+AN118</f>
        <v>4.9800000000000004</v>
      </c>
      <c r="AQ118" s="461">
        <f>AI118+AL118+AO118</f>
        <v>0</v>
      </c>
      <c r="AR118" s="463">
        <f t="shared" si="413"/>
        <v>4.9800000000000004</v>
      </c>
      <c r="AS118" s="469">
        <f>I118+AG118</f>
        <v>2322116</v>
      </c>
      <c r="AT118" s="460">
        <f>J118+V118</f>
        <v>1722638</v>
      </c>
      <c r="AU118" s="460">
        <f t="shared" si="414"/>
        <v>0</v>
      </c>
      <c r="AV118" s="460">
        <f t="shared" si="415"/>
        <v>582252</v>
      </c>
      <c r="AW118" s="460">
        <f t="shared" si="415"/>
        <v>17226</v>
      </c>
      <c r="AX118" s="460">
        <f>M118+AF118</f>
        <v>0</v>
      </c>
      <c r="AY118" s="461">
        <f>N118+AR118</f>
        <v>4.9800000000000004</v>
      </c>
      <c r="AZ118" s="461">
        <f t="shared" si="416"/>
        <v>4.9800000000000004</v>
      </c>
      <c r="BA118" s="463">
        <f t="shared" si="416"/>
        <v>0</v>
      </c>
    </row>
    <row r="119" spans="1:53" s="229" customFormat="1" ht="12.75" customHeight="1" x14ac:dyDescent="0.2">
      <c r="A119" s="231">
        <v>26</v>
      </c>
      <c r="B119" s="232">
        <v>3408</v>
      </c>
      <c r="C119" s="232">
        <v>600078566</v>
      </c>
      <c r="D119" s="232">
        <v>72743115</v>
      </c>
      <c r="E119" s="233" t="s">
        <v>59</v>
      </c>
      <c r="F119" s="232">
        <v>3141</v>
      </c>
      <c r="G119" s="233" t="s">
        <v>311</v>
      </c>
      <c r="H119" s="264" t="s">
        <v>278</v>
      </c>
      <c r="I119" s="457">
        <f t="shared" si="402"/>
        <v>1591905</v>
      </c>
      <c r="J119" s="457">
        <v>1172105</v>
      </c>
      <c r="K119" s="457">
        <f t="shared" si="403"/>
        <v>396171</v>
      </c>
      <c r="L119" s="457">
        <f t="shared" si="404"/>
        <v>11721</v>
      </c>
      <c r="M119" s="457">
        <v>11908</v>
      </c>
      <c r="N119" s="458">
        <f t="shared" si="405"/>
        <v>3.77</v>
      </c>
      <c r="O119" s="459">
        <v>0</v>
      </c>
      <c r="P119" s="468">
        <v>3.77</v>
      </c>
      <c r="Q119" s="470">
        <f t="shared" si="406"/>
        <v>0</v>
      </c>
      <c r="R119" s="460">
        <v>0</v>
      </c>
      <c r="S119" s="673">
        <v>0</v>
      </c>
      <c r="T119" s="460">
        <v>0</v>
      </c>
      <c r="U119" s="460">
        <v>0</v>
      </c>
      <c r="V119" s="460">
        <f>SUM(Q119:U119)</f>
        <v>0</v>
      </c>
      <c r="W119" s="460">
        <v>0</v>
      </c>
      <c r="X119" s="460">
        <v>0</v>
      </c>
      <c r="Y119" s="460">
        <v>0</v>
      </c>
      <c r="Z119" s="460">
        <f t="shared" si="407"/>
        <v>0</v>
      </c>
      <c r="AA119" s="460">
        <f t="shared" si="408"/>
        <v>0</v>
      </c>
      <c r="AB119" s="69">
        <f t="shared" si="409"/>
        <v>0</v>
      </c>
      <c r="AC119" s="69">
        <f t="shared" si="410"/>
        <v>0</v>
      </c>
      <c r="AD119" s="460">
        <v>0</v>
      </c>
      <c r="AE119" s="460">
        <v>0</v>
      </c>
      <c r="AF119" s="460">
        <f t="shared" si="411"/>
        <v>0</v>
      </c>
      <c r="AG119" s="460">
        <f t="shared" si="412"/>
        <v>0</v>
      </c>
      <c r="AH119" s="461">
        <v>0</v>
      </c>
      <c r="AI119" s="461">
        <v>0</v>
      </c>
      <c r="AJ119" s="461">
        <v>0</v>
      </c>
      <c r="AK119" s="461">
        <v>0</v>
      </c>
      <c r="AL119" s="674">
        <v>0</v>
      </c>
      <c r="AM119" s="461">
        <v>0</v>
      </c>
      <c r="AN119" s="461">
        <v>0</v>
      </c>
      <c r="AO119" s="461">
        <v>0</v>
      </c>
      <c r="AP119" s="461">
        <f>AH119+AJ119+AK119+AM119+AN119</f>
        <v>0</v>
      </c>
      <c r="AQ119" s="461">
        <f>AI119+AL119+AO119</f>
        <v>0</v>
      </c>
      <c r="AR119" s="463">
        <f t="shared" si="413"/>
        <v>0</v>
      </c>
      <c r="AS119" s="469">
        <f>I119+AG119</f>
        <v>1591905</v>
      </c>
      <c r="AT119" s="460">
        <f>J119+V119</f>
        <v>1172105</v>
      </c>
      <c r="AU119" s="460">
        <f t="shared" si="414"/>
        <v>0</v>
      </c>
      <c r="AV119" s="460">
        <f t="shared" si="415"/>
        <v>396171</v>
      </c>
      <c r="AW119" s="460">
        <f t="shared" si="415"/>
        <v>11721</v>
      </c>
      <c r="AX119" s="460">
        <f>M119+AF119</f>
        <v>11908</v>
      </c>
      <c r="AY119" s="461">
        <f>N119+AR119</f>
        <v>3.77</v>
      </c>
      <c r="AZ119" s="461">
        <f t="shared" si="416"/>
        <v>0</v>
      </c>
      <c r="BA119" s="463">
        <f t="shared" si="416"/>
        <v>3.77</v>
      </c>
    </row>
    <row r="120" spans="1:53" s="229" customFormat="1" ht="12.75" customHeight="1" x14ac:dyDescent="0.2">
      <c r="A120" s="231">
        <v>26</v>
      </c>
      <c r="B120" s="232">
        <v>3408</v>
      </c>
      <c r="C120" s="232">
        <v>600078566</v>
      </c>
      <c r="D120" s="232">
        <v>72743115</v>
      </c>
      <c r="E120" s="233" t="s">
        <v>59</v>
      </c>
      <c r="F120" s="232">
        <v>3143</v>
      </c>
      <c r="G120" s="233" t="s">
        <v>616</v>
      </c>
      <c r="H120" s="264" t="s">
        <v>277</v>
      </c>
      <c r="I120" s="457">
        <f t="shared" si="402"/>
        <v>1706707</v>
      </c>
      <c r="J120" s="457">
        <v>1266103</v>
      </c>
      <c r="K120" s="457">
        <f t="shared" si="403"/>
        <v>427943</v>
      </c>
      <c r="L120" s="457">
        <f t="shared" si="404"/>
        <v>12661</v>
      </c>
      <c r="M120" s="457">
        <v>0</v>
      </c>
      <c r="N120" s="458">
        <f t="shared" si="405"/>
        <v>2.5897999999999999</v>
      </c>
      <c r="O120" s="459">
        <v>2.5897999999999999</v>
      </c>
      <c r="P120" s="468">
        <v>0</v>
      </c>
      <c r="Q120" s="470">
        <f t="shared" si="406"/>
        <v>0</v>
      </c>
      <c r="R120" s="460">
        <v>0</v>
      </c>
      <c r="S120" s="673">
        <v>0</v>
      </c>
      <c r="T120" s="460">
        <v>0</v>
      </c>
      <c r="U120" s="460">
        <v>0</v>
      </c>
      <c r="V120" s="460">
        <f>SUM(Q120:U120)</f>
        <v>0</v>
      </c>
      <c r="W120" s="460">
        <v>0</v>
      </c>
      <c r="X120" s="460">
        <v>0</v>
      </c>
      <c r="Y120" s="460">
        <v>0</v>
      </c>
      <c r="Z120" s="460">
        <f t="shared" si="407"/>
        <v>0</v>
      </c>
      <c r="AA120" s="460">
        <f t="shared" si="408"/>
        <v>0</v>
      </c>
      <c r="AB120" s="69">
        <f t="shared" si="409"/>
        <v>0</v>
      </c>
      <c r="AC120" s="69">
        <f t="shared" si="410"/>
        <v>0</v>
      </c>
      <c r="AD120" s="460">
        <v>0</v>
      </c>
      <c r="AE120" s="460">
        <v>0</v>
      </c>
      <c r="AF120" s="460">
        <f t="shared" si="411"/>
        <v>0</v>
      </c>
      <c r="AG120" s="460">
        <f t="shared" si="412"/>
        <v>0</v>
      </c>
      <c r="AH120" s="461">
        <v>0</v>
      </c>
      <c r="AI120" s="461">
        <v>0</v>
      </c>
      <c r="AJ120" s="461">
        <v>0</v>
      </c>
      <c r="AK120" s="461">
        <v>0</v>
      </c>
      <c r="AL120" s="674">
        <v>0</v>
      </c>
      <c r="AM120" s="461">
        <v>0</v>
      </c>
      <c r="AN120" s="461">
        <v>0</v>
      </c>
      <c r="AO120" s="461">
        <v>0</v>
      </c>
      <c r="AP120" s="461">
        <f>AH120+AJ120+AK120+AM120+AN120</f>
        <v>0</v>
      </c>
      <c r="AQ120" s="461">
        <f>AI120+AL120+AO120</f>
        <v>0</v>
      </c>
      <c r="AR120" s="463">
        <f t="shared" si="413"/>
        <v>0</v>
      </c>
      <c r="AS120" s="469">
        <f>I120+AG120</f>
        <v>1706707</v>
      </c>
      <c r="AT120" s="460">
        <f>J120+V120</f>
        <v>1266103</v>
      </c>
      <c r="AU120" s="460">
        <f t="shared" si="414"/>
        <v>0</v>
      </c>
      <c r="AV120" s="460">
        <f t="shared" si="415"/>
        <v>427943</v>
      </c>
      <c r="AW120" s="460">
        <f t="shared" si="415"/>
        <v>12661</v>
      </c>
      <c r="AX120" s="460">
        <f>M120+AF120</f>
        <v>0</v>
      </c>
      <c r="AY120" s="461">
        <f>N120+AR120</f>
        <v>2.5897999999999999</v>
      </c>
      <c r="AZ120" s="461">
        <f t="shared" si="416"/>
        <v>2.5897999999999999</v>
      </c>
      <c r="BA120" s="463">
        <f t="shared" si="416"/>
        <v>0</v>
      </c>
    </row>
    <row r="121" spans="1:53" s="229" customFormat="1" ht="12.75" customHeight="1" x14ac:dyDescent="0.2">
      <c r="A121" s="231">
        <v>26</v>
      </c>
      <c r="B121" s="232">
        <v>3408</v>
      </c>
      <c r="C121" s="232">
        <v>600078566</v>
      </c>
      <c r="D121" s="232">
        <v>72743115</v>
      </c>
      <c r="E121" s="233" t="s">
        <v>59</v>
      </c>
      <c r="F121" s="232">
        <v>3143</v>
      </c>
      <c r="G121" s="233" t="s">
        <v>617</v>
      </c>
      <c r="H121" s="264" t="s">
        <v>278</v>
      </c>
      <c r="I121" s="457">
        <f t="shared" si="402"/>
        <v>57907</v>
      </c>
      <c r="J121" s="457">
        <v>41375</v>
      </c>
      <c r="K121" s="457">
        <f t="shared" si="403"/>
        <v>13985</v>
      </c>
      <c r="L121" s="457">
        <f t="shared" si="404"/>
        <v>414</v>
      </c>
      <c r="M121" s="457">
        <v>2133</v>
      </c>
      <c r="N121" s="458">
        <f t="shared" si="405"/>
        <v>0.16</v>
      </c>
      <c r="O121" s="459">
        <v>0</v>
      </c>
      <c r="P121" s="468">
        <v>0.16</v>
      </c>
      <c r="Q121" s="470">
        <f t="shared" si="406"/>
        <v>0</v>
      </c>
      <c r="R121" s="460">
        <v>0</v>
      </c>
      <c r="S121" s="673">
        <v>0</v>
      </c>
      <c r="T121" s="460">
        <v>0</v>
      </c>
      <c r="U121" s="460">
        <v>0</v>
      </c>
      <c r="V121" s="460">
        <f>SUM(Q121:U121)</f>
        <v>0</v>
      </c>
      <c r="W121" s="460">
        <v>0</v>
      </c>
      <c r="X121" s="460">
        <v>0</v>
      </c>
      <c r="Y121" s="460">
        <v>0</v>
      </c>
      <c r="Z121" s="460">
        <f t="shared" si="407"/>
        <v>0</v>
      </c>
      <c r="AA121" s="460">
        <f t="shared" si="408"/>
        <v>0</v>
      </c>
      <c r="AB121" s="69">
        <f t="shared" si="409"/>
        <v>0</v>
      </c>
      <c r="AC121" s="69">
        <f t="shared" si="410"/>
        <v>0</v>
      </c>
      <c r="AD121" s="460">
        <v>0</v>
      </c>
      <c r="AE121" s="460">
        <v>0</v>
      </c>
      <c r="AF121" s="460">
        <f t="shared" si="411"/>
        <v>0</v>
      </c>
      <c r="AG121" s="460">
        <f t="shared" si="412"/>
        <v>0</v>
      </c>
      <c r="AH121" s="461">
        <v>0</v>
      </c>
      <c r="AI121" s="461">
        <v>0</v>
      </c>
      <c r="AJ121" s="461">
        <v>0</v>
      </c>
      <c r="AK121" s="461">
        <v>0</v>
      </c>
      <c r="AL121" s="674">
        <v>0</v>
      </c>
      <c r="AM121" s="461">
        <v>0</v>
      </c>
      <c r="AN121" s="461">
        <v>0</v>
      </c>
      <c r="AO121" s="461">
        <v>0</v>
      </c>
      <c r="AP121" s="461">
        <f>AH121+AJ121+AK121+AM121+AN121</f>
        <v>0</v>
      </c>
      <c r="AQ121" s="461">
        <f>AI121+AL121+AO121</f>
        <v>0</v>
      </c>
      <c r="AR121" s="463">
        <f t="shared" si="413"/>
        <v>0</v>
      </c>
      <c r="AS121" s="469">
        <f>I121+AG121</f>
        <v>57907</v>
      </c>
      <c r="AT121" s="460">
        <f>J121+V121</f>
        <v>41375</v>
      </c>
      <c r="AU121" s="460">
        <f t="shared" si="414"/>
        <v>0</v>
      </c>
      <c r="AV121" s="460">
        <f t="shared" si="415"/>
        <v>13985</v>
      </c>
      <c r="AW121" s="460">
        <f t="shared" si="415"/>
        <v>414</v>
      </c>
      <c r="AX121" s="460">
        <f>M121+AF121</f>
        <v>2133</v>
      </c>
      <c r="AY121" s="461">
        <f>N121+AR121</f>
        <v>0.16</v>
      </c>
      <c r="AZ121" s="461">
        <f t="shared" si="416"/>
        <v>0</v>
      </c>
      <c r="BA121" s="463">
        <f t="shared" si="416"/>
        <v>0.16</v>
      </c>
    </row>
    <row r="122" spans="1:53" s="229" customFormat="1" ht="12.75" customHeight="1" x14ac:dyDescent="0.2">
      <c r="A122" s="156">
        <v>26</v>
      </c>
      <c r="B122" s="14">
        <v>3408</v>
      </c>
      <c r="C122" s="155">
        <v>600078566</v>
      </c>
      <c r="D122" s="155">
        <v>72743115</v>
      </c>
      <c r="E122" s="230" t="s">
        <v>60</v>
      </c>
      <c r="F122" s="14"/>
      <c r="G122" s="230"/>
      <c r="H122" s="263"/>
      <c r="I122" s="464">
        <f t="shared" ref="I122:P122" si="417">SUM(I117:I121)</f>
        <v>22545317</v>
      </c>
      <c r="J122" s="464">
        <f t="shared" si="417"/>
        <v>16460965</v>
      </c>
      <c r="K122" s="464">
        <f t="shared" si="417"/>
        <v>5563806</v>
      </c>
      <c r="L122" s="464">
        <f t="shared" si="417"/>
        <v>164610</v>
      </c>
      <c r="M122" s="464">
        <f t="shared" si="417"/>
        <v>355936</v>
      </c>
      <c r="N122" s="427">
        <f t="shared" si="417"/>
        <v>29.770900000000001</v>
      </c>
      <c r="O122" s="427">
        <f t="shared" si="417"/>
        <v>21.180900000000001</v>
      </c>
      <c r="P122" s="427">
        <f t="shared" si="417"/>
        <v>8.59</v>
      </c>
      <c r="Q122" s="622">
        <f t="shared" ref="Q122:BA122" si="418">SUM(Q117:Q121)</f>
        <v>0</v>
      </c>
      <c r="R122" s="620">
        <f t="shared" si="418"/>
        <v>1722638</v>
      </c>
      <c r="S122" s="620">
        <f t="shared" si="418"/>
        <v>0</v>
      </c>
      <c r="T122" s="620">
        <f t="shared" si="418"/>
        <v>48901</v>
      </c>
      <c r="U122" s="620">
        <f t="shared" si="418"/>
        <v>0</v>
      </c>
      <c r="V122" s="620">
        <f t="shared" si="418"/>
        <v>1771539</v>
      </c>
      <c r="W122" s="620">
        <f t="shared" si="418"/>
        <v>0</v>
      </c>
      <c r="X122" s="620">
        <f t="shared" si="418"/>
        <v>0</v>
      </c>
      <c r="Y122" s="620">
        <f t="shared" si="418"/>
        <v>0</v>
      </c>
      <c r="Z122" s="620">
        <f t="shared" si="418"/>
        <v>0</v>
      </c>
      <c r="AA122" s="620">
        <f t="shared" si="418"/>
        <v>1771539</v>
      </c>
      <c r="AB122" s="620">
        <f t="shared" si="418"/>
        <v>598781</v>
      </c>
      <c r="AC122" s="620">
        <f t="shared" si="418"/>
        <v>17715</v>
      </c>
      <c r="AD122" s="620">
        <f t="shared" si="418"/>
        <v>0</v>
      </c>
      <c r="AE122" s="620">
        <f t="shared" si="418"/>
        <v>0</v>
      </c>
      <c r="AF122" s="620">
        <f t="shared" si="418"/>
        <v>0</v>
      </c>
      <c r="AG122" s="620">
        <f t="shared" si="418"/>
        <v>2388035</v>
      </c>
      <c r="AH122" s="621">
        <f t="shared" si="418"/>
        <v>0</v>
      </c>
      <c r="AI122" s="621">
        <f t="shared" si="418"/>
        <v>0</v>
      </c>
      <c r="AJ122" s="621">
        <f t="shared" si="418"/>
        <v>4.9800000000000004</v>
      </c>
      <c r="AK122" s="621">
        <f t="shared" si="418"/>
        <v>0</v>
      </c>
      <c r="AL122" s="621">
        <f t="shared" si="418"/>
        <v>0</v>
      </c>
      <c r="AM122" s="621">
        <f t="shared" si="418"/>
        <v>7.0000000000000007E-2</v>
      </c>
      <c r="AN122" s="621">
        <f t="shared" si="418"/>
        <v>0</v>
      </c>
      <c r="AO122" s="621">
        <f t="shared" si="418"/>
        <v>0</v>
      </c>
      <c r="AP122" s="621">
        <f t="shared" si="418"/>
        <v>5.0500000000000007</v>
      </c>
      <c r="AQ122" s="621">
        <f t="shared" si="418"/>
        <v>0</v>
      </c>
      <c r="AR122" s="623">
        <f t="shared" si="418"/>
        <v>5.0500000000000007</v>
      </c>
      <c r="AS122" s="618">
        <f t="shared" si="418"/>
        <v>24933352</v>
      </c>
      <c r="AT122" s="464">
        <f t="shared" si="418"/>
        <v>18232504</v>
      </c>
      <c r="AU122" s="464">
        <f t="shared" si="418"/>
        <v>0</v>
      </c>
      <c r="AV122" s="464">
        <f t="shared" si="418"/>
        <v>6162587</v>
      </c>
      <c r="AW122" s="464">
        <f t="shared" si="418"/>
        <v>182325</v>
      </c>
      <c r="AX122" s="464">
        <f t="shared" si="418"/>
        <v>355936</v>
      </c>
      <c r="AY122" s="427">
        <f t="shared" si="418"/>
        <v>34.820899999999995</v>
      </c>
      <c r="AZ122" s="427">
        <f t="shared" si="418"/>
        <v>26.230900000000002</v>
      </c>
      <c r="BA122" s="496">
        <f t="shared" si="418"/>
        <v>8.59</v>
      </c>
    </row>
    <row r="123" spans="1:53" s="229" customFormat="1" ht="12.75" customHeight="1" x14ac:dyDescent="0.2">
      <c r="A123" s="231">
        <v>27</v>
      </c>
      <c r="B123" s="232">
        <v>3417</v>
      </c>
      <c r="C123" s="232">
        <v>600078353</v>
      </c>
      <c r="D123" s="232">
        <v>72743352</v>
      </c>
      <c r="E123" s="233" t="s">
        <v>61</v>
      </c>
      <c r="F123" s="232">
        <v>3113</v>
      </c>
      <c r="G123" s="233" t="s">
        <v>310</v>
      </c>
      <c r="H123" s="264" t="s">
        <v>277</v>
      </c>
      <c r="I123" s="457">
        <f t="shared" ref="I123:I127" si="419">SUM(J123:M123)</f>
        <v>15127989</v>
      </c>
      <c r="J123" s="457">
        <v>11001601</v>
      </c>
      <c r="K123" s="457">
        <f>ROUND(J123*33.8%,0)+1</f>
        <v>3718542</v>
      </c>
      <c r="L123" s="457">
        <f t="shared" ref="L123:L127" si="420">ROUND(J123*1%,0)</f>
        <v>110016</v>
      </c>
      <c r="M123" s="457">
        <v>297830</v>
      </c>
      <c r="N123" s="458">
        <f t="shared" ref="N123:N127" si="421">O123+P123</f>
        <v>17.660499999999999</v>
      </c>
      <c r="O123" s="459">
        <v>13.5905</v>
      </c>
      <c r="P123" s="468">
        <v>4.07</v>
      </c>
      <c r="Q123" s="470">
        <f t="shared" ref="Q123:Q127" si="422">W123*-1</f>
        <v>-13000</v>
      </c>
      <c r="R123" s="460">
        <v>0</v>
      </c>
      <c r="S123" s="673">
        <v>0</v>
      </c>
      <c r="T123" s="460">
        <v>0</v>
      </c>
      <c r="U123" s="460">
        <v>0</v>
      </c>
      <c r="V123" s="460">
        <f>SUM(Q123:U123)</f>
        <v>-13000</v>
      </c>
      <c r="W123" s="460">
        <v>13000</v>
      </c>
      <c r="X123" s="460">
        <v>0</v>
      </c>
      <c r="Y123" s="460">
        <v>0</v>
      </c>
      <c r="Z123" s="460">
        <f t="shared" ref="Z123:Z127" si="423">SUM(W123:Y123)</f>
        <v>13000</v>
      </c>
      <c r="AA123" s="460">
        <f t="shared" ref="AA123:AA127" si="424">V123+Z123</f>
        <v>0</v>
      </c>
      <c r="AB123" s="69">
        <f t="shared" ref="AB123:AB127" si="425">ROUND((V123+W123+X123)*33.8%,0)</f>
        <v>0</v>
      </c>
      <c r="AC123" s="69">
        <f t="shared" ref="AC123:AC127" si="426">ROUND(V123*1%,0)</f>
        <v>-130</v>
      </c>
      <c r="AD123" s="460">
        <v>0</v>
      </c>
      <c r="AE123" s="460">
        <v>0</v>
      </c>
      <c r="AF123" s="460">
        <f t="shared" ref="AF123:AF127" si="427">SUM(AD123:AE123)</f>
        <v>0</v>
      </c>
      <c r="AG123" s="460">
        <f t="shared" ref="AG123:AG127" si="428">AA123+AB123+AC123+AF123</f>
        <v>-130</v>
      </c>
      <c r="AH123" s="461">
        <v>0</v>
      </c>
      <c r="AI123" s="461">
        <v>0</v>
      </c>
      <c r="AJ123" s="461">
        <v>0</v>
      </c>
      <c r="AK123" s="461">
        <v>0</v>
      </c>
      <c r="AL123" s="674">
        <v>0</v>
      </c>
      <c r="AM123" s="461">
        <v>0</v>
      </c>
      <c r="AN123" s="461">
        <v>0</v>
      </c>
      <c r="AO123" s="461">
        <v>0</v>
      </c>
      <c r="AP123" s="461">
        <f>AH123+AJ123+AK123+AM123+AN123</f>
        <v>0</v>
      </c>
      <c r="AQ123" s="461">
        <f>AI123+AL123+AO123</f>
        <v>0</v>
      </c>
      <c r="AR123" s="463">
        <f t="shared" ref="AR123:AR127" si="429">SUM(AP123:AQ123)</f>
        <v>0</v>
      </c>
      <c r="AS123" s="469">
        <f>I123+AG123</f>
        <v>15127859</v>
      </c>
      <c r="AT123" s="460">
        <f>J123+V123</f>
        <v>10988601</v>
      </c>
      <c r="AU123" s="460">
        <f t="shared" ref="AU123:AU127" si="430">Z123</f>
        <v>13000</v>
      </c>
      <c r="AV123" s="460">
        <f t="shared" ref="AV123:AW127" si="431">K123+AB123</f>
        <v>3718542</v>
      </c>
      <c r="AW123" s="460">
        <f t="shared" si="431"/>
        <v>109886</v>
      </c>
      <c r="AX123" s="460">
        <f>M123+AF123</f>
        <v>297830</v>
      </c>
      <c r="AY123" s="461">
        <f>N123+AR123</f>
        <v>17.660499999999999</v>
      </c>
      <c r="AZ123" s="461">
        <f t="shared" ref="AZ123:BA127" si="432">O123+AP123</f>
        <v>13.5905</v>
      </c>
      <c r="BA123" s="463">
        <f t="shared" si="432"/>
        <v>4.07</v>
      </c>
    </row>
    <row r="124" spans="1:53" s="229" customFormat="1" x14ac:dyDescent="0.2">
      <c r="A124" s="231">
        <v>27</v>
      </c>
      <c r="B124" s="232">
        <v>3417</v>
      </c>
      <c r="C124" s="232">
        <v>600078353</v>
      </c>
      <c r="D124" s="232">
        <v>72743352</v>
      </c>
      <c r="E124" s="233" t="s">
        <v>61</v>
      </c>
      <c r="F124" s="232">
        <v>3113</v>
      </c>
      <c r="G124" s="233" t="s">
        <v>308</v>
      </c>
      <c r="H124" s="264" t="s">
        <v>278</v>
      </c>
      <c r="I124" s="457">
        <f t="shared" si="419"/>
        <v>0</v>
      </c>
      <c r="J124" s="457">
        <v>0</v>
      </c>
      <c r="K124" s="457">
        <f t="shared" ref="K124:K127" si="433">ROUND(J124*33.8%,0)</f>
        <v>0</v>
      </c>
      <c r="L124" s="457">
        <f t="shared" si="420"/>
        <v>0</v>
      </c>
      <c r="M124" s="457">
        <v>0</v>
      </c>
      <c r="N124" s="458">
        <f t="shared" si="421"/>
        <v>0</v>
      </c>
      <c r="O124" s="459">
        <v>0</v>
      </c>
      <c r="P124" s="468">
        <v>0</v>
      </c>
      <c r="Q124" s="470">
        <f t="shared" si="422"/>
        <v>0</v>
      </c>
      <c r="R124" s="460">
        <v>567792</v>
      </c>
      <c r="S124" s="673">
        <v>0</v>
      </c>
      <c r="T124" s="460">
        <v>0</v>
      </c>
      <c r="U124" s="460">
        <v>0</v>
      </c>
      <c r="V124" s="460">
        <f>SUM(Q124:U124)</f>
        <v>567792</v>
      </c>
      <c r="W124" s="460">
        <v>0</v>
      </c>
      <c r="X124" s="460">
        <v>0</v>
      </c>
      <c r="Y124" s="460">
        <v>0</v>
      </c>
      <c r="Z124" s="460">
        <f t="shared" si="423"/>
        <v>0</v>
      </c>
      <c r="AA124" s="460">
        <f t="shared" si="424"/>
        <v>567792</v>
      </c>
      <c r="AB124" s="69">
        <f t="shared" si="425"/>
        <v>191914</v>
      </c>
      <c r="AC124" s="69">
        <f t="shared" si="426"/>
        <v>5678</v>
      </c>
      <c r="AD124" s="460">
        <v>0</v>
      </c>
      <c r="AE124" s="460">
        <v>0</v>
      </c>
      <c r="AF124" s="460">
        <f t="shared" si="427"/>
        <v>0</v>
      </c>
      <c r="AG124" s="460">
        <f t="shared" si="428"/>
        <v>765384</v>
      </c>
      <c r="AH124" s="461">
        <v>0</v>
      </c>
      <c r="AI124" s="461">
        <v>0</v>
      </c>
      <c r="AJ124" s="461">
        <v>1.64</v>
      </c>
      <c r="AK124" s="461">
        <v>0</v>
      </c>
      <c r="AL124" s="674">
        <v>0</v>
      </c>
      <c r="AM124" s="461">
        <v>0</v>
      </c>
      <c r="AN124" s="461">
        <v>0</v>
      </c>
      <c r="AO124" s="461">
        <v>0</v>
      </c>
      <c r="AP124" s="461">
        <f>AH124+AJ124+AK124+AM124+AN124</f>
        <v>1.64</v>
      </c>
      <c r="AQ124" s="461">
        <f>AI124+AL124+AO124</f>
        <v>0</v>
      </c>
      <c r="AR124" s="463">
        <f t="shared" si="429"/>
        <v>1.64</v>
      </c>
      <c r="AS124" s="469">
        <f>I124+AG124</f>
        <v>765384</v>
      </c>
      <c r="AT124" s="460">
        <f>J124+V124</f>
        <v>567792</v>
      </c>
      <c r="AU124" s="460">
        <f t="shared" si="430"/>
        <v>0</v>
      </c>
      <c r="AV124" s="460">
        <f t="shared" si="431"/>
        <v>191914</v>
      </c>
      <c r="AW124" s="460">
        <f t="shared" si="431"/>
        <v>5678</v>
      </c>
      <c r="AX124" s="460">
        <f>M124+AF124</f>
        <v>0</v>
      </c>
      <c r="AY124" s="461">
        <f>N124+AR124</f>
        <v>1.64</v>
      </c>
      <c r="AZ124" s="461">
        <f t="shared" si="432"/>
        <v>1.64</v>
      </c>
      <c r="BA124" s="463">
        <f t="shared" si="432"/>
        <v>0</v>
      </c>
    </row>
    <row r="125" spans="1:53" s="229" customFormat="1" ht="12.75" customHeight="1" x14ac:dyDescent="0.2">
      <c r="A125" s="231">
        <v>27</v>
      </c>
      <c r="B125" s="232">
        <v>3417</v>
      </c>
      <c r="C125" s="232">
        <v>600078353</v>
      </c>
      <c r="D125" s="232">
        <v>72743352</v>
      </c>
      <c r="E125" s="233" t="s">
        <v>61</v>
      </c>
      <c r="F125" s="232">
        <v>3141</v>
      </c>
      <c r="G125" s="233" t="s">
        <v>311</v>
      </c>
      <c r="H125" s="264" t="s">
        <v>278</v>
      </c>
      <c r="I125" s="457">
        <f t="shared" si="419"/>
        <v>1396091</v>
      </c>
      <c r="J125" s="457">
        <v>1028192</v>
      </c>
      <c r="K125" s="457">
        <f t="shared" si="433"/>
        <v>347529</v>
      </c>
      <c r="L125" s="457">
        <f t="shared" si="420"/>
        <v>10282</v>
      </c>
      <c r="M125" s="457">
        <v>10088</v>
      </c>
      <c r="N125" s="458">
        <f t="shared" si="421"/>
        <v>3.3</v>
      </c>
      <c r="O125" s="459">
        <v>0</v>
      </c>
      <c r="P125" s="468">
        <v>3.3</v>
      </c>
      <c r="Q125" s="470">
        <f t="shared" si="422"/>
        <v>-6500</v>
      </c>
      <c r="R125" s="460">
        <v>0</v>
      </c>
      <c r="S125" s="673">
        <v>0</v>
      </c>
      <c r="T125" s="460">
        <v>0</v>
      </c>
      <c r="U125" s="460">
        <v>0</v>
      </c>
      <c r="V125" s="460">
        <f>SUM(Q125:U125)</f>
        <v>-6500</v>
      </c>
      <c r="W125" s="460">
        <v>6500</v>
      </c>
      <c r="X125" s="460">
        <v>0</v>
      </c>
      <c r="Y125" s="460">
        <v>0</v>
      </c>
      <c r="Z125" s="460">
        <f t="shared" si="423"/>
        <v>6500</v>
      </c>
      <c r="AA125" s="460">
        <f t="shared" si="424"/>
        <v>0</v>
      </c>
      <c r="AB125" s="69">
        <f t="shared" si="425"/>
        <v>0</v>
      </c>
      <c r="AC125" s="69">
        <f t="shared" si="426"/>
        <v>-65</v>
      </c>
      <c r="AD125" s="460">
        <v>0</v>
      </c>
      <c r="AE125" s="460">
        <v>0</v>
      </c>
      <c r="AF125" s="460">
        <f t="shared" si="427"/>
        <v>0</v>
      </c>
      <c r="AG125" s="460">
        <f t="shared" si="428"/>
        <v>-65</v>
      </c>
      <c r="AH125" s="461">
        <v>0</v>
      </c>
      <c r="AI125" s="461">
        <v>0</v>
      </c>
      <c r="AJ125" s="461">
        <v>0</v>
      </c>
      <c r="AK125" s="461">
        <v>0</v>
      </c>
      <c r="AL125" s="674">
        <v>0</v>
      </c>
      <c r="AM125" s="461">
        <v>0</v>
      </c>
      <c r="AN125" s="461">
        <v>0</v>
      </c>
      <c r="AO125" s="461">
        <v>0</v>
      </c>
      <c r="AP125" s="461">
        <f>AH125+AJ125+AK125+AM125+AN125</f>
        <v>0</v>
      </c>
      <c r="AQ125" s="461">
        <f>AI125+AL125+AO125</f>
        <v>0</v>
      </c>
      <c r="AR125" s="463">
        <f t="shared" si="429"/>
        <v>0</v>
      </c>
      <c r="AS125" s="469">
        <f>I125+AG125</f>
        <v>1396026</v>
      </c>
      <c r="AT125" s="460">
        <f>J125+V125</f>
        <v>1021692</v>
      </c>
      <c r="AU125" s="460">
        <f t="shared" si="430"/>
        <v>6500</v>
      </c>
      <c r="AV125" s="460">
        <f t="shared" si="431"/>
        <v>347529</v>
      </c>
      <c r="AW125" s="460">
        <f t="shared" si="431"/>
        <v>10217</v>
      </c>
      <c r="AX125" s="460">
        <f>M125+AF125</f>
        <v>10088</v>
      </c>
      <c r="AY125" s="461">
        <f>N125+AR125</f>
        <v>3.3</v>
      </c>
      <c r="AZ125" s="461">
        <f t="shared" si="432"/>
        <v>0</v>
      </c>
      <c r="BA125" s="463">
        <f t="shared" si="432"/>
        <v>3.3</v>
      </c>
    </row>
    <row r="126" spans="1:53" s="229" customFormat="1" ht="12.75" customHeight="1" x14ac:dyDescent="0.2">
      <c r="A126" s="231">
        <v>27</v>
      </c>
      <c r="B126" s="232">
        <v>3417</v>
      </c>
      <c r="C126" s="232">
        <v>600078353</v>
      </c>
      <c r="D126" s="232">
        <v>72743352</v>
      </c>
      <c r="E126" s="233" t="s">
        <v>61</v>
      </c>
      <c r="F126" s="232">
        <v>3143</v>
      </c>
      <c r="G126" s="233" t="s">
        <v>616</v>
      </c>
      <c r="H126" s="264" t="s">
        <v>277</v>
      </c>
      <c r="I126" s="457">
        <f t="shared" si="419"/>
        <v>1543864</v>
      </c>
      <c r="J126" s="457">
        <v>1145300</v>
      </c>
      <c r="K126" s="457">
        <f t="shared" si="433"/>
        <v>387111</v>
      </c>
      <c r="L126" s="457">
        <f t="shared" si="420"/>
        <v>11453</v>
      </c>
      <c r="M126" s="457">
        <v>0</v>
      </c>
      <c r="N126" s="458">
        <f t="shared" si="421"/>
        <v>2.4108000000000001</v>
      </c>
      <c r="O126" s="459">
        <v>2.4108000000000001</v>
      </c>
      <c r="P126" s="468">
        <v>0</v>
      </c>
      <c r="Q126" s="470">
        <f t="shared" si="422"/>
        <v>-3250</v>
      </c>
      <c r="R126" s="460">
        <v>0</v>
      </c>
      <c r="S126" s="673">
        <v>0</v>
      </c>
      <c r="T126" s="460">
        <v>0</v>
      </c>
      <c r="U126" s="460">
        <v>0</v>
      </c>
      <c r="V126" s="460">
        <f>SUM(Q126:U126)</f>
        <v>-3250</v>
      </c>
      <c r="W126" s="460">
        <v>3250</v>
      </c>
      <c r="X126" s="460">
        <v>0</v>
      </c>
      <c r="Y126" s="460">
        <v>0</v>
      </c>
      <c r="Z126" s="460">
        <f t="shared" si="423"/>
        <v>3250</v>
      </c>
      <c r="AA126" s="460">
        <f t="shared" si="424"/>
        <v>0</v>
      </c>
      <c r="AB126" s="69">
        <f t="shared" si="425"/>
        <v>0</v>
      </c>
      <c r="AC126" s="69">
        <f t="shared" si="426"/>
        <v>-33</v>
      </c>
      <c r="AD126" s="460">
        <v>0</v>
      </c>
      <c r="AE126" s="460">
        <v>0</v>
      </c>
      <c r="AF126" s="460">
        <f t="shared" si="427"/>
        <v>0</v>
      </c>
      <c r="AG126" s="460">
        <f t="shared" si="428"/>
        <v>-33</v>
      </c>
      <c r="AH126" s="461">
        <v>0</v>
      </c>
      <c r="AI126" s="461">
        <v>0</v>
      </c>
      <c r="AJ126" s="461">
        <v>0</v>
      </c>
      <c r="AK126" s="461">
        <v>0</v>
      </c>
      <c r="AL126" s="674">
        <v>0</v>
      </c>
      <c r="AM126" s="461">
        <v>0</v>
      </c>
      <c r="AN126" s="461">
        <v>0</v>
      </c>
      <c r="AO126" s="461">
        <v>0</v>
      </c>
      <c r="AP126" s="461">
        <f>AH126+AJ126+AK126+AM126+AN126</f>
        <v>0</v>
      </c>
      <c r="AQ126" s="461">
        <f>AI126+AL126+AO126</f>
        <v>0</v>
      </c>
      <c r="AR126" s="463">
        <f t="shared" si="429"/>
        <v>0</v>
      </c>
      <c r="AS126" s="469">
        <f>I126+AG126</f>
        <v>1543831</v>
      </c>
      <c r="AT126" s="460">
        <f>J126+V126</f>
        <v>1142050</v>
      </c>
      <c r="AU126" s="460">
        <f t="shared" si="430"/>
        <v>3250</v>
      </c>
      <c r="AV126" s="460">
        <f t="shared" si="431"/>
        <v>387111</v>
      </c>
      <c r="AW126" s="460">
        <f t="shared" si="431"/>
        <v>11420</v>
      </c>
      <c r="AX126" s="460">
        <f>M126+AF126</f>
        <v>0</v>
      </c>
      <c r="AY126" s="461">
        <f>N126+AR126</f>
        <v>2.4108000000000001</v>
      </c>
      <c r="AZ126" s="461">
        <f t="shared" si="432"/>
        <v>2.4108000000000001</v>
      </c>
      <c r="BA126" s="463">
        <f t="shared" si="432"/>
        <v>0</v>
      </c>
    </row>
    <row r="127" spans="1:53" s="229" customFormat="1" ht="12.75" customHeight="1" x14ac:dyDescent="0.2">
      <c r="A127" s="231">
        <v>27</v>
      </c>
      <c r="B127" s="232">
        <v>3417</v>
      </c>
      <c r="C127" s="232">
        <v>600078353</v>
      </c>
      <c r="D127" s="232">
        <v>72743352</v>
      </c>
      <c r="E127" s="233" t="s">
        <v>61</v>
      </c>
      <c r="F127" s="232">
        <v>3143</v>
      </c>
      <c r="G127" s="233" t="s">
        <v>617</v>
      </c>
      <c r="H127" s="264" t="s">
        <v>278</v>
      </c>
      <c r="I127" s="457">
        <f t="shared" si="419"/>
        <v>50577</v>
      </c>
      <c r="J127" s="457">
        <v>36138</v>
      </c>
      <c r="K127" s="457">
        <f t="shared" si="433"/>
        <v>12215</v>
      </c>
      <c r="L127" s="457">
        <f t="shared" si="420"/>
        <v>361</v>
      </c>
      <c r="M127" s="457">
        <v>1863</v>
      </c>
      <c r="N127" s="458">
        <f t="shared" si="421"/>
        <v>0.14000000000000001</v>
      </c>
      <c r="O127" s="459">
        <v>0</v>
      </c>
      <c r="P127" s="468">
        <v>0.14000000000000001</v>
      </c>
      <c r="Q127" s="470">
        <f t="shared" si="422"/>
        <v>0</v>
      </c>
      <c r="R127" s="460">
        <v>0</v>
      </c>
      <c r="S127" s="673">
        <v>0</v>
      </c>
      <c r="T127" s="460">
        <v>0</v>
      </c>
      <c r="U127" s="460">
        <v>0</v>
      </c>
      <c r="V127" s="460">
        <f>SUM(Q127:U127)</f>
        <v>0</v>
      </c>
      <c r="W127" s="460">
        <v>0</v>
      </c>
      <c r="X127" s="460">
        <v>0</v>
      </c>
      <c r="Y127" s="460">
        <v>0</v>
      </c>
      <c r="Z127" s="460">
        <f t="shared" si="423"/>
        <v>0</v>
      </c>
      <c r="AA127" s="460">
        <f t="shared" si="424"/>
        <v>0</v>
      </c>
      <c r="AB127" s="69">
        <f t="shared" si="425"/>
        <v>0</v>
      </c>
      <c r="AC127" s="69">
        <f t="shared" si="426"/>
        <v>0</v>
      </c>
      <c r="AD127" s="460">
        <v>0</v>
      </c>
      <c r="AE127" s="460">
        <v>0</v>
      </c>
      <c r="AF127" s="460">
        <f t="shared" si="427"/>
        <v>0</v>
      </c>
      <c r="AG127" s="460">
        <f t="shared" si="428"/>
        <v>0</v>
      </c>
      <c r="AH127" s="461">
        <v>0</v>
      </c>
      <c r="AI127" s="461">
        <v>0</v>
      </c>
      <c r="AJ127" s="461">
        <v>0</v>
      </c>
      <c r="AK127" s="461">
        <v>0</v>
      </c>
      <c r="AL127" s="674">
        <v>0</v>
      </c>
      <c r="AM127" s="461">
        <v>0</v>
      </c>
      <c r="AN127" s="461">
        <v>0</v>
      </c>
      <c r="AO127" s="461">
        <v>0</v>
      </c>
      <c r="AP127" s="461">
        <f>AH127+AJ127+AK127+AM127+AN127</f>
        <v>0</v>
      </c>
      <c r="AQ127" s="461">
        <f>AI127+AL127+AO127</f>
        <v>0</v>
      </c>
      <c r="AR127" s="463">
        <f t="shared" si="429"/>
        <v>0</v>
      </c>
      <c r="AS127" s="469">
        <f>I127+AG127</f>
        <v>50577</v>
      </c>
      <c r="AT127" s="460">
        <f>J127+V127</f>
        <v>36138</v>
      </c>
      <c r="AU127" s="460">
        <f t="shared" si="430"/>
        <v>0</v>
      </c>
      <c r="AV127" s="460">
        <f t="shared" si="431"/>
        <v>12215</v>
      </c>
      <c r="AW127" s="460">
        <f t="shared" si="431"/>
        <v>361</v>
      </c>
      <c r="AX127" s="460">
        <f>M127+AF127</f>
        <v>1863</v>
      </c>
      <c r="AY127" s="461">
        <f>N127+AR127</f>
        <v>0.14000000000000001</v>
      </c>
      <c r="AZ127" s="461">
        <f t="shared" si="432"/>
        <v>0</v>
      </c>
      <c r="BA127" s="463">
        <f t="shared" si="432"/>
        <v>0.14000000000000001</v>
      </c>
    </row>
    <row r="128" spans="1:53" s="229" customFormat="1" ht="12.75" customHeight="1" x14ac:dyDescent="0.2">
      <c r="A128" s="156">
        <v>27</v>
      </c>
      <c r="B128" s="14">
        <v>3417</v>
      </c>
      <c r="C128" s="155">
        <v>600078353</v>
      </c>
      <c r="D128" s="155">
        <v>72743352</v>
      </c>
      <c r="E128" s="230" t="s">
        <v>62</v>
      </c>
      <c r="F128" s="14"/>
      <c r="G128" s="230"/>
      <c r="H128" s="263"/>
      <c r="I128" s="464">
        <f t="shared" ref="I128:P128" si="434">SUM(I123:I127)</f>
        <v>18118521</v>
      </c>
      <c r="J128" s="464">
        <f t="shared" si="434"/>
        <v>13211231</v>
      </c>
      <c r="K128" s="464">
        <f t="shared" si="434"/>
        <v>4465397</v>
      </c>
      <c r="L128" s="464">
        <f t="shared" si="434"/>
        <v>132112</v>
      </c>
      <c r="M128" s="464">
        <f t="shared" si="434"/>
        <v>309781</v>
      </c>
      <c r="N128" s="427">
        <f t="shared" si="434"/>
        <v>23.511299999999999</v>
      </c>
      <c r="O128" s="427">
        <f t="shared" si="434"/>
        <v>16.001300000000001</v>
      </c>
      <c r="P128" s="427">
        <f t="shared" si="434"/>
        <v>7.51</v>
      </c>
      <c r="Q128" s="622">
        <f t="shared" ref="Q128:BA128" si="435">SUM(Q123:Q127)</f>
        <v>-22750</v>
      </c>
      <c r="R128" s="620">
        <f t="shared" si="435"/>
        <v>567792</v>
      </c>
      <c r="S128" s="620">
        <f t="shared" si="435"/>
        <v>0</v>
      </c>
      <c r="T128" s="620">
        <f t="shared" si="435"/>
        <v>0</v>
      </c>
      <c r="U128" s="620">
        <f t="shared" si="435"/>
        <v>0</v>
      </c>
      <c r="V128" s="620">
        <f t="shared" si="435"/>
        <v>545042</v>
      </c>
      <c r="W128" s="620">
        <f t="shared" si="435"/>
        <v>22750</v>
      </c>
      <c r="X128" s="620">
        <f t="shared" si="435"/>
        <v>0</v>
      </c>
      <c r="Y128" s="620">
        <f t="shared" si="435"/>
        <v>0</v>
      </c>
      <c r="Z128" s="620">
        <f t="shared" si="435"/>
        <v>22750</v>
      </c>
      <c r="AA128" s="620">
        <f t="shared" si="435"/>
        <v>567792</v>
      </c>
      <c r="AB128" s="620">
        <f t="shared" si="435"/>
        <v>191914</v>
      </c>
      <c r="AC128" s="620">
        <f t="shared" si="435"/>
        <v>5450</v>
      </c>
      <c r="AD128" s="620">
        <f t="shared" si="435"/>
        <v>0</v>
      </c>
      <c r="AE128" s="620">
        <f t="shared" si="435"/>
        <v>0</v>
      </c>
      <c r="AF128" s="620">
        <f t="shared" si="435"/>
        <v>0</v>
      </c>
      <c r="AG128" s="620">
        <f t="shared" si="435"/>
        <v>765156</v>
      </c>
      <c r="AH128" s="621">
        <f t="shared" si="435"/>
        <v>0</v>
      </c>
      <c r="AI128" s="621">
        <f t="shared" si="435"/>
        <v>0</v>
      </c>
      <c r="AJ128" s="621">
        <f t="shared" si="435"/>
        <v>1.64</v>
      </c>
      <c r="AK128" s="621">
        <f t="shared" si="435"/>
        <v>0</v>
      </c>
      <c r="AL128" s="621">
        <f t="shared" si="435"/>
        <v>0</v>
      </c>
      <c r="AM128" s="621">
        <f t="shared" si="435"/>
        <v>0</v>
      </c>
      <c r="AN128" s="621">
        <f t="shared" si="435"/>
        <v>0</v>
      </c>
      <c r="AO128" s="621">
        <f t="shared" si="435"/>
        <v>0</v>
      </c>
      <c r="AP128" s="621">
        <f t="shared" si="435"/>
        <v>1.64</v>
      </c>
      <c r="AQ128" s="621">
        <f t="shared" si="435"/>
        <v>0</v>
      </c>
      <c r="AR128" s="623">
        <f t="shared" si="435"/>
        <v>1.64</v>
      </c>
      <c r="AS128" s="618">
        <f t="shared" si="435"/>
        <v>18883677</v>
      </c>
      <c r="AT128" s="464">
        <f t="shared" si="435"/>
        <v>13756273</v>
      </c>
      <c r="AU128" s="464">
        <f t="shared" si="435"/>
        <v>22750</v>
      </c>
      <c r="AV128" s="464">
        <f t="shared" si="435"/>
        <v>4657311</v>
      </c>
      <c r="AW128" s="464">
        <f t="shared" si="435"/>
        <v>137562</v>
      </c>
      <c r="AX128" s="464">
        <f t="shared" si="435"/>
        <v>309781</v>
      </c>
      <c r="AY128" s="427">
        <f t="shared" si="435"/>
        <v>25.151299999999999</v>
      </c>
      <c r="AZ128" s="427">
        <f t="shared" si="435"/>
        <v>17.641300000000001</v>
      </c>
      <c r="BA128" s="496">
        <f t="shared" si="435"/>
        <v>7.51</v>
      </c>
    </row>
    <row r="129" spans="1:53" s="229" customFormat="1" ht="12.75" customHeight="1" x14ac:dyDescent="0.2">
      <c r="A129" s="231">
        <v>28</v>
      </c>
      <c r="B129" s="232">
        <v>3410</v>
      </c>
      <c r="C129" s="232">
        <v>650038550</v>
      </c>
      <c r="D129" s="232">
        <v>72743191</v>
      </c>
      <c r="E129" s="233" t="s">
        <v>63</v>
      </c>
      <c r="F129" s="232">
        <v>3113</v>
      </c>
      <c r="G129" s="233" t="s">
        <v>310</v>
      </c>
      <c r="H129" s="264" t="s">
        <v>277</v>
      </c>
      <c r="I129" s="457">
        <f t="shared" ref="I129:I133" si="436">SUM(J129:M129)</f>
        <v>25859720</v>
      </c>
      <c r="J129" s="457">
        <v>18805664</v>
      </c>
      <c r="K129" s="457">
        <f t="shared" ref="K129:K133" si="437">ROUND(J129*33.8%,0)</f>
        <v>6356314</v>
      </c>
      <c r="L129" s="457">
        <f t="shared" ref="L129:L133" si="438">ROUND(J129*1%,0)</f>
        <v>188057</v>
      </c>
      <c r="M129" s="457">
        <v>509685</v>
      </c>
      <c r="N129" s="458">
        <f t="shared" ref="N129:N133" si="439">O129+P129</f>
        <v>32.7211</v>
      </c>
      <c r="O129" s="459">
        <v>25.591100000000001</v>
      </c>
      <c r="P129" s="468">
        <v>7.13</v>
      </c>
      <c r="Q129" s="470">
        <f t="shared" ref="Q129:Q133" si="440">W129*-1</f>
        <v>-26000</v>
      </c>
      <c r="R129" s="460">
        <v>0</v>
      </c>
      <c r="S129" s="673">
        <v>0</v>
      </c>
      <c r="T129" s="460">
        <v>0</v>
      </c>
      <c r="U129" s="460">
        <v>0</v>
      </c>
      <c r="V129" s="460">
        <f>SUM(Q129:U129)</f>
        <v>-26000</v>
      </c>
      <c r="W129" s="460">
        <v>26000</v>
      </c>
      <c r="X129" s="460">
        <v>0</v>
      </c>
      <c r="Y129" s="460">
        <v>0</v>
      </c>
      <c r="Z129" s="460">
        <f t="shared" ref="Z129:Z133" si="441">SUM(W129:Y129)</f>
        <v>26000</v>
      </c>
      <c r="AA129" s="460">
        <f t="shared" ref="AA129:AA133" si="442">V129+Z129</f>
        <v>0</v>
      </c>
      <c r="AB129" s="69">
        <f t="shared" ref="AB129:AB133" si="443">ROUND((V129+W129+X129)*33.8%,0)</f>
        <v>0</v>
      </c>
      <c r="AC129" s="69">
        <f t="shared" ref="AC129:AC133" si="444">ROUND(V129*1%,0)</f>
        <v>-260</v>
      </c>
      <c r="AD129" s="460">
        <v>0</v>
      </c>
      <c r="AE129" s="460">
        <v>0</v>
      </c>
      <c r="AF129" s="460">
        <f t="shared" ref="AF129:AF133" si="445">SUM(AD129:AE129)</f>
        <v>0</v>
      </c>
      <c r="AG129" s="460">
        <f t="shared" ref="AG129:AG133" si="446">AA129+AB129+AC129+AF129</f>
        <v>-260</v>
      </c>
      <c r="AH129" s="461">
        <v>0</v>
      </c>
      <c r="AI129" s="461">
        <v>0</v>
      </c>
      <c r="AJ129" s="461">
        <v>0</v>
      </c>
      <c r="AK129" s="461">
        <v>0</v>
      </c>
      <c r="AL129" s="674">
        <v>0</v>
      </c>
      <c r="AM129" s="461">
        <v>0</v>
      </c>
      <c r="AN129" s="461">
        <v>0</v>
      </c>
      <c r="AO129" s="461">
        <v>0</v>
      </c>
      <c r="AP129" s="461">
        <f>AH129+AJ129+AK129+AM129+AN129</f>
        <v>0</v>
      </c>
      <c r="AQ129" s="461">
        <f>AI129+AL129+AO129</f>
        <v>0</v>
      </c>
      <c r="AR129" s="463">
        <f t="shared" ref="AR129:AR133" si="447">SUM(AP129:AQ129)</f>
        <v>0</v>
      </c>
      <c r="AS129" s="469">
        <f>I129+AG129</f>
        <v>25859460</v>
      </c>
      <c r="AT129" s="460">
        <f>J129+V129</f>
        <v>18779664</v>
      </c>
      <c r="AU129" s="460">
        <f t="shared" ref="AU129:AU133" si="448">Z129</f>
        <v>26000</v>
      </c>
      <c r="AV129" s="460">
        <f t="shared" ref="AV129:AW133" si="449">K129+AB129</f>
        <v>6356314</v>
      </c>
      <c r="AW129" s="460">
        <f t="shared" si="449"/>
        <v>187797</v>
      </c>
      <c r="AX129" s="460">
        <f>M129+AF129</f>
        <v>509685</v>
      </c>
      <c r="AY129" s="461">
        <f>N129+AR129</f>
        <v>32.7211</v>
      </c>
      <c r="AZ129" s="461">
        <f t="shared" ref="AZ129:BA133" si="450">O129+AP129</f>
        <v>25.591100000000001</v>
      </c>
      <c r="BA129" s="463">
        <f t="shared" si="450"/>
        <v>7.13</v>
      </c>
    </row>
    <row r="130" spans="1:53" s="229" customFormat="1" x14ac:dyDescent="0.2">
      <c r="A130" s="231">
        <v>28</v>
      </c>
      <c r="B130" s="232">
        <v>3410</v>
      </c>
      <c r="C130" s="232">
        <v>650038550</v>
      </c>
      <c r="D130" s="232">
        <v>72743191</v>
      </c>
      <c r="E130" s="233" t="s">
        <v>63</v>
      </c>
      <c r="F130" s="232">
        <v>3113</v>
      </c>
      <c r="G130" s="233" t="s">
        <v>308</v>
      </c>
      <c r="H130" s="264" t="s">
        <v>278</v>
      </c>
      <c r="I130" s="457">
        <f t="shared" si="436"/>
        <v>0</v>
      </c>
      <c r="J130" s="457">
        <v>0</v>
      </c>
      <c r="K130" s="457">
        <f t="shared" si="437"/>
        <v>0</v>
      </c>
      <c r="L130" s="457">
        <f t="shared" si="438"/>
        <v>0</v>
      </c>
      <c r="M130" s="457">
        <v>0</v>
      </c>
      <c r="N130" s="458">
        <f t="shared" si="439"/>
        <v>0</v>
      </c>
      <c r="O130" s="459">
        <v>0</v>
      </c>
      <c r="P130" s="468">
        <v>0</v>
      </c>
      <c r="Q130" s="470">
        <f t="shared" si="440"/>
        <v>0</v>
      </c>
      <c r="R130" s="460">
        <f>975864-238182</f>
        <v>737682</v>
      </c>
      <c r="S130" s="673">
        <v>0</v>
      </c>
      <c r="T130" s="460">
        <v>0</v>
      </c>
      <c r="U130" s="460">
        <v>0</v>
      </c>
      <c r="V130" s="460">
        <f>SUM(Q130:U130)</f>
        <v>737682</v>
      </c>
      <c r="W130" s="460">
        <v>0</v>
      </c>
      <c r="X130" s="460">
        <v>0</v>
      </c>
      <c r="Y130" s="460">
        <v>0</v>
      </c>
      <c r="Z130" s="460">
        <f t="shared" si="441"/>
        <v>0</v>
      </c>
      <c r="AA130" s="460">
        <f t="shared" si="442"/>
        <v>737682</v>
      </c>
      <c r="AB130" s="69">
        <f t="shared" si="443"/>
        <v>249337</v>
      </c>
      <c r="AC130" s="69">
        <f t="shared" si="444"/>
        <v>7377</v>
      </c>
      <c r="AD130" s="460">
        <v>0</v>
      </c>
      <c r="AE130" s="460">
        <v>0</v>
      </c>
      <c r="AF130" s="460">
        <f t="shared" si="445"/>
        <v>0</v>
      </c>
      <c r="AG130" s="460">
        <f t="shared" si="446"/>
        <v>994396</v>
      </c>
      <c r="AH130" s="461">
        <v>0</v>
      </c>
      <c r="AI130" s="461">
        <v>0</v>
      </c>
      <c r="AJ130" s="461">
        <f>2.8-0.69</f>
        <v>2.11</v>
      </c>
      <c r="AK130" s="461">
        <v>0</v>
      </c>
      <c r="AL130" s="674">
        <v>0</v>
      </c>
      <c r="AM130" s="461">
        <v>0</v>
      </c>
      <c r="AN130" s="461">
        <v>0</v>
      </c>
      <c r="AO130" s="461">
        <v>0</v>
      </c>
      <c r="AP130" s="461">
        <f>AH130+AJ130+AK130+AM130+AN130</f>
        <v>2.11</v>
      </c>
      <c r="AQ130" s="461">
        <f>AI130+AL130+AO130</f>
        <v>0</v>
      </c>
      <c r="AR130" s="463">
        <f t="shared" si="447"/>
        <v>2.11</v>
      </c>
      <c r="AS130" s="469">
        <f>I130+AG130</f>
        <v>994396</v>
      </c>
      <c r="AT130" s="460">
        <f>J130+V130</f>
        <v>737682</v>
      </c>
      <c r="AU130" s="460">
        <f t="shared" si="448"/>
        <v>0</v>
      </c>
      <c r="AV130" s="460">
        <f t="shared" si="449"/>
        <v>249337</v>
      </c>
      <c r="AW130" s="460">
        <f t="shared" si="449"/>
        <v>7377</v>
      </c>
      <c r="AX130" s="460">
        <f>M130+AF130</f>
        <v>0</v>
      </c>
      <c r="AY130" s="461">
        <f>N130+AR130</f>
        <v>2.11</v>
      </c>
      <c r="AZ130" s="461">
        <f t="shared" si="450"/>
        <v>2.11</v>
      </c>
      <c r="BA130" s="463">
        <f t="shared" si="450"/>
        <v>0</v>
      </c>
    </row>
    <row r="131" spans="1:53" s="229" customFormat="1" ht="12.75" customHeight="1" x14ac:dyDescent="0.2">
      <c r="A131" s="231">
        <v>28</v>
      </c>
      <c r="B131" s="232">
        <v>3410</v>
      </c>
      <c r="C131" s="232">
        <v>650038550</v>
      </c>
      <c r="D131" s="232">
        <v>72743191</v>
      </c>
      <c r="E131" s="233" t="s">
        <v>63</v>
      </c>
      <c r="F131" s="232">
        <v>3141</v>
      </c>
      <c r="G131" s="233" t="s">
        <v>311</v>
      </c>
      <c r="H131" s="264" t="s">
        <v>278</v>
      </c>
      <c r="I131" s="457">
        <f t="shared" si="436"/>
        <v>2561381</v>
      </c>
      <c r="J131" s="457">
        <v>1886517</v>
      </c>
      <c r="K131" s="457">
        <f t="shared" si="437"/>
        <v>637643</v>
      </c>
      <c r="L131" s="457">
        <f t="shared" si="438"/>
        <v>18865</v>
      </c>
      <c r="M131" s="457">
        <v>18356</v>
      </c>
      <c r="N131" s="458">
        <f t="shared" si="439"/>
        <v>6.06</v>
      </c>
      <c r="O131" s="459">
        <v>0</v>
      </c>
      <c r="P131" s="468">
        <v>6.06</v>
      </c>
      <c r="Q131" s="470">
        <f t="shared" si="440"/>
        <v>-19500</v>
      </c>
      <c r="R131" s="460">
        <v>0</v>
      </c>
      <c r="S131" s="673">
        <v>0</v>
      </c>
      <c r="T131" s="460">
        <v>0</v>
      </c>
      <c r="U131" s="460">
        <v>0</v>
      </c>
      <c r="V131" s="460">
        <f>SUM(Q131:U131)</f>
        <v>-19500</v>
      </c>
      <c r="W131" s="460">
        <v>19500</v>
      </c>
      <c r="X131" s="460">
        <v>0</v>
      </c>
      <c r="Y131" s="460">
        <v>0</v>
      </c>
      <c r="Z131" s="460">
        <f t="shared" si="441"/>
        <v>19500</v>
      </c>
      <c r="AA131" s="460">
        <f t="shared" si="442"/>
        <v>0</v>
      </c>
      <c r="AB131" s="69">
        <f t="shared" si="443"/>
        <v>0</v>
      </c>
      <c r="AC131" s="69">
        <f t="shared" si="444"/>
        <v>-195</v>
      </c>
      <c r="AD131" s="460">
        <v>0</v>
      </c>
      <c r="AE131" s="460">
        <v>0</v>
      </c>
      <c r="AF131" s="460">
        <f t="shared" si="445"/>
        <v>0</v>
      </c>
      <c r="AG131" s="460">
        <f t="shared" si="446"/>
        <v>-195</v>
      </c>
      <c r="AH131" s="461">
        <v>0</v>
      </c>
      <c r="AI131" s="461">
        <v>0</v>
      </c>
      <c r="AJ131" s="461">
        <v>0</v>
      </c>
      <c r="AK131" s="461">
        <v>0</v>
      </c>
      <c r="AL131" s="674">
        <v>0</v>
      </c>
      <c r="AM131" s="461">
        <v>0</v>
      </c>
      <c r="AN131" s="461">
        <v>0</v>
      </c>
      <c r="AO131" s="461">
        <v>0</v>
      </c>
      <c r="AP131" s="461">
        <f>AH131+AJ131+AK131+AM131+AN131</f>
        <v>0</v>
      </c>
      <c r="AQ131" s="461">
        <f>AI131+AL131+AO131</f>
        <v>0</v>
      </c>
      <c r="AR131" s="463">
        <f t="shared" si="447"/>
        <v>0</v>
      </c>
      <c r="AS131" s="469">
        <f>I131+AG131</f>
        <v>2561186</v>
      </c>
      <c r="AT131" s="460">
        <f>J131+V131</f>
        <v>1867017</v>
      </c>
      <c r="AU131" s="460">
        <f t="shared" si="448"/>
        <v>19500</v>
      </c>
      <c r="AV131" s="460">
        <f t="shared" si="449"/>
        <v>637643</v>
      </c>
      <c r="AW131" s="460">
        <f t="shared" si="449"/>
        <v>18670</v>
      </c>
      <c r="AX131" s="460">
        <f>M131+AF131</f>
        <v>18356</v>
      </c>
      <c r="AY131" s="461">
        <f>N131+AR131</f>
        <v>6.06</v>
      </c>
      <c r="AZ131" s="461">
        <f t="shared" si="450"/>
        <v>0</v>
      </c>
      <c r="BA131" s="463">
        <f t="shared" si="450"/>
        <v>6.06</v>
      </c>
    </row>
    <row r="132" spans="1:53" s="229" customFormat="1" ht="12.75" customHeight="1" x14ac:dyDescent="0.2">
      <c r="A132" s="231">
        <v>28</v>
      </c>
      <c r="B132" s="232">
        <v>3410</v>
      </c>
      <c r="C132" s="232">
        <v>650038550</v>
      </c>
      <c r="D132" s="232">
        <v>72743191</v>
      </c>
      <c r="E132" s="233" t="s">
        <v>63</v>
      </c>
      <c r="F132" s="232">
        <v>3143</v>
      </c>
      <c r="G132" s="233" t="s">
        <v>616</v>
      </c>
      <c r="H132" s="264" t="s">
        <v>277</v>
      </c>
      <c r="I132" s="457">
        <f t="shared" si="436"/>
        <v>2302251</v>
      </c>
      <c r="J132" s="457">
        <v>1707901</v>
      </c>
      <c r="K132" s="457">
        <f t="shared" si="437"/>
        <v>577271</v>
      </c>
      <c r="L132" s="457">
        <f t="shared" si="438"/>
        <v>17079</v>
      </c>
      <c r="M132" s="457">
        <v>0</v>
      </c>
      <c r="N132" s="458">
        <f t="shared" si="439"/>
        <v>3.3210000000000002</v>
      </c>
      <c r="O132" s="459">
        <v>3.3210000000000002</v>
      </c>
      <c r="P132" s="468">
        <v>0</v>
      </c>
      <c r="Q132" s="470">
        <f t="shared" si="440"/>
        <v>-19500</v>
      </c>
      <c r="R132" s="460">
        <v>0</v>
      </c>
      <c r="S132" s="673">
        <v>0</v>
      </c>
      <c r="T132" s="460">
        <v>0</v>
      </c>
      <c r="U132" s="460">
        <v>0</v>
      </c>
      <c r="V132" s="460">
        <f>SUM(Q132:U132)</f>
        <v>-19500</v>
      </c>
      <c r="W132" s="460">
        <v>19500</v>
      </c>
      <c r="X132" s="460">
        <v>0</v>
      </c>
      <c r="Y132" s="460">
        <v>0</v>
      </c>
      <c r="Z132" s="460">
        <f t="shared" si="441"/>
        <v>19500</v>
      </c>
      <c r="AA132" s="460">
        <f t="shared" si="442"/>
        <v>0</v>
      </c>
      <c r="AB132" s="69">
        <f t="shared" si="443"/>
        <v>0</v>
      </c>
      <c r="AC132" s="69">
        <f t="shared" si="444"/>
        <v>-195</v>
      </c>
      <c r="AD132" s="460">
        <v>0</v>
      </c>
      <c r="AE132" s="460">
        <v>0</v>
      </c>
      <c r="AF132" s="460">
        <f t="shared" si="445"/>
        <v>0</v>
      </c>
      <c r="AG132" s="460">
        <f t="shared" si="446"/>
        <v>-195</v>
      </c>
      <c r="AH132" s="461">
        <v>0</v>
      </c>
      <c r="AI132" s="461">
        <v>0</v>
      </c>
      <c r="AJ132" s="461">
        <v>0</v>
      </c>
      <c r="AK132" s="461">
        <v>0</v>
      </c>
      <c r="AL132" s="674">
        <v>0</v>
      </c>
      <c r="AM132" s="461">
        <v>0</v>
      </c>
      <c r="AN132" s="461">
        <v>0</v>
      </c>
      <c r="AO132" s="461">
        <v>0</v>
      </c>
      <c r="AP132" s="461">
        <f>AH132+AJ132+AK132+AM132+AN132</f>
        <v>0</v>
      </c>
      <c r="AQ132" s="461">
        <f>AI132+AL132+AO132</f>
        <v>0</v>
      </c>
      <c r="AR132" s="463">
        <f t="shared" si="447"/>
        <v>0</v>
      </c>
      <c r="AS132" s="469">
        <f>I132+AG132</f>
        <v>2302056</v>
      </c>
      <c r="AT132" s="460">
        <f>J132+V132</f>
        <v>1688401</v>
      </c>
      <c r="AU132" s="460">
        <f t="shared" si="448"/>
        <v>19500</v>
      </c>
      <c r="AV132" s="460">
        <f t="shared" si="449"/>
        <v>577271</v>
      </c>
      <c r="AW132" s="460">
        <f t="shared" si="449"/>
        <v>16884</v>
      </c>
      <c r="AX132" s="460">
        <f>M132+AF132</f>
        <v>0</v>
      </c>
      <c r="AY132" s="461">
        <f>N132+AR132</f>
        <v>3.3210000000000002</v>
      </c>
      <c r="AZ132" s="461">
        <f t="shared" si="450"/>
        <v>3.3210000000000002</v>
      </c>
      <c r="BA132" s="463">
        <f t="shared" si="450"/>
        <v>0</v>
      </c>
    </row>
    <row r="133" spans="1:53" s="229" customFormat="1" ht="12.75" customHeight="1" x14ac:dyDescent="0.2">
      <c r="A133" s="231">
        <v>28</v>
      </c>
      <c r="B133" s="232">
        <v>3410</v>
      </c>
      <c r="C133" s="232">
        <v>650038550</v>
      </c>
      <c r="D133" s="232">
        <v>72743191</v>
      </c>
      <c r="E133" s="233" t="s">
        <v>63</v>
      </c>
      <c r="F133" s="232">
        <v>3143</v>
      </c>
      <c r="G133" s="233" t="s">
        <v>617</v>
      </c>
      <c r="H133" s="264" t="s">
        <v>278</v>
      </c>
      <c r="I133" s="457">
        <f t="shared" si="436"/>
        <v>87959</v>
      </c>
      <c r="J133" s="457">
        <v>62848</v>
      </c>
      <c r="K133" s="457">
        <f t="shared" si="437"/>
        <v>21243</v>
      </c>
      <c r="L133" s="457">
        <f t="shared" si="438"/>
        <v>628</v>
      </c>
      <c r="M133" s="457">
        <v>3240</v>
      </c>
      <c r="N133" s="458">
        <f t="shared" si="439"/>
        <v>0.26</v>
      </c>
      <c r="O133" s="459">
        <v>0</v>
      </c>
      <c r="P133" s="468">
        <v>0.26</v>
      </c>
      <c r="Q133" s="470">
        <f t="shared" si="440"/>
        <v>0</v>
      </c>
      <c r="R133" s="460">
        <v>0</v>
      </c>
      <c r="S133" s="673">
        <v>0</v>
      </c>
      <c r="T133" s="460">
        <v>0</v>
      </c>
      <c r="U133" s="460">
        <v>0</v>
      </c>
      <c r="V133" s="460">
        <f>SUM(Q133:U133)</f>
        <v>0</v>
      </c>
      <c r="W133" s="460">
        <v>0</v>
      </c>
      <c r="X133" s="460">
        <v>0</v>
      </c>
      <c r="Y133" s="460">
        <v>0</v>
      </c>
      <c r="Z133" s="460">
        <f t="shared" si="441"/>
        <v>0</v>
      </c>
      <c r="AA133" s="460">
        <f t="shared" si="442"/>
        <v>0</v>
      </c>
      <c r="AB133" s="69">
        <f t="shared" si="443"/>
        <v>0</v>
      </c>
      <c r="AC133" s="69">
        <f t="shared" si="444"/>
        <v>0</v>
      </c>
      <c r="AD133" s="460">
        <v>0</v>
      </c>
      <c r="AE133" s="460">
        <v>0</v>
      </c>
      <c r="AF133" s="460">
        <f t="shared" si="445"/>
        <v>0</v>
      </c>
      <c r="AG133" s="460">
        <f t="shared" si="446"/>
        <v>0</v>
      </c>
      <c r="AH133" s="461">
        <v>0</v>
      </c>
      <c r="AI133" s="461">
        <v>0</v>
      </c>
      <c r="AJ133" s="461">
        <v>0</v>
      </c>
      <c r="AK133" s="461">
        <v>0</v>
      </c>
      <c r="AL133" s="674">
        <v>0</v>
      </c>
      <c r="AM133" s="461">
        <v>0</v>
      </c>
      <c r="AN133" s="461">
        <v>0</v>
      </c>
      <c r="AO133" s="461">
        <v>0</v>
      </c>
      <c r="AP133" s="461">
        <f>AH133+AJ133+AK133+AM133+AN133</f>
        <v>0</v>
      </c>
      <c r="AQ133" s="461">
        <f>AI133+AL133+AO133</f>
        <v>0</v>
      </c>
      <c r="AR133" s="463">
        <f t="shared" si="447"/>
        <v>0</v>
      </c>
      <c r="AS133" s="469">
        <f>I133+AG133</f>
        <v>87959</v>
      </c>
      <c r="AT133" s="460">
        <f>J133+V133</f>
        <v>62848</v>
      </c>
      <c r="AU133" s="460">
        <f t="shared" si="448"/>
        <v>0</v>
      </c>
      <c r="AV133" s="460">
        <f t="shared" si="449"/>
        <v>21243</v>
      </c>
      <c r="AW133" s="460">
        <f t="shared" si="449"/>
        <v>628</v>
      </c>
      <c r="AX133" s="460">
        <f>M133+AF133</f>
        <v>3240</v>
      </c>
      <c r="AY133" s="461">
        <f>N133+AR133</f>
        <v>0.26</v>
      </c>
      <c r="AZ133" s="461">
        <f t="shared" si="450"/>
        <v>0</v>
      </c>
      <c r="BA133" s="463">
        <f t="shared" si="450"/>
        <v>0.26</v>
      </c>
    </row>
    <row r="134" spans="1:53" s="229" customFormat="1" ht="12.75" customHeight="1" x14ac:dyDescent="0.2">
      <c r="A134" s="156">
        <v>28</v>
      </c>
      <c r="B134" s="14">
        <v>3410</v>
      </c>
      <c r="C134" s="155">
        <v>650038550</v>
      </c>
      <c r="D134" s="155">
        <v>72743191</v>
      </c>
      <c r="E134" s="230" t="s">
        <v>64</v>
      </c>
      <c r="F134" s="14"/>
      <c r="G134" s="230"/>
      <c r="H134" s="263"/>
      <c r="I134" s="464">
        <f t="shared" ref="I134:P134" si="451">SUM(I129:I133)</f>
        <v>30811311</v>
      </c>
      <c r="J134" s="464">
        <f t="shared" si="451"/>
        <v>22462930</v>
      </c>
      <c r="K134" s="464">
        <f t="shared" si="451"/>
        <v>7592471</v>
      </c>
      <c r="L134" s="464">
        <f t="shared" si="451"/>
        <v>224629</v>
      </c>
      <c r="M134" s="464">
        <f t="shared" si="451"/>
        <v>531281</v>
      </c>
      <c r="N134" s="427">
        <f t="shared" si="451"/>
        <v>42.362099999999998</v>
      </c>
      <c r="O134" s="427">
        <f t="shared" si="451"/>
        <v>28.912100000000002</v>
      </c>
      <c r="P134" s="427">
        <f t="shared" si="451"/>
        <v>13.45</v>
      </c>
      <c r="Q134" s="622">
        <f t="shared" ref="Q134:BA134" si="452">SUM(Q129:Q133)</f>
        <v>-65000</v>
      </c>
      <c r="R134" s="620">
        <f t="shared" si="452"/>
        <v>737682</v>
      </c>
      <c r="S134" s="620">
        <f t="shared" si="452"/>
        <v>0</v>
      </c>
      <c r="T134" s="620">
        <f t="shared" si="452"/>
        <v>0</v>
      </c>
      <c r="U134" s="620">
        <f t="shared" si="452"/>
        <v>0</v>
      </c>
      <c r="V134" s="620">
        <f t="shared" si="452"/>
        <v>672682</v>
      </c>
      <c r="W134" s="620">
        <f t="shared" si="452"/>
        <v>65000</v>
      </c>
      <c r="X134" s="620">
        <f t="shared" si="452"/>
        <v>0</v>
      </c>
      <c r="Y134" s="620">
        <f t="shared" si="452"/>
        <v>0</v>
      </c>
      <c r="Z134" s="620">
        <f t="shared" si="452"/>
        <v>65000</v>
      </c>
      <c r="AA134" s="620">
        <f t="shared" si="452"/>
        <v>737682</v>
      </c>
      <c r="AB134" s="620">
        <f t="shared" si="452"/>
        <v>249337</v>
      </c>
      <c r="AC134" s="620">
        <f t="shared" si="452"/>
        <v>6727</v>
      </c>
      <c r="AD134" s="620">
        <f t="shared" si="452"/>
        <v>0</v>
      </c>
      <c r="AE134" s="620">
        <f t="shared" si="452"/>
        <v>0</v>
      </c>
      <c r="AF134" s="620">
        <f t="shared" si="452"/>
        <v>0</v>
      </c>
      <c r="AG134" s="620">
        <f t="shared" si="452"/>
        <v>993746</v>
      </c>
      <c r="AH134" s="621">
        <f t="shared" si="452"/>
        <v>0</v>
      </c>
      <c r="AI134" s="621">
        <f t="shared" si="452"/>
        <v>0</v>
      </c>
      <c r="AJ134" s="621">
        <f t="shared" si="452"/>
        <v>2.11</v>
      </c>
      <c r="AK134" s="621">
        <f t="shared" si="452"/>
        <v>0</v>
      </c>
      <c r="AL134" s="621">
        <f t="shared" si="452"/>
        <v>0</v>
      </c>
      <c r="AM134" s="621">
        <f t="shared" si="452"/>
        <v>0</v>
      </c>
      <c r="AN134" s="621">
        <f t="shared" si="452"/>
        <v>0</v>
      </c>
      <c r="AO134" s="621">
        <f t="shared" si="452"/>
        <v>0</v>
      </c>
      <c r="AP134" s="621">
        <f t="shared" si="452"/>
        <v>2.11</v>
      </c>
      <c r="AQ134" s="621">
        <f t="shared" si="452"/>
        <v>0</v>
      </c>
      <c r="AR134" s="623">
        <f t="shared" si="452"/>
        <v>2.11</v>
      </c>
      <c r="AS134" s="618">
        <f t="shared" si="452"/>
        <v>31805057</v>
      </c>
      <c r="AT134" s="464">
        <f t="shared" si="452"/>
        <v>23135612</v>
      </c>
      <c r="AU134" s="464">
        <f t="shared" si="452"/>
        <v>65000</v>
      </c>
      <c r="AV134" s="464">
        <f t="shared" si="452"/>
        <v>7841808</v>
      </c>
      <c r="AW134" s="464">
        <f t="shared" si="452"/>
        <v>231356</v>
      </c>
      <c r="AX134" s="464">
        <f t="shared" si="452"/>
        <v>531281</v>
      </c>
      <c r="AY134" s="427">
        <f t="shared" si="452"/>
        <v>44.472099999999998</v>
      </c>
      <c r="AZ134" s="427">
        <f t="shared" si="452"/>
        <v>31.022100000000002</v>
      </c>
      <c r="BA134" s="496">
        <f t="shared" si="452"/>
        <v>13.45</v>
      </c>
    </row>
    <row r="135" spans="1:53" s="229" customFormat="1" ht="12.75" customHeight="1" x14ac:dyDescent="0.2">
      <c r="A135" s="231">
        <v>29</v>
      </c>
      <c r="B135" s="232">
        <v>3455</v>
      </c>
      <c r="C135" s="232">
        <v>651040515</v>
      </c>
      <c r="D135" s="232">
        <v>75122308</v>
      </c>
      <c r="E135" s="233" t="s">
        <v>65</v>
      </c>
      <c r="F135" s="232">
        <v>3231</v>
      </c>
      <c r="G135" s="233" t="s">
        <v>312</v>
      </c>
      <c r="H135" s="264" t="s">
        <v>277</v>
      </c>
      <c r="I135" s="457">
        <f t="shared" ref="I135" si="453">SUM(J135:M135)</f>
        <v>31503868</v>
      </c>
      <c r="J135" s="457">
        <v>23321103</v>
      </c>
      <c r="K135" s="457">
        <f t="shared" ref="K135" si="454">ROUND(J135*33.8%,0)</f>
        <v>7882533</v>
      </c>
      <c r="L135" s="457">
        <f>ROUND(J135*1%,0)</f>
        <v>233211</v>
      </c>
      <c r="M135" s="457">
        <v>67021</v>
      </c>
      <c r="N135" s="458">
        <f t="shared" ref="N135" si="455">O135+P135</f>
        <v>41.0747</v>
      </c>
      <c r="O135" s="459">
        <v>37.203400000000002</v>
      </c>
      <c r="P135" s="468">
        <v>3.8713000000000002</v>
      </c>
      <c r="Q135" s="470">
        <f t="shared" ref="Q135" si="456">W135*-1</f>
        <v>-32500</v>
      </c>
      <c r="R135" s="460">
        <v>0</v>
      </c>
      <c r="S135" s="673">
        <v>0</v>
      </c>
      <c r="T135" s="460">
        <v>0</v>
      </c>
      <c r="U135" s="460">
        <v>0</v>
      </c>
      <c r="V135" s="460">
        <f>SUM(Q135:U135)</f>
        <v>-32500</v>
      </c>
      <c r="W135" s="460">
        <v>32500</v>
      </c>
      <c r="X135" s="460">
        <v>0</v>
      </c>
      <c r="Y135" s="460">
        <v>0</v>
      </c>
      <c r="Z135" s="460">
        <f t="shared" ref="Z135" si="457">SUM(W135:Y135)</f>
        <v>32500</v>
      </c>
      <c r="AA135" s="460">
        <f t="shared" ref="AA135" si="458">V135+Z135</f>
        <v>0</v>
      </c>
      <c r="AB135" s="69">
        <f t="shared" ref="AB135" si="459">ROUND((V135+W135+X135)*33.8%,0)</f>
        <v>0</v>
      </c>
      <c r="AC135" s="69">
        <f>ROUND(V135*1%,0)</f>
        <v>-325</v>
      </c>
      <c r="AD135" s="460">
        <v>0</v>
      </c>
      <c r="AE135" s="460">
        <v>0</v>
      </c>
      <c r="AF135" s="460">
        <f t="shared" ref="AF135" si="460">SUM(AD135:AE135)</f>
        <v>0</v>
      </c>
      <c r="AG135" s="460">
        <f t="shared" ref="AG135" si="461">AA135+AB135+AC135+AF135</f>
        <v>-325</v>
      </c>
      <c r="AH135" s="461">
        <v>-0.03</v>
      </c>
      <c r="AI135" s="461">
        <v>0</v>
      </c>
      <c r="AJ135" s="461">
        <v>0</v>
      </c>
      <c r="AK135" s="461">
        <v>0</v>
      </c>
      <c r="AL135" s="674">
        <v>0</v>
      </c>
      <c r="AM135" s="461">
        <v>0</v>
      </c>
      <c r="AN135" s="461">
        <v>0</v>
      </c>
      <c r="AO135" s="461">
        <v>0</v>
      </c>
      <c r="AP135" s="461">
        <f>AH135+AJ135+AK135+AM135+AN135</f>
        <v>-0.03</v>
      </c>
      <c r="AQ135" s="461">
        <f>AI135+AL135+AO135</f>
        <v>0</v>
      </c>
      <c r="AR135" s="463">
        <f t="shared" ref="AR135" si="462">SUM(AP135:AQ135)</f>
        <v>-0.03</v>
      </c>
      <c r="AS135" s="469">
        <f>I135+AG135</f>
        <v>31503543</v>
      </c>
      <c r="AT135" s="460">
        <f>J135+V135</f>
        <v>23288603</v>
      </c>
      <c r="AU135" s="460">
        <f>Z135</f>
        <v>32500</v>
      </c>
      <c r="AV135" s="460">
        <f>K135+AB135</f>
        <v>7882533</v>
      </c>
      <c r="AW135" s="460">
        <f>L135+AC135</f>
        <v>232886</v>
      </c>
      <c r="AX135" s="460">
        <f>M135+AF135</f>
        <v>67021</v>
      </c>
      <c r="AY135" s="461">
        <f>N135+AR135</f>
        <v>41.044699999999999</v>
      </c>
      <c r="AZ135" s="461">
        <f>O135+AP135</f>
        <v>37.173400000000001</v>
      </c>
      <c r="BA135" s="463">
        <f>P135+AQ135</f>
        <v>3.8713000000000002</v>
      </c>
    </row>
    <row r="136" spans="1:53" s="229" customFormat="1" ht="12.75" customHeight="1" x14ac:dyDescent="0.2">
      <c r="A136" s="156">
        <v>29</v>
      </c>
      <c r="B136" s="14">
        <v>3455</v>
      </c>
      <c r="C136" s="155">
        <v>651040515</v>
      </c>
      <c r="D136" s="155">
        <v>75122308</v>
      </c>
      <c r="E136" s="230" t="s">
        <v>66</v>
      </c>
      <c r="F136" s="14"/>
      <c r="G136" s="230"/>
      <c r="H136" s="263"/>
      <c r="I136" s="464">
        <f t="shared" ref="I136:BA136" si="463">SUM(I135)</f>
        <v>31503868</v>
      </c>
      <c r="J136" s="464">
        <f t="shared" si="463"/>
        <v>23321103</v>
      </c>
      <c r="K136" s="464">
        <f t="shared" si="463"/>
        <v>7882533</v>
      </c>
      <c r="L136" s="464">
        <f t="shared" si="463"/>
        <v>233211</v>
      </c>
      <c r="M136" s="464">
        <f t="shared" si="463"/>
        <v>67021</v>
      </c>
      <c r="N136" s="427">
        <f t="shared" si="463"/>
        <v>41.0747</v>
      </c>
      <c r="O136" s="427">
        <f t="shared" si="463"/>
        <v>37.203400000000002</v>
      </c>
      <c r="P136" s="427">
        <f t="shared" si="463"/>
        <v>3.8713000000000002</v>
      </c>
      <c r="Q136" s="622">
        <f t="shared" si="463"/>
        <v>-32500</v>
      </c>
      <c r="R136" s="620">
        <f t="shared" si="463"/>
        <v>0</v>
      </c>
      <c r="S136" s="620">
        <f t="shared" si="463"/>
        <v>0</v>
      </c>
      <c r="T136" s="620">
        <f t="shared" si="463"/>
        <v>0</v>
      </c>
      <c r="U136" s="620">
        <f t="shared" si="463"/>
        <v>0</v>
      </c>
      <c r="V136" s="620">
        <f t="shared" si="463"/>
        <v>-32500</v>
      </c>
      <c r="W136" s="620">
        <f t="shared" si="463"/>
        <v>32500</v>
      </c>
      <c r="X136" s="620">
        <f t="shared" si="463"/>
        <v>0</v>
      </c>
      <c r="Y136" s="620">
        <f t="shared" si="463"/>
        <v>0</v>
      </c>
      <c r="Z136" s="620">
        <f t="shared" si="463"/>
        <v>32500</v>
      </c>
      <c r="AA136" s="620">
        <f t="shared" si="463"/>
        <v>0</v>
      </c>
      <c r="AB136" s="620">
        <f t="shared" si="463"/>
        <v>0</v>
      </c>
      <c r="AC136" s="620">
        <f t="shared" si="463"/>
        <v>-325</v>
      </c>
      <c r="AD136" s="620">
        <f t="shared" si="463"/>
        <v>0</v>
      </c>
      <c r="AE136" s="620">
        <f t="shared" si="463"/>
        <v>0</v>
      </c>
      <c r="AF136" s="620">
        <f t="shared" si="463"/>
        <v>0</v>
      </c>
      <c r="AG136" s="620">
        <f t="shared" si="463"/>
        <v>-325</v>
      </c>
      <c r="AH136" s="621">
        <f t="shared" si="463"/>
        <v>-0.03</v>
      </c>
      <c r="AI136" s="621">
        <f t="shared" si="463"/>
        <v>0</v>
      </c>
      <c r="AJ136" s="621">
        <f t="shared" si="463"/>
        <v>0</v>
      </c>
      <c r="AK136" s="621">
        <f t="shared" si="463"/>
        <v>0</v>
      </c>
      <c r="AL136" s="621">
        <f t="shared" si="463"/>
        <v>0</v>
      </c>
      <c r="AM136" s="621">
        <f t="shared" si="463"/>
        <v>0</v>
      </c>
      <c r="AN136" s="621">
        <f t="shared" si="463"/>
        <v>0</v>
      </c>
      <c r="AO136" s="621">
        <f t="shared" si="463"/>
        <v>0</v>
      </c>
      <c r="AP136" s="621">
        <f t="shared" si="463"/>
        <v>-0.03</v>
      </c>
      <c r="AQ136" s="621">
        <f t="shared" si="463"/>
        <v>0</v>
      </c>
      <c r="AR136" s="623">
        <f t="shared" si="463"/>
        <v>-0.03</v>
      </c>
      <c r="AS136" s="618">
        <f t="shared" si="463"/>
        <v>31503543</v>
      </c>
      <c r="AT136" s="464">
        <f t="shared" si="463"/>
        <v>23288603</v>
      </c>
      <c r="AU136" s="464">
        <f t="shared" si="463"/>
        <v>32500</v>
      </c>
      <c r="AV136" s="464">
        <f t="shared" si="463"/>
        <v>7882533</v>
      </c>
      <c r="AW136" s="464">
        <f t="shared" si="463"/>
        <v>232886</v>
      </c>
      <c r="AX136" s="464">
        <f t="shared" si="463"/>
        <v>67021</v>
      </c>
      <c r="AY136" s="427">
        <f t="shared" si="463"/>
        <v>41.044699999999999</v>
      </c>
      <c r="AZ136" s="427">
        <f t="shared" si="463"/>
        <v>37.173400000000001</v>
      </c>
      <c r="BA136" s="496">
        <f t="shared" si="463"/>
        <v>3.8713000000000002</v>
      </c>
    </row>
    <row r="137" spans="1:53" s="229" customFormat="1" ht="12.75" customHeight="1" x14ac:dyDescent="0.2">
      <c r="A137" s="231">
        <v>30</v>
      </c>
      <c r="B137" s="232">
        <v>3419</v>
      </c>
      <c r="C137" s="232">
        <v>600078434</v>
      </c>
      <c r="D137" s="232">
        <v>72742658</v>
      </c>
      <c r="E137" s="233" t="s">
        <v>67</v>
      </c>
      <c r="F137" s="232">
        <v>3111</v>
      </c>
      <c r="G137" s="233" t="s">
        <v>307</v>
      </c>
      <c r="H137" s="264" t="s">
        <v>277</v>
      </c>
      <c r="I137" s="457">
        <f t="shared" ref="I137:I143" si="464">SUM(J137:M137)</f>
        <v>3101953</v>
      </c>
      <c r="J137" s="457">
        <v>2288096</v>
      </c>
      <c r="K137" s="457">
        <f t="shared" ref="K137:K143" si="465">ROUND(J137*33.8%,0)</f>
        <v>773376</v>
      </c>
      <c r="L137" s="457">
        <f t="shared" ref="L137:L143" si="466">ROUND(J137*1%,0)</f>
        <v>22881</v>
      </c>
      <c r="M137" s="457">
        <v>17600</v>
      </c>
      <c r="N137" s="458">
        <f t="shared" ref="N137:N143" si="467">O137+P137</f>
        <v>4.67</v>
      </c>
      <c r="O137" s="459">
        <v>3.87</v>
      </c>
      <c r="P137" s="468">
        <v>0.8</v>
      </c>
      <c r="Q137" s="470">
        <f t="shared" ref="Q137:Q143" si="468">W137*-1</f>
        <v>-48685</v>
      </c>
      <c r="R137" s="460">
        <v>0</v>
      </c>
      <c r="S137" s="673">
        <v>0</v>
      </c>
      <c r="T137" s="460">
        <v>0</v>
      </c>
      <c r="U137" s="460">
        <v>0</v>
      </c>
      <c r="V137" s="460">
        <f t="shared" ref="V137:V143" si="469">SUM(Q137:U137)</f>
        <v>-48685</v>
      </c>
      <c r="W137" s="460">
        <v>48685</v>
      </c>
      <c r="X137" s="460">
        <v>0</v>
      </c>
      <c r="Y137" s="460">
        <v>0</v>
      </c>
      <c r="Z137" s="460">
        <f t="shared" ref="Z137:Z143" si="470">SUM(W137:Y137)</f>
        <v>48685</v>
      </c>
      <c r="AA137" s="460">
        <f t="shared" ref="AA137:AA143" si="471">V137+Z137</f>
        <v>0</v>
      </c>
      <c r="AB137" s="69">
        <f t="shared" ref="AB137:AB143" si="472">ROUND((V137+W137+X137)*33.8%,0)</f>
        <v>0</v>
      </c>
      <c r="AC137" s="69">
        <f t="shared" ref="AC137:AC143" si="473">ROUND(V137*1%,0)</f>
        <v>-487</v>
      </c>
      <c r="AD137" s="460">
        <v>0</v>
      </c>
      <c r="AE137" s="460">
        <v>0</v>
      </c>
      <c r="AF137" s="460">
        <f t="shared" ref="AF137:AF143" si="474">SUM(AD137:AE137)</f>
        <v>0</v>
      </c>
      <c r="AG137" s="460">
        <f t="shared" ref="AG137:AG143" si="475">AA137+AB137+AC137+AF137</f>
        <v>-487</v>
      </c>
      <c r="AH137" s="461">
        <v>-0.05</v>
      </c>
      <c r="AI137" s="461">
        <v>-0.1</v>
      </c>
      <c r="AJ137" s="461">
        <v>0</v>
      </c>
      <c r="AK137" s="461">
        <v>0</v>
      </c>
      <c r="AL137" s="674">
        <v>0</v>
      </c>
      <c r="AM137" s="461">
        <v>0</v>
      </c>
      <c r="AN137" s="461">
        <v>0</v>
      </c>
      <c r="AO137" s="461">
        <v>0</v>
      </c>
      <c r="AP137" s="461">
        <f t="shared" ref="AP137:AP143" si="476">AH137+AJ137+AK137+AM137+AN137</f>
        <v>-0.05</v>
      </c>
      <c r="AQ137" s="461">
        <f t="shared" ref="AQ137:AQ143" si="477">AI137+AL137+AO137</f>
        <v>-0.1</v>
      </c>
      <c r="AR137" s="463">
        <f t="shared" ref="AR137:AR143" si="478">SUM(AP137:AQ137)</f>
        <v>-0.15000000000000002</v>
      </c>
      <c r="AS137" s="469">
        <f t="shared" ref="AS137:AS143" si="479">I137+AG137</f>
        <v>3101466</v>
      </c>
      <c r="AT137" s="460">
        <f t="shared" ref="AT137:AT143" si="480">J137+V137</f>
        <v>2239411</v>
      </c>
      <c r="AU137" s="460">
        <f t="shared" ref="AU137:AU143" si="481">Z137</f>
        <v>48685</v>
      </c>
      <c r="AV137" s="460">
        <f t="shared" ref="AV137:AW143" si="482">K137+AB137</f>
        <v>773376</v>
      </c>
      <c r="AW137" s="460">
        <f t="shared" si="482"/>
        <v>22394</v>
      </c>
      <c r="AX137" s="460">
        <f t="shared" ref="AX137:AX143" si="483">M137+AF137</f>
        <v>17600</v>
      </c>
      <c r="AY137" s="461">
        <f t="shared" ref="AY137:AY143" si="484">N137+AR137</f>
        <v>4.5199999999999996</v>
      </c>
      <c r="AZ137" s="461">
        <f t="shared" ref="AZ137:BA143" si="485">O137+AP137</f>
        <v>3.8200000000000003</v>
      </c>
      <c r="BA137" s="463">
        <f t="shared" si="485"/>
        <v>0.70000000000000007</v>
      </c>
    </row>
    <row r="138" spans="1:53" s="229" customFormat="1" ht="12.75" customHeight="1" x14ac:dyDescent="0.2">
      <c r="A138" s="231">
        <v>30</v>
      </c>
      <c r="B138" s="232">
        <v>3419</v>
      </c>
      <c r="C138" s="232">
        <v>600078434</v>
      </c>
      <c r="D138" s="232">
        <v>72742658</v>
      </c>
      <c r="E138" s="233" t="s">
        <v>67</v>
      </c>
      <c r="F138" s="232">
        <v>3113</v>
      </c>
      <c r="G138" s="233" t="s">
        <v>310</v>
      </c>
      <c r="H138" s="264" t="s">
        <v>277</v>
      </c>
      <c r="I138" s="457">
        <f t="shared" si="464"/>
        <v>12736067</v>
      </c>
      <c r="J138" s="457">
        <v>9280424</v>
      </c>
      <c r="K138" s="457">
        <f>ROUND(J138*33.8%,0)+1</f>
        <v>3136784</v>
      </c>
      <c r="L138" s="457">
        <f t="shared" si="466"/>
        <v>92804</v>
      </c>
      <c r="M138" s="457">
        <v>226055</v>
      </c>
      <c r="N138" s="458">
        <f t="shared" si="467"/>
        <v>16.532900000000001</v>
      </c>
      <c r="O138" s="459">
        <v>12.2729</v>
      </c>
      <c r="P138" s="468">
        <v>4.2600000000000007</v>
      </c>
      <c r="Q138" s="470">
        <f t="shared" si="468"/>
        <v>0</v>
      </c>
      <c r="R138" s="460">
        <v>0</v>
      </c>
      <c r="S138" s="673">
        <v>0</v>
      </c>
      <c r="T138" s="460">
        <v>42711</v>
      </c>
      <c r="U138" s="460">
        <v>0</v>
      </c>
      <c r="V138" s="460">
        <f t="shared" si="469"/>
        <v>42711</v>
      </c>
      <c r="W138" s="460">
        <v>0</v>
      </c>
      <c r="X138" s="460">
        <v>0</v>
      </c>
      <c r="Y138" s="460">
        <v>0</v>
      </c>
      <c r="Z138" s="460">
        <f t="shared" si="470"/>
        <v>0</v>
      </c>
      <c r="AA138" s="460">
        <f t="shared" si="471"/>
        <v>42711</v>
      </c>
      <c r="AB138" s="69">
        <f t="shared" si="472"/>
        <v>14436</v>
      </c>
      <c r="AC138" s="69">
        <f t="shared" si="473"/>
        <v>427</v>
      </c>
      <c r="AD138" s="460">
        <v>0</v>
      </c>
      <c r="AE138" s="460">
        <v>0</v>
      </c>
      <c r="AF138" s="460">
        <f t="shared" si="474"/>
        <v>0</v>
      </c>
      <c r="AG138" s="460">
        <f t="shared" si="475"/>
        <v>57574</v>
      </c>
      <c r="AH138" s="461">
        <v>0</v>
      </c>
      <c r="AI138" s="461">
        <v>0</v>
      </c>
      <c r="AJ138" s="461">
        <v>0</v>
      </c>
      <c r="AK138" s="461">
        <v>0</v>
      </c>
      <c r="AL138" s="674">
        <v>0</v>
      </c>
      <c r="AM138" s="461">
        <v>7.0000000000000007E-2</v>
      </c>
      <c r="AN138" s="461">
        <v>0</v>
      </c>
      <c r="AO138" s="461">
        <v>0</v>
      </c>
      <c r="AP138" s="461">
        <f t="shared" si="476"/>
        <v>7.0000000000000007E-2</v>
      </c>
      <c r="AQ138" s="461">
        <f t="shared" si="477"/>
        <v>0</v>
      </c>
      <c r="AR138" s="463">
        <f t="shared" si="478"/>
        <v>7.0000000000000007E-2</v>
      </c>
      <c r="AS138" s="469">
        <f t="shared" si="479"/>
        <v>12793641</v>
      </c>
      <c r="AT138" s="460">
        <f t="shared" si="480"/>
        <v>9323135</v>
      </c>
      <c r="AU138" s="460">
        <f t="shared" si="481"/>
        <v>0</v>
      </c>
      <c r="AV138" s="460">
        <f t="shared" si="482"/>
        <v>3151220</v>
      </c>
      <c r="AW138" s="460">
        <f t="shared" si="482"/>
        <v>93231</v>
      </c>
      <c r="AX138" s="460">
        <f t="shared" si="483"/>
        <v>226055</v>
      </c>
      <c r="AY138" s="461">
        <f t="shared" si="484"/>
        <v>16.602900000000002</v>
      </c>
      <c r="AZ138" s="461">
        <f t="shared" si="485"/>
        <v>12.3429</v>
      </c>
      <c r="BA138" s="463">
        <f t="shared" si="485"/>
        <v>4.2600000000000007</v>
      </c>
    </row>
    <row r="139" spans="1:53" s="229" customFormat="1" x14ac:dyDescent="0.2">
      <c r="A139" s="231">
        <v>30</v>
      </c>
      <c r="B139" s="232">
        <v>3419</v>
      </c>
      <c r="C139" s="232">
        <v>600078434</v>
      </c>
      <c r="D139" s="232">
        <v>72742658</v>
      </c>
      <c r="E139" s="233" t="s">
        <v>67</v>
      </c>
      <c r="F139" s="232">
        <v>3113</v>
      </c>
      <c r="G139" s="233" t="s">
        <v>308</v>
      </c>
      <c r="H139" s="264" t="s">
        <v>278</v>
      </c>
      <c r="I139" s="457">
        <f t="shared" si="464"/>
        <v>0</v>
      </c>
      <c r="J139" s="457">
        <v>0</v>
      </c>
      <c r="K139" s="457">
        <f t="shared" si="465"/>
        <v>0</v>
      </c>
      <c r="L139" s="457">
        <f t="shared" si="466"/>
        <v>0</v>
      </c>
      <c r="M139" s="457">
        <v>0</v>
      </c>
      <c r="N139" s="458">
        <f t="shared" si="467"/>
        <v>0</v>
      </c>
      <c r="O139" s="459">
        <v>0</v>
      </c>
      <c r="P139" s="468">
        <v>0</v>
      </c>
      <c r="Q139" s="470">
        <f t="shared" si="468"/>
        <v>0</v>
      </c>
      <c r="R139" s="460">
        <f>1299175-11925</f>
        <v>1287250</v>
      </c>
      <c r="S139" s="673">
        <v>0</v>
      </c>
      <c r="T139" s="460">
        <v>0</v>
      </c>
      <c r="U139" s="460">
        <v>0</v>
      </c>
      <c r="V139" s="460">
        <f t="shared" si="469"/>
        <v>1287250</v>
      </c>
      <c r="W139" s="460">
        <v>0</v>
      </c>
      <c r="X139" s="460">
        <v>0</v>
      </c>
      <c r="Y139" s="460">
        <v>0</v>
      </c>
      <c r="Z139" s="460">
        <f t="shared" si="470"/>
        <v>0</v>
      </c>
      <c r="AA139" s="460">
        <f t="shared" si="471"/>
        <v>1287250</v>
      </c>
      <c r="AB139" s="69">
        <f t="shared" si="472"/>
        <v>435091</v>
      </c>
      <c r="AC139" s="69">
        <f t="shared" si="473"/>
        <v>12873</v>
      </c>
      <c r="AD139" s="460">
        <v>0</v>
      </c>
      <c r="AE139" s="460">
        <v>0</v>
      </c>
      <c r="AF139" s="460">
        <f t="shared" si="474"/>
        <v>0</v>
      </c>
      <c r="AG139" s="460">
        <f t="shared" si="475"/>
        <v>1735214</v>
      </c>
      <c r="AH139" s="461">
        <v>0</v>
      </c>
      <c r="AI139" s="461">
        <v>0</v>
      </c>
      <c r="AJ139" s="461">
        <v>3.75</v>
      </c>
      <c r="AK139" s="461">
        <v>0</v>
      </c>
      <c r="AL139" s="674">
        <v>0</v>
      </c>
      <c r="AM139" s="461">
        <v>0</v>
      </c>
      <c r="AN139" s="461">
        <v>0</v>
      </c>
      <c r="AO139" s="461">
        <v>0</v>
      </c>
      <c r="AP139" s="461">
        <f t="shared" si="476"/>
        <v>3.75</v>
      </c>
      <c r="AQ139" s="461">
        <f t="shared" si="477"/>
        <v>0</v>
      </c>
      <c r="AR139" s="463">
        <f t="shared" si="478"/>
        <v>3.75</v>
      </c>
      <c r="AS139" s="469">
        <f t="shared" si="479"/>
        <v>1735214</v>
      </c>
      <c r="AT139" s="460">
        <f t="shared" si="480"/>
        <v>1287250</v>
      </c>
      <c r="AU139" s="460">
        <f t="shared" si="481"/>
        <v>0</v>
      </c>
      <c r="AV139" s="460">
        <f t="shared" si="482"/>
        <v>435091</v>
      </c>
      <c r="AW139" s="460">
        <f t="shared" si="482"/>
        <v>12873</v>
      </c>
      <c r="AX139" s="460">
        <f t="shared" si="483"/>
        <v>0</v>
      </c>
      <c r="AY139" s="461">
        <f t="shared" si="484"/>
        <v>3.75</v>
      </c>
      <c r="AZ139" s="461">
        <f t="shared" si="485"/>
        <v>3.75</v>
      </c>
      <c r="BA139" s="463">
        <f t="shared" si="485"/>
        <v>0</v>
      </c>
    </row>
    <row r="140" spans="1:53" s="229" customFormat="1" ht="12.75" customHeight="1" x14ac:dyDescent="0.2">
      <c r="A140" s="231">
        <v>30</v>
      </c>
      <c r="B140" s="232">
        <v>3419</v>
      </c>
      <c r="C140" s="232">
        <v>600078434</v>
      </c>
      <c r="D140" s="232">
        <v>72742658</v>
      </c>
      <c r="E140" s="233" t="s">
        <v>67</v>
      </c>
      <c r="F140" s="232">
        <v>3141</v>
      </c>
      <c r="G140" s="233" t="s">
        <v>311</v>
      </c>
      <c r="H140" s="264" t="s">
        <v>278</v>
      </c>
      <c r="I140" s="457">
        <f t="shared" si="464"/>
        <v>1803828</v>
      </c>
      <c r="J140" s="457">
        <v>1330244</v>
      </c>
      <c r="K140" s="457">
        <f t="shared" si="465"/>
        <v>449622</v>
      </c>
      <c r="L140" s="457">
        <f t="shared" si="466"/>
        <v>13302</v>
      </c>
      <c r="M140" s="457">
        <v>10660</v>
      </c>
      <c r="N140" s="458">
        <f t="shared" si="467"/>
        <v>4.2699999999999996</v>
      </c>
      <c r="O140" s="459">
        <v>0</v>
      </c>
      <c r="P140" s="468">
        <v>4.2699999999999996</v>
      </c>
      <c r="Q140" s="470">
        <f t="shared" si="468"/>
        <v>0</v>
      </c>
      <c r="R140" s="460">
        <v>0</v>
      </c>
      <c r="S140" s="673">
        <v>0</v>
      </c>
      <c r="T140" s="460">
        <v>0</v>
      </c>
      <c r="U140" s="460">
        <v>0</v>
      </c>
      <c r="V140" s="460">
        <f t="shared" si="469"/>
        <v>0</v>
      </c>
      <c r="W140" s="460">
        <v>0</v>
      </c>
      <c r="X140" s="460">
        <v>0</v>
      </c>
      <c r="Y140" s="460">
        <v>0</v>
      </c>
      <c r="Z140" s="460">
        <f t="shared" si="470"/>
        <v>0</v>
      </c>
      <c r="AA140" s="460">
        <f t="shared" si="471"/>
        <v>0</v>
      </c>
      <c r="AB140" s="69">
        <f t="shared" si="472"/>
        <v>0</v>
      </c>
      <c r="AC140" s="69">
        <f t="shared" si="473"/>
        <v>0</v>
      </c>
      <c r="AD140" s="460">
        <v>0</v>
      </c>
      <c r="AE140" s="460">
        <v>0</v>
      </c>
      <c r="AF140" s="460">
        <f t="shared" si="474"/>
        <v>0</v>
      </c>
      <c r="AG140" s="460">
        <f t="shared" si="475"/>
        <v>0</v>
      </c>
      <c r="AH140" s="461">
        <v>0</v>
      </c>
      <c r="AI140" s="461">
        <v>0</v>
      </c>
      <c r="AJ140" s="461">
        <v>0</v>
      </c>
      <c r="AK140" s="461">
        <v>0</v>
      </c>
      <c r="AL140" s="674">
        <v>0</v>
      </c>
      <c r="AM140" s="461">
        <v>0</v>
      </c>
      <c r="AN140" s="461">
        <v>0</v>
      </c>
      <c r="AO140" s="461">
        <v>0</v>
      </c>
      <c r="AP140" s="461">
        <f t="shared" si="476"/>
        <v>0</v>
      </c>
      <c r="AQ140" s="461">
        <f t="shared" si="477"/>
        <v>0</v>
      </c>
      <c r="AR140" s="463">
        <f t="shared" si="478"/>
        <v>0</v>
      </c>
      <c r="AS140" s="469">
        <f t="shared" si="479"/>
        <v>1803828</v>
      </c>
      <c r="AT140" s="460">
        <f t="shared" si="480"/>
        <v>1330244</v>
      </c>
      <c r="AU140" s="460">
        <f t="shared" si="481"/>
        <v>0</v>
      </c>
      <c r="AV140" s="460">
        <f t="shared" si="482"/>
        <v>449622</v>
      </c>
      <c r="AW140" s="460">
        <f t="shared" si="482"/>
        <v>13302</v>
      </c>
      <c r="AX140" s="460">
        <f t="shared" si="483"/>
        <v>10660</v>
      </c>
      <c r="AY140" s="461">
        <f t="shared" si="484"/>
        <v>4.2699999999999996</v>
      </c>
      <c r="AZ140" s="461">
        <f t="shared" si="485"/>
        <v>0</v>
      </c>
      <c r="BA140" s="463">
        <f t="shared" si="485"/>
        <v>4.2699999999999996</v>
      </c>
    </row>
    <row r="141" spans="1:53" s="229" customFormat="1" ht="12.75" customHeight="1" x14ac:dyDescent="0.2">
      <c r="A141" s="231">
        <v>30</v>
      </c>
      <c r="B141" s="232">
        <v>3419</v>
      </c>
      <c r="C141" s="232">
        <v>600078434</v>
      </c>
      <c r="D141" s="232">
        <v>72742658</v>
      </c>
      <c r="E141" s="233" t="s">
        <v>67</v>
      </c>
      <c r="F141" s="232">
        <v>3143</v>
      </c>
      <c r="G141" s="233" t="s">
        <v>616</v>
      </c>
      <c r="H141" s="264" t="s">
        <v>277</v>
      </c>
      <c r="I141" s="457">
        <f t="shared" si="464"/>
        <v>861453</v>
      </c>
      <c r="J141" s="457">
        <v>639060</v>
      </c>
      <c r="K141" s="457">
        <f t="shared" si="465"/>
        <v>216002</v>
      </c>
      <c r="L141" s="457">
        <f t="shared" si="466"/>
        <v>6391</v>
      </c>
      <c r="M141" s="457">
        <v>0</v>
      </c>
      <c r="N141" s="458">
        <f t="shared" si="467"/>
        <v>1.29</v>
      </c>
      <c r="O141" s="459">
        <v>1.29</v>
      </c>
      <c r="P141" s="468">
        <v>0</v>
      </c>
      <c r="Q141" s="470">
        <f t="shared" si="468"/>
        <v>0</v>
      </c>
      <c r="R141" s="460">
        <v>0</v>
      </c>
      <c r="S141" s="673">
        <v>0</v>
      </c>
      <c r="T141" s="460">
        <v>0</v>
      </c>
      <c r="U141" s="460">
        <v>0</v>
      </c>
      <c r="V141" s="460">
        <f t="shared" si="469"/>
        <v>0</v>
      </c>
      <c r="W141" s="460">
        <v>0</v>
      </c>
      <c r="X141" s="460">
        <v>0</v>
      </c>
      <c r="Y141" s="460">
        <v>0</v>
      </c>
      <c r="Z141" s="460">
        <f t="shared" si="470"/>
        <v>0</v>
      </c>
      <c r="AA141" s="460">
        <f t="shared" si="471"/>
        <v>0</v>
      </c>
      <c r="AB141" s="69">
        <f t="shared" si="472"/>
        <v>0</v>
      </c>
      <c r="AC141" s="69">
        <f t="shared" si="473"/>
        <v>0</v>
      </c>
      <c r="AD141" s="460">
        <v>0</v>
      </c>
      <c r="AE141" s="460">
        <v>0</v>
      </c>
      <c r="AF141" s="460">
        <f t="shared" si="474"/>
        <v>0</v>
      </c>
      <c r="AG141" s="460">
        <f t="shared" si="475"/>
        <v>0</v>
      </c>
      <c r="AH141" s="461">
        <v>0</v>
      </c>
      <c r="AI141" s="461">
        <v>0</v>
      </c>
      <c r="AJ141" s="461">
        <v>0</v>
      </c>
      <c r="AK141" s="461">
        <v>0</v>
      </c>
      <c r="AL141" s="674">
        <v>0</v>
      </c>
      <c r="AM141" s="461">
        <v>0</v>
      </c>
      <c r="AN141" s="461">
        <v>0</v>
      </c>
      <c r="AO141" s="461">
        <v>0</v>
      </c>
      <c r="AP141" s="461">
        <f t="shared" si="476"/>
        <v>0</v>
      </c>
      <c r="AQ141" s="461">
        <f t="shared" si="477"/>
        <v>0</v>
      </c>
      <c r="AR141" s="463">
        <f t="shared" si="478"/>
        <v>0</v>
      </c>
      <c r="AS141" s="469">
        <f t="shared" si="479"/>
        <v>861453</v>
      </c>
      <c r="AT141" s="460">
        <f t="shared" si="480"/>
        <v>639060</v>
      </c>
      <c r="AU141" s="460">
        <f t="shared" si="481"/>
        <v>0</v>
      </c>
      <c r="AV141" s="460">
        <f t="shared" si="482"/>
        <v>216002</v>
      </c>
      <c r="AW141" s="460">
        <f t="shared" si="482"/>
        <v>6391</v>
      </c>
      <c r="AX141" s="460">
        <f t="shared" si="483"/>
        <v>0</v>
      </c>
      <c r="AY141" s="461">
        <f t="shared" si="484"/>
        <v>1.29</v>
      </c>
      <c r="AZ141" s="461">
        <f t="shared" si="485"/>
        <v>1.29</v>
      </c>
      <c r="BA141" s="463">
        <f t="shared" si="485"/>
        <v>0</v>
      </c>
    </row>
    <row r="142" spans="1:53" s="229" customFormat="1" ht="12.75" customHeight="1" x14ac:dyDescent="0.2">
      <c r="A142" s="231">
        <v>30</v>
      </c>
      <c r="B142" s="232">
        <v>3419</v>
      </c>
      <c r="C142" s="232">
        <v>600078434</v>
      </c>
      <c r="D142" s="232">
        <v>72742658</v>
      </c>
      <c r="E142" s="233" t="s">
        <v>67</v>
      </c>
      <c r="F142" s="232">
        <v>3143</v>
      </c>
      <c r="G142" s="233" t="s">
        <v>617</v>
      </c>
      <c r="H142" s="264" t="s">
        <v>278</v>
      </c>
      <c r="I142" s="457">
        <f t="shared" si="464"/>
        <v>35183</v>
      </c>
      <c r="J142" s="457">
        <v>25139</v>
      </c>
      <c r="K142" s="457">
        <f t="shared" si="465"/>
        <v>8497</v>
      </c>
      <c r="L142" s="457">
        <f t="shared" si="466"/>
        <v>251</v>
      </c>
      <c r="M142" s="457">
        <v>1296</v>
      </c>
      <c r="N142" s="458">
        <f t="shared" si="467"/>
        <v>0.1</v>
      </c>
      <c r="O142" s="459">
        <v>0</v>
      </c>
      <c r="P142" s="468">
        <v>0.1</v>
      </c>
      <c r="Q142" s="470">
        <f t="shared" si="468"/>
        <v>0</v>
      </c>
      <c r="R142" s="460">
        <v>0</v>
      </c>
      <c r="S142" s="673">
        <v>0</v>
      </c>
      <c r="T142" s="460">
        <v>0</v>
      </c>
      <c r="U142" s="460">
        <v>0</v>
      </c>
      <c r="V142" s="460">
        <f t="shared" si="469"/>
        <v>0</v>
      </c>
      <c r="W142" s="460">
        <v>0</v>
      </c>
      <c r="X142" s="460">
        <v>0</v>
      </c>
      <c r="Y142" s="460">
        <v>0</v>
      </c>
      <c r="Z142" s="460">
        <f t="shared" si="470"/>
        <v>0</v>
      </c>
      <c r="AA142" s="460">
        <f t="shared" si="471"/>
        <v>0</v>
      </c>
      <c r="AB142" s="69">
        <f t="shared" si="472"/>
        <v>0</v>
      </c>
      <c r="AC142" s="69">
        <f t="shared" si="473"/>
        <v>0</v>
      </c>
      <c r="AD142" s="460">
        <v>0</v>
      </c>
      <c r="AE142" s="460">
        <v>0</v>
      </c>
      <c r="AF142" s="460">
        <f t="shared" si="474"/>
        <v>0</v>
      </c>
      <c r="AG142" s="460">
        <f t="shared" si="475"/>
        <v>0</v>
      </c>
      <c r="AH142" s="461">
        <v>0</v>
      </c>
      <c r="AI142" s="461">
        <v>0</v>
      </c>
      <c r="AJ142" s="461">
        <v>0</v>
      </c>
      <c r="AK142" s="461">
        <v>0</v>
      </c>
      <c r="AL142" s="674">
        <v>0</v>
      </c>
      <c r="AM142" s="461">
        <v>0</v>
      </c>
      <c r="AN142" s="461">
        <v>0</v>
      </c>
      <c r="AO142" s="461">
        <v>0</v>
      </c>
      <c r="AP142" s="461">
        <f t="shared" si="476"/>
        <v>0</v>
      </c>
      <c r="AQ142" s="461">
        <f t="shared" si="477"/>
        <v>0</v>
      </c>
      <c r="AR142" s="463">
        <f t="shared" si="478"/>
        <v>0</v>
      </c>
      <c r="AS142" s="469">
        <f t="shared" si="479"/>
        <v>35183</v>
      </c>
      <c r="AT142" s="460">
        <f t="shared" si="480"/>
        <v>25139</v>
      </c>
      <c r="AU142" s="460">
        <f t="shared" si="481"/>
        <v>0</v>
      </c>
      <c r="AV142" s="460">
        <f t="shared" si="482"/>
        <v>8497</v>
      </c>
      <c r="AW142" s="460">
        <f t="shared" si="482"/>
        <v>251</v>
      </c>
      <c r="AX142" s="460">
        <f t="shared" si="483"/>
        <v>1296</v>
      </c>
      <c r="AY142" s="461">
        <f t="shared" si="484"/>
        <v>0.1</v>
      </c>
      <c r="AZ142" s="461">
        <f t="shared" si="485"/>
        <v>0</v>
      </c>
      <c r="BA142" s="463">
        <f t="shared" si="485"/>
        <v>0.1</v>
      </c>
    </row>
    <row r="143" spans="1:53" s="229" customFormat="1" ht="12.75" customHeight="1" x14ac:dyDescent="0.2">
      <c r="A143" s="231">
        <v>30</v>
      </c>
      <c r="B143" s="232">
        <v>3419</v>
      </c>
      <c r="C143" s="232">
        <v>600078434</v>
      </c>
      <c r="D143" s="232">
        <v>72742658</v>
      </c>
      <c r="E143" s="233" t="s">
        <v>67</v>
      </c>
      <c r="F143" s="232">
        <v>3143</v>
      </c>
      <c r="G143" s="233" t="s">
        <v>313</v>
      </c>
      <c r="H143" s="264" t="s">
        <v>278</v>
      </c>
      <c r="I143" s="457">
        <f t="shared" si="464"/>
        <v>183193</v>
      </c>
      <c r="J143" s="457">
        <v>135579</v>
      </c>
      <c r="K143" s="457">
        <f t="shared" si="465"/>
        <v>45826</v>
      </c>
      <c r="L143" s="457">
        <f t="shared" si="466"/>
        <v>1356</v>
      </c>
      <c r="M143" s="457">
        <v>432</v>
      </c>
      <c r="N143" s="458">
        <f t="shared" si="467"/>
        <v>0.31</v>
      </c>
      <c r="O143" s="459">
        <v>0.26</v>
      </c>
      <c r="P143" s="468">
        <v>0.05</v>
      </c>
      <c r="Q143" s="470">
        <f t="shared" si="468"/>
        <v>0</v>
      </c>
      <c r="R143" s="460">
        <v>0</v>
      </c>
      <c r="S143" s="673">
        <v>0</v>
      </c>
      <c r="T143" s="460">
        <v>0</v>
      </c>
      <c r="U143" s="460">
        <v>0</v>
      </c>
      <c r="V143" s="460">
        <f t="shared" si="469"/>
        <v>0</v>
      </c>
      <c r="W143" s="460">
        <v>0</v>
      </c>
      <c r="X143" s="460">
        <v>0</v>
      </c>
      <c r="Y143" s="460">
        <v>0</v>
      </c>
      <c r="Z143" s="460">
        <f t="shared" si="470"/>
        <v>0</v>
      </c>
      <c r="AA143" s="460">
        <f t="shared" si="471"/>
        <v>0</v>
      </c>
      <c r="AB143" s="69">
        <f t="shared" si="472"/>
        <v>0</v>
      </c>
      <c r="AC143" s="69">
        <f t="shared" si="473"/>
        <v>0</v>
      </c>
      <c r="AD143" s="460">
        <v>0</v>
      </c>
      <c r="AE143" s="460">
        <v>0</v>
      </c>
      <c r="AF143" s="460">
        <f t="shared" si="474"/>
        <v>0</v>
      </c>
      <c r="AG143" s="460">
        <f t="shared" si="475"/>
        <v>0</v>
      </c>
      <c r="AH143" s="461">
        <v>0</v>
      </c>
      <c r="AI143" s="461">
        <v>0</v>
      </c>
      <c r="AJ143" s="461">
        <v>0</v>
      </c>
      <c r="AK143" s="461">
        <v>0</v>
      </c>
      <c r="AL143" s="674">
        <v>0</v>
      </c>
      <c r="AM143" s="461">
        <v>0</v>
      </c>
      <c r="AN143" s="461">
        <v>0</v>
      </c>
      <c r="AO143" s="461">
        <v>0</v>
      </c>
      <c r="AP143" s="461">
        <f t="shared" si="476"/>
        <v>0</v>
      </c>
      <c r="AQ143" s="461">
        <f t="shared" si="477"/>
        <v>0</v>
      </c>
      <c r="AR143" s="463">
        <f t="shared" si="478"/>
        <v>0</v>
      </c>
      <c r="AS143" s="469">
        <f t="shared" si="479"/>
        <v>183193</v>
      </c>
      <c r="AT143" s="460">
        <f t="shared" si="480"/>
        <v>135579</v>
      </c>
      <c r="AU143" s="460">
        <f t="shared" si="481"/>
        <v>0</v>
      </c>
      <c r="AV143" s="460">
        <f t="shared" si="482"/>
        <v>45826</v>
      </c>
      <c r="AW143" s="460">
        <f t="shared" si="482"/>
        <v>1356</v>
      </c>
      <c r="AX143" s="460">
        <f t="shared" si="483"/>
        <v>432</v>
      </c>
      <c r="AY143" s="461">
        <f t="shared" si="484"/>
        <v>0.31</v>
      </c>
      <c r="AZ143" s="461">
        <f t="shared" si="485"/>
        <v>0.26</v>
      </c>
      <c r="BA143" s="463">
        <f t="shared" si="485"/>
        <v>0.05</v>
      </c>
    </row>
    <row r="144" spans="1:53" s="229" customFormat="1" ht="12.75" customHeight="1" x14ac:dyDescent="0.2">
      <c r="A144" s="156">
        <v>30</v>
      </c>
      <c r="B144" s="14">
        <v>3419</v>
      </c>
      <c r="C144" s="155">
        <v>600078434</v>
      </c>
      <c r="D144" s="155">
        <v>72742658</v>
      </c>
      <c r="E144" s="230" t="s">
        <v>68</v>
      </c>
      <c r="F144" s="14"/>
      <c r="G144" s="230"/>
      <c r="H144" s="263"/>
      <c r="I144" s="464">
        <f t="shared" ref="I144:P144" si="486">SUM(I137:I143)</f>
        <v>18721677</v>
      </c>
      <c r="J144" s="464">
        <f t="shared" si="486"/>
        <v>13698542</v>
      </c>
      <c r="K144" s="464">
        <f t="shared" si="486"/>
        <v>4630107</v>
      </c>
      <c r="L144" s="464">
        <f t="shared" si="486"/>
        <v>136985</v>
      </c>
      <c r="M144" s="464">
        <f t="shared" si="486"/>
        <v>256043</v>
      </c>
      <c r="N144" s="427">
        <f t="shared" si="486"/>
        <v>27.172899999999998</v>
      </c>
      <c r="O144" s="427">
        <f t="shared" si="486"/>
        <v>17.692900000000002</v>
      </c>
      <c r="P144" s="427">
        <f t="shared" si="486"/>
        <v>9.48</v>
      </c>
      <c r="Q144" s="622">
        <f t="shared" ref="Q144:BA144" si="487">SUM(Q137:Q143)</f>
        <v>-48685</v>
      </c>
      <c r="R144" s="620">
        <f t="shared" si="487"/>
        <v>1287250</v>
      </c>
      <c r="S144" s="620">
        <f t="shared" si="487"/>
        <v>0</v>
      </c>
      <c r="T144" s="620">
        <f t="shared" si="487"/>
        <v>42711</v>
      </c>
      <c r="U144" s="620">
        <f t="shared" si="487"/>
        <v>0</v>
      </c>
      <c r="V144" s="620">
        <f t="shared" si="487"/>
        <v>1281276</v>
      </c>
      <c r="W144" s="620">
        <f t="shared" si="487"/>
        <v>48685</v>
      </c>
      <c r="X144" s="620">
        <f t="shared" si="487"/>
        <v>0</v>
      </c>
      <c r="Y144" s="620">
        <f t="shared" si="487"/>
        <v>0</v>
      </c>
      <c r="Z144" s="620">
        <f t="shared" si="487"/>
        <v>48685</v>
      </c>
      <c r="AA144" s="620">
        <f t="shared" si="487"/>
        <v>1329961</v>
      </c>
      <c r="AB144" s="620">
        <f t="shared" si="487"/>
        <v>449527</v>
      </c>
      <c r="AC144" s="620">
        <f t="shared" si="487"/>
        <v>12813</v>
      </c>
      <c r="AD144" s="620">
        <f t="shared" si="487"/>
        <v>0</v>
      </c>
      <c r="AE144" s="620">
        <f t="shared" si="487"/>
        <v>0</v>
      </c>
      <c r="AF144" s="620">
        <f t="shared" si="487"/>
        <v>0</v>
      </c>
      <c r="AG144" s="620">
        <f t="shared" si="487"/>
        <v>1792301</v>
      </c>
      <c r="AH144" s="621">
        <f t="shared" si="487"/>
        <v>-0.05</v>
      </c>
      <c r="AI144" s="621">
        <f t="shared" si="487"/>
        <v>-0.1</v>
      </c>
      <c r="AJ144" s="621">
        <f t="shared" si="487"/>
        <v>3.75</v>
      </c>
      <c r="AK144" s="621">
        <f t="shared" si="487"/>
        <v>0</v>
      </c>
      <c r="AL144" s="621">
        <f t="shared" si="487"/>
        <v>0</v>
      </c>
      <c r="AM144" s="621">
        <f t="shared" si="487"/>
        <v>7.0000000000000007E-2</v>
      </c>
      <c r="AN144" s="621">
        <f t="shared" si="487"/>
        <v>0</v>
      </c>
      <c r="AO144" s="621">
        <f t="shared" si="487"/>
        <v>0</v>
      </c>
      <c r="AP144" s="621">
        <f t="shared" si="487"/>
        <v>3.77</v>
      </c>
      <c r="AQ144" s="621">
        <f t="shared" si="487"/>
        <v>-0.1</v>
      </c>
      <c r="AR144" s="623">
        <f t="shared" si="487"/>
        <v>3.67</v>
      </c>
      <c r="AS144" s="618">
        <f t="shared" si="487"/>
        <v>20513978</v>
      </c>
      <c r="AT144" s="464">
        <f t="shared" si="487"/>
        <v>14979818</v>
      </c>
      <c r="AU144" s="464">
        <f t="shared" si="487"/>
        <v>48685</v>
      </c>
      <c r="AV144" s="464">
        <f t="shared" si="487"/>
        <v>5079634</v>
      </c>
      <c r="AW144" s="464">
        <f t="shared" si="487"/>
        <v>149798</v>
      </c>
      <c r="AX144" s="464">
        <f t="shared" si="487"/>
        <v>256043</v>
      </c>
      <c r="AY144" s="427">
        <f t="shared" si="487"/>
        <v>30.8429</v>
      </c>
      <c r="AZ144" s="427">
        <f t="shared" si="487"/>
        <v>21.462900000000001</v>
      </c>
      <c r="BA144" s="496">
        <f t="shared" si="487"/>
        <v>9.3800000000000008</v>
      </c>
    </row>
    <row r="145" spans="1:53" s="229" customFormat="1" ht="12.75" customHeight="1" x14ac:dyDescent="0.2">
      <c r="A145" s="231">
        <v>31</v>
      </c>
      <c r="B145" s="232">
        <v>3422</v>
      </c>
      <c r="C145" s="232">
        <v>600078591</v>
      </c>
      <c r="D145" s="232">
        <v>72742682</v>
      </c>
      <c r="E145" s="233" t="s">
        <v>69</v>
      </c>
      <c r="F145" s="232">
        <v>3111</v>
      </c>
      <c r="G145" s="233" t="s">
        <v>307</v>
      </c>
      <c r="H145" s="264" t="s">
        <v>277</v>
      </c>
      <c r="I145" s="457">
        <f t="shared" ref="I145:I150" si="488">SUM(J145:M145)</f>
        <v>2983349</v>
      </c>
      <c r="J145" s="457">
        <v>2201001</v>
      </c>
      <c r="K145" s="457">
        <f t="shared" ref="K145:K150" si="489">ROUND(J145*33.8%,0)</f>
        <v>743938</v>
      </c>
      <c r="L145" s="457">
        <f t="shared" ref="L145:L150" si="490">ROUND(J145*1%,0)</f>
        <v>22010</v>
      </c>
      <c r="M145" s="457">
        <v>16400</v>
      </c>
      <c r="N145" s="458">
        <f t="shared" ref="N145:N150" si="491">O145+P145</f>
        <v>4.5263999999999998</v>
      </c>
      <c r="O145" s="459">
        <v>3.8064</v>
      </c>
      <c r="P145" s="468">
        <v>0.72</v>
      </c>
      <c r="Q145" s="470">
        <f t="shared" ref="Q145:Q150" si="492">W145*-1</f>
        <v>0</v>
      </c>
      <c r="R145" s="460">
        <v>0</v>
      </c>
      <c r="S145" s="673">
        <v>0</v>
      </c>
      <c r="T145" s="460">
        <v>0</v>
      </c>
      <c r="U145" s="460">
        <v>0</v>
      </c>
      <c r="V145" s="460">
        <f t="shared" ref="V145:V150" si="493">SUM(Q145:U145)</f>
        <v>0</v>
      </c>
      <c r="W145" s="460">
        <v>0</v>
      </c>
      <c r="X145" s="460">
        <v>0</v>
      </c>
      <c r="Y145" s="460">
        <v>0</v>
      </c>
      <c r="Z145" s="460">
        <f t="shared" ref="Z145:Z150" si="494">SUM(W145:Y145)</f>
        <v>0</v>
      </c>
      <c r="AA145" s="460">
        <f t="shared" ref="AA145:AA150" si="495">V145+Z145</f>
        <v>0</v>
      </c>
      <c r="AB145" s="69">
        <f t="shared" ref="AB145:AB150" si="496">ROUND((V145+W145+X145)*33.8%,0)</f>
        <v>0</v>
      </c>
      <c r="AC145" s="69">
        <f t="shared" ref="AC145:AC150" si="497">ROUND(V145*1%,0)</f>
        <v>0</v>
      </c>
      <c r="AD145" s="460">
        <v>0</v>
      </c>
      <c r="AE145" s="460">
        <v>0</v>
      </c>
      <c r="AF145" s="460">
        <f t="shared" ref="AF145:AF150" si="498">SUM(AD145:AE145)</f>
        <v>0</v>
      </c>
      <c r="AG145" s="460">
        <f t="shared" ref="AG145:AG150" si="499">AA145+AB145+AC145+AF145</f>
        <v>0</v>
      </c>
      <c r="AH145" s="461">
        <v>0</v>
      </c>
      <c r="AI145" s="461">
        <v>0</v>
      </c>
      <c r="AJ145" s="461">
        <v>0</v>
      </c>
      <c r="AK145" s="461">
        <v>0</v>
      </c>
      <c r="AL145" s="674">
        <v>0</v>
      </c>
      <c r="AM145" s="461">
        <v>0</v>
      </c>
      <c r="AN145" s="461">
        <v>0</v>
      </c>
      <c r="AO145" s="461">
        <v>0</v>
      </c>
      <c r="AP145" s="461">
        <f t="shared" ref="AP145:AP150" si="500">AH145+AJ145+AK145+AM145+AN145</f>
        <v>0</v>
      </c>
      <c r="AQ145" s="461">
        <f t="shared" ref="AQ145:AQ150" si="501">AI145+AL145+AO145</f>
        <v>0</v>
      </c>
      <c r="AR145" s="463">
        <f t="shared" ref="AR145:AR150" si="502">SUM(AP145:AQ145)</f>
        <v>0</v>
      </c>
      <c r="AS145" s="469">
        <f t="shared" ref="AS145:AS150" si="503">I145+AG145</f>
        <v>2983349</v>
      </c>
      <c r="AT145" s="460">
        <f t="shared" ref="AT145:AT150" si="504">J145+V145</f>
        <v>2201001</v>
      </c>
      <c r="AU145" s="460">
        <f t="shared" ref="AU145:AU150" si="505">Z145</f>
        <v>0</v>
      </c>
      <c r="AV145" s="460">
        <f t="shared" ref="AV145:AW150" si="506">K145+AB145</f>
        <v>743938</v>
      </c>
      <c r="AW145" s="460">
        <f t="shared" si="506"/>
        <v>22010</v>
      </c>
      <c r="AX145" s="460">
        <f t="shared" ref="AX145:AX150" si="507">M145+AF145</f>
        <v>16400</v>
      </c>
      <c r="AY145" s="461">
        <f t="shared" ref="AY145:AY150" si="508">N145+AR145</f>
        <v>4.5263999999999998</v>
      </c>
      <c r="AZ145" s="461">
        <f t="shared" ref="AZ145:BA150" si="509">O145+AP145</f>
        <v>3.8064</v>
      </c>
      <c r="BA145" s="463">
        <f t="shared" si="509"/>
        <v>0.72</v>
      </c>
    </row>
    <row r="146" spans="1:53" s="229" customFormat="1" ht="12.75" customHeight="1" x14ac:dyDescent="0.2">
      <c r="A146" s="231">
        <v>31</v>
      </c>
      <c r="B146" s="232">
        <v>3422</v>
      </c>
      <c r="C146" s="232">
        <v>600078591</v>
      </c>
      <c r="D146" s="232">
        <v>72742682</v>
      </c>
      <c r="E146" s="233" t="s">
        <v>69</v>
      </c>
      <c r="F146" s="232">
        <v>3113</v>
      </c>
      <c r="G146" s="233" t="s">
        <v>310</v>
      </c>
      <c r="H146" s="264" t="s">
        <v>277</v>
      </c>
      <c r="I146" s="457">
        <f t="shared" si="488"/>
        <v>8472273</v>
      </c>
      <c r="J146" s="457">
        <v>6197736</v>
      </c>
      <c r="K146" s="457">
        <f t="shared" si="489"/>
        <v>2094835</v>
      </c>
      <c r="L146" s="457">
        <f t="shared" si="490"/>
        <v>61977</v>
      </c>
      <c r="M146" s="457">
        <v>117725</v>
      </c>
      <c r="N146" s="458">
        <f t="shared" si="491"/>
        <v>11.744400000000001</v>
      </c>
      <c r="O146" s="459">
        <v>9.0911000000000008</v>
      </c>
      <c r="P146" s="468">
        <v>2.6532999999999998</v>
      </c>
      <c r="Q146" s="470">
        <f t="shared" si="492"/>
        <v>-6500</v>
      </c>
      <c r="R146" s="460">
        <v>0</v>
      </c>
      <c r="S146" s="673">
        <v>0</v>
      </c>
      <c r="T146" s="460">
        <v>0</v>
      </c>
      <c r="U146" s="460">
        <v>0</v>
      </c>
      <c r="V146" s="460">
        <f t="shared" si="493"/>
        <v>-6500</v>
      </c>
      <c r="W146" s="460">
        <v>6500</v>
      </c>
      <c r="X146" s="460">
        <v>0</v>
      </c>
      <c r="Y146" s="460">
        <v>0</v>
      </c>
      <c r="Z146" s="460">
        <f t="shared" si="494"/>
        <v>6500</v>
      </c>
      <c r="AA146" s="460">
        <f t="shared" si="495"/>
        <v>0</v>
      </c>
      <c r="AB146" s="69">
        <f t="shared" si="496"/>
        <v>0</v>
      </c>
      <c r="AC146" s="69">
        <f t="shared" si="497"/>
        <v>-65</v>
      </c>
      <c r="AD146" s="460">
        <v>0</v>
      </c>
      <c r="AE146" s="460">
        <v>0</v>
      </c>
      <c r="AF146" s="460">
        <f t="shared" si="498"/>
        <v>0</v>
      </c>
      <c r="AG146" s="460">
        <f t="shared" si="499"/>
        <v>-65</v>
      </c>
      <c r="AH146" s="461">
        <v>0</v>
      </c>
      <c r="AI146" s="461">
        <v>0</v>
      </c>
      <c r="AJ146" s="461">
        <v>0</v>
      </c>
      <c r="AK146" s="461">
        <v>0</v>
      </c>
      <c r="AL146" s="674">
        <v>0</v>
      </c>
      <c r="AM146" s="461">
        <v>0</v>
      </c>
      <c r="AN146" s="461">
        <v>0</v>
      </c>
      <c r="AO146" s="461">
        <v>0</v>
      </c>
      <c r="AP146" s="461">
        <f t="shared" si="500"/>
        <v>0</v>
      </c>
      <c r="AQ146" s="461">
        <f t="shared" si="501"/>
        <v>0</v>
      </c>
      <c r="AR146" s="463">
        <f t="shared" si="502"/>
        <v>0</v>
      </c>
      <c r="AS146" s="469">
        <f t="shared" si="503"/>
        <v>8472208</v>
      </c>
      <c r="AT146" s="460">
        <f t="shared" si="504"/>
        <v>6191236</v>
      </c>
      <c r="AU146" s="460">
        <f t="shared" si="505"/>
        <v>6500</v>
      </c>
      <c r="AV146" s="460">
        <f t="shared" si="506"/>
        <v>2094835</v>
      </c>
      <c r="AW146" s="460">
        <f t="shared" si="506"/>
        <v>61912</v>
      </c>
      <c r="AX146" s="460">
        <f t="shared" si="507"/>
        <v>117725</v>
      </c>
      <c r="AY146" s="461">
        <f t="shared" si="508"/>
        <v>11.744400000000001</v>
      </c>
      <c r="AZ146" s="461">
        <f t="shared" si="509"/>
        <v>9.0911000000000008</v>
      </c>
      <c r="BA146" s="463">
        <f t="shared" si="509"/>
        <v>2.6532999999999998</v>
      </c>
    </row>
    <row r="147" spans="1:53" s="229" customFormat="1" x14ac:dyDescent="0.2">
      <c r="A147" s="231">
        <v>31</v>
      </c>
      <c r="B147" s="232">
        <v>3422</v>
      </c>
      <c r="C147" s="232">
        <v>600078591</v>
      </c>
      <c r="D147" s="232">
        <v>72742682</v>
      </c>
      <c r="E147" s="233" t="s">
        <v>69</v>
      </c>
      <c r="F147" s="232">
        <v>3113</v>
      </c>
      <c r="G147" s="233" t="s">
        <v>308</v>
      </c>
      <c r="H147" s="264" t="s">
        <v>278</v>
      </c>
      <c r="I147" s="457">
        <f t="shared" si="488"/>
        <v>0</v>
      </c>
      <c r="J147" s="457">
        <v>0</v>
      </c>
      <c r="K147" s="457">
        <f t="shared" si="489"/>
        <v>0</v>
      </c>
      <c r="L147" s="457">
        <f t="shared" si="490"/>
        <v>0</v>
      </c>
      <c r="M147" s="457">
        <v>0</v>
      </c>
      <c r="N147" s="458">
        <f t="shared" si="491"/>
        <v>0</v>
      </c>
      <c r="O147" s="459">
        <v>0</v>
      </c>
      <c r="P147" s="468">
        <v>0</v>
      </c>
      <c r="Q147" s="470">
        <f t="shared" si="492"/>
        <v>0</v>
      </c>
      <c r="R147" s="460">
        <v>875748</v>
      </c>
      <c r="S147" s="673">
        <v>0</v>
      </c>
      <c r="T147" s="460">
        <v>0</v>
      </c>
      <c r="U147" s="460">
        <v>0</v>
      </c>
      <c r="V147" s="460">
        <f t="shared" si="493"/>
        <v>875748</v>
      </c>
      <c r="W147" s="460">
        <v>0</v>
      </c>
      <c r="X147" s="460">
        <v>0</v>
      </c>
      <c r="Y147" s="460">
        <v>0</v>
      </c>
      <c r="Z147" s="460">
        <f t="shared" si="494"/>
        <v>0</v>
      </c>
      <c r="AA147" s="460">
        <f t="shared" si="495"/>
        <v>875748</v>
      </c>
      <c r="AB147" s="69">
        <f t="shared" si="496"/>
        <v>296003</v>
      </c>
      <c r="AC147" s="69">
        <f t="shared" si="497"/>
        <v>8757</v>
      </c>
      <c r="AD147" s="460">
        <v>0</v>
      </c>
      <c r="AE147" s="460">
        <v>0</v>
      </c>
      <c r="AF147" s="460">
        <f t="shared" si="498"/>
        <v>0</v>
      </c>
      <c r="AG147" s="460">
        <f t="shared" si="499"/>
        <v>1180508</v>
      </c>
      <c r="AH147" s="461">
        <v>0</v>
      </c>
      <c r="AI147" s="461">
        <v>0</v>
      </c>
      <c r="AJ147" s="461">
        <v>2.5299999999999998</v>
      </c>
      <c r="AK147" s="461">
        <v>0</v>
      </c>
      <c r="AL147" s="674">
        <v>0</v>
      </c>
      <c r="AM147" s="461">
        <v>0</v>
      </c>
      <c r="AN147" s="461">
        <v>0</v>
      </c>
      <c r="AO147" s="461">
        <v>0</v>
      </c>
      <c r="AP147" s="461">
        <f t="shared" si="500"/>
        <v>2.5299999999999998</v>
      </c>
      <c r="AQ147" s="461">
        <f t="shared" si="501"/>
        <v>0</v>
      </c>
      <c r="AR147" s="463">
        <f t="shared" si="502"/>
        <v>2.5299999999999998</v>
      </c>
      <c r="AS147" s="469">
        <f t="shared" si="503"/>
        <v>1180508</v>
      </c>
      <c r="AT147" s="460">
        <f t="shared" si="504"/>
        <v>875748</v>
      </c>
      <c r="AU147" s="460">
        <f t="shared" si="505"/>
        <v>0</v>
      </c>
      <c r="AV147" s="460">
        <f t="shared" si="506"/>
        <v>296003</v>
      </c>
      <c r="AW147" s="460">
        <f t="shared" si="506"/>
        <v>8757</v>
      </c>
      <c r="AX147" s="460">
        <f t="shared" si="507"/>
        <v>0</v>
      </c>
      <c r="AY147" s="461">
        <f t="shared" si="508"/>
        <v>2.5299999999999998</v>
      </c>
      <c r="AZ147" s="461">
        <f t="shared" si="509"/>
        <v>2.5299999999999998</v>
      </c>
      <c r="BA147" s="463">
        <f t="shared" si="509"/>
        <v>0</v>
      </c>
    </row>
    <row r="148" spans="1:53" s="229" customFormat="1" ht="12.75" customHeight="1" x14ac:dyDescent="0.2">
      <c r="A148" s="231">
        <v>31</v>
      </c>
      <c r="B148" s="232">
        <v>3422</v>
      </c>
      <c r="C148" s="232">
        <v>600078591</v>
      </c>
      <c r="D148" s="232">
        <v>72742682</v>
      </c>
      <c r="E148" s="233" t="s">
        <v>69</v>
      </c>
      <c r="F148" s="232">
        <v>3141</v>
      </c>
      <c r="G148" s="233" t="s">
        <v>311</v>
      </c>
      <c r="H148" s="264" t="s">
        <v>278</v>
      </c>
      <c r="I148" s="457">
        <f t="shared" si="488"/>
        <v>1267828</v>
      </c>
      <c r="J148" s="457">
        <v>936128</v>
      </c>
      <c r="K148" s="457">
        <f t="shared" si="489"/>
        <v>316411</v>
      </c>
      <c r="L148" s="457">
        <f t="shared" si="490"/>
        <v>9361</v>
      </c>
      <c r="M148" s="457">
        <v>5928</v>
      </c>
      <c r="N148" s="458">
        <f t="shared" si="491"/>
        <v>3.01</v>
      </c>
      <c r="O148" s="459">
        <v>0</v>
      </c>
      <c r="P148" s="468">
        <v>3.01</v>
      </c>
      <c r="Q148" s="470">
        <f t="shared" si="492"/>
        <v>-13000</v>
      </c>
      <c r="R148" s="460">
        <v>0</v>
      </c>
      <c r="S148" s="673">
        <v>0</v>
      </c>
      <c r="T148" s="460">
        <v>0</v>
      </c>
      <c r="U148" s="460">
        <v>0</v>
      </c>
      <c r="V148" s="460">
        <f t="shared" si="493"/>
        <v>-13000</v>
      </c>
      <c r="W148" s="460">
        <v>13000</v>
      </c>
      <c r="X148" s="460">
        <v>0</v>
      </c>
      <c r="Y148" s="460">
        <v>0</v>
      </c>
      <c r="Z148" s="460">
        <f t="shared" si="494"/>
        <v>13000</v>
      </c>
      <c r="AA148" s="460">
        <f t="shared" si="495"/>
        <v>0</v>
      </c>
      <c r="AB148" s="69">
        <f t="shared" si="496"/>
        <v>0</v>
      </c>
      <c r="AC148" s="69">
        <f t="shared" si="497"/>
        <v>-130</v>
      </c>
      <c r="AD148" s="460">
        <v>0</v>
      </c>
      <c r="AE148" s="460">
        <v>0</v>
      </c>
      <c r="AF148" s="460">
        <f t="shared" si="498"/>
        <v>0</v>
      </c>
      <c r="AG148" s="460">
        <f t="shared" si="499"/>
        <v>-130</v>
      </c>
      <c r="AH148" s="461">
        <v>0</v>
      </c>
      <c r="AI148" s="461">
        <v>0</v>
      </c>
      <c r="AJ148" s="461">
        <v>0</v>
      </c>
      <c r="AK148" s="461">
        <v>0</v>
      </c>
      <c r="AL148" s="674">
        <v>0</v>
      </c>
      <c r="AM148" s="461">
        <v>0</v>
      </c>
      <c r="AN148" s="461">
        <v>0</v>
      </c>
      <c r="AO148" s="461">
        <v>0</v>
      </c>
      <c r="AP148" s="461">
        <f t="shared" si="500"/>
        <v>0</v>
      </c>
      <c r="AQ148" s="461">
        <f t="shared" si="501"/>
        <v>0</v>
      </c>
      <c r="AR148" s="463">
        <f t="shared" si="502"/>
        <v>0</v>
      </c>
      <c r="AS148" s="469">
        <f t="shared" si="503"/>
        <v>1267698</v>
      </c>
      <c r="AT148" s="460">
        <f t="shared" si="504"/>
        <v>923128</v>
      </c>
      <c r="AU148" s="460">
        <f t="shared" si="505"/>
        <v>13000</v>
      </c>
      <c r="AV148" s="460">
        <f t="shared" si="506"/>
        <v>316411</v>
      </c>
      <c r="AW148" s="460">
        <f t="shared" si="506"/>
        <v>9231</v>
      </c>
      <c r="AX148" s="460">
        <f t="shared" si="507"/>
        <v>5928</v>
      </c>
      <c r="AY148" s="461">
        <f t="shared" si="508"/>
        <v>3.01</v>
      </c>
      <c r="AZ148" s="461">
        <f t="shared" si="509"/>
        <v>0</v>
      </c>
      <c r="BA148" s="463">
        <f t="shared" si="509"/>
        <v>3.01</v>
      </c>
    </row>
    <row r="149" spans="1:53" s="229" customFormat="1" ht="12.75" customHeight="1" x14ac:dyDescent="0.2">
      <c r="A149" s="231">
        <v>31</v>
      </c>
      <c r="B149" s="232">
        <v>3422</v>
      </c>
      <c r="C149" s="232">
        <v>600078591</v>
      </c>
      <c r="D149" s="232">
        <v>72742682</v>
      </c>
      <c r="E149" s="233" t="s">
        <v>69</v>
      </c>
      <c r="F149" s="232">
        <v>3143</v>
      </c>
      <c r="G149" s="233" t="s">
        <v>616</v>
      </c>
      <c r="H149" s="264" t="s">
        <v>277</v>
      </c>
      <c r="I149" s="457">
        <f t="shared" si="488"/>
        <v>350014</v>
      </c>
      <c r="J149" s="457">
        <v>259654</v>
      </c>
      <c r="K149" s="457">
        <f t="shared" si="489"/>
        <v>87763</v>
      </c>
      <c r="L149" s="457">
        <f t="shared" si="490"/>
        <v>2597</v>
      </c>
      <c r="M149" s="457">
        <v>0</v>
      </c>
      <c r="N149" s="458">
        <f t="shared" si="491"/>
        <v>0.53569999999999995</v>
      </c>
      <c r="O149" s="459">
        <v>0.53569999999999995</v>
      </c>
      <c r="P149" s="468">
        <v>0</v>
      </c>
      <c r="Q149" s="470">
        <f t="shared" si="492"/>
        <v>0</v>
      </c>
      <c r="R149" s="460">
        <v>0</v>
      </c>
      <c r="S149" s="673">
        <v>0</v>
      </c>
      <c r="T149" s="460">
        <v>0</v>
      </c>
      <c r="U149" s="460">
        <v>0</v>
      </c>
      <c r="V149" s="460">
        <f t="shared" si="493"/>
        <v>0</v>
      </c>
      <c r="W149" s="460">
        <v>0</v>
      </c>
      <c r="X149" s="460">
        <v>0</v>
      </c>
      <c r="Y149" s="460">
        <v>0</v>
      </c>
      <c r="Z149" s="460">
        <f t="shared" si="494"/>
        <v>0</v>
      </c>
      <c r="AA149" s="460">
        <f t="shared" si="495"/>
        <v>0</v>
      </c>
      <c r="AB149" s="69">
        <f t="shared" si="496"/>
        <v>0</v>
      </c>
      <c r="AC149" s="69">
        <f t="shared" si="497"/>
        <v>0</v>
      </c>
      <c r="AD149" s="460">
        <v>0</v>
      </c>
      <c r="AE149" s="460">
        <v>0</v>
      </c>
      <c r="AF149" s="460">
        <f t="shared" si="498"/>
        <v>0</v>
      </c>
      <c r="AG149" s="460">
        <f t="shared" si="499"/>
        <v>0</v>
      </c>
      <c r="AH149" s="461">
        <v>0</v>
      </c>
      <c r="AI149" s="461">
        <v>0</v>
      </c>
      <c r="AJ149" s="461">
        <v>0</v>
      </c>
      <c r="AK149" s="461">
        <v>0</v>
      </c>
      <c r="AL149" s="674">
        <v>0</v>
      </c>
      <c r="AM149" s="461">
        <v>0</v>
      </c>
      <c r="AN149" s="461">
        <v>0</v>
      </c>
      <c r="AO149" s="461">
        <v>0</v>
      </c>
      <c r="AP149" s="461">
        <f t="shared" si="500"/>
        <v>0</v>
      </c>
      <c r="AQ149" s="461">
        <f t="shared" si="501"/>
        <v>0</v>
      </c>
      <c r="AR149" s="463">
        <f t="shared" si="502"/>
        <v>0</v>
      </c>
      <c r="AS149" s="469">
        <f t="shared" si="503"/>
        <v>350014</v>
      </c>
      <c r="AT149" s="460">
        <f t="shared" si="504"/>
        <v>259654</v>
      </c>
      <c r="AU149" s="460">
        <f t="shared" si="505"/>
        <v>0</v>
      </c>
      <c r="AV149" s="460">
        <f t="shared" si="506"/>
        <v>87763</v>
      </c>
      <c r="AW149" s="460">
        <f t="shared" si="506"/>
        <v>2597</v>
      </c>
      <c r="AX149" s="460">
        <f t="shared" si="507"/>
        <v>0</v>
      </c>
      <c r="AY149" s="461">
        <f t="shared" si="508"/>
        <v>0.53569999999999995</v>
      </c>
      <c r="AZ149" s="461">
        <f t="shared" si="509"/>
        <v>0.53569999999999995</v>
      </c>
      <c r="BA149" s="463">
        <f t="shared" si="509"/>
        <v>0</v>
      </c>
    </row>
    <row r="150" spans="1:53" s="229" customFormat="1" ht="12.75" customHeight="1" x14ac:dyDescent="0.2">
      <c r="A150" s="231">
        <v>31</v>
      </c>
      <c r="B150" s="232">
        <v>3422</v>
      </c>
      <c r="C150" s="232">
        <v>600078591</v>
      </c>
      <c r="D150" s="232">
        <v>72742682</v>
      </c>
      <c r="E150" s="233" t="s">
        <v>69</v>
      </c>
      <c r="F150" s="232">
        <v>3143</v>
      </c>
      <c r="G150" s="233" t="s">
        <v>617</v>
      </c>
      <c r="H150" s="264" t="s">
        <v>278</v>
      </c>
      <c r="I150" s="457">
        <f t="shared" si="488"/>
        <v>16125</v>
      </c>
      <c r="J150" s="457">
        <v>11522</v>
      </c>
      <c r="K150" s="457">
        <f t="shared" si="489"/>
        <v>3894</v>
      </c>
      <c r="L150" s="457">
        <f t="shared" si="490"/>
        <v>115</v>
      </c>
      <c r="M150" s="457">
        <v>594</v>
      </c>
      <c r="N150" s="458">
        <f t="shared" si="491"/>
        <v>0.05</v>
      </c>
      <c r="O150" s="459">
        <v>0</v>
      </c>
      <c r="P150" s="468">
        <v>0.05</v>
      </c>
      <c r="Q150" s="470">
        <f t="shared" si="492"/>
        <v>0</v>
      </c>
      <c r="R150" s="460">
        <v>0</v>
      </c>
      <c r="S150" s="673">
        <v>0</v>
      </c>
      <c r="T150" s="460">
        <v>0</v>
      </c>
      <c r="U150" s="460">
        <v>0</v>
      </c>
      <c r="V150" s="460">
        <f t="shared" si="493"/>
        <v>0</v>
      </c>
      <c r="W150" s="460">
        <v>0</v>
      </c>
      <c r="X150" s="460">
        <v>0</v>
      </c>
      <c r="Y150" s="460">
        <v>0</v>
      </c>
      <c r="Z150" s="460">
        <f t="shared" si="494"/>
        <v>0</v>
      </c>
      <c r="AA150" s="460">
        <f t="shared" si="495"/>
        <v>0</v>
      </c>
      <c r="AB150" s="69">
        <f t="shared" si="496"/>
        <v>0</v>
      </c>
      <c r="AC150" s="69">
        <f t="shared" si="497"/>
        <v>0</v>
      </c>
      <c r="AD150" s="460">
        <v>0</v>
      </c>
      <c r="AE150" s="460">
        <v>0</v>
      </c>
      <c r="AF150" s="460">
        <f t="shared" si="498"/>
        <v>0</v>
      </c>
      <c r="AG150" s="460">
        <f t="shared" si="499"/>
        <v>0</v>
      </c>
      <c r="AH150" s="461">
        <v>0</v>
      </c>
      <c r="AI150" s="461">
        <v>0</v>
      </c>
      <c r="AJ150" s="461">
        <v>0</v>
      </c>
      <c r="AK150" s="461">
        <v>0</v>
      </c>
      <c r="AL150" s="674">
        <v>0</v>
      </c>
      <c r="AM150" s="461">
        <v>0</v>
      </c>
      <c r="AN150" s="461">
        <v>0</v>
      </c>
      <c r="AO150" s="461">
        <v>0</v>
      </c>
      <c r="AP150" s="461">
        <f t="shared" si="500"/>
        <v>0</v>
      </c>
      <c r="AQ150" s="461">
        <f t="shared" si="501"/>
        <v>0</v>
      </c>
      <c r="AR150" s="463">
        <f t="shared" si="502"/>
        <v>0</v>
      </c>
      <c r="AS150" s="469">
        <f t="shared" si="503"/>
        <v>16125</v>
      </c>
      <c r="AT150" s="460">
        <f t="shared" si="504"/>
        <v>11522</v>
      </c>
      <c r="AU150" s="460">
        <f t="shared" si="505"/>
        <v>0</v>
      </c>
      <c r="AV150" s="460">
        <f t="shared" si="506"/>
        <v>3894</v>
      </c>
      <c r="AW150" s="460">
        <f t="shared" si="506"/>
        <v>115</v>
      </c>
      <c r="AX150" s="460">
        <f t="shared" si="507"/>
        <v>594</v>
      </c>
      <c r="AY150" s="461">
        <f t="shared" si="508"/>
        <v>0.05</v>
      </c>
      <c r="AZ150" s="461">
        <f t="shared" si="509"/>
        <v>0</v>
      </c>
      <c r="BA150" s="463">
        <f t="shared" si="509"/>
        <v>0.05</v>
      </c>
    </row>
    <row r="151" spans="1:53" s="229" customFormat="1" ht="12.75" customHeight="1" x14ac:dyDescent="0.2">
      <c r="A151" s="156">
        <v>31</v>
      </c>
      <c r="B151" s="14">
        <v>3422</v>
      </c>
      <c r="C151" s="155">
        <v>600078591</v>
      </c>
      <c r="D151" s="155">
        <v>72742682</v>
      </c>
      <c r="E151" s="230" t="s">
        <v>70</v>
      </c>
      <c r="F151" s="14"/>
      <c r="G151" s="230"/>
      <c r="H151" s="263"/>
      <c r="I151" s="464">
        <f t="shared" ref="I151:BA151" si="510">SUM(I145:I150)</f>
        <v>13089589</v>
      </c>
      <c r="J151" s="464">
        <f t="shared" si="510"/>
        <v>9606041</v>
      </c>
      <c r="K151" s="464">
        <f t="shared" si="510"/>
        <v>3246841</v>
      </c>
      <c r="L151" s="464">
        <f t="shared" si="510"/>
        <v>96060</v>
      </c>
      <c r="M151" s="464">
        <f t="shared" si="510"/>
        <v>140647</v>
      </c>
      <c r="N151" s="427">
        <f t="shared" si="510"/>
        <v>19.866499999999998</v>
      </c>
      <c r="O151" s="427">
        <f t="shared" si="510"/>
        <v>13.433200000000001</v>
      </c>
      <c r="P151" s="427">
        <f t="shared" si="510"/>
        <v>6.4332999999999991</v>
      </c>
      <c r="Q151" s="622">
        <f t="shared" si="510"/>
        <v>-19500</v>
      </c>
      <c r="R151" s="620">
        <f t="shared" si="510"/>
        <v>875748</v>
      </c>
      <c r="S151" s="620">
        <f t="shared" si="510"/>
        <v>0</v>
      </c>
      <c r="T151" s="620">
        <f t="shared" si="510"/>
        <v>0</v>
      </c>
      <c r="U151" s="620">
        <f t="shared" si="510"/>
        <v>0</v>
      </c>
      <c r="V151" s="620">
        <f t="shared" si="510"/>
        <v>856248</v>
      </c>
      <c r="W151" s="620">
        <f t="shared" si="510"/>
        <v>19500</v>
      </c>
      <c r="X151" s="620">
        <f t="shared" si="510"/>
        <v>0</v>
      </c>
      <c r="Y151" s="620">
        <f t="shared" si="510"/>
        <v>0</v>
      </c>
      <c r="Z151" s="620">
        <f t="shared" si="510"/>
        <v>19500</v>
      </c>
      <c r="AA151" s="620">
        <f t="shared" si="510"/>
        <v>875748</v>
      </c>
      <c r="AB151" s="620">
        <f t="shared" si="510"/>
        <v>296003</v>
      </c>
      <c r="AC151" s="620">
        <f t="shared" si="510"/>
        <v>8562</v>
      </c>
      <c r="AD151" s="620">
        <f t="shared" si="510"/>
        <v>0</v>
      </c>
      <c r="AE151" s="620">
        <f t="shared" si="510"/>
        <v>0</v>
      </c>
      <c r="AF151" s="620">
        <f t="shared" si="510"/>
        <v>0</v>
      </c>
      <c r="AG151" s="620">
        <f t="shared" si="510"/>
        <v>1180313</v>
      </c>
      <c r="AH151" s="621">
        <f t="shared" si="510"/>
        <v>0</v>
      </c>
      <c r="AI151" s="621">
        <f t="shared" si="510"/>
        <v>0</v>
      </c>
      <c r="AJ151" s="621">
        <f t="shared" si="510"/>
        <v>2.5299999999999998</v>
      </c>
      <c r="AK151" s="621">
        <f t="shared" si="510"/>
        <v>0</v>
      </c>
      <c r="AL151" s="621">
        <f t="shared" si="510"/>
        <v>0</v>
      </c>
      <c r="AM151" s="621">
        <f t="shared" si="510"/>
        <v>0</v>
      </c>
      <c r="AN151" s="621">
        <f t="shared" si="510"/>
        <v>0</v>
      </c>
      <c r="AO151" s="621">
        <f t="shared" si="510"/>
        <v>0</v>
      </c>
      <c r="AP151" s="621">
        <f t="shared" si="510"/>
        <v>2.5299999999999998</v>
      </c>
      <c r="AQ151" s="621">
        <f t="shared" si="510"/>
        <v>0</v>
      </c>
      <c r="AR151" s="623">
        <f t="shared" si="510"/>
        <v>2.5299999999999998</v>
      </c>
      <c r="AS151" s="618">
        <f t="shared" si="510"/>
        <v>14269902</v>
      </c>
      <c r="AT151" s="464">
        <f t="shared" si="510"/>
        <v>10462289</v>
      </c>
      <c r="AU151" s="464">
        <f t="shared" si="510"/>
        <v>19500</v>
      </c>
      <c r="AV151" s="464">
        <f t="shared" si="510"/>
        <v>3542844</v>
      </c>
      <c r="AW151" s="464">
        <f t="shared" si="510"/>
        <v>104622</v>
      </c>
      <c r="AX151" s="464">
        <f t="shared" si="510"/>
        <v>140647</v>
      </c>
      <c r="AY151" s="427">
        <f t="shared" si="510"/>
        <v>22.3965</v>
      </c>
      <c r="AZ151" s="427">
        <f t="shared" si="510"/>
        <v>15.963200000000001</v>
      </c>
      <c r="BA151" s="496">
        <f t="shared" si="510"/>
        <v>6.4332999999999991</v>
      </c>
    </row>
    <row r="152" spans="1:53" s="229" customFormat="1" ht="12.75" customHeight="1" x14ac:dyDescent="0.2">
      <c r="A152" s="231">
        <v>32</v>
      </c>
      <c r="B152" s="232">
        <v>3426</v>
      </c>
      <c r="C152" s="232">
        <v>600078019</v>
      </c>
      <c r="D152" s="232">
        <v>72742470</v>
      </c>
      <c r="E152" s="233" t="s">
        <v>71</v>
      </c>
      <c r="F152" s="232">
        <v>3111</v>
      </c>
      <c r="G152" s="233" t="s">
        <v>307</v>
      </c>
      <c r="H152" s="264" t="s">
        <v>277</v>
      </c>
      <c r="I152" s="457">
        <f t="shared" ref="I152:I154" si="511">SUM(J152:M152)</f>
        <v>5053404</v>
      </c>
      <c r="J152" s="457">
        <v>3730715</v>
      </c>
      <c r="K152" s="457">
        <f t="shared" ref="K152:K154" si="512">ROUND(J152*33.8%,0)</f>
        <v>1260982</v>
      </c>
      <c r="L152" s="457">
        <f t="shared" ref="L152:L154" si="513">ROUND(J152*1%,0)</f>
        <v>37307</v>
      </c>
      <c r="M152" s="457">
        <v>24400</v>
      </c>
      <c r="N152" s="458">
        <f t="shared" ref="N152:N154" si="514">O152+P152</f>
        <v>7.68</v>
      </c>
      <c r="O152" s="459">
        <v>6</v>
      </c>
      <c r="P152" s="468">
        <v>1.68</v>
      </c>
      <c r="Q152" s="470">
        <f t="shared" ref="Q152:Q154" si="515">W152*-1</f>
        <v>-18200</v>
      </c>
      <c r="R152" s="460">
        <v>0</v>
      </c>
      <c r="S152" s="673">
        <v>0</v>
      </c>
      <c r="T152" s="460">
        <v>0</v>
      </c>
      <c r="U152" s="460">
        <v>0</v>
      </c>
      <c r="V152" s="460">
        <f>SUM(Q152:U152)</f>
        <v>-18200</v>
      </c>
      <c r="W152" s="460">
        <v>18200</v>
      </c>
      <c r="X152" s="460">
        <v>0</v>
      </c>
      <c r="Y152" s="460">
        <v>0</v>
      </c>
      <c r="Z152" s="460">
        <f t="shared" ref="Z152:Z154" si="516">SUM(W152:Y152)</f>
        <v>18200</v>
      </c>
      <c r="AA152" s="460">
        <f t="shared" ref="AA152:AA154" si="517">V152+Z152</f>
        <v>0</v>
      </c>
      <c r="AB152" s="69">
        <f t="shared" ref="AB152:AB154" si="518">ROUND((V152+W152+X152)*33.8%,0)</f>
        <v>0</v>
      </c>
      <c r="AC152" s="69">
        <f t="shared" ref="AC152:AC154" si="519">ROUND(V152*1%,0)</f>
        <v>-182</v>
      </c>
      <c r="AD152" s="460">
        <v>0</v>
      </c>
      <c r="AE152" s="460">
        <v>0</v>
      </c>
      <c r="AF152" s="460">
        <f t="shared" ref="AF152:AF154" si="520">SUM(AD152:AE152)</f>
        <v>0</v>
      </c>
      <c r="AG152" s="460">
        <f t="shared" ref="AG152:AG154" si="521">AA152+AB152+AC152+AF152</f>
        <v>-182</v>
      </c>
      <c r="AH152" s="461">
        <v>0</v>
      </c>
      <c r="AI152" s="461">
        <v>-0.08</v>
      </c>
      <c r="AJ152" s="461">
        <v>0</v>
      </c>
      <c r="AK152" s="461">
        <v>0</v>
      </c>
      <c r="AL152" s="674">
        <v>0</v>
      </c>
      <c r="AM152" s="461">
        <v>0</v>
      </c>
      <c r="AN152" s="461">
        <v>0</v>
      </c>
      <c r="AO152" s="461">
        <v>0</v>
      </c>
      <c r="AP152" s="461">
        <f>AH152+AJ152+AK152+AM152+AN152</f>
        <v>0</v>
      </c>
      <c r="AQ152" s="461">
        <f>AI152+AL152+AO152</f>
        <v>-0.08</v>
      </c>
      <c r="AR152" s="463">
        <f t="shared" ref="AR152:AR154" si="522">SUM(AP152:AQ152)</f>
        <v>-0.08</v>
      </c>
      <c r="AS152" s="469">
        <f>I152+AG152</f>
        <v>5053222</v>
      </c>
      <c r="AT152" s="460">
        <f>J152+V152</f>
        <v>3712515</v>
      </c>
      <c r="AU152" s="460">
        <f t="shared" ref="AU152:AU154" si="523">Z152</f>
        <v>18200</v>
      </c>
      <c r="AV152" s="460">
        <f t="shared" ref="AV152:AW154" si="524">K152+AB152</f>
        <v>1260982</v>
      </c>
      <c r="AW152" s="460">
        <f t="shared" si="524"/>
        <v>37125</v>
      </c>
      <c r="AX152" s="460">
        <f>M152+AF152</f>
        <v>24400</v>
      </c>
      <c r="AY152" s="461">
        <f>N152+AR152</f>
        <v>7.6</v>
      </c>
      <c r="AZ152" s="461">
        <f t="shared" ref="AZ152:BA154" si="525">O152+AP152</f>
        <v>6</v>
      </c>
      <c r="BA152" s="463">
        <f t="shared" si="525"/>
        <v>1.5999999999999999</v>
      </c>
    </row>
    <row r="153" spans="1:53" s="229" customFormat="1" x14ac:dyDescent="0.2">
      <c r="A153" s="231">
        <v>32</v>
      </c>
      <c r="B153" s="232">
        <v>3426</v>
      </c>
      <c r="C153" s="232">
        <v>600078019</v>
      </c>
      <c r="D153" s="232">
        <v>72742470</v>
      </c>
      <c r="E153" s="233" t="s">
        <v>71</v>
      </c>
      <c r="F153" s="232">
        <v>3111</v>
      </c>
      <c r="G153" s="233" t="s">
        <v>308</v>
      </c>
      <c r="H153" s="264" t="s">
        <v>278</v>
      </c>
      <c r="I153" s="457">
        <f t="shared" si="511"/>
        <v>0</v>
      </c>
      <c r="J153" s="457">
        <v>0</v>
      </c>
      <c r="K153" s="457">
        <f t="shared" si="512"/>
        <v>0</v>
      </c>
      <c r="L153" s="457">
        <f t="shared" si="513"/>
        <v>0</v>
      </c>
      <c r="M153" s="457">
        <v>0</v>
      </c>
      <c r="N153" s="458">
        <f t="shared" si="514"/>
        <v>0</v>
      </c>
      <c r="O153" s="459">
        <v>0</v>
      </c>
      <c r="P153" s="468">
        <v>0</v>
      </c>
      <c r="Q153" s="470">
        <f t="shared" si="515"/>
        <v>0</v>
      </c>
      <c r="R153" s="460">
        <v>519670</v>
      </c>
      <c r="S153" s="673">
        <v>0</v>
      </c>
      <c r="T153" s="460">
        <v>0</v>
      </c>
      <c r="U153" s="460">
        <v>0</v>
      </c>
      <c r="V153" s="460">
        <f>SUM(Q153:U153)</f>
        <v>519670</v>
      </c>
      <c r="W153" s="460">
        <v>0</v>
      </c>
      <c r="X153" s="460">
        <v>0</v>
      </c>
      <c r="Y153" s="460">
        <v>0</v>
      </c>
      <c r="Z153" s="460">
        <f t="shared" si="516"/>
        <v>0</v>
      </c>
      <c r="AA153" s="460">
        <f t="shared" si="517"/>
        <v>519670</v>
      </c>
      <c r="AB153" s="69">
        <f t="shared" si="518"/>
        <v>175648</v>
      </c>
      <c r="AC153" s="69">
        <f t="shared" si="519"/>
        <v>5197</v>
      </c>
      <c r="AD153" s="460">
        <v>0</v>
      </c>
      <c r="AE153" s="460">
        <v>0</v>
      </c>
      <c r="AF153" s="460">
        <f t="shared" si="520"/>
        <v>0</v>
      </c>
      <c r="AG153" s="460">
        <f t="shared" si="521"/>
        <v>700515</v>
      </c>
      <c r="AH153" s="461">
        <v>0</v>
      </c>
      <c r="AI153" s="461">
        <v>0</v>
      </c>
      <c r="AJ153" s="461">
        <v>1.5</v>
      </c>
      <c r="AK153" s="461">
        <v>0</v>
      </c>
      <c r="AL153" s="674">
        <v>0</v>
      </c>
      <c r="AM153" s="461">
        <v>0</v>
      </c>
      <c r="AN153" s="461">
        <v>0</v>
      </c>
      <c r="AO153" s="461">
        <v>0</v>
      </c>
      <c r="AP153" s="461">
        <f>AH153+AJ153+AK153+AM153+AN153</f>
        <v>1.5</v>
      </c>
      <c r="AQ153" s="461">
        <f>AI153+AL153+AO153</f>
        <v>0</v>
      </c>
      <c r="AR153" s="463">
        <f t="shared" si="522"/>
        <v>1.5</v>
      </c>
      <c r="AS153" s="469">
        <f>I153+AG153</f>
        <v>700515</v>
      </c>
      <c r="AT153" s="460">
        <f>J153+V153</f>
        <v>519670</v>
      </c>
      <c r="AU153" s="460">
        <f t="shared" si="523"/>
        <v>0</v>
      </c>
      <c r="AV153" s="460">
        <f t="shared" si="524"/>
        <v>175648</v>
      </c>
      <c r="AW153" s="460">
        <f t="shared" si="524"/>
        <v>5197</v>
      </c>
      <c r="AX153" s="460">
        <f>M153+AF153</f>
        <v>0</v>
      </c>
      <c r="AY153" s="461">
        <f>N153+AR153</f>
        <v>1.5</v>
      </c>
      <c r="AZ153" s="461">
        <f t="shared" si="525"/>
        <v>1.5</v>
      </c>
      <c r="BA153" s="463">
        <f t="shared" si="525"/>
        <v>0</v>
      </c>
    </row>
    <row r="154" spans="1:53" s="229" customFormat="1" ht="12.75" customHeight="1" x14ac:dyDescent="0.2">
      <c r="A154" s="231">
        <v>32</v>
      </c>
      <c r="B154" s="232">
        <v>3426</v>
      </c>
      <c r="C154" s="232">
        <v>600078019</v>
      </c>
      <c r="D154" s="232">
        <v>72742470</v>
      </c>
      <c r="E154" s="233" t="s">
        <v>71</v>
      </c>
      <c r="F154" s="232">
        <v>3141</v>
      </c>
      <c r="G154" s="233" t="s">
        <v>311</v>
      </c>
      <c r="H154" s="264" t="s">
        <v>278</v>
      </c>
      <c r="I154" s="457">
        <f t="shared" si="511"/>
        <v>1860020</v>
      </c>
      <c r="J154" s="457">
        <v>1371851</v>
      </c>
      <c r="K154" s="457">
        <f t="shared" si="512"/>
        <v>463686</v>
      </c>
      <c r="L154" s="457">
        <f t="shared" si="513"/>
        <v>13719</v>
      </c>
      <c r="M154" s="457">
        <v>10764</v>
      </c>
      <c r="N154" s="458">
        <f t="shared" si="514"/>
        <v>4.41</v>
      </c>
      <c r="O154" s="459">
        <v>0</v>
      </c>
      <c r="P154" s="468">
        <v>4.41</v>
      </c>
      <c r="Q154" s="470">
        <f t="shared" si="515"/>
        <v>0</v>
      </c>
      <c r="R154" s="460">
        <v>0</v>
      </c>
      <c r="S154" s="673">
        <v>0</v>
      </c>
      <c r="T154" s="460">
        <v>0</v>
      </c>
      <c r="U154" s="460">
        <v>0</v>
      </c>
      <c r="V154" s="460">
        <f>SUM(Q154:U154)</f>
        <v>0</v>
      </c>
      <c r="W154" s="460">
        <v>0</v>
      </c>
      <c r="X154" s="460">
        <v>0</v>
      </c>
      <c r="Y154" s="460">
        <v>0</v>
      </c>
      <c r="Z154" s="460">
        <f t="shared" si="516"/>
        <v>0</v>
      </c>
      <c r="AA154" s="460">
        <f t="shared" si="517"/>
        <v>0</v>
      </c>
      <c r="AB154" s="69">
        <f t="shared" si="518"/>
        <v>0</v>
      </c>
      <c r="AC154" s="69">
        <f t="shared" si="519"/>
        <v>0</v>
      </c>
      <c r="AD154" s="460">
        <v>0</v>
      </c>
      <c r="AE154" s="460">
        <v>0</v>
      </c>
      <c r="AF154" s="460">
        <f t="shared" si="520"/>
        <v>0</v>
      </c>
      <c r="AG154" s="460">
        <f t="shared" si="521"/>
        <v>0</v>
      </c>
      <c r="AH154" s="461">
        <v>0</v>
      </c>
      <c r="AI154" s="461">
        <v>0</v>
      </c>
      <c r="AJ154" s="461">
        <v>0</v>
      </c>
      <c r="AK154" s="461">
        <v>0</v>
      </c>
      <c r="AL154" s="674">
        <v>0</v>
      </c>
      <c r="AM154" s="461">
        <v>0</v>
      </c>
      <c r="AN154" s="461">
        <v>0</v>
      </c>
      <c r="AO154" s="461">
        <v>0</v>
      </c>
      <c r="AP154" s="461">
        <f>AH154+AJ154+AK154+AM154+AN154</f>
        <v>0</v>
      </c>
      <c r="AQ154" s="461">
        <f>AI154+AL154+AO154</f>
        <v>0</v>
      </c>
      <c r="AR154" s="463">
        <f t="shared" si="522"/>
        <v>0</v>
      </c>
      <c r="AS154" s="469">
        <f>I154+AG154</f>
        <v>1860020</v>
      </c>
      <c r="AT154" s="460">
        <f>J154+V154</f>
        <v>1371851</v>
      </c>
      <c r="AU154" s="460">
        <f t="shared" si="523"/>
        <v>0</v>
      </c>
      <c r="AV154" s="460">
        <f t="shared" si="524"/>
        <v>463686</v>
      </c>
      <c r="AW154" s="460">
        <f t="shared" si="524"/>
        <v>13719</v>
      </c>
      <c r="AX154" s="460">
        <f>M154+AF154</f>
        <v>10764</v>
      </c>
      <c r="AY154" s="461">
        <f>N154+AR154</f>
        <v>4.41</v>
      </c>
      <c r="AZ154" s="461">
        <f t="shared" si="525"/>
        <v>0</v>
      </c>
      <c r="BA154" s="463">
        <f t="shared" si="525"/>
        <v>4.41</v>
      </c>
    </row>
    <row r="155" spans="1:53" s="229" customFormat="1" ht="12.75" customHeight="1" x14ac:dyDescent="0.2">
      <c r="A155" s="156">
        <v>32</v>
      </c>
      <c r="B155" s="14">
        <v>3426</v>
      </c>
      <c r="C155" s="155">
        <v>600078019</v>
      </c>
      <c r="D155" s="155">
        <v>72742470</v>
      </c>
      <c r="E155" s="230" t="s">
        <v>72</v>
      </c>
      <c r="F155" s="14"/>
      <c r="G155" s="230"/>
      <c r="H155" s="263"/>
      <c r="I155" s="464">
        <f t="shared" ref="I155:P155" si="526">SUM(I152:I154)</f>
        <v>6913424</v>
      </c>
      <c r="J155" s="464">
        <f t="shared" si="526"/>
        <v>5102566</v>
      </c>
      <c r="K155" s="464">
        <f t="shared" si="526"/>
        <v>1724668</v>
      </c>
      <c r="L155" s="464">
        <f t="shared" si="526"/>
        <v>51026</v>
      </c>
      <c r="M155" s="464">
        <f t="shared" si="526"/>
        <v>35164</v>
      </c>
      <c r="N155" s="427">
        <f t="shared" si="526"/>
        <v>12.09</v>
      </c>
      <c r="O155" s="427">
        <f t="shared" si="526"/>
        <v>6</v>
      </c>
      <c r="P155" s="427">
        <f t="shared" si="526"/>
        <v>6.09</v>
      </c>
      <c r="Q155" s="622">
        <f t="shared" ref="Q155:BA155" si="527">SUM(Q152:Q154)</f>
        <v>-18200</v>
      </c>
      <c r="R155" s="620">
        <f t="shared" si="527"/>
        <v>519670</v>
      </c>
      <c r="S155" s="620">
        <f t="shared" si="527"/>
        <v>0</v>
      </c>
      <c r="T155" s="620">
        <f t="shared" si="527"/>
        <v>0</v>
      </c>
      <c r="U155" s="620">
        <f t="shared" si="527"/>
        <v>0</v>
      </c>
      <c r="V155" s="620">
        <f t="shared" si="527"/>
        <v>501470</v>
      </c>
      <c r="W155" s="620">
        <f t="shared" si="527"/>
        <v>18200</v>
      </c>
      <c r="X155" s="620">
        <f t="shared" si="527"/>
        <v>0</v>
      </c>
      <c r="Y155" s="620">
        <f t="shared" si="527"/>
        <v>0</v>
      </c>
      <c r="Z155" s="620">
        <f t="shared" si="527"/>
        <v>18200</v>
      </c>
      <c r="AA155" s="620">
        <f t="shared" si="527"/>
        <v>519670</v>
      </c>
      <c r="AB155" s="620">
        <f t="shared" si="527"/>
        <v>175648</v>
      </c>
      <c r="AC155" s="620">
        <f t="shared" si="527"/>
        <v>5015</v>
      </c>
      <c r="AD155" s="620">
        <f t="shared" si="527"/>
        <v>0</v>
      </c>
      <c r="AE155" s="620">
        <f t="shared" si="527"/>
        <v>0</v>
      </c>
      <c r="AF155" s="620">
        <f t="shared" si="527"/>
        <v>0</v>
      </c>
      <c r="AG155" s="620">
        <f t="shared" si="527"/>
        <v>700333</v>
      </c>
      <c r="AH155" s="621">
        <f t="shared" si="527"/>
        <v>0</v>
      </c>
      <c r="AI155" s="621">
        <f t="shared" si="527"/>
        <v>-0.08</v>
      </c>
      <c r="AJ155" s="621">
        <f t="shared" si="527"/>
        <v>1.5</v>
      </c>
      <c r="AK155" s="621">
        <f t="shared" si="527"/>
        <v>0</v>
      </c>
      <c r="AL155" s="621">
        <f t="shared" si="527"/>
        <v>0</v>
      </c>
      <c r="AM155" s="621">
        <f t="shared" si="527"/>
        <v>0</v>
      </c>
      <c r="AN155" s="621">
        <f t="shared" si="527"/>
        <v>0</v>
      </c>
      <c r="AO155" s="621">
        <f t="shared" si="527"/>
        <v>0</v>
      </c>
      <c r="AP155" s="621">
        <f t="shared" si="527"/>
        <v>1.5</v>
      </c>
      <c r="AQ155" s="621">
        <f t="shared" si="527"/>
        <v>-0.08</v>
      </c>
      <c r="AR155" s="623">
        <f t="shared" si="527"/>
        <v>1.42</v>
      </c>
      <c r="AS155" s="618">
        <f t="shared" si="527"/>
        <v>7613757</v>
      </c>
      <c r="AT155" s="464">
        <f t="shared" si="527"/>
        <v>5604036</v>
      </c>
      <c r="AU155" s="464">
        <f t="shared" si="527"/>
        <v>18200</v>
      </c>
      <c r="AV155" s="464">
        <f t="shared" si="527"/>
        <v>1900316</v>
      </c>
      <c r="AW155" s="464">
        <f t="shared" si="527"/>
        <v>56041</v>
      </c>
      <c r="AX155" s="464">
        <f t="shared" si="527"/>
        <v>35164</v>
      </c>
      <c r="AY155" s="427">
        <f t="shared" si="527"/>
        <v>13.51</v>
      </c>
      <c r="AZ155" s="427">
        <f t="shared" si="527"/>
        <v>7.5</v>
      </c>
      <c r="BA155" s="496">
        <f t="shared" si="527"/>
        <v>6.01</v>
      </c>
    </row>
    <row r="156" spans="1:53" s="229" customFormat="1" ht="12.75" customHeight="1" x14ac:dyDescent="0.2">
      <c r="A156" s="231">
        <v>33</v>
      </c>
      <c r="B156" s="232">
        <v>3425</v>
      </c>
      <c r="C156" s="232">
        <v>600078451</v>
      </c>
      <c r="D156" s="232">
        <v>72742551</v>
      </c>
      <c r="E156" s="233" t="s">
        <v>73</v>
      </c>
      <c r="F156" s="232">
        <v>3113</v>
      </c>
      <c r="G156" s="233" t="s">
        <v>310</v>
      </c>
      <c r="H156" s="264" t="s">
        <v>277</v>
      </c>
      <c r="I156" s="457">
        <f t="shared" ref="I156:I159" si="528">SUM(J156:M156)</f>
        <v>12928085</v>
      </c>
      <c r="J156" s="457">
        <v>9426361</v>
      </c>
      <c r="K156" s="457">
        <f t="shared" ref="K156:K159" si="529">ROUND(J156*33.8%,0)</f>
        <v>3186110</v>
      </c>
      <c r="L156" s="457">
        <f t="shared" ref="L156:L159" si="530">ROUND(J156*1%,0)</f>
        <v>94264</v>
      </c>
      <c r="M156" s="457">
        <v>221350</v>
      </c>
      <c r="N156" s="458">
        <f t="shared" ref="N156:N159" si="531">O156+P156</f>
        <v>16.3918</v>
      </c>
      <c r="O156" s="459">
        <v>12.681800000000001</v>
      </c>
      <c r="P156" s="468">
        <v>3.71</v>
      </c>
      <c r="Q156" s="470">
        <f t="shared" ref="Q156:Q159" si="532">W156*-1</f>
        <v>-12480</v>
      </c>
      <c r="R156" s="460">
        <v>0</v>
      </c>
      <c r="S156" s="673">
        <v>0</v>
      </c>
      <c r="T156" s="460">
        <v>0</v>
      </c>
      <c r="U156" s="460">
        <v>0</v>
      </c>
      <c r="V156" s="460">
        <f>SUM(Q156:U156)</f>
        <v>-12480</v>
      </c>
      <c r="W156" s="460">
        <v>12480</v>
      </c>
      <c r="X156" s="460">
        <v>0</v>
      </c>
      <c r="Y156" s="460">
        <v>0</v>
      </c>
      <c r="Z156" s="460">
        <f t="shared" ref="Z156:Z159" si="533">SUM(W156:Y156)</f>
        <v>12480</v>
      </c>
      <c r="AA156" s="460">
        <f t="shared" ref="AA156:AA159" si="534">V156+Z156</f>
        <v>0</v>
      </c>
      <c r="AB156" s="69">
        <f t="shared" ref="AB156:AB159" si="535">ROUND((V156+W156+X156)*33.8%,0)</f>
        <v>0</v>
      </c>
      <c r="AC156" s="69">
        <f t="shared" ref="AC156:AC159" si="536">ROUND(V156*1%,0)</f>
        <v>-125</v>
      </c>
      <c r="AD156" s="460">
        <v>0</v>
      </c>
      <c r="AE156" s="460">
        <v>0</v>
      </c>
      <c r="AF156" s="460">
        <f t="shared" ref="AF156:AF159" si="537">SUM(AD156:AE156)</f>
        <v>0</v>
      </c>
      <c r="AG156" s="460">
        <f t="shared" ref="AG156:AG159" si="538">AA156+AB156+AC156+AF156</f>
        <v>-125</v>
      </c>
      <c r="AH156" s="461">
        <v>-0.02</v>
      </c>
      <c r="AI156" s="461">
        <v>0</v>
      </c>
      <c r="AJ156" s="461">
        <v>0</v>
      </c>
      <c r="AK156" s="461">
        <v>0</v>
      </c>
      <c r="AL156" s="674">
        <v>0</v>
      </c>
      <c r="AM156" s="461">
        <v>0</v>
      </c>
      <c r="AN156" s="461">
        <v>0</v>
      </c>
      <c r="AO156" s="461">
        <v>0</v>
      </c>
      <c r="AP156" s="461">
        <f>AH156+AJ156+AK156+AM156+AN156</f>
        <v>-0.02</v>
      </c>
      <c r="AQ156" s="461">
        <f>AI156+AL156+AO156</f>
        <v>0</v>
      </c>
      <c r="AR156" s="463">
        <f t="shared" ref="AR156:AR159" si="539">SUM(AP156:AQ156)</f>
        <v>-0.02</v>
      </c>
      <c r="AS156" s="469">
        <f>I156+AG156</f>
        <v>12927960</v>
      </c>
      <c r="AT156" s="460">
        <f>J156+V156</f>
        <v>9413881</v>
      </c>
      <c r="AU156" s="460">
        <f t="shared" ref="AU156:AU159" si="540">Z156</f>
        <v>12480</v>
      </c>
      <c r="AV156" s="460">
        <f t="shared" ref="AV156:AW159" si="541">K156+AB156</f>
        <v>3186110</v>
      </c>
      <c r="AW156" s="460">
        <f t="shared" si="541"/>
        <v>94139</v>
      </c>
      <c r="AX156" s="460">
        <f>M156+AF156</f>
        <v>221350</v>
      </c>
      <c r="AY156" s="461">
        <f>N156+AR156</f>
        <v>16.3718</v>
      </c>
      <c r="AZ156" s="461">
        <f t="shared" ref="AZ156:BA159" si="542">O156+AP156</f>
        <v>12.661800000000001</v>
      </c>
      <c r="BA156" s="463">
        <f t="shared" si="542"/>
        <v>3.71</v>
      </c>
    </row>
    <row r="157" spans="1:53" s="229" customFormat="1" x14ac:dyDescent="0.2">
      <c r="A157" s="231">
        <v>33</v>
      </c>
      <c r="B157" s="232">
        <v>3425</v>
      </c>
      <c r="C157" s="232">
        <v>600078451</v>
      </c>
      <c r="D157" s="232">
        <v>72742551</v>
      </c>
      <c r="E157" s="233" t="s">
        <v>73</v>
      </c>
      <c r="F157" s="232">
        <v>3113</v>
      </c>
      <c r="G157" s="233" t="s">
        <v>308</v>
      </c>
      <c r="H157" s="264" t="s">
        <v>278</v>
      </c>
      <c r="I157" s="457">
        <f t="shared" si="528"/>
        <v>0</v>
      </c>
      <c r="J157" s="457">
        <v>0</v>
      </c>
      <c r="K157" s="457">
        <f t="shared" si="529"/>
        <v>0</v>
      </c>
      <c r="L157" s="457">
        <f t="shared" si="530"/>
        <v>0</v>
      </c>
      <c r="M157" s="457">
        <v>0</v>
      </c>
      <c r="N157" s="458">
        <f t="shared" si="531"/>
        <v>0</v>
      </c>
      <c r="O157" s="459">
        <v>0</v>
      </c>
      <c r="P157" s="468">
        <v>0</v>
      </c>
      <c r="Q157" s="470">
        <f t="shared" si="532"/>
        <v>0</v>
      </c>
      <c r="R157" s="460">
        <v>1378214</v>
      </c>
      <c r="S157" s="673">
        <v>0</v>
      </c>
      <c r="T157" s="460">
        <v>0</v>
      </c>
      <c r="U157" s="460">
        <v>0</v>
      </c>
      <c r="V157" s="460">
        <f>SUM(Q157:U157)</f>
        <v>1378214</v>
      </c>
      <c r="W157" s="460">
        <v>0</v>
      </c>
      <c r="X157" s="460">
        <v>0</v>
      </c>
      <c r="Y157" s="460">
        <v>0</v>
      </c>
      <c r="Z157" s="460">
        <f t="shared" si="533"/>
        <v>0</v>
      </c>
      <c r="AA157" s="460">
        <f t="shared" si="534"/>
        <v>1378214</v>
      </c>
      <c r="AB157" s="69">
        <f t="shared" si="535"/>
        <v>465836</v>
      </c>
      <c r="AC157" s="69">
        <f t="shared" si="536"/>
        <v>13782</v>
      </c>
      <c r="AD157" s="460">
        <v>0</v>
      </c>
      <c r="AE157" s="460">
        <v>0</v>
      </c>
      <c r="AF157" s="460">
        <f t="shared" si="537"/>
        <v>0</v>
      </c>
      <c r="AG157" s="460">
        <f t="shared" si="538"/>
        <v>1857832</v>
      </c>
      <c r="AH157" s="461">
        <v>0</v>
      </c>
      <c r="AI157" s="461">
        <v>0</v>
      </c>
      <c r="AJ157" s="461">
        <v>3.93</v>
      </c>
      <c r="AK157" s="461">
        <v>0</v>
      </c>
      <c r="AL157" s="674">
        <v>0</v>
      </c>
      <c r="AM157" s="461">
        <v>0</v>
      </c>
      <c r="AN157" s="461">
        <v>0</v>
      </c>
      <c r="AO157" s="461">
        <v>0</v>
      </c>
      <c r="AP157" s="461">
        <f>AH157+AJ157+AK157+AM157+AN157</f>
        <v>3.93</v>
      </c>
      <c r="AQ157" s="461">
        <f>AI157+AL157+AO157</f>
        <v>0</v>
      </c>
      <c r="AR157" s="463">
        <f t="shared" si="539"/>
        <v>3.93</v>
      </c>
      <c r="AS157" s="469">
        <f>I157+AG157</f>
        <v>1857832</v>
      </c>
      <c r="AT157" s="460">
        <f>J157+V157</f>
        <v>1378214</v>
      </c>
      <c r="AU157" s="460">
        <f t="shared" si="540"/>
        <v>0</v>
      </c>
      <c r="AV157" s="460">
        <f t="shared" si="541"/>
        <v>465836</v>
      </c>
      <c r="AW157" s="460">
        <f t="shared" si="541"/>
        <v>13782</v>
      </c>
      <c r="AX157" s="460">
        <f>M157+AF157</f>
        <v>0</v>
      </c>
      <c r="AY157" s="461">
        <f>N157+AR157</f>
        <v>3.93</v>
      </c>
      <c r="AZ157" s="461">
        <f t="shared" si="542"/>
        <v>3.93</v>
      </c>
      <c r="BA157" s="463">
        <f t="shared" si="542"/>
        <v>0</v>
      </c>
    </row>
    <row r="158" spans="1:53" s="229" customFormat="1" ht="12.75" customHeight="1" x14ac:dyDescent="0.2">
      <c r="A158" s="231">
        <v>33</v>
      </c>
      <c r="B158" s="232">
        <v>3425</v>
      </c>
      <c r="C158" s="232">
        <v>600078451</v>
      </c>
      <c r="D158" s="232">
        <v>72742551</v>
      </c>
      <c r="E158" s="233" t="s">
        <v>73</v>
      </c>
      <c r="F158" s="232">
        <v>3143</v>
      </c>
      <c r="G158" s="233" t="s">
        <v>616</v>
      </c>
      <c r="H158" s="264" t="s">
        <v>277</v>
      </c>
      <c r="I158" s="457">
        <f t="shared" si="528"/>
        <v>1368917</v>
      </c>
      <c r="J158" s="457">
        <v>1015517</v>
      </c>
      <c r="K158" s="457">
        <f t="shared" si="529"/>
        <v>343245</v>
      </c>
      <c r="L158" s="457">
        <f t="shared" si="530"/>
        <v>10155</v>
      </c>
      <c r="M158" s="457">
        <v>0</v>
      </c>
      <c r="N158" s="458">
        <f t="shared" si="531"/>
        <v>2</v>
      </c>
      <c r="O158" s="459">
        <v>2</v>
      </c>
      <c r="P158" s="468">
        <v>0</v>
      </c>
      <c r="Q158" s="470">
        <f t="shared" si="532"/>
        <v>0</v>
      </c>
      <c r="R158" s="460">
        <v>0</v>
      </c>
      <c r="S158" s="673">
        <v>0</v>
      </c>
      <c r="T158" s="460">
        <v>0</v>
      </c>
      <c r="U158" s="460">
        <v>0</v>
      </c>
      <c r="V158" s="460">
        <f>SUM(Q158:U158)</f>
        <v>0</v>
      </c>
      <c r="W158" s="460">
        <v>0</v>
      </c>
      <c r="X158" s="460">
        <v>0</v>
      </c>
      <c r="Y158" s="460">
        <v>0</v>
      </c>
      <c r="Z158" s="460">
        <f t="shared" si="533"/>
        <v>0</v>
      </c>
      <c r="AA158" s="460">
        <f t="shared" si="534"/>
        <v>0</v>
      </c>
      <c r="AB158" s="69">
        <f t="shared" si="535"/>
        <v>0</v>
      </c>
      <c r="AC158" s="69">
        <f t="shared" si="536"/>
        <v>0</v>
      </c>
      <c r="AD158" s="460">
        <v>0</v>
      </c>
      <c r="AE158" s="460">
        <v>0</v>
      </c>
      <c r="AF158" s="460">
        <f t="shared" si="537"/>
        <v>0</v>
      </c>
      <c r="AG158" s="460">
        <f t="shared" si="538"/>
        <v>0</v>
      </c>
      <c r="AH158" s="461">
        <v>0</v>
      </c>
      <c r="AI158" s="461">
        <v>0</v>
      </c>
      <c r="AJ158" s="461">
        <v>0</v>
      </c>
      <c r="AK158" s="461">
        <v>0</v>
      </c>
      <c r="AL158" s="674">
        <v>0</v>
      </c>
      <c r="AM158" s="461">
        <v>0</v>
      </c>
      <c r="AN158" s="461">
        <v>0</v>
      </c>
      <c r="AO158" s="461">
        <v>0</v>
      </c>
      <c r="AP158" s="461">
        <f>AH158+AJ158+AK158+AM158+AN158</f>
        <v>0</v>
      </c>
      <c r="AQ158" s="461">
        <f>AI158+AL158+AO158</f>
        <v>0</v>
      </c>
      <c r="AR158" s="463">
        <f t="shared" si="539"/>
        <v>0</v>
      </c>
      <c r="AS158" s="469">
        <f>I158+AG158</f>
        <v>1368917</v>
      </c>
      <c r="AT158" s="460">
        <f>J158+V158</f>
        <v>1015517</v>
      </c>
      <c r="AU158" s="460">
        <f t="shared" si="540"/>
        <v>0</v>
      </c>
      <c r="AV158" s="460">
        <f t="shared" si="541"/>
        <v>343245</v>
      </c>
      <c r="AW158" s="460">
        <f t="shared" si="541"/>
        <v>10155</v>
      </c>
      <c r="AX158" s="460">
        <f>M158+AF158</f>
        <v>0</v>
      </c>
      <c r="AY158" s="461">
        <f>N158+AR158</f>
        <v>2</v>
      </c>
      <c r="AZ158" s="461">
        <f t="shared" si="542"/>
        <v>2</v>
      </c>
      <c r="BA158" s="463">
        <f t="shared" si="542"/>
        <v>0</v>
      </c>
    </row>
    <row r="159" spans="1:53" s="229" customFormat="1" ht="12.75" customHeight="1" x14ac:dyDescent="0.2">
      <c r="A159" s="231">
        <v>33</v>
      </c>
      <c r="B159" s="232">
        <v>3425</v>
      </c>
      <c r="C159" s="232">
        <v>600078451</v>
      </c>
      <c r="D159" s="232">
        <v>72742551</v>
      </c>
      <c r="E159" s="233" t="s">
        <v>73</v>
      </c>
      <c r="F159" s="232">
        <v>3143</v>
      </c>
      <c r="G159" s="233" t="s">
        <v>617</v>
      </c>
      <c r="H159" s="264" t="s">
        <v>278</v>
      </c>
      <c r="I159" s="457">
        <f t="shared" si="528"/>
        <v>38849</v>
      </c>
      <c r="J159" s="457">
        <v>27758</v>
      </c>
      <c r="K159" s="457">
        <f t="shared" si="529"/>
        <v>9382</v>
      </c>
      <c r="L159" s="457">
        <f t="shared" si="530"/>
        <v>278</v>
      </c>
      <c r="M159" s="457">
        <v>1431</v>
      </c>
      <c r="N159" s="458">
        <f t="shared" si="531"/>
        <v>0.11</v>
      </c>
      <c r="O159" s="459">
        <v>0</v>
      </c>
      <c r="P159" s="468">
        <v>0.11</v>
      </c>
      <c r="Q159" s="470">
        <f t="shared" si="532"/>
        <v>0</v>
      </c>
      <c r="R159" s="460">
        <v>0</v>
      </c>
      <c r="S159" s="673">
        <v>0</v>
      </c>
      <c r="T159" s="460">
        <v>0</v>
      </c>
      <c r="U159" s="460">
        <v>0</v>
      </c>
      <c r="V159" s="460">
        <f>SUM(Q159:U159)</f>
        <v>0</v>
      </c>
      <c r="W159" s="460">
        <v>0</v>
      </c>
      <c r="X159" s="460">
        <v>0</v>
      </c>
      <c r="Y159" s="460">
        <v>0</v>
      </c>
      <c r="Z159" s="460">
        <f t="shared" si="533"/>
        <v>0</v>
      </c>
      <c r="AA159" s="460">
        <f t="shared" si="534"/>
        <v>0</v>
      </c>
      <c r="AB159" s="69">
        <f t="shared" si="535"/>
        <v>0</v>
      </c>
      <c r="AC159" s="69">
        <f t="shared" si="536"/>
        <v>0</v>
      </c>
      <c r="AD159" s="460">
        <v>0</v>
      </c>
      <c r="AE159" s="460">
        <v>0</v>
      </c>
      <c r="AF159" s="460">
        <f t="shared" si="537"/>
        <v>0</v>
      </c>
      <c r="AG159" s="460">
        <f t="shared" si="538"/>
        <v>0</v>
      </c>
      <c r="AH159" s="461">
        <v>0</v>
      </c>
      <c r="AI159" s="461">
        <v>0</v>
      </c>
      <c r="AJ159" s="461">
        <v>0</v>
      </c>
      <c r="AK159" s="461">
        <v>0</v>
      </c>
      <c r="AL159" s="674">
        <v>0</v>
      </c>
      <c r="AM159" s="461">
        <v>0</v>
      </c>
      <c r="AN159" s="461">
        <v>0</v>
      </c>
      <c r="AO159" s="461">
        <v>0</v>
      </c>
      <c r="AP159" s="461">
        <f>AH159+AJ159+AK159+AM159+AN159</f>
        <v>0</v>
      </c>
      <c r="AQ159" s="461">
        <f>AI159+AL159+AO159</f>
        <v>0</v>
      </c>
      <c r="AR159" s="463">
        <f t="shared" si="539"/>
        <v>0</v>
      </c>
      <c r="AS159" s="469">
        <f>I159+AG159</f>
        <v>38849</v>
      </c>
      <c r="AT159" s="460">
        <f>J159+V159</f>
        <v>27758</v>
      </c>
      <c r="AU159" s="460">
        <f t="shared" si="540"/>
        <v>0</v>
      </c>
      <c r="AV159" s="460">
        <f t="shared" si="541"/>
        <v>9382</v>
      </c>
      <c r="AW159" s="460">
        <f t="shared" si="541"/>
        <v>278</v>
      </c>
      <c r="AX159" s="460">
        <f>M159+AF159</f>
        <v>1431</v>
      </c>
      <c r="AY159" s="461">
        <f>N159+AR159</f>
        <v>0.11</v>
      </c>
      <c r="AZ159" s="461">
        <f t="shared" si="542"/>
        <v>0</v>
      </c>
      <c r="BA159" s="463">
        <f t="shared" si="542"/>
        <v>0.11</v>
      </c>
    </row>
    <row r="160" spans="1:53" s="229" customFormat="1" ht="12.75" customHeight="1" x14ac:dyDescent="0.2">
      <c r="A160" s="156">
        <v>33</v>
      </c>
      <c r="B160" s="14">
        <v>3425</v>
      </c>
      <c r="C160" s="155">
        <v>600078451</v>
      </c>
      <c r="D160" s="155">
        <v>72742551</v>
      </c>
      <c r="E160" s="230" t="s">
        <v>74</v>
      </c>
      <c r="F160" s="14"/>
      <c r="G160" s="230"/>
      <c r="H160" s="263"/>
      <c r="I160" s="464">
        <f t="shared" ref="I160:P160" si="543">SUM(I156:I159)</f>
        <v>14335851</v>
      </c>
      <c r="J160" s="464">
        <f t="shared" si="543"/>
        <v>10469636</v>
      </c>
      <c r="K160" s="464">
        <f t="shared" si="543"/>
        <v>3538737</v>
      </c>
      <c r="L160" s="464">
        <f t="shared" si="543"/>
        <v>104697</v>
      </c>
      <c r="M160" s="464">
        <f t="shared" si="543"/>
        <v>222781</v>
      </c>
      <c r="N160" s="427">
        <f t="shared" si="543"/>
        <v>18.501799999999999</v>
      </c>
      <c r="O160" s="427">
        <f t="shared" si="543"/>
        <v>14.681800000000001</v>
      </c>
      <c r="P160" s="427">
        <f t="shared" si="543"/>
        <v>3.82</v>
      </c>
      <c r="Q160" s="622">
        <f t="shared" ref="Q160:BA160" si="544">SUM(Q156:Q159)</f>
        <v>-12480</v>
      </c>
      <c r="R160" s="620">
        <f t="shared" si="544"/>
        <v>1378214</v>
      </c>
      <c r="S160" s="620">
        <f t="shared" si="544"/>
        <v>0</v>
      </c>
      <c r="T160" s="620">
        <f t="shared" si="544"/>
        <v>0</v>
      </c>
      <c r="U160" s="620">
        <f t="shared" si="544"/>
        <v>0</v>
      </c>
      <c r="V160" s="620">
        <f t="shared" si="544"/>
        <v>1365734</v>
      </c>
      <c r="W160" s="620">
        <f t="shared" si="544"/>
        <v>12480</v>
      </c>
      <c r="X160" s="620">
        <f t="shared" si="544"/>
        <v>0</v>
      </c>
      <c r="Y160" s="620">
        <f t="shared" si="544"/>
        <v>0</v>
      </c>
      <c r="Z160" s="620">
        <f t="shared" si="544"/>
        <v>12480</v>
      </c>
      <c r="AA160" s="620">
        <f t="shared" si="544"/>
        <v>1378214</v>
      </c>
      <c r="AB160" s="620">
        <f t="shared" si="544"/>
        <v>465836</v>
      </c>
      <c r="AC160" s="620">
        <f t="shared" si="544"/>
        <v>13657</v>
      </c>
      <c r="AD160" s="620">
        <f t="shared" si="544"/>
        <v>0</v>
      </c>
      <c r="AE160" s="620">
        <f t="shared" si="544"/>
        <v>0</v>
      </c>
      <c r="AF160" s="620">
        <f t="shared" si="544"/>
        <v>0</v>
      </c>
      <c r="AG160" s="620">
        <f t="shared" si="544"/>
        <v>1857707</v>
      </c>
      <c r="AH160" s="621">
        <f t="shared" si="544"/>
        <v>-0.02</v>
      </c>
      <c r="AI160" s="621">
        <f t="shared" si="544"/>
        <v>0</v>
      </c>
      <c r="AJ160" s="621">
        <f t="shared" si="544"/>
        <v>3.93</v>
      </c>
      <c r="AK160" s="621">
        <f t="shared" si="544"/>
        <v>0</v>
      </c>
      <c r="AL160" s="621">
        <f t="shared" si="544"/>
        <v>0</v>
      </c>
      <c r="AM160" s="621">
        <f t="shared" si="544"/>
        <v>0</v>
      </c>
      <c r="AN160" s="621">
        <f t="shared" si="544"/>
        <v>0</v>
      </c>
      <c r="AO160" s="621">
        <f t="shared" si="544"/>
        <v>0</v>
      </c>
      <c r="AP160" s="621">
        <f t="shared" si="544"/>
        <v>3.91</v>
      </c>
      <c r="AQ160" s="621">
        <f t="shared" si="544"/>
        <v>0</v>
      </c>
      <c r="AR160" s="623">
        <f t="shared" si="544"/>
        <v>3.91</v>
      </c>
      <c r="AS160" s="618">
        <f t="shared" si="544"/>
        <v>16193558</v>
      </c>
      <c r="AT160" s="464">
        <f t="shared" si="544"/>
        <v>11835370</v>
      </c>
      <c r="AU160" s="464">
        <f t="shared" si="544"/>
        <v>12480</v>
      </c>
      <c r="AV160" s="464">
        <f t="shared" si="544"/>
        <v>4004573</v>
      </c>
      <c r="AW160" s="464">
        <f t="shared" si="544"/>
        <v>118354</v>
      </c>
      <c r="AX160" s="464">
        <f t="shared" si="544"/>
        <v>222781</v>
      </c>
      <c r="AY160" s="427">
        <f t="shared" si="544"/>
        <v>22.411799999999999</v>
      </c>
      <c r="AZ160" s="427">
        <f t="shared" si="544"/>
        <v>18.591800000000003</v>
      </c>
      <c r="BA160" s="496">
        <f t="shared" si="544"/>
        <v>3.82</v>
      </c>
    </row>
    <row r="161" spans="1:53" s="229" customFormat="1" ht="12.75" customHeight="1" x14ac:dyDescent="0.2">
      <c r="A161" s="231">
        <v>34</v>
      </c>
      <c r="B161" s="232">
        <v>3418</v>
      </c>
      <c r="C161" s="232">
        <v>600078001</v>
      </c>
      <c r="D161" s="232">
        <v>70695954</v>
      </c>
      <c r="E161" s="233" t="s">
        <v>75</v>
      </c>
      <c r="F161" s="232">
        <v>3111</v>
      </c>
      <c r="G161" s="233" t="s">
        <v>307</v>
      </c>
      <c r="H161" s="264" t="s">
        <v>277</v>
      </c>
      <c r="I161" s="457">
        <f t="shared" ref="I161:I163" si="545">SUM(J161:M161)</f>
        <v>1876014</v>
      </c>
      <c r="J161" s="457">
        <v>1385767</v>
      </c>
      <c r="K161" s="457">
        <f t="shared" ref="K161:K163" si="546">ROUND(J161*33.8%,0)</f>
        <v>468389</v>
      </c>
      <c r="L161" s="457">
        <f t="shared" ref="L161:L163" si="547">ROUND(J161*1%,0)</f>
        <v>13858</v>
      </c>
      <c r="M161" s="457">
        <v>8000</v>
      </c>
      <c r="N161" s="458">
        <f t="shared" ref="N161:N163" si="548">O161+P161</f>
        <v>2.8502999999999998</v>
      </c>
      <c r="O161" s="459">
        <v>2.2902999999999998</v>
      </c>
      <c r="P161" s="468">
        <v>0.56000000000000005</v>
      </c>
      <c r="Q161" s="470">
        <f t="shared" ref="Q161:Q163" si="549">W161*-1</f>
        <v>-9750</v>
      </c>
      <c r="R161" s="460">
        <v>0</v>
      </c>
      <c r="S161" s="673">
        <v>0</v>
      </c>
      <c r="T161" s="460">
        <v>0</v>
      </c>
      <c r="U161" s="460">
        <v>0</v>
      </c>
      <c r="V161" s="460">
        <f>SUM(Q161:U161)</f>
        <v>-9750</v>
      </c>
      <c r="W161" s="460">
        <v>9750</v>
      </c>
      <c r="X161" s="460">
        <v>0</v>
      </c>
      <c r="Y161" s="460">
        <v>0</v>
      </c>
      <c r="Z161" s="460">
        <f t="shared" ref="Z161:Z163" si="550">SUM(W161:Y161)</f>
        <v>9750</v>
      </c>
      <c r="AA161" s="460">
        <f t="shared" ref="AA161:AA163" si="551">V161+Z161</f>
        <v>0</v>
      </c>
      <c r="AB161" s="69">
        <f t="shared" ref="AB161:AB163" si="552">ROUND((V161+W161+X161)*33.8%,0)</f>
        <v>0</v>
      </c>
      <c r="AC161" s="69">
        <f t="shared" ref="AC161:AC163" si="553">ROUND(V161*1%,0)</f>
        <v>-98</v>
      </c>
      <c r="AD161" s="460">
        <v>0</v>
      </c>
      <c r="AE161" s="460">
        <v>0</v>
      </c>
      <c r="AF161" s="460">
        <f t="shared" ref="AF161:AF163" si="554">SUM(AD161:AE161)</f>
        <v>0</v>
      </c>
      <c r="AG161" s="460">
        <f t="shared" ref="AG161:AG163" si="555">AA161+AB161+AC161+AF161</f>
        <v>-98</v>
      </c>
      <c r="AH161" s="461">
        <v>0</v>
      </c>
      <c r="AI161" s="461">
        <v>0</v>
      </c>
      <c r="AJ161" s="461">
        <v>0</v>
      </c>
      <c r="AK161" s="461">
        <v>0</v>
      </c>
      <c r="AL161" s="674">
        <v>0</v>
      </c>
      <c r="AM161" s="461">
        <v>0</v>
      </c>
      <c r="AN161" s="461">
        <v>0</v>
      </c>
      <c r="AO161" s="461">
        <v>0</v>
      </c>
      <c r="AP161" s="461">
        <f>AH161+AJ161+AK161+AM161+AN161</f>
        <v>0</v>
      </c>
      <c r="AQ161" s="461">
        <f>AI161+AL161+AO161</f>
        <v>0</v>
      </c>
      <c r="AR161" s="463">
        <f t="shared" ref="AR161:AR163" si="556">SUM(AP161:AQ161)</f>
        <v>0</v>
      </c>
      <c r="AS161" s="469">
        <f>I161+AG161</f>
        <v>1875916</v>
      </c>
      <c r="AT161" s="460">
        <f>J161+V161</f>
        <v>1376017</v>
      </c>
      <c r="AU161" s="460">
        <f t="shared" ref="AU161:AU163" si="557">Z161</f>
        <v>9750</v>
      </c>
      <c r="AV161" s="460">
        <f t="shared" ref="AV161:AW163" si="558">K161+AB161</f>
        <v>468389</v>
      </c>
      <c r="AW161" s="460">
        <f t="shared" si="558"/>
        <v>13760</v>
      </c>
      <c r="AX161" s="460">
        <f>M161+AF161</f>
        <v>8000</v>
      </c>
      <c r="AY161" s="461">
        <f>N161+AR161</f>
        <v>2.8502999999999998</v>
      </c>
      <c r="AZ161" s="461">
        <f t="shared" ref="AZ161:BA163" si="559">O161+AP161</f>
        <v>2.2902999999999998</v>
      </c>
      <c r="BA161" s="463">
        <f t="shared" si="559"/>
        <v>0.56000000000000005</v>
      </c>
    </row>
    <row r="162" spans="1:53" s="229" customFormat="1" ht="12.75" customHeight="1" x14ac:dyDescent="0.2">
      <c r="A162" s="231">
        <v>34</v>
      </c>
      <c r="B162" s="232">
        <v>3418</v>
      </c>
      <c r="C162" s="232">
        <v>600078001</v>
      </c>
      <c r="D162" s="232">
        <v>70695954</v>
      </c>
      <c r="E162" s="233" t="s">
        <v>75</v>
      </c>
      <c r="F162" s="232">
        <v>3111</v>
      </c>
      <c r="G162" s="233" t="s">
        <v>308</v>
      </c>
      <c r="H162" s="264" t="s">
        <v>278</v>
      </c>
      <c r="I162" s="457">
        <f t="shared" si="545"/>
        <v>0</v>
      </c>
      <c r="J162" s="457">
        <v>0</v>
      </c>
      <c r="K162" s="457">
        <f t="shared" si="546"/>
        <v>0</v>
      </c>
      <c r="L162" s="457">
        <f t="shared" si="547"/>
        <v>0</v>
      </c>
      <c r="M162" s="457">
        <v>0</v>
      </c>
      <c r="N162" s="458">
        <f t="shared" si="548"/>
        <v>0</v>
      </c>
      <c r="O162" s="459">
        <v>0</v>
      </c>
      <c r="P162" s="468">
        <v>0</v>
      </c>
      <c r="Q162" s="470">
        <f t="shared" si="549"/>
        <v>0</v>
      </c>
      <c r="R162" s="460">
        <v>0</v>
      </c>
      <c r="S162" s="673">
        <v>0</v>
      </c>
      <c r="T162" s="460">
        <v>0</v>
      </c>
      <c r="U162" s="460">
        <v>0</v>
      </c>
      <c r="V162" s="460">
        <f>SUM(Q162:U162)</f>
        <v>0</v>
      </c>
      <c r="W162" s="460">
        <v>0</v>
      </c>
      <c r="X162" s="460">
        <v>0</v>
      </c>
      <c r="Y162" s="460">
        <v>0</v>
      </c>
      <c r="Z162" s="460">
        <f t="shared" si="550"/>
        <v>0</v>
      </c>
      <c r="AA162" s="460">
        <f t="shared" si="551"/>
        <v>0</v>
      </c>
      <c r="AB162" s="69">
        <f t="shared" si="552"/>
        <v>0</v>
      </c>
      <c r="AC162" s="69">
        <f t="shared" si="553"/>
        <v>0</v>
      </c>
      <c r="AD162" s="460">
        <v>0</v>
      </c>
      <c r="AE162" s="460">
        <v>0</v>
      </c>
      <c r="AF162" s="460">
        <f t="shared" si="554"/>
        <v>0</v>
      </c>
      <c r="AG162" s="460">
        <f t="shared" si="555"/>
        <v>0</v>
      </c>
      <c r="AH162" s="461">
        <v>0</v>
      </c>
      <c r="AI162" s="461">
        <v>0</v>
      </c>
      <c r="AJ162" s="461">
        <v>0</v>
      </c>
      <c r="AK162" s="461">
        <v>0</v>
      </c>
      <c r="AL162" s="674">
        <v>0</v>
      </c>
      <c r="AM162" s="461">
        <v>0</v>
      </c>
      <c r="AN162" s="461">
        <v>0</v>
      </c>
      <c r="AO162" s="461">
        <v>0</v>
      </c>
      <c r="AP162" s="461">
        <f>AH162+AJ162+AK162+AM162+AN162</f>
        <v>0</v>
      </c>
      <c r="AQ162" s="461">
        <f>AI162+AL162+AO162</f>
        <v>0</v>
      </c>
      <c r="AR162" s="463">
        <f t="shared" si="556"/>
        <v>0</v>
      </c>
      <c r="AS162" s="469">
        <f>I162+AG162</f>
        <v>0</v>
      </c>
      <c r="AT162" s="460">
        <f>J162+V162</f>
        <v>0</v>
      </c>
      <c r="AU162" s="460">
        <f t="shared" si="557"/>
        <v>0</v>
      </c>
      <c r="AV162" s="460">
        <f t="shared" si="558"/>
        <v>0</v>
      </c>
      <c r="AW162" s="460">
        <f t="shared" si="558"/>
        <v>0</v>
      </c>
      <c r="AX162" s="460">
        <f>M162+AF162</f>
        <v>0</v>
      </c>
      <c r="AY162" s="461">
        <f>N162+AR162</f>
        <v>0</v>
      </c>
      <c r="AZ162" s="461">
        <f t="shared" si="559"/>
        <v>0</v>
      </c>
      <c r="BA162" s="463">
        <f t="shared" si="559"/>
        <v>0</v>
      </c>
    </row>
    <row r="163" spans="1:53" s="229" customFormat="1" ht="12.75" customHeight="1" x14ac:dyDescent="0.2">
      <c r="A163" s="231">
        <v>34</v>
      </c>
      <c r="B163" s="232">
        <v>3418</v>
      </c>
      <c r="C163" s="232">
        <v>600078001</v>
      </c>
      <c r="D163" s="232">
        <v>70695954</v>
      </c>
      <c r="E163" s="233" t="s">
        <v>75</v>
      </c>
      <c r="F163" s="232">
        <v>3141</v>
      </c>
      <c r="G163" s="233" t="s">
        <v>311</v>
      </c>
      <c r="H163" s="264" t="s">
        <v>278</v>
      </c>
      <c r="I163" s="457">
        <f t="shared" si="545"/>
        <v>331468</v>
      </c>
      <c r="J163" s="457">
        <v>245125</v>
      </c>
      <c r="K163" s="457">
        <f t="shared" si="546"/>
        <v>82852</v>
      </c>
      <c r="L163" s="457">
        <f t="shared" si="547"/>
        <v>2451</v>
      </c>
      <c r="M163" s="457">
        <v>1040</v>
      </c>
      <c r="N163" s="458">
        <f t="shared" si="548"/>
        <v>0.79</v>
      </c>
      <c r="O163" s="459">
        <v>0</v>
      </c>
      <c r="P163" s="468">
        <v>0.79</v>
      </c>
      <c r="Q163" s="470">
        <f t="shared" si="549"/>
        <v>-9750</v>
      </c>
      <c r="R163" s="460">
        <v>0</v>
      </c>
      <c r="S163" s="673">
        <v>0</v>
      </c>
      <c r="T163" s="460">
        <v>0</v>
      </c>
      <c r="U163" s="460">
        <v>0</v>
      </c>
      <c r="V163" s="460">
        <f>SUM(Q163:U163)</f>
        <v>-9750</v>
      </c>
      <c r="W163" s="460">
        <v>9750</v>
      </c>
      <c r="X163" s="460">
        <v>0</v>
      </c>
      <c r="Y163" s="460">
        <v>0</v>
      </c>
      <c r="Z163" s="460">
        <f t="shared" si="550"/>
        <v>9750</v>
      </c>
      <c r="AA163" s="460">
        <f t="shared" si="551"/>
        <v>0</v>
      </c>
      <c r="AB163" s="69">
        <f t="shared" si="552"/>
        <v>0</v>
      </c>
      <c r="AC163" s="69">
        <f t="shared" si="553"/>
        <v>-98</v>
      </c>
      <c r="AD163" s="460">
        <v>0</v>
      </c>
      <c r="AE163" s="460">
        <v>0</v>
      </c>
      <c r="AF163" s="460">
        <f t="shared" si="554"/>
        <v>0</v>
      </c>
      <c r="AG163" s="460">
        <f t="shared" si="555"/>
        <v>-98</v>
      </c>
      <c r="AH163" s="461">
        <v>0</v>
      </c>
      <c r="AI163" s="461">
        <v>0</v>
      </c>
      <c r="AJ163" s="461">
        <v>0</v>
      </c>
      <c r="AK163" s="461">
        <v>0</v>
      </c>
      <c r="AL163" s="674">
        <v>0</v>
      </c>
      <c r="AM163" s="461">
        <v>0</v>
      </c>
      <c r="AN163" s="461">
        <v>0</v>
      </c>
      <c r="AO163" s="461">
        <v>0</v>
      </c>
      <c r="AP163" s="461">
        <f>AH163+AJ163+AK163+AM163+AN163</f>
        <v>0</v>
      </c>
      <c r="AQ163" s="461">
        <f>AI163+AL163+AO163</f>
        <v>0</v>
      </c>
      <c r="AR163" s="463">
        <f t="shared" si="556"/>
        <v>0</v>
      </c>
      <c r="AS163" s="469">
        <f>I163+AG163</f>
        <v>331370</v>
      </c>
      <c r="AT163" s="460">
        <f>J163+V163</f>
        <v>235375</v>
      </c>
      <c r="AU163" s="460">
        <f t="shared" si="557"/>
        <v>9750</v>
      </c>
      <c r="AV163" s="460">
        <f t="shared" si="558"/>
        <v>82852</v>
      </c>
      <c r="AW163" s="460">
        <f t="shared" si="558"/>
        <v>2353</v>
      </c>
      <c r="AX163" s="460">
        <f>M163+AF163</f>
        <v>1040</v>
      </c>
      <c r="AY163" s="461">
        <f>N163+AR163</f>
        <v>0.79</v>
      </c>
      <c r="AZ163" s="461">
        <f t="shared" si="559"/>
        <v>0</v>
      </c>
      <c r="BA163" s="463">
        <f t="shared" si="559"/>
        <v>0.79</v>
      </c>
    </row>
    <row r="164" spans="1:53" s="229" customFormat="1" ht="12.75" customHeight="1" x14ac:dyDescent="0.2">
      <c r="A164" s="156">
        <v>34</v>
      </c>
      <c r="B164" s="14">
        <v>3418</v>
      </c>
      <c r="C164" s="155">
        <v>600078001</v>
      </c>
      <c r="D164" s="155">
        <v>70695954</v>
      </c>
      <c r="E164" s="230" t="s">
        <v>76</v>
      </c>
      <c r="F164" s="14"/>
      <c r="G164" s="230"/>
      <c r="H164" s="263"/>
      <c r="I164" s="464">
        <f t="shared" ref="I164:P164" si="560">SUM(I161:I163)</f>
        <v>2207482</v>
      </c>
      <c r="J164" s="464">
        <f t="shared" si="560"/>
        <v>1630892</v>
      </c>
      <c r="K164" s="464">
        <f t="shared" si="560"/>
        <v>551241</v>
      </c>
      <c r="L164" s="464">
        <f t="shared" si="560"/>
        <v>16309</v>
      </c>
      <c r="M164" s="464">
        <f t="shared" si="560"/>
        <v>9040</v>
      </c>
      <c r="N164" s="427">
        <f t="shared" si="560"/>
        <v>3.6402999999999999</v>
      </c>
      <c r="O164" s="427">
        <f t="shared" si="560"/>
        <v>2.2902999999999998</v>
      </c>
      <c r="P164" s="427">
        <f t="shared" si="560"/>
        <v>1.35</v>
      </c>
      <c r="Q164" s="622">
        <f t="shared" ref="Q164:BA164" si="561">SUM(Q161:Q163)</f>
        <v>-19500</v>
      </c>
      <c r="R164" s="620">
        <f t="shared" si="561"/>
        <v>0</v>
      </c>
      <c r="S164" s="620">
        <f t="shared" si="561"/>
        <v>0</v>
      </c>
      <c r="T164" s="620">
        <f t="shared" si="561"/>
        <v>0</v>
      </c>
      <c r="U164" s="620">
        <f t="shared" si="561"/>
        <v>0</v>
      </c>
      <c r="V164" s="620">
        <f t="shared" si="561"/>
        <v>-19500</v>
      </c>
      <c r="W164" s="620">
        <f t="shared" si="561"/>
        <v>19500</v>
      </c>
      <c r="X164" s="620">
        <f t="shared" si="561"/>
        <v>0</v>
      </c>
      <c r="Y164" s="620">
        <f t="shared" si="561"/>
        <v>0</v>
      </c>
      <c r="Z164" s="620">
        <f t="shared" si="561"/>
        <v>19500</v>
      </c>
      <c r="AA164" s="620">
        <f t="shared" si="561"/>
        <v>0</v>
      </c>
      <c r="AB164" s="620">
        <f t="shared" si="561"/>
        <v>0</v>
      </c>
      <c r="AC164" s="620">
        <f t="shared" si="561"/>
        <v>-196</v>
      </c>
      <c r="AD164" s="620">
        <f t="shared" si="561"/>
        <v>0</v>
      </c>
      <c r="AE164" s="620">
        <f t="shared" si="561"/>
        <v>0</v>
      </c>
      <c r="AF164" s="620">
        <f t="shared" si="561"/>
        <v>0</v>
      </c>
      <c r="AG164" s="620">
        <f t="shared" si="561"/>
        <v>-196</v>
      </c>
      <c r="AH164" s="621">
        <f t="shared" si="561"/>
        <v>0</v>
      </c>
      <c r="AI164" s="621">
        <f t="shared" si="561"/>
        <v>0</v>
      </c>
      <c r="AJ164" s="621">
        <f t="shared" si="561"/>
        <v>0</v>
      </c>
      <c r="AK164" s="621">
        <f t="shared" si="561"/>
        <v>0</v>
      </c>
      <c r="AL164" s="621">
        <f t="shared" si="561"/>
        <v>0</v>
      </c>
      <c r="AM164" s="621">
        <f t="shared" si="561"/>
        <v>0</v>
      </c>
      <c r="AN164" s="621">
        <f t="shared" si="561"/>
        <v>0</v>
      </c>
      <c r="AO164" s="621">
        <f t="shared" si="561"/>
        <v>0</v>
      </c>
      <c r="AP164" s="621">
        <f t="shared" si="561"/>
        <v>0</v>
      </c>
      <c r="AQ164" s="621">
        <f t="shared" si="561"/>
        <v>0</v>
      </c>
      <c r="AR164" s="623">
        <f t="shared" si="561"/>
        <v>0</v>
      </c>
      <c r="AS164" s="618">
        <f t="shared" si="561"/>
        <v>2207286</v>
      </c>
      <c r="AT164" s="464">
        <f t="shared" si="561"/>
        <v>1611392</v>
      </c>
      <c r="AU164" s="464">
        <f t="shared" si="561"/>
        <v>19500</v>
      </c>
      <c r="AV164" s="464">
        <f t="shared" si="561"/>
        <v>551241</v>
      </c>
      <c r="AW164" s="464">
        <f t="shared" si="561"/>
        <v>16113</v>
      </c>
      <c r="AX164" s="464">
        <f t="shared" si="561"/>
        <v>9040</v>
      </c>
      <c r="AY164" s="427">
        <f t="shared" si="561"/>
        <v>3.6402999999999999</v>
      </c>
      <c r="AZ164" s="427">
        <f t="shared" si="561"/>
        <v>2.2902999999999998</v>
      </c>
      <c r="BA164" s="496">
        <f t="shared" si="561"/>
        <v>1.35</v>
      </c>
    </row>
    <row r="165" spans="1:53" s="229" customFormat="1" ht="12.75" customHeight="1" x14ac:dyDescent="0.2">
      <c r="A165" s="231">
        <v>35</v>
      </c>
      <c r="B165" s="232">
        <v>3428</v>
      </c>
      <c r="C165" s="232">
        <v>600078311</v>
      </c>
      <c r="D165" s="232">
        <v>72742518</v>
      </c>
      <c r="E165" s="233" t="s">
        <v>77</v>
      </c>
      <c r="F165" s="232">
        <v>3111</v>
      </c>
      <c r="G165" s="233" t="s">
        <v>307</v>
      </c>
      <c r="H165" s="264" t="s">
        <v>277</v>
      </c>
      <c r="I165" s="457">
        <f t="shared" ref="I165:I170" si="562">SUM(J165:M165)</f>
        <v>3016287</v>
      </c>
      <c r="J165" s="457">
        <v>2226029</v>
      </c>
      <c r="K165" s="457">
        <f t="shared" ref="K165:K170" si="563">ROUND(J165*33.8%,0)</f>
        <v>752398</v>
      </c>
      <c r="L165" s="457">
        <f t="shared" ref="L165:L170" si="564">ROUND(J165*1%,0)</f>
        <v>22260</v>
      </c>
      <c r="M165" s="457">
        <v>15600</v>
      </c>
      <c r="N165" s="458">
        <f t="shared" ref="N165:N170" si="565">O165+P165</f>
        <v>4.72</v>
      </c>
      <c r="O165" s="459">
        <v>4</v>
      </c>
      <c r="P165" s="468">
        <v>0.72</v>
      </c>
      <c r="Q165" s="470">
        <f t="shared" ref="Q165:Q170" si="566">W165*-1</f>
        <v>0</v>
      </c>
      <c r="R165" s="460">
        <v>0</v>
      </c>
      <c r="S165" s="673">
        <v>0</v>
      </c>
      <c r="T165" s="460">
        <v>0</v>
      </c>
      <c r="U165" s="460">
        <v>0</v>
      </c>
      <c r="V165" s="460">
        <f t="shared" ref="V165:V170" si="567">SUM(Q165:U165)</f>
        <v>0</v>
      </c>
      <c r="W165" s="460">
        <v>0</v>
      </c>
      <c r="X165" s="460">
        <v>0</v>
      </c>
      <c r="Y165" s="460">
        <v>0</v>
      </c>
      <c r="Z165" s="460">
        <f t="shared" ref="Z165:Z170" si="568">SUM(W165:Y165)</f>
        <v>0</v>
      </c>
      <c r="AA165" s="460">
        <f t="shared" ref="AA165:AA170" si="569">V165+Z165</f>
        <v>0</v>
      </c>
      <c r="AB165" s="69">
        <f t="shared" ref="AB165:AB170" si="570">ROUND((V165+W165+X165)*33.8%,0)</f>
        <v>0</v>
      </c>
      <c r="AC165" s="69">
        <f t="shared" ref="AC165:AC170" si="571">ROUND(V165*1%,0)</f>
        <v>0</v>
      </c>
      <c r="AD165" s="460">
        <v>0</v>
      </c>
      <c r="AE165" s="460">
        <v>0</v>
      </c>
      <c r="AF165" s="460">
        <f t="shared" ref="AF165:AF170" si="572">SUM(AD165:AE165)</f>
        <v>0</v>
      </c>
      <c r="AG165" s="460">
        <f t="shared" ref="AG165:AG170" si="573">AA165+AB165+AC165+AF165</f>
        <v>0</v>
      </c>
      <c r="AH165" s="461">
        <v>0</v>
      </c>
      <c r="AI165" s="461">
        <v>0</v>
      </c>
      <c r="AJ165" s="461">
        <v>0</v>
      </c>
      <c r="AK165" s="461">
        <v>0</v>
      </c>
      <c r="AL165" s="674">
        <v>0</v>
      </c>
      <c r="AM165" s="461">
        <v>0</v>
      </c>
      <c r="AN165" s="461">
        <v>0</v>
      </c>
      <c r="AO165" s="461">
        <v>0</v>
      </c>
      <c r="AP165" s="461">
        <f t="shared" ref="AP165:AP170" si="574">AH165+AJ165+AK165+AM165+AN165</f>
        <v>0</v>
      </c>
      <c r="AQ165" s="461">
        <f t="shared" ref="AQ165:AQ170" si="575">AI165+AL165+AO165</f>
        <v>0</v>
      </c>
      <c r="AR165" s="463">
        <f t="shared" ref="AR165:AR170" si="576">SUM(AP165:AQ165)</f>
        <v>0</v>
      </c>
      <c r="AS165" s="469">
        <f t="shared" ref="AS165:AS170" si="577">I165+AG165</f>
        <v>3016287</v>
      </c>
      <c r="AT165" s="460">
        <f t="shared" ref="AT165:AT170" si="578">J165+V165</f>
        <v>2226029</v>
      </c>
      <c r="AU165" s="460">
        <f t="shared" ref="AU165:AU170" si="579">Z165</f>
        <v>0</v>
      </c>
      <c r="AV165" s="460">
        <f t="shared" ref="AV165:AW170" si="580">K165+AB165</f>
        <v>752398</v>
      </c>
      <c r="AW165" s="460">
        <f t="shared" si="580"/>
        <v>22260</v>
      </c>
      <c r="AX165" s="460">
        <f t="shared" ref="AX165:AX170" si="581">M165+AF165</f>
        <v>15600</v>
      </c>
      <c r="AY165" s="461">
        <f t="shared" ref="AY165:AY170" si="582">N165+AR165</f>
        <v>4.72</v>
      </c>
      <c r="AZ165" s="461">
        <f t="shared" ref="AZ165:BA170" si="583">O165+AP165</f>
        <v>4</v>
      </c>
      <c r="BA165" s="463">
        <f t="shared" si="583"/>
        <v>0.72</v>
      </c>
    </row>
    <row r="166" spans="1:53" s="229" customFormat="1" ht="12.75" customHeight="1" x14ac:dyDescent="0.2">
      <c r="A166" s="231">
        <v>35</v>
      </c>
      <c r="B166" s="232">
        <v>3428</v>
      </c>
      <c r="C166" s="232">
        <v>600078311</v>
      </c>
      <c r="D166" s="232">
        <v>72742518</v>
      </c>
      <c r="E166" s="233" t="s">
        <v>77</v>
      </c>
      <c r="F166" s="232">
        <v>3117</v>
      </c>
      <c r="G166" s="233" t="s">
        <v>310</v>
      </c>
      <c r="H166" s="264" t="s">
        <v>277</v>
      </c>
      <c r="I166" s="457">
        <f t="shared" si="562"/>
        <v>3949426</v>
      </c>
      <c r="J166" s="457">
        <v>2883884</v>
      </c>
      <c r="K166" s="457">
        <f t="shared" si="563"/>
        <v>974753</v>
      </c>
      <c r="L166" s="457">
        <f t="shared" si="564"/>
        <v>28839</v>
      </c>
      <c r="M166" s="457">
        <v>61950</v>
      </c>
      <c r="N166" s="458">
        <f t="shared" si="565"/>
        <v>5.3444000000000003</v>
      </c>
      <c r="O166" s="459">
        <v>3.9043999999999999</v>
      </c>
      <c r="P166" s="468">
        <v>1.44</v>
      </c>
      <c r="Q166" s="470">
        <f t="shared" si="566"/>
        <v>0</v>
      </c>
      <c r="R166" s="460">
        <v>0</v>
      </c>
      <c r="S166" s="673">
        <v>0</v>
      </c>
      <c r="T166" s="460">
        <v>0</v>
      </c>
      <c r="U166" s="460">
        <v>0</v>
      </c>
      <c r="V166" s="460">
        <f t="shared" si="567"/>
        <v>0</v>
      </c>
      <c r="W166" s="460">
        <v>0</v>
      </c>
      <c r="X166" s="460">
        <v>0</v>
      </c>
      <c r="Y166" s="460">
        <v>0</v>
      </c>
      <c r="Z166" s="460">
        <f t="shared" si="568"/>
        <v>0</v>
      </c>
      <c r="AA166" s="460">
        <f t="shared" si="569"/>
        <v>0</v>
      </c>
      <c r="AB166" s="69">
        <f t="shared" si="570"/>
        <v>0</v>
      </c>
      <c r="AC166" s="69">
        <f t="shared" si="571"/>
        <v>0</v>
      </c>
      <c r="AD166" s="460">
        <v>0</v>
      </c>
      <c r="AE166" s="460">
        <v>0</v>
      </c>
      <c r="AF166" s="460">
        <f t="shared" si="572"/>
        <v>0</v>
      </c>
      <c r="AG166" s="460">
        <f t="shared" si="573"/>
        <v>0</v>
      </c>
      <c r="AH166" s="461">
        <v>0</v>
      </c>
      <c r="AI166" s="461">
        <v>0</v>
      </c>
      <c r="AJ166" s="461">
        <v>0</v>
      </c>
      <c r="AK166" s="461">
        <v>0</v>
      </c>
      <c r="AL166" s="674">
        <v>0</v>
      </c>
      <c r="AM166" s="461">
        <v>0</v>
      </c>
      <c r="AN166" s="461">
        <v>0</v>
      </c>
      <c r="AO166" s="461">
        <v>0</v>
      </c>
      <c r="AP166" s="461">
        <f t="shared" si="574"/>
        <v>0</v>
      </c>
      <c r="AQ166" s="461">
        <f t="shared" si="575"/>
        <v>0</v>
      </c>
      <c r="AR166" s="463">
        <f t="shared" si="576"/>
        <v>0</v>
      </c>
      <c r="AS166" s="469">
        <f t="shared" si="577"/>
        <v>3949426</v>
      </c>
      <c r="AT166" s="460">
        <f t="shared" si="578"/>
        <v>2883884</v>
      </c>
      <c r="AU166" s="460">
        <f t="shared" si="579"/>
        <v>0</v>
      </c>
      <c r="AV166" s="460">
        <f t="shared" si="580"/>
        <v>974753</v>
      </c>
      <c r="AW166" s="460">
        <f t="shared" si="580"/>
        <v>28839</v>
      </c>
      <c r="AX166" s="460">
        <f t="shared" si="581"/>
        <v>61950</v>
      </c>
      <c r="AY166" s="461">
        <f t="shared" si="582"/>
        <v>5.3444000000000003</v>
      </c>
      <c r="AZ166" s="461">
        <f t="shared" si="583"/>
        <v>3.9043999999999999</v>
      </c>
      <c r="BA166" s="463">
        <f t="shared" si="583"/>
        <v>1.44</v>
      </c>
    </row>
    <row r="167" spans="1:53" s="229" customFormat="1" x14ac:dyDescent="0.2">
      <c r="A167" s="231">
        <v>35</v>
      </c>
      <c r="B167" s="232">
        <v>3428</v>
      </c>
      <c r="C167" s="232">
        <v>600078311</v>
      </c>
      <c r="D167" s="232">
        <v>72742518</v>
      </c>
      <c r="E167" s="233" t="s">
        <v>77</v>
      </c>
      <c r="F167" s="232">
        <v>3117</v>
      </c>
      <c r="G167" s="233" t="s">
        <v>308</v>
      </c>
      <c r="H167" s="264" t="s">
        <v>278</v>
      </c>
      <c r="I167" s="457">
        <f t="shared" si="562"/>
        <v>0</v>
      </c>
      <c r="J167" s="457">
        <v>0</v>
      </c>
      <c r="K167" s="457">
        <f t="shared" si="563"/>
        <v>0</v>
      </c>
      <c r="L167" s="457">
        <f t="shared" si="564"/>
        <v>0</v>
      </c>
      <c r="M167" s="457">
        <v>0</v>
      </c>
      <c r="N167" s="458">
        <f t="shared" si="565"/>
        <v>0</v>
      </c>
      <c r="O167" s="459">
        <v>0</v>
      </c>
      <c r="P167" s="468">
        <v>0</v>
      </c>
      <c r="Q167" s="470">
        <f t="shared" si="566"/>
        <v>0</v>
      </c>
      <c r="R167" s="460">
        <v>1149088</v>
      </c>
      <c r="S167" s="673">
        <v>0</v>
      </c>
      <c r="T167" s="460">
        <v>0</v>
      </c>
      <c r="U167" s="460">
        <v>0</v>
      </c>
      <c r="V167" s="460">
        <f t="shared" si="567"/>
        <v>1149088</v>
      </c>
      <c r="W167" s="460">
        <v>0</v>
      </c>
      <c r="X167" s="460">
        <v>0</v>
      </c>
      <c r="Y167" s="460">
        <v>0</v>
      </c>
      <c r="Z167" s="460">
        <f t="shared" si="568"/>
        <v>0</v>
      </c>
      <c r="AA167" s="460">
        <f t="shared" si="569"/>
        <v>1149088</v>
      </c>
      <c r="AB167" s="69">
        <f t="shared" si="570"/>
        <v>388392</v>
      </c>
      <c r="AC167" s="69">
        <f t="shared" si="571"/>
        <v>11491</v>
      </c>
      <c r="AD167" s="460">
        <v>0</v>
      </c>
      <c r="AE167" s="460">
        <v>0</v>
      </c>
      <c r="AF167" s="460">
        <f t="shared" si="572"/>
        <v>0</v>
      </c>
      <c r="AG167" s="460">
        <f t="shared" si="573"/>
        <v>1548971</v>
      </c>
      <c r="AH167" s="461">
        <v>0</v>
      </c>
      <c r="AI167" s="461">
        <v>0</v>
      </c>
      <c r="AJ167" s="461">
        <v>3.3</v>
      </c>
      <c r="AK167" s="461">
        <v>0</v>
      </c>
      <c r="AL167" s="674">
        <v>0</v>
      </c>
      <c r="AM167" s="461">
        <v>0</v>
      </c>
      <c r="AN167" s="461">
        <v>0</v>
      </c>
      <c r="AO167" s="461">
        <v>0</v>
      </c>
      <c r="AP167" s="461">
        <f t="shared" si="574"/>
        <v>3.3</v>
      </c>
      <c r="AQ167" s="461">
        <f t="shared" si="575"/>
        <v>0</v>
      </c>
      <c r="AR167" s="463">
        <f t="shared" si="576"/>
        <v>3.3</v>
      </c>
      <c r="AS167" s="469">
        <f t="shared" si="577"/>
        <v>1548971</v>
      </c>
      <c r="AT167" s="460">
        <f t="shared" si="578"/>
        <v>1149088</v>
      </c>
      <c r="AU167" s="460">
        <f t="shared" si="579"/>
        <v>0</v>
      </c>
      <c r="AV167" s="460">
        <f t="shared" si="580"/>
        <v>388392</v>
      </c>
      <c r="AW167" s="460">
        <f t="shared" si="580"/>
        <v>11491</v>
      </c>
      <c r="AX167" s="460">
        <f t="shared" si="581"/>
        <v>0</v>
      </c>
      <c r="AY167" s="461">
        <f t="shared" si="582"/>
        <v>3.3</v>
      </c>
      <c r="AZ167" s="461">
        <f t="shared" si="583"/>
        <v>3.3</v>
      </c>
      <c r="BA167" s="463">
        <f t="shared" si="583"/>
        <v>0</v>
      </c>
    </row>
    <row r="168" spans="1:53" s="229" customFormat="1" ht="12.75" customHeight="1" x14ac:dyDescent="0.2">
      <c r="A168" s="231">
        <v>35</v>
      </c>
      <c r="B168" s="232">
        <v>3428</v>
      </c>
      <c r="C168" s="232">
        <v>600078311</v>
      </c>
      <c r="D168" s="232">
        <v>72742518</v>
      </c>
      <c r="E168" s="233" t="s">
        <v>77</v>
      </c>
      <c r="F168" s="232">
        <v>3141</v>
      </c>
      <c r="G168" s="233" t="s">
        <v>311</v>
      </c>
      <c r="H168" s="264" t="s">
        <v>278</v>
      </c>
      <c r="I168" s="457">
        <f t="shared" si="562"/>
        <v>984870</v>
      </c>
      <c r="J168" s="457">
        <v>727491</v>
      </c>
      <c r="K168" s="457">
        <f t="shared" si="563"/>
        <v>245892</v>
      </c>
      <c r="L168" s="457">
        <f t="shared" si="564"/>
        <v>7275</v>
      </c>
      <c r="M168" s="457">
        <v>4212</v>
      </c>
      <c r="N168" s="458">
        <f t="shared" si="565"/>
        <v>2.34</v>
      </c>
      <c r="O168" s="459">
        <v>0</v>
      </c>
      <c r="P168" s="468">
        <v>2.34</v>
      </c>
      <c r="Q168" s="470">
        <f t="shared" si="566"/>
        <v>0</v>
      </c>
      <c r="R168" s="460">
        <v>0</v>
      </c>
      <c r="S168" s="673">
        <v>0</v>
      </c>
      <c r="T168" s="460">
        <v>0</v>
      </c>
      <c r="U168" s="460">
        <v>0</v>
      </c>
      <c r="V168" s="460">
        <f t="shared" si="567"/>
        <v>0</v>
      </c>
      <c r="W168" s="460">
        <v>0</v>
      </c>
      <c r="X168" s="460">
        <v>0</v>
      </c>
      <c r="Y168" s="460">
        <v>0</v>
      </c>
      <c r="Z168" s="460">
        <f t="shared" si="568"/>
        <v>0</v>
      </c>
      <c r="AA168" s="460">
        <f t="shared" si="569"/>
        <v>0</v>
      </c>
      <c r="AB168" s="69">
        <f t="shared" si="570"/>
        <v>0</v>
      </c>
      <c r="AC168" s="69">
        <f t="shared" si="571"/>
        <v>0</v>
      </c>
      <c r="AD168" s="460">
        <v>0</v>
      </c>
      <c r="AE168" s="460">
        <v>0</v>
      </c>
      <c r="AF168" s="460">
        <f t="shared" si="572"/>
        <v>0</v>
      </c>
      <c r="AG168" s="460">
        <f t="shared" si="573"/>
        <v>0</v>
      </c>
      <c r="AH168" s="461">
        <v>0</v>
      </c>
      <c r="AI168" s="461">
        <v>0</v>
      </c>
      <c r="AJ168" s="461">
        <v>0</v>
      </c>
      <c r="AK168" s="461">
        <v>0</v>
      </c>
      <c r="AL168" s="674">
        <v>0</v>
      </c>
      <c r="AM168" s="461">
        <v>0</v>
      </c>
      <c r="AN168" s="461">
        <v>0</v>
      </c>
      <c r="AO168" s="461">
        <v>0</v>
      </c>
      <c r="AP168" s="461">
        <f t="shared" si="574"/>
        <v>0</v>
      </c>
      <c r="AQ168" s="461">
        <f t="shared" si="575"/>
        <v>0</v>
      </c>
      <c r="AR168" s="463">
        <f t="shared" si="576"/>
        <v>0</v>
      </c>
      <c r="AS168" s="469">
        <f t="shared" si="577"/>
        <v>984870</v>
      </c>
      <c r="AT168" s="460">
        <f t="shared" si="578"/>
        <v>727491</v>
      </c>
      <c r="AU168" s="460">
        <f t="shared" si="579"/>
        <v>0</v>
      </c>
      <c r="AV168" s="460">
        <f t="shared" si="580"/>
        <v>245892</v>
      </c>
      <c r="AW168" s="460">
        <f t="shared" si="580"/>
        <v>7275</v>
      </c>
      <c r="AX168" s="460">
        <f t="shared" si="581"/>
        <v>4212</v>
      </c>
      <c r="AY168" s="461">
        <f t="shared" si="582"/>
        <v>2.34</v>
      </c>
      <c r="AZ168" s="461">
        <f t="shared" si="583"/>
        <v>0</v>
      </c>
      <c r="BA168" s="463">
        <f t="shared" si="583"/>
        <v>2.34</v>
      </c>
    </row>
    <row r="169" spans="1:53" s="229" customFormat="1" ht="12.75" customHeight="1" x14ac:dyDescent="0.2">
      <c r="A169" s="231">
        <v>35</v>
      </c>
      <c r="B169" s="232">
        <v>3428</v>
      </c>
      <c r="C169" s="232">
        <v>600078311</v>
      </c>
      <c r="D169" s="232">
        <v>72742518</v>
      </c>
      <c r="E169" s="233" t="s">
        <v>77</v>
      </c>
      <c r="F169" s="232">
        <v>3143</v>
      </c>
      <c r="G169" s="233" t="s">
        <v>616</v>
      </c>
      <c r="H169" s="264" t="s">
        <v>277</v>
      </c>
      <c r="I169" s="457">
        <f t="shared" si="562"/>
        <v>743809</v>
      </c>
      <c r="J169" s="457">
        <v>551787</v>
      </c>
      <c r="K169" s="457">
        <f t="shared" si="563"/>
        <v>186504</v>
      </c>
      <c r="L169" s="457">
        <f t="shared" si="564"/>
        <v>5518</v>
      </c>
      <c r="M169" s="457">
        <v>0</v>
      </c>
      <c r="N169" s="458">
        <f t="shared" si="565"/>
        <v>1.1606000000000001</v>
      </c>
      <c r="O169" s="459">
        <v>1.1606000000000001</v>
      </c>
      <c r="P169" s="468">
        <v>0</v>
      </c>
      <c r="Q169" s="470">
        <f t="shared" si="566"/>
        <v>0</v>
      </c>
      <c r="R169" s="460">
        <v>0</v>
      </c>
      <c r="S169" s="673">
        <v>0</v>
      </c>
      <c r="T169" s="460">
        <v>0</v>
      </c>
      <c r="U169" s="460">
        <v>0</v>
      </c>
      <c r="V169" s="460">
        <f t="shared" si="567"/>
        <v>0</v>
      </c>
      <c r="W169" s="460">
        <v>0</v>
      </c>
      <c r="X169" s="460">
        <v>0</v>
      </c>
      <c r="Y169" s="460">
        <v>0</v>
      </c>
      <c r="Z169" s="460">
        <f t="shared" si="568"/>
        <v>0</v>
      </c>
      <c r="AA169" s="460">
        <f t="shared" si="569"/>
        <v>0</v>
      </c>
      <c r="AB169" s="69">
        <f t="shared" si="570"/>
        <v>0</v>
      </c>
      <c r="AC169" s="69">
        <f t="shared" si="571"/>
        <v>0</v>
      </c>
      <c r="AD169" s="460">
        <v>0</v>
      </c>
      <c r="AE169" s="460">
        <v>0</v>
      </c>
      <c r="AF169" s="460">
        <f t="shared" si="572"/>
        <v>0</v>
      </c>
      <c r="AG169" s="460">
        <f t="shared" si="573"/>
        <v>0</v>
      </c>
      <c r="AH169" s="461">
        <v>0</v>
      </c>
      <c r="AI169" s="461">
        <v>0</v>
      </c>
      <c r="AJ169" s="461">
        <v>0</v>
      </c>
      <c r="AK169" s="461">
        <v>0</v>
      </c>
      <c r="AL169" s="674">
        <v>0</v>
      </c>
      <c r="AM169" s="461">
        <v>0</v>
      </c>
      <c r="AN169" s="461">
        <v>0</v>
      </c>
      <c r="AO169" s="461">
        <v>0</v>
      </c>
      <c r="AP169" s="461">
        <f t="shared" si="574"/>
        <v>0</v>
      </c>
      <c r="AQ169" s="461">
        <f t="shared" si="575"/>
        <v>0</v>
      </c>
      <c r="AR169" s="463">
        <f t="shared" si="576"/>
        <v>0</v>
      </c>
      <c r="AS169" s="469">
        <f t="shared" si="577"/>
        <v>743809</v>
      </c>
      <c r="AT169" s="460">
        <f t="shared" si="578"/>
        <v>551787</v>
      </c>
      <c r="AU169" s="460">
        <f t="shared" si="579"/>
        <v>0</v>
      </c>
      <c r="AV169" s="460">
        <f t="shared" si="580"/>
        <v>186504</v>
      </c>
      <c r="AW169" s="460">
        <f t="shared" si="580"/>
        <v>5518</v>
      </c>
      <c r="AX169" s="460">
        <f t="shared" si="581"/>
        <v>0</v>
      </c>
      <c r="AY169" s="461">
        <f t="shared" si="582"/>
        <v>1.1606000000000001</v>
      </c>
      <c r="AZ169" s="461">
        <f t="shared" si="583"/>
        <v>1.1606000000000001</v>
      </c>
      <c r="BA169" s="463">
        <f t="shared" si="583"/>
        <v>0</v>
      </c>
    </row>
    <row r="170" spans="1:53" s="229" customFormat="1" ht="12.75" customHeight="1" x14ac:dyDescent="0.2">
      <c r="A170" s="231">
        <v>35</v>
      </c>
      <c r="B170" s="232">
        <v>3428</v>
      </c>
      <c r="C170" s="232">
        <v>600078311</v>
      </c>
      <c r="D170" s="232">
        <v>72742518</v>
      </c>
      <c r="E170" s="233" t="s">
        <v>77</v>
      </c>
      <c r="F170" s="232">
        <v>3143</v>
      </c>
      <c r="G170" s="233" t="s">
        <v>617</v>
      </c>
      <c r="H170" s="264" t="s">
        <v>278</v>
      </c>
      <c r="I170" s="457">
        <f t="shared" si="562"/>
        <v>21990</v>
      </c>
      <c r="J170" s="457">
        <v>15712</v>
      </c>
      <c r="K170" s="457">
        <f t="shared" si="563"/>
        <v>5311</v>
      </c>
      <c r="L170" s="457">
        <f t="shared" si="564"/>
        <v>157</v>
      </c>
      <c r="M170" s="457">
        <v>810</v>
      </c>
      <c r="N170" s="458">
        <f t="shared" si="565"/>
        <v>0.06</v>
      </c>
      <c r="O170" s="459">
        <v>0</v>
      </c>
      <c r="P170" s="468">
        <v>0.06</v>
      </c>
      <c r="Q170" s="470">
        <f t="shared" si="566"/>
        <v>0</v>
      </c>
      <c r="R170" s="460">
        <v>0</v>
      </c>
      <c r="S170" s="673">
        <v>0</v>
      </c>
      <c r="T170" s="460">
        <v>0</v>
      </c>
      <c r="U170" s="460">
        <v>0</v>
      </c>
      <c r="V170" s="460">
        <f t="shared" si="567"/>
        <v>0</v>
      </c>
      <c r="W170" s="460">
        <v>0</v>
      </c>
      <c r="X170" s="460">
        <v>0</v>
      </c>
      <c r="Y170" s="460">
        <v>0</v>
      </c>
      <c r="Z170" s="460">
        <f t="shared" si="568"/>
        <v>0</v>
      </c>
      <c r="AA170" s="460">
        <f t="shared" si="569"/>
        <v>0</v>
      </c>
      <c r="AB170" s="69">
        <f t="shared" si="570"/>
        <v>0</v>
      </c>
      <c r="AC170" s="69">
        <f t="shared" si="571"/>
        <v>0</v>
      </c>
      <c r="AD170" s="460">
        <v>0</v>
      </c>
      <c r="AE170" s="460">
        <v>0</v>
      </c>
      <c r="AF170" s="460">
        <f t="shared" si="572"/>
        <v>0</v>
      </c>
      <c r="AG170" s="460">
        <f t="shared" si="573"/>
        <v>0</v>
      </c>
      <c r="AH170" s="461">
        <v>0</v>
      </c>
      <c r="AI170" s="461">
        <v>0</v>
      </c>
      <c r="AJ170" s="461">
        <v>0</v>
      </c>
      <c r="AK170" s="461">
        <v>0</v>
      </c>
      <c r="AL170" s="674">
        <v>0</v>
      </c>
      <c r="AM170" s="461">
        <v>0</v>
      </c>
      <c r="AN170" s="461">
        <v>0</v>
      </c>
      <c r="AO170" s="461">
        <v>0</v>
      </c>
      <c r="AP170" s="461">
        <f t="shared" si="574"/>
        <v>0</v>
      </c>
      <c r="AQ170" s="461">
        <f t="shared" si="575"/>
        <v>0</v>
      </c>
      <c r="AR170" s="463">
        <f t="shared" si="576"/>
        <v>0</v>
      </c>
      <c r="AS170" s="469">
        <f t="shared" si="577"/>
        <v>21990</v>
      </c>
      <c r="AT170" s="460">
        <f t="shared" si="578"/>
        <v>15712</v>
      </c>
      <c r="AU170" s="460">
        <f t="shared" si="579"/>
        <v>0</v>
      </c>
      <c r="AV170" s="460">
        <f t="shared" si="580"/>
        <v>5311</v>
      </c>
      <c r="AW170" s="460">
        <f t="shared" si="580"/>
        <v>157</v>
      </c>
      <c r="AX170" s="460">
        <f t="shared" si="581"/>
        <v>810</v>
      </c>
      <c r="AY170" s="461">
        <f t="shared" si="582"/>
        <v>0.06</v>
      </c>
      <c r="AZ170" s="461">
        <f t="shared" si="583"/>
        <v>0</v>
      </c>
      <c r="BA170" s="463">
        <f t="shared" si="583"/>
        <v>0.06</v>
      </c>
    </row>
    <row r="171" spans="1:53" s="229" customFormat="1" ht="12.75" customHeight="1" x14ac:dyDescent="0.2">
      <c r="A171" s="156">
        <v>35</v>
      </c>
      <c r="B171" s="14">
        <v>3428</v>
      </c>
      <c r="C171" s="155">
        <v>600078311</v>
      </c>
      <c r="D171" s="155">
        <v>72742518</v>
      </c>
      <c r="E171" s="230" t="s">
        <v>78</v>
      </c>
      <c r="F171" s="14"/>
      <c r="G171" s="230"/>
      <c r="H171" s="263"/>
      <c r="I171" s="464">
        <f t="shared" ref="I171:BA171" si="584">SUM(I165:I170)</f>
        <v>8716382</v>
      </c>
      <c r="J171" s="464">
        <f t="shared" si="584"/>
        <v>6404903</v>
      </c>
      <c r="K171" s="464">
        <f t="shared" si="584"/>
        <v>2164858</v>
      </c>
      <c r="L171" s="464">
        <f t="shared" si="584"/>
        <v>64049</v>
      </c>
      <c r="M171" s="464">
        <f t="shared" si="584"/>
        <v>82572</v>
      </c>
      <c r="N171" s="427">
        <f t="shared" si="584"/>
        <v>13.625</v>
      </c>
      <c r="O171" s="427">
        <f t="shared" si="584"/>
        <v>9.0649999999999995</v>
      </c>
      <c r="P171" s="427">
        <f t="shared" si="584"/>
        <v>4.5599999999999996</v>
      </c>
      <c r="Q171" s="622">
        <f t="shared" si="584"/>
        <v>0</v>
      </c>
      <c r="R171" s="620">
        <f t="shared" si="584"/>
        <v>1149088</v>
      </c>
      <c r="S171" s="620">
        <f t="shared" si="584"/>
        <v>0</v>
      </c>
      <c r="T171" s="620">
        <f t="shared" si="584"/>
        <v>0</v>
      </c>
      <c r="U171" s="620">
        <f t="shared" si="584"/>
        <v>0</v>
      </c>
      <c r="V171" s="620">
        <f t="shared" si="584"/>
        <v>1149088</v>
      </c>
      <c r="W171" s="620">
        <f t="shared" si="584"/>
        <v>0</v>
      </c>
      <c r="X171" s="620">
        <f t="shared" si="584"/>
        <v>0</v>
      </c>
      <c r="Y171" s="620">
        <f t="shared" si="584"/>
        <v>0</v>
      </c>
      <c r="Z171" s="620">
        <f t="shared" si="584"/>
        <v>0</v>
      </c>
      <c r="AA171" s="620">
        <f t="shared" si="584"/>
        <v>1149088</v>
      </c>
      <c r="AB171" s="620">
        <f t="shared" si="584"/>
        <v>388392</v>
      </c>
      <c r="AC171" s="620">
        <f t="shared" si="584"/>
        <v>11491</v>
      </c>
      <c r="AD171" s="620">
        <f t="shared" si="584"/>
        <v>0</v>
      </c>
      <c r="AE171" s="620">
        <f t="shared" si="584"/>
        <v>0</v>
      </c>
      <c r="AF171" s="620">
        <f t="shared" si="584"/>
        <v>0</v>
      </c>
      <c r="AG171" s="620">
        <f t="shared" si="584"/>
        <v>1548971</v>
      </c>
      <c r="AH171" s="621">
        <f t="shared" si="584"/>
        <v>0</v>
      </c>
      <c r="AI171" s="621">
        <f t="shared" si="584"/>
        <v>0</v>
      </c>
      <c r="AJ171" s="621">
        <f t="shared" si="584"/>
        <v>3.3</v>
      </c>
      <c r="AK171" s="621">
        <f t="shared" si="584"/>
        <v>0</v>
      </c>
      <c r="AL171" s="621">
        <f t="shared" si="584"/>
        <v>0</v>
      </c>
      <c r="AM171" s="621">
        <f t="shared" si="584"/>
        <v>0</v>
      </c>
      <c r="AN171" s="621">
        <f t="shared" si="584"/>
        <v>0</v>
      </c>
      <c r="AO171" s="621">
        <f t="shared" si="584"/>
        <v>0</v>
      </c>
      <c r="AP171" s="621">
        <f t="shared" si="584"/>
        <v>3.3</v>
      </c>
      <c r="AQ171" s="621">
        <f t="shared" si="584"/>
        <v>0</v>
      </c>
      <c r="AR171" s="623">
        <f t="shared" si="584"/>
        <v>3.3</v>
      </c>
      <c r="AS171" s="618">
        <f t="shared" si="584"/>
        <v>10265353</v>
      </c>
      <c r="AT171" s="464">
        <f t="shared" si="584"/>
        <v>7553991</v>
      </c>
      <c r="AU171" s="464">
        <f t="shared" si="584"/>
        <v>0</v>
      </c>
      <c r="AV171" s="464">
        <f t="shared" si="584"/>
        <v>2553250</v>
      </c>
      <c r="AW171" s="464">
        <f t="shared" si="584"/>
        <v>75540</v>
      </c>
      <c r="AX171" s="464">
        <f t="shared" si="584"/>
        <v>82572</v>
      </c>
      <c r="AY171" s="427">
        <f t="shared" si="584"/>
        <v>16.924999999999997</v>
      </c>
      <c r="AZ171" s="427">
        <f t="shared" si="584"/>
        <v>12.365</v>
      </c>
      <c r="BA171" s="496">
        <f t="shared" si="584"/>
        <v>4.5599999999999996</v>
      </c>
    </row>
    <row r="172" spans="1:53" s="229" customFormat="1" ht="12.75" customHeight="1" x14ac:dyDescent="0.2">
      <c r="A172" s="231">
        <v>36</v>
      </c>
      <c r="B172" s="232">
        <v>3433</v>
      </c>
      <c r="C172" s="232">
        <v>600078043</v>
      </c>
      <c r="D172" s="232">
        <v>70695130</v>
      </c>
      <c r="E172" s="233" t="s">
        <v>79</v>
      </c>
      <c r="F172" s="232">
        <v>3111</v>
      </c>
      <c r="G172" s="233" t="s">
        <v>307</v>
      </c>
      <c r="H172" s="264" t="s">
        <v>277</v>
      </c>
      <c r="I172" s="457">
        <f t="shared" ref="I172:I173" si="585">SUM(J172:M172)</f>
        <v>3415016</v>
      </c>
      <c r="J172" s="457">
        <v>2520932</v>
      </c>
      <c r="K172" s="457">
        <f t="shared" ref="K172:K173" si="586">ROUND(J172*33.8%,0)</f>
        <v>852075</v>
      </c>
      <c r="L172" s="457">
        <f t="shared" ref="L172:L173" si="587">ROUND(J172*1%,0)</f>
        <v>25209</v>
      </c>
      <c r="M172" s="457">
        <v>16800</v>
      </c>
      <c r="N172" s="458">
        <f t="shared" ref="N172:N173" si="588">O172+P172</f>
        <v>5.2</v>
      </c>
      <c r="O172" s="459">
        <v>4</v>
      </c>
      <c r="P172" s="468">
        <v>1.2</v>
      </c>
      <c r="Q172" s="470">
        <f t="shared" ref="Q172:Q173" si="589">W172*-1</f>
        <v>0</v>
      </c>
      <c r="R172" s="460">
        <v>0</v>
      </c>
      <c r="S172" s="673">
        <v>0</v>
      </c>
      <c r="T172" s="460">
        <v>0</v>
      </c>
      <c r="U172" s="460">
        <v>0</v>
      </c>
      <c r="V172" s="460">
        <f>SUM(Q172:U172)</f>
        <v>0</v>
      </c>
      <c r="W172" s="460">
        <v>0</v>
      </c>
      <c r="X172" s="460">
        <v>0</v>
      </c>
      <c r="Y172" s="460">
        <v>0</v>
      </c>
      <c r="Z172" s="460">
        <f t="shared" ref="Z172:Z173" si="590">SUM(W172:Y172)</f>
        <v>0</v>
      </c>
      <c r="AA172" s="460">
        <f t="shared" ref="AA172:AA173" si="591">V172+Z172</f>
        <v>0</v>
      </c>
      <c r="AB172" s="69">
        <f t="shared" ref="AB172:AB173" si="592">ROUND((V172+W172+X172)*33.8%,0)</f>
        <v>0</v>
      </c>
      <c r="AC172" s="69">
        <f t="shared" ref="AC172:AC173" si="593">ROUND(V172*1%,0)</f>
        <v>0</v>
      </c>
      <c r="AD172" s="460">
        <v>0</v>
      </c>
      <c r="AE172" s="460">
        <v>0</v>
      </c>
      <c r="AF172" s="460">
        <f t="shared" ref="AF172:AF173" si="594">SUM(AD172:AE172)</f>
        <v>0</v>
      </c>
      <c r="AG172" s="460">
        <f t="shared" ref="AG172:AG173" si="595">AA172+AB172+AC172+AF172</f>
        <v>0</v>
      </c>
      <c r="AH172" s="461">
        <v>0</v>
      </c>
      <c r="AI172" s="461">
        <v>0</v>
      </c>
      <c r="AJ172" s="461">
        <v>0</v>
      </c>
      <c r="AK172" s="461">
        <v>0</v>
      </c>
      <c r="AL172" s="674">
        <v>0</v>
      </c>
      <c r="AM172" s="461">
        <v>0</v>
      </c>
      <c r="AN172" s="461">
        <v>0</v>
      </c>
      <c r="AO172" s="461">
        <v>0</v>
      </c>
      <c r="AP172" s="461">
        <f>AH172+AJ172+AK172+AM172+AN172</f>
        <v>0</v>
      </c>
      <c r="AQ172" s="461">
        <f>AI172+AL172+AO172</f>
        <v>0</v>
      </c>
      <c r="AR172" s="463">
        <f t="shared" ref="AR172:AR173" si="596">SUM(AP172:AQ172)</f>
        <v>0</v>
      </c>
      <c r="AS172" s="469">
        <f>I172+AG172</f>
        <v>3415016</v>
      </c>
      <c r="AT172" s="460">
        <f>J172+V172</f>
        <v>2520932</v>
      </c>
      <c r="AU172" s="460">
        <f t="shared" ref="AU172:AU173" si="597">Z172</f>
        <v>0</v>
      </c>
      <c r="AV172" s="460">
        <f>K172+AB172</f>
        <v>852075</v>
      </c>
      <c r="AW172" s="460">
        <f>L172+AC172</f>
        <v>25209</v>
      </c>
      <c r="AX172" s="460">
        <f>M172+AF172</f>
        <v>16800</v>
      </c>
      <c r="AY172" s="461">
        <f>N172+AR172</f>
        <v>5.2</v>
      </c>
      <c r="AZ172" s="461">
        <f>O172+AP172</f>
        <v>4</v>
      </c>
      <c r="BA172" s="463">
        <f>P172+AQ172</f>
        <v>1.2</v>
      </c>
    </row>
    <row r="173" spans="1:53" s="229" customFormat="1" ht="12.75" customHeight="1" x14ac:dyDescent="0.2">
      <c r="A173" s="231">
        <v>36</v>
      </c>
      <c r="B173" s="232">
        <v>3433</v>
      </c>
      <c r="C173" s="232">
        <v>600078043</v>
      </c>
      <c r="D173" s="232">
        <v>70695130</v>
      </c>
      <c r="E173" s="233" t="s">
        <v>79</v>
      </c>
      <c r="F173" s="232">
        <v>3141</v>
      </c>
      <c r="G173" s="233" t="s">
        <v>311</v>
      </c>
      <c r="H173" s="264" t="s">
        <v>278</v>
      </c>
      <c r="I173" s="457">
        <f t="shared" si="585"/>
        <v>575733</v>
      </c>
      <c r="J173" s="457">
        <v>425481</v>
      </c>
      <c r="K173" s="457">
        <f t="shared" si="586"/>
        <v>143813</v>
      </c>
      <c r="L173" s="457">
        <f t="shared" si="587"/>
        <v>4255</v>
      </c>
      <c r="M173" s="457">
        <v>2184</v>
      </c>
      <c r="N173" s="458">
        <f t="shared" si="588"/>
        <v>1.37</v>
      </c>
      <c r="O173" s="459">
        <v>0</v>
      </c>
      <c r="P173" s="468">
        <v>1.37</v>
      </c>
      <c r="Q173" s="470">
        <f t="shared" si="589"/>
        <v>0</v>
      </c>
      <c r="R173" s="460">
        <v>0</v>
      </c>
      <c r="S173" s="673">
        <v>0</v>
      </c>
      <c r="T173" s="460">
        <v>0</v>
      </c>
      <c r="U173" s="460">
        <v>0</v>
      </c>
      <c r="V173" s="460">
        <f>SUM(Q173:U173)</f>
        <v>0</v>
      </c>
      <c r="W173" s="460">
        <v>0</v>
      </c>
      <c r="X173" s="460">
        <v>0</v>
      </c>
      <c r="Y173" s="460">
        <v>0</v>
      </c>
      <c r="Z173" s="460">
        <f t="shared" si="590"/>
        <v>0</v>
      </c>
      <c r="AA173" s="460">
        <f t="shared" si="591"/>
        <v>0</v>
      </c>
      <c r="AB173" s="69">
        <f t="shared" si="592"/>
        <v>0</v>
      </c>
      <c r="AC173" s="69">
        <f t="shared" si="593"/>
        <v>0</v>
      </c>
      <c r="AD173" s="460">
        <v>0</v>
      </c>
      <c r="AE173" s="460">
        <v>0</v>
      </c>
      <c r="AF173" s="460">
        <f t="shared" si="594"/>
        <v>0</v>
      </c>
      <c r="AG173" s="460">
        <f t="shared" si="595"/>
        <v>0</v>
      </c>
      <c r="AH173" s="461">
        <v>0</v>
      </c>
      <c r="AI173" s="461">
        <v>0</v>
      </c>
      <c r="AJ173" s="461">
        <v>0</v>
      </c>
      <c r="AK173" s="461">
        <v>0</v>
      </c>
      <c r="AL173" s="674">
        <v>0</v>
      </c>
      <c r="AM173" s="461">
        <v>0</v>
      </c>
      <c r="AN173" s="461">
        <v>0</v>
      </c>
      <c r="AO173" s="461">
        <v>0</v>
      </c>
      <c r="AP173" s="461">
        <f>AH173+AJ173+AK173+AM173+AN173</f>
        <v>0</v>
      </c>
      <c r="AQ173" s="461">
        <f>AI173+AL173+AO173</f>
        <v>0</v>
      </c>
      <c r="AR173" s="463">
        <f t="shared" si="596"/>
        <v>0</v>
      </c>
      <c r="AS173" s="469">
        <f>I173+AG173</f>
        <v>575733</v>
      </c>
      <c r="AT173" s="460">
        <f>J173+V173</f>
        <v>425481</v>
      </c>
      <c r="AU173" s="460">
        <f t="shared" si="597"/>
        <v>0</v>
      </c>
      <c r="AV173" s="460">
        <f>K173+AB173</f>
        <v>143813</v>
      </c>
      <c r="AW173" s="460">
        <f>L173+AC173</f>
        <v>4255</v>
      </c>
      <c r="AX173" s="460">
        <f>M173+AF173</f>
        <v>2184</v>
      </c>
      <c r="AY173" s="461">
        <f>N173+AR173</f>
        <v>1.37</v>
      </c>
      <c r="AZ173" s="461">
        <f>O173+AP173</f>
        <v>0</v>
      </c>
      <c r="BA173" s="463">
        <f>P173+AQ173</f>
        <v>1.37</v>
      </c>
    </row>
    <row r="174" spans="1:53" s="229" customFormat="1" ht="12.75" customHeight="1" x14ac:dyDescent="0.2">
      <c r="A174" s="156">
        <v>36</v>
      </c>
      <c r="B174" s="14">
        <v>3433</v>
      </c>
      <c r="C174" s="155">
        <v>600078043</v>
      </c>
      <c r="D174" s="155">
        <v>70695130</v>
      </c>
      <c r="E174" s="230" t="s">
        <v>80</v>
      </c>
      <c r="F174" s="14"/>
      <c r="G174" s="230"/>
      <c r="H174" s="263"/>
      <c r="I174" s="464">
        <f t="shared" ref="I174:P174" si="598">SUM(I172:I173)</f>
        <v>3990749</v>
      </c>
      <c r="J174" s="464">
        <f t="shared" si="598"/>
        <v>2946413</v>
      </c>
      <c r="K174" s="464">
        <f t="shared" si="598"/>
        <v>995888</v>
      </c>
      <c r="L174" s="464">
        <f t="shared" si="598"/>
        <v>29464</v>
      </c>
      <c r="M174" s="464">
        <f t="shared" si="598"/>
        <v>18984</v>
      </c>
      <c r="N174" s="427">
        <f t="shared" si="598"/>
        <v>6.57</v>
      </c>
      <c r="O174" s="427">
        <f t="shared" si="598"/>
        <v>4</v>
      </c>
      <c r="P174" s="427">
        <f t="shared" si="598"/>
        <v>2.5700000000000003</v>
      </c>
      <c r="Q174" s="622">
        <f t="shared" ref="Q174:BA174" si="599">SUM(Q172:Q173)</f>
        <v>0</v>
      </c>
      <c r="R174" s="620">
        <f t="shared" si="599"/>
        <v>0</v>
      </c>
      <c r="S174" s="620">
        <f t="shared" si="599"/>
        <v>0</v>
      </c>
      <c r="T174" s="620">
        <f t="shared" si="599"/>
        <v>0</v>
      </c>
      <c r="U174" s="620">
        <f t="shared" si="599"/>
        <v>0</v>
      </c>
      <c r="V174" s="620">
        <f t="shared" si="599"/>
        <v>0</v>
      </c>
      <c r="W174" s="620">
        <f t="shared" si="599"/>
        <v>0</v>
      </c>
      <c r="X174" s="620">
        <f t="shared" si="599"/>
        <v>0</v>
      </c>
      <c r="Y174" s="620">
        <f t="shared" si="599"/>
        <v>0</v>
      </c>
      <c r="Z174" s="620">
        <f t="shared" si="599"/>
        <v>0</v>
      </c>
      <c r="AA174" s="620">
        <f t="shared" si="599"/>
        <v>0</v>
      </c>
      <c r="AB174" s="620">
        <f t="shared" si="599"/>
        <v>0</v>
      </c>
      <c r="AC174" s="620">
        <f t="shared" si="599"/>
        <v>0</v>
      </c>
      <c r="AD174" s="620">
        <f t="shared" si="599"/>
        <v>0</v>
      </c>
      <c r="AE174" s="620">
        <f t="shared" si="599"/>
        <v>0</v>
      </c>
      <c r="AF174" s="620">
        <f t="shared" si="599"/>
        <v>0</v>
      </c>
      <c r="AG174" s="620">
        <f t="shared" si="599"/>
        <v>0</v>
      </c>
      <c r="AH174" s="621">
        <f t="shared" si="599"/>
        <v>0</v>
      </c>
      <c r="AI174" s="621">
        <f t="shared" si="599"/>
        <v>0</v>
      </c>
      <c r="AJ174" s="621">
        <f t="shared" si="599"/>
        <v>0</v>
      </c>
      <c r="AK174" s="621">
        <f t="shared" si="599"/>
        <v>0</v>
      </c>
      <c r="AL174" s="621">
        <f t="shared" si="599"/>
        <v>0</v>
      </c>
      <c r="AM174" s="621">
        <f t="shared" si="599"/>
        <v>0</v>
      </c>
      <c r="AN174" s="621">
        <f t="shared" si="599"/>
        <v>0</v>
      </c>
      <c r="AO174" s="621">
        <f t="shared" si="599"/>
        <v>0</v>
      </c>
      <c r="AP174" s="621">
        <f t="shared" si="599"/>
        <v>0</v>
      </c>
      <c r="AQ174" s="621">
        <f t="shared" si="599"/>
        <v>0</v>
      </c>
      <c r="AR174" s="623">
        <f t="shared" si="599"/>
        <v>0</v>
      </c>
      <c r="AS174" s="618">
        <f t="shared" si="599"/>
        <v>3990749</v>
      </c>
      <c r="AT174" s="464">
        <f t="shared" si="599"/>
        <v>2946413</v>
      </c>
      <c r="AU174" s="464">
        <f t="shared" si="599"/>
        <v>0</v>
      </c>
      <c r="AV174" s="464">
        <f t="shared" si="599"/>
        <v>995888</v>
      </c>
      <c r="AW174" s="464">
        <f t="shared" si="599"/>
        <v>29464</v>
      </c>
      <c r="AX174" s="464">
        <f t="shared" si="599"/>
        <v>18984</v>
      </c>
      <c r="AY174" s="427">
        <f t="shared" si="599"/>
        <v>6.57</v>
      </c>
      <c r="AZ174" s="427">
        <f t="shared" si="599"/>
        <v>4</v>
      </c>
      <c r="BA174" s="496">
        <f t="shared" si="599"/>
        <v>2.5700000000000003</v>
      </c>
    </row>
    <row r="175" spans="1:53" s="229" customFormat="1" ht="12.75" customHeight="1" x14ac:dyDescent="0.2">
      <c r="A175" s="231">
        <v>37</v>
      </c>
      <c r="B175" s="232">
        <v>3432</v>
      </c>
      <c r="C175" s="232">
        <v>600078329</v>
      </c>
      <c r="D175" s="232">
        <v>70695121</v>
      </c>
      <c r="E175" s="233" t="s">
        <v>81</v>
      </c>
      <c r="F175" s="232">
        <v>3117</v>
      </c>
      <c r="G175" s="233" t="s">
        <v>310</v>
      </c>
      <c r="H175" s="264" t="s">
        <v>277</v>
      </c>
      <c r="I175" s="457">
        <f t="shared" ref="I175:I179" si="600">SUM(J175:M175)</f>
        <v>5253212</v>
      </c>
      <c r="J175" s="457">
        <v>3820447</v>
      </c>
      <c r="K175" s="457">
        <f t="shared" ref="K175:K179" si="601">ROUND(J175*33.8%,0)</f>
        <v>1291311</v>
      </c>
      <c r="L175" s="457">
        <f t="shared" ref="L175:L179" si="602">ROUND(J175*1%,0)</f>
        <v>38204</v>
      </c>
      <c r="M175" s="457">
        <v>103250</v>
      </c>
      <c r="N175" s="458">
        <f t="shared" ref="N175:N179" si="603">O175+P175</f>
        <v>6.8615999999999993</v>
      </c>
      <c r="O175" s="459">
        <v>5.1448999999999998</v>
      </c>
      <c r="P175" s="468">
        <v>1.7166999999999999</v>
      </c>
      <c r="Q175" s="470">
        <f t="shared" ref="Q175:Q179" si="604">W175*-1</f>
        <v>0</v>
      </c>
      <c r="R175" s="460">
        <v>0</v>
      </c>
      <c r="S175" s="673">
        <v>0</v>
      </c>
      <c r="T175" s="460">
        <v>0</v>
      </c>
      <c r="U175" s="460">
        <v>0</v>
      </c>
      <c r="V175" s="460">
        <f>SUM(Q175:U175)</f>
        <v>0</v>
      </c>
      <c r="W175" s="460">
        <v>0</v>
      </c>
      <c r="X175" s="460">
        <v>0</v>
      </c>
      <c r="Y175" s="460">
        <v>0</v>
      </c>
      <c r="Z175" s="460">
        <f t="shared" ref="Z175:Z179" si="605">SUM(W175:Y175)</f>
        <v>0</v>
      </c>
      <c r="AA175" s="460">
        <f t="shared" ref="AA175:AA179" si="606">V175+Z175</f>
        <v>0</v>
      </c>
      <c r="AB175" s="69">
        <f t="shared" ref="AB175:AB179" si="607">ROUND((V175+W175+X175)*33.8%,0)</f>
        <v>0</v>
      </c>
      <c r="AC175" s="69">
        <f t="shared" ref="AC175:AC179" si="608">ROUND(V175*1%,0)</f>
        <v>0</v>
      </c>
      <c r="AD175" s="460">
        <v>0</v>
      </c>
      <c r="AE175" s="460">
        <v>0</v>
      </c>
      <c r="AF175" s="460">
        <f t="shared" ref="AF175:AF179" si="609">SUM(AD175:AE175)</f>
        <v>0</v>
      </c>
      <c r="AG175" s="460">
        <f t="shared" ref="AG175:AG179" si="610">AA175+AB175+AC175+AF175</f>
        <v>0</v>
      </c>
      <c r="AH175" s="461">
        <v>0</v>
      </c>
      <c r="AI175" s="461">
        <v>0</v>
      </c>
      <c r="AJ175" s="461">
        <v>0</v>
      </c>
      <c r="AK175" s="461">
        <v>0</v>
      </c>
      <c r="AL175" s="674">
        <v>0</v>
      </c>
      <c r="AM175" s="461">
        <v>0</v>
      </c>
      <c r="AN175" s="461">
        <v>0</v>
      </c>
      <c r="AO175" s="461">
        <v>0</v>
      </c>
      <c r="AP175" s="461">
        <f>AH175+AJ175+AK175+AM175+AN175</f>
        <v>0</v>
      </c>
      <c r="AQ175" s="461">
        <f>AI175+AL175+AO175</f>
        <v>0</v>
      </c>
      <c r="AR175" s="463">
        <f t="shared" ref="AR175:AR179" si="611">SUM(AP175:AQ175)</f>
        <v>0</v>
      </c>
      <c r="AS175" s="469">
        <f>I175+AG175</f>
        <v>5253212</v>
      </c>
      <c r="AT175" s="460">
        <f>J175+V175</f>
        <v>3820447</v>
      </c>
      <c r="AU175" s="460">
        <f t="shared" ref="AU175:AU179" si="612">Z175</f>
        <v>0</v>
      </c>
      <c r="AV175" s="460">
        <f t="shared" ref="AV175:AW179" si="613">K175+AB175</f>
        <v>1291311</v>
      </c>
      <c r="AW175" s="460">
        <f t="shared" si="613"/>
        <v>38204</v>
      </c>
      <c r="AX175" s="460">
        <f>M175+AF175</f>
        <v>103250</v>
      </c>
      <c r="AY175" s="461">
        <f>N175+AR175</f>
        <v>6.8615999999999993</v>
      </c>
      <c r="AZ175" s="461">
        <f t="shared" ref="AZ175:BA179" si="614">O175+AP175</f>
        <v>5.1448999999999998</v>
      </c>
      <c r="BA175" s="463">
        <f t="shared" si="614"/>
        <v>1.7166999999999999</v>
      </c>
    </row>
    <row r="176" spans="1:53" s="229" customFormat="1" x14ac:dyDescent="0.2">
      <c r="A176" s="231">
        <v>37</v>
      </c>
      <c r="B176" s="232">
        <v>3432</v>
      </c>
      <c r="C176" s="232">
        <v>600078329</v>
      </c>
      <c r="D176" s="232">
        <v>70695121</v>
      </c>
      <c r="E176" s="233" t="s">
        <v>81</v>
      </c>
      <c r="F176" s="232">
        <v>3117</v>
      </c>
      <c r="G176" s="233" t="s">
        <v>308</v>
      </c>
      <c r="H176" s="264" t="s">
        <v>278</v>
      </c>
      <c r="I176" s="457">
        <f t="shared" si="600"/>
        <v>0</v>
      </c>
      <c r="J176" s="457">
        <v>0</v>
      </c>
      <c r="K176" s="457">
        <f t="shared" si="601"/>
        <v>0</v>
      </c>
      <c r="L176" s="457">
        <f t="shared" si="602"/>
        <v>0</v>
      </c>
      <c r="M176" s="457">
        <v>0</v>
      </c>
      <c r="N176" s="458">
        <f t="shared" si="603"/>
        <v>0</v>
      </c>
      <c r="O176" s="459">
        <v>0</v>
      </c>
      <c r="P176" s="468">
        <v>0</v>
      </c>
      <c r="Q176" s="470">
        <f t="shared" si="604"/>
        <v>0</v>
      </c>
      <c r="R176" s="460">
        <v>346446</v>
      </c>
      <c r="S176" s="673">
        <v>0</v>
      </c>
      <c r="T176" s="460">
        <v>0</v>
      </c>
      <c r="U176" s="460">
        <v>0</v>
      </c>
      <c r="V176" s="460">
        <f>SUM(Q176:U176)</f>
        <v>346446</v>
      </c>
      <c r="W176" s="460">
        <v>0</v>
      </c>
      <c r="X176" s="460">
        <v>0</v>
      </c>
      <c r="Y176" s="460">
        <v>0</v>
      </c>
      <c r="Z176" s="460">
        <f t="shared" si="605"/>
        <v>0</v>
      </c>
      <c r="AA176" s="460">
        <f t="shared" si="606"/>
        <v>346446</v>
      </c>
      <c r="AB176" s="69">
        <f t="shared" si="607"/>
        <v>117099</v>
      </c>
      <c r="AC176" s="69">
        <f t="shared" si="608"/>
        <v>3464</v>
      </c>
      <c r="AD176" s="460">
        <v>0</v>
      </c>
      <c r="AE176" s="460">
        <v>0</v>
      </c>
      <c r="AF176" s="460">
        <f t="shared" si="609"/>
        <v>0</v>
      </c>
      <c r="AG176" s="460">
        <f t="shared" si="610"/>
        <v>467009</v>
      </c>
      <c r="AH176" s="461">
        <v>0</v>
      </c>
      <c r="AI176" s="461">
        <v>0</v>
      </c>
      <c r="AJ176" s="461">
        <v>1</v>
      </c>
      <c r="AK176" s="461">
        <v>0</v>
      </c>
      <c r="AL176" s="674">
        <v>0</v>
      </c>
      <c r="AM176" s="461">
        <v>0</v>
      </c>
      <c r="AN176" s="461">
        <v>0</v>
      </c>
      <c r="AO176" s="461">
        <v>0</v>
      </c>
      <c r="AP176" s="461">
        <f>AH176+AJ176+AK176+AM176+AN176</f>
        <v>1</v>
      </c>
      <c r="AQ176" s="461">
        <f>AI176+AL176+AO176</f>
        <v>0</v>
      </c>
      <c r="AR176" s="463">
        <f t="shared" si="611"/>
        <v>1</v>
      </c>
      <c r="AS176" s="469">
        <f>I176+AG176</f>
        <v>467009</v>
      </c>
      <c r="AT176" s="460">
        <f>J176+V176</f>
        <v>346446</v>
      </c>
      <c r="AU176" s="460">
        <f t="shared" si="612"/>
        <v>0</v>
      </c>
      <c r="AV176" s="460">
        <f t="shared" si="613"/>
        <v>117099</v>
      </c>
      <c r="AW176" s="460">
        <f t="shared" si="613"/>
        <v>3464</v>
      </c>
      <c r="AX176" s="460">
        <f>M176+AF176</f>
        <v>0</v>
      </c>
      <c r="AY176" s="461">
        <f>N176+AR176</f>
        <v>1</v>
      </c>
      <c r="AZ176" s="461">
        <f t="shared" si="614"/>
        <v>1</v>
      </c>
      <c r="BA176" s="463">
        <f t="shared" si="614"/>
        <v>0</v>
      </c>
    </row>
    <row r="177" spans="1:53" s="229" customFormat="1" ht="12.75" customHeight="1" x14ac:dyDescent="0.2">
      <c r="A177" s="231">
        <v>37</v>
      </c>
      <c r="B177" s="232">
        <v>3432</v>
      </c>
      <c r="C177" s="232">
        <v>600078329</v>
      </c>
      <c r="D177" s="232">
        <v>70695121</v>
      </c>
      <c r="E177" s="233" t="s">
        <v>81</v>
      </c>
      <c r="F177" s="232">
        <v>3141</v>
      </c>
      <c r="G177" s="233" t="s">
        <v>311</v>
      </c>
      <c r="H177" s="264" t="s">
        <v>278</v>
      </c>
      <c r="I177" s="457">
        <f t="shared" si="600"/>
        <v>636602</v>
      </c>
      <c r="J177" s="457">
        <v>469556</v>
      </c>
      <c r="K177" s="457">
        <f t="shared" si="601"/>
        <v>158710</v>
      </c>
      <c r="L177" s="457">
        <f t="shared" si="602"/>
        <v>4696</v>
      </c>
      <c r="M177" s="457">
        <v>3640</v>
      </c>
      <c r="N177" s="458">
        <f t="shared" si="603"/>
        <v>1.51</v>
      </c>
      <c r="O177" s="459">
        <v>0</v>
      </c>
      <c r="P177" s="468">
        <v>1.51</v>
      </c>
      <c r="Q177" s="470">
        <f t="shared" si="604"/>
        <v>0</v>
      </c>
      <c r="R177" s="460">
        <v>0</v>
      </c>
      <c r="S177" s="673">
        <v>0</v>
      </c>
      <c r="T177" s="460">
        <v>0</v>
      </c>
      <c r="U177" s="460">
        <v>0</v>
      </c>
      <c r="V177" s="460">
        <f>SUM(Q177:U177)</f>
        <v>0</v>
      </c>
      <c r="W177" s="460">
        <v>0</v>
      </c>
      <c r="X177" s="460">
        <v>0</v>
      </c>
      <c r="Y177" s="460">
        <v>0</v>
      </c>
      <c r="Z177" s="460">
        <f t="shared" si="605"/>
        <v>0</v>
      </c>
      <c r="AA177" s="460">
        <f t="shared" si="606"/>
        <v>0</v>
      </c>
      <c r="AB177" s="69">
        <f t="shared" si="607"/>
        <v>0</v>
      </c>
      <c r="AC177" s="69">
        <f t="shared" si="608"/>
        <v>0</v>
      </c>
      <c r="AD177" s="460">
        <v>0</v>
      </c>
      <c r="AE177" s="460">
        <v>0</v>
      </c>
      <c r="AF177" s="460">
        <f t="shared" si="609"/>
        <v>0</v>
      </c>
      <c r="AG177" s="460">
        <f t="shared" si="610"/>
        <v>0</v>
      </c>
      <c r="AH177" s="461">
        <v>0</v>
      </c>
      <c r="AI177" s="461">
        <v>0</v>
      </c>
      <c r="AJ177" s="461">
        <v>0</v>
      </c>
      <c r="AK177" s="461">
        <v>0</v>
      </c>
      <c r="AL177" s="674">
        <v>0</v>
      </c>
      <c r="AM177" s="461">
        <v>0</v>
      </c>
      <c r="AN177" s="461">
        <v>0</v>
      </c>
      <c r="AO177" s="461">
        <v>0</v>
      </c>
      <c r="AP177" s="461">
        <f>AH177+AJ177+AK177+AM177+AN177</f>
        <v>0</v>
      </c>
      <c r="AQ177" s="461">
        <f>AI177+AL177+AO177</f>
        <v>0</v>
      </c>
      <c r="AR177" s="463">
        <f t="shared" si="611"/>
        <v>0</v>
      </c>
      <c r="AS177" s="469">
        <f>I177+AG177</f>
        <v>636602</v>
      </c>
      <c r="AT177" s="460">
        <f>J177+V177</f>
        <v>469556</v>
      </c>
      <c r="AU177" s="460">
        <f t="shared" si="612"/>
        <v>0</v>
      </c>
      <c r="AV177" s="460">
        <f t="shared" si="613"/>
        <v>158710</v>
      </c>
      <c r="AW177" s="460">
        <f t="shared" si="613"/>
        <v>4696</v>
      </c>
      <c r="AX177" s="460">
        <f>M177+AF177</f>
        <v>3640</v>
      </c>
      <c r="AY177" s="461">
        <f>N177+AR177</f>
        <v>1.51</v>
      </c>
      <c r="AZ177" s="461">
        <f t="shared" si="614"/>
        <v>0</v>
      </c>
      <c r="BA177" s="463">
        <f t="shared" si="614"/>
        <v>1.51</v>
      </c>
    </row>
    <row r="178" spans="1:53" s="229" customFormat="1" ht="12.75" customHeight="1" x14ac:dyDescent="0.2">
      <c r="A178" s="231">
        <v>37</v>
      </c>
      <c r="B178" s="232">
        <v>3432</v>
      </c>
      <c r="C178" s="232">
        <v>600078329</v>
      </c>
      <c r="D178" s="232">
        <v>70695121</v>
      </c>
      <c r="E178" s="233" t="s">
        <v>82</v>
      </c>
      <c r="F178" s="232">
        <v>3143</v>
      </c>
      <c r="G178" s="233" t="s">
        <v>616</v>
      </c>
      <c r="H178" s="264" t="s">
        <v>277</v>
      </c>
      <c r="I178" s="457">
        <f t="shared" si="600"/>
        <v>618721</v>
      </c>
      <c r="J178" s="457">
        <v>458992</v>
      </c>
      <c r="K178" s="457">
        <f t="shared" si="601"/>
        <v>155139</v>
      </c>
      <c r="L178" s="457">
        <f t="shared" si="602"/>
        <v>4590</v>
      </c>
      <c r="M178" s="457">
        <v>0</v>
      </c>
      <c r="N178" s="458">
        <f t="shared" si="603"/>
        <v>0.93</v>
      </c>
      <c r="O178" s="459">
        <v>0.93</v>
      </c>
      <c r="P178" s="468">
        <v>0</v>
      </c>
      <c r="Q178" s="470">
        <f t="shared" si="604"/>
        <v>0</v>
      </c>
      <c r="R178" s="460">
        <v>0</v>
      </c>
      <c r="S178" s="673">
        <v>0</v>
      </c>
      <c r="T178" s="460">
        <v>0</v>
      </c>
      <c r="U178" s="460">
        <v>0</v>
      </c>
      <c r="V178" s="460">
        <f>SUM(Q178:U178)</f>
        <v>0</v>
      </c>
      <c r="W178" s="460">
        <v>0</v>
      </c>
      <c r="X178" s="460">
        <v>0</v>
      </c>
      <c r="Y178" s="460">
        <v>0</v>
      </c>
      <c r="Z178" s="460">
        <f t="shared" si="605"/>
        <v>0</v>
      </c>
      <c r="AA178" s="460">
        <f t="shared" si="606"/>
        <v>0</v>
      </c>
      <c r="AB178" s="69">
        <f t="shared" si="607"/>
        <v>0</v>
      </c>
      <c r="AC178" s="69">
        <f t="shared" si="608"/>
        <v>0</v>
      </c>
      <c r="AD178" s="460">
        <v>0</v>
      </c>
      <c r="AE178" s="460">
        <v>0</v>
      </c>
      <c r="AF178" s="460">
        <f t="shared" si="609"/>
        <v>0</v>
      </c>
      <c r="AG178" s="460">
        <f t="shared" si="610"/>
        <v>0</v>
      </c>
      <c r="AH178" s="461">
        <v>0</v>
      </c>
      <c r="AI178" s="461">
        <v>0</v>
      </c>
      <c r="AJ178" s="461">
        <v>0</v>
      </c>
      <c r="AK178" s="461">
        <v>0</v>
      </c>
      <c r="AL178" s="674">
        <v>0</v>
      </c>
      <c r="AM178" s="461">
        <v>0</v>
      </c>
      <c r="AN178" s="461">
        <v>0</v>
      </c>
      <c r="AO178" s="461">
        <v>0</v>
      </c>
      <c r="AP178" s="461">
        <f>AH178+AJ178+AK178+AM178+AN178</f>
        <v>0</v>
      </c>
      <c r="AQ178" s="461">
        <f>AI178+AL178+AO178</f>
        <v>0</v>
      </c>
      <c r="AR178" s="463">
        <f t="shared" si="611"/>
        <v>0</v>
      </c>
      <c r="AS178" s="469">
        <f>I178+AG178</f>
        <v>618721</v>
      </c>
      <c r="AT178" s="460">
        <f>J178+V178</f>
        <v>458992</v>
      </c>
      <c r="AU178" s="460">
        <f t="shared" si="612"/>
        <v>0</v>
      </c>
      <c r="AV178" s="460">
        <f t="shared" si="613"/>
        <v>155139</v>
      </c>
      <c r="AW178" s="460">
        <f t="shared" si="613"/>
        <v>4590</v>
      </c>
      <c r="AX178" s="460">
        <f>M178+AF178</f>
        <v>0</v>
      </c>
      <c r="AY178" s="461">
        <f>N178+AR178</f>
        <v>0.93</v>
      </c>
      <c r="AZ178" s="461">
        <f t="shared" si="614"/>
        <v>0.93</v>
      </c>
      <c r="BA178" s="463">
        <f t="shared" si="614"/>
        <v>0</v>
      </c>
    </row>
    <row r="179" spans="1:53" s="229" customFormat="1" ht="12.75" customHeight="1" x14ac:dyDescent="0.2">
      <c r="A179" s="231">
        <v>37</v>
      </c>
      <c r="B179" s="232">
        <v>3432</v>
      </c>
      <c r="C179" s="232">
        <v>600078329</v>
      </c>
      <c r="D179" s="232">
        <v>70695121</v>
      </c>
      <c r="E179" s="233" t="s">
        <v>82</v>
      </c>
      <c r="F179" s="232">
        <v>3143</v>
      </c>
      <c r="G179" s="233" t="s">
        <v>617</v>
      </c>
      <c r="H179" s="264" t="s">
        <v>278</v>
      </c>
      <c r="I179" s="457">
        <f t="shared" si="600"/>
        <v>18324</v>
      </c>
      <c r="J179" s="457">
        <v>13093</v>
      </c>
      <c r="K179" s="457">
        <f t="shared" si="601"/>
        <v>4425</v>
      </c>
      <c r="L179" s="457">
        <f t="shared" si="602"/>
        <v>131</v>
      </c>
      <c r="M179" s="457">
        <v>675</v>
      </c>
      <c r="N179" s="458">
        <f t="shared" si="603"/>
        <v>0.05</v>
      </c>
      <c r="O179" s="459">
        <v>0</v>
      </c>
      <c r="P179" s="468">
        <v>0.05</v>
      </c>
      <c r="Q179" s="470">
        <f t="shared" si="604"/>
        <v>0</v>
      </c>
      <c r="R179" s="460">
        <v>0</v>
      </c>
      <c r="S179" s="673">
        <v>0</v>
      </c>
      <c r="T179" s="460">
        <v>0</v>
      </c>
      <c r="U179" s="460">
        <v>0</v>
      </c>
      <c r="V179" s="460">
        <f>SUM(Q179:U179)</f>
        <v>0</v>
      </c>
      <c r="W179" s="460">
        <v>0</v>
      </c>
      <c r="X179" s="460">
        <v>0</v>
      </c>
      <c r="Y179" s="460">
        <v>0</v>
      </c>
      <c r="Z179" s="460">
        <f t="shared" si="605"/>
        <v>0</v>
      </c>
      <c r="AA179" s="460">
        <f t="shared" si="606"/>
        <v>0</v>
      </c>
      <c r="AB179" s="69">
        <f t="shared" si="607"/>
        <v>0</v>
      </c>
      <c r="AC179" s="69">
        <f t="shared" si="608"/>
        <v>0</v>
      </c>
      <c r="AD179" s="460">
        <v>0</v>
      </c>
      <c r="AE179" s="460">
        <v>0</v>
      </c>
      <c r="AF179" s="460">
        <f t="shared" si="609"/>
        <v>0</v>
      </c>
      <c r="AG179" s="460">
        <f t="shared" si="610"/>
        <v>0</v>
      </c>
      <c r="AH179" s="461">
        <v>0</v>
      </c>
      <c r="AI179" s="461">
        <v>0</v>
      </c>
      <c r="AJ179" s="461">
        <v>0</v>
      </c>
      <c r="AK179" s="461">
        <v>0</v>
      </c>
      <c r="AL179" s="674">
        <v>0</v>
      </c>
      <c r="AM179" s="461">
        <v>0</v>
      </c>
      <c r="AN179" s="461">
        <v>0</v>
      </c>
      <c r="AO179" s="461">
        <v>0</v>
      </c>
      <c r="AP179" s="461">
        <f>AH179+AJ179+AK179+AM179+AN179</f>
        <v>0</v>
      </c>
      <c r="AQ179" s="461">
        <f>AI179+AL179+AO179</f>
        <v>0</v>
      </c>
      <c r="AR179" s="463">
        <f t="shared" si="611"/>
        <v>0</v>
      </c>
      <c r="AS179" s="469">
        <f>I179+AG179</f>
        <v>18324</v>
      </c>
      <c r="AT179" s="460">
        <f>J179+V179</f>
        <v>13093</v>
      </c>
      <c r="AU179" s="460">
        <f t="shared" si="612"/>
        <v>0</v>
      </c>
      <c r="AV179" s="460">
        <f t="shared" si="613"/>
        <v>4425</v>
      </c>
      <c r="AW179" s="460">
        <f t="shared" si="613"/>
        <v>131</v>
      </c>
      <c r="AX179" s="460">
        <f>M179+AF179</f>
        <v>675</v>
      </c>
      <c r="AY179" s="461">
        <f>N179+AR179</f>
        <v>0.05</v>
      </c>
      <c r="AZ179" s="461">
        <f t="shared" si="614"/>
        <v>0</v>
      </c>
      <c r="BA179" s="463">
        <f t="shared" si="614"/>
        <v>0.05</v>
      </c>
    </row>
    <row r="180" spans="1:53" s="229" customFormat="1" ht="12.75" customHeight="1" x14ac:dyDescent="0.2">
      <c r="A180" s="156">
        <v>37</v>
      </c>
      <c r="B180" s="14">
        <v>3432</v>
      </c>
      <c r="C180" s="155">
        <v>600078329</v>
      </c>
      <c r="D180" s="155">
        <v>70695121</v>
      </c>
      <c r="E180" s="230" t="s">
        <v>83</v>
      </c>
      <c r="F180" s="14"/>
      <c r="G180" s="230"/>
      <c r="H180" s="263"/>
      <c r="I180" s="464">
        <f t="shared" ref="I180:P180" si="615">SUM(I175:I179)</f>
        <v>6526859</v>
      </c>
      <c r="J180" s="464">
        <f t="shared" si="615"/>
        <v>4762088</v>
      </c>
      <c r="K180" s="464">
        <f t="shared" si="615"/>
        <v>1609585</v>
      </c>
      <c r="L180" s="464">
        <f t="shared" si="615"/>
        <v>47621</v>
      </c>
      <c r="M180" s="464">
        <f t="shared" si="615"/>
        <v>107565</v>
      </c>
      <c r="N180" s="427">
        <f t="shared" si="615"/>
        <v>9.3515999999999995</v>
      </c>
      <c r="O180" s="427">
        <f t="shared" si="615"/>
        <v>6.0748999999999995</v>
      </c>
      <c r="P180" s="427">
        <f t="shared" si="615"/>
        <v>3.2766999999999999</v>
      </c>
      <c r="Q180" s="622">
        <f t="shared" ref="Q180:BA180" si="616">SUM(Q175:Q179)</f>
        <v>0</v>
      </c>
      <c r="R180" s="620">
        <f t="shared" si="616"/>
        <v>346446</v>
      </c>
      <c r="S180" s="620">
        <f t="shared" si="616"/>
        <v>0</v>
      </c>
      <c r="T180" s="620">
        <f t="shared" si="616"/>
        <v>0</v>
      </c>
      <c r="U180" s="620">
        <f t="shared" si="616"/>
        <v>0</v>
      </c>
      <c r="V180" s="620">
        <f t="shared" si="616"/>
        <v>346446</v>
      </c>
      <c r="W180" s="620">
        <f t="shared" si="616"/>
        <v>0</v>
      </c>
      <c r="X180" s="620">
        <f t="shared" si="616"/>
        <v>0</v>
      </c>
      <c r="Y180" s="620">
        <f t="shared" si="616"/>
        <v>0</v>
      </c>
      <c r="Z180" s="620">
        <f t="shared" si="616"/>
        <v>0</v>
      </c>
      <c r="AA180" s="620">
        <f t="shared" si="616"/>
        <v>346446</v>
      </c>
      <c r="AB180" s="620">
        <f t="shared" si="616"/>
        <v>117099</v>
      </c>
      <c r="AC180" s="620">
        <f t="shared" si="616"/>
        <v>3464</v>
      </c>
      <c r="AD180" s="620">
        <f t="shared" si="616"/>
        <v>0</v>
      </c>
      <c r="AE180" s="620">
        <f t="shared" si="616"/>
        <v>0</v>
      </c>
      <c r="AF180" s="620">
        <f t="shared" si="616"/>
        <v>0</v>
      </c>
      <c r="AG180" s="620">
        <f t="shared" si="616"/>
        <v>467009</v>
      </c>
      <c r="AH180" s="621">
        <f t="shared" si="616"/>
        <v>0</v>
      </c>
      <c r="AI180" s="621">
        <f t="shared" si="616"/>
        <v>0</v>
      </c>
      <c r="AJ180" s="621">
        <f t="shared" si="616"/>
        <v>1</v>
      </c>
      <c r="AK180" s="621">
        <f t="shared" si="616"/>
        <v>0</v>
      </c>
      <c r="AL180" s="621">
        <f t="shared" si="616"/>
        <v>0</v>
      </c>
      <c r="AM180" s="621">
        <f t="shared" si="616"/>
        <v>0</v>
      </c>
      <c r="AN180" s="621">
        <f t="shared" si="616"/>
        <v>0</v>
      </c>
      <c r="AO180" s="621">
        <f t="shared" si="616"/>
        <v>0</v>
      </c>
      <c r="AP180" s="621">
        <f t="shared" si="616"/>
        <v>1</v>
      </c>
      <c r="AQ180" s="621">
        <f t="shared" si="616"/>
        <v>0</v>
      </c>
      <c r="AR180" s="623">
        <f t="shared" si="616"/>
        <v>1</v>
      </c>
      <c r="AS180" s="618">
        <f t="shared" si="616"/>
        <v>6993868</v>
      </c>
      <c r="AT180" s="464">
        <f t="shared" si="616"/>
        <v>5108534</v>
      </c>
      <c r="AU180" s="464">
        <f t="shared" si="616"/>
        <v>0</v>
      </c>
      <c r="AV180" s="464">
        <f t="shared" si="616"/>
        <v>1726684</v>
      </c>
      <c r="AW180" s="464">
        <f t="shared" si="616"/>
        <v>51085</v>
      </c>
      <c r="AX180" s="464">
        <f t="shared" si="616"/>
        <v>107565</v>
      </c>
      <c r="AY180" s="427">
        <f t="shared" si="616"/>
        <v>10.351599999999999</v>
      </c>
      <c r="AZ180" s="427">
        <f t="shared" si="616"/>
        <v>7.0748999999999995</v>
      </c>
      <c r="BA180" s="496">
        <f t="shared" si="616"/>
        <v>3.2766999999999999</v>
      </c>
    </row>
    <row r="181" spans="1:53" s="229" customFormat="1" ht="12.75" customHeight="1" x14ac:dyDescent="0.2">
      <c r="A181" s="231">
        <v>38</v>
      </c>
      <c r="B181" s="232">
        <v>3435</v>
      </c>
      <c r="C181" s="232">
        <v>650022131</v>
      </c>
      <c r="D181" s="232">
        <v>70981531</v>
      </c>
      <c r="E181" s="233" t="s">
        <v>84</v>
      </c>
      <c r="F181" s="232">
        <v>3111</v>
      </c>
      <c r="G181" s="233" t="s">
        <v>307</v>
      </c>
      <c r="H181" s="264" t="s">
        <v>277</v>
      </c>
      <c r="I181" s="457">
        <f t="shared" ref="I181:I186" si="617">SUM(J181:M181)</f>
        <v>8434622</v>
      </c>
      <c r="J181" s="457">
        <v>6222420</v>
      </c>
      <c r="K181" s="457">
        <f t="shared" ref="K181:K186" si="618">ROUND(J181*33.8%,0)</f>
        <v>2103178</v>
      </c>
      <c r="L181" s="457">
        <f t="shared" ref="L181:L186" si="619">ROUND(J181*1%,0)</f>
        <v>62224</v>
      </c>
      <c r="M181" s="457">
        <v>46800</v>
      </c>
      <c r="N181" s="458">
        <f t="shared" ref="N181:N186" si="620">O181+P181</f>
        <v>13.16</v>
      </c>
      <c r="O181" s="459">
        <v>11</v>
      </c>
      <c r="P181" s="468">
        <v>2.16</v>
      </c>
      <c r="Q181" s="470">
        <f t="shared" ref="Q181:Q186" si="621">W181*-1</f>
        <v>0</v>
      </c>
      <c r="R181" s="460">
        <v>0</v>
      </c>
      <c r="S181" s="673">
        <v>0</v>
      </c>
      <c r="T181" s="460">
        <v>0</v>
      </c>
      <c r="U181" s="460">
        <v>0</v>
      </c>
      <c r="V181" s="460">
        <f t="shared" ref="V181:V186" si="622">SUM(Q181:U181)</f>
        <v>0</v>
      </c>
      <c r="W181" s="460">
        <v>0</v>
      </c>
      <c r="X181" s="460">
        <v>0</v>
      </c>
      <c r="Y181" s="460">
        <v>0</v>
      </c>
      <c r="Z181" s="460">
        <f t="shared" ref="Z181:Z186" si="623">SUM(W181:Y181)</f>
        <v>0</v>
      </c>
      <c r="AA181" s="460">
        <f t="shared" ref="AA181:AA186" si="624">V181+Z181</f>
        <v>0</v>
      </c>
      <c r="AB181" s="69">
        <f t="shared" ref="AB181:AB186" si="625">ROUND((V181+W181+X181)*33.8%,0)</f>
        <v>0</v>
      </c>
      <c r="AC181" s="69">
        <f t="shared" ref="AC181:AC186" si="626">ROUND(V181*1%,0)</f>
        <v>0</v>
      </c>
      <c r="AD181" s="460">
        <v>0</v>
      </c>
      <c r="AE181" s="460">
        <v>0</v>
      </c>
      <c r="AF181" s="460">
        <f t="shared" ref="AF181:AF186" si="627">SUM(AD181:AE181)</f>
        <v>0</v>
      </c>
      <c r="AG181" s="460">
        <f t="shared" ref="AG181:AG186" si="628">AA181+AB181+AC181+AF181</f>
        <v>0</v>
      </c>
      <c r="AH181" s="461">
        <v>0</v>
      </c>
      <c r="AI181" s="461">
        <v>0</v>
      </c>
      <c r="AJ181" s="461">
        <v>0</v>
      </c>
      <c r="AK181" s="461">
        <v>0</v>
      </c>
      <c r="AL181" s="674">
        <v>0</v>
      </c>
      <c r="AM181" s="461">
        <v>0</v>
      </c>
      <c r="AN181" s="461">
        <v>0</v>
      </c>
      <c r="AO181" s="461">
        <v>0</v>
      </c>
      <c r="AP181" s="461">
        <f t="shared" ref="AP181:AP186" si="629">AH181+AJ181+AK181+AM181+AN181</f>
        <v>0</v>
      </c>
      <c r="AQ181" s="461">
        <f t="shared" ref="AQ181:AQ186" si="630">AI181+AL181+AO181</f>
        <v>0</v>
      </c>
      <c r="AR181" s="463">
        <f t="shared" ref="AR181:AR186" si="631">SUM(AP181:AQ181)</f>
        <v>0</v>
      </c>
      <c r="AS181" s="469">
        <f t="shared" ref="AS181:AS186" si="632">I181+AG181</f>
        <v>8434622</v>
      </c>
      <c r="AT181" s="460">
        <f t="shared" ref="AT181:AT186" si="633">J181+V181</f>
        <v>6222420</v>
      </c>
      <c r="AU181" s="460">
        <f t="shared" ref="AU181:AU186" si="634">Z181</f>
        <v>0</v>
      </c>
      <c r="AV181" s="460">
        <f t="shared" ref="AV181:AW186" si="635">K181+AB181</f>
        <v>2103178</v>
      </c>
      <c r="AW181" s="460">
        <f t="shared" si="635"/>
        <v>62224</v>
      </c>
      <c r="AX181" s="460">
        <f t="shared" ref="AX181:AX186" si="636">M181+AF181</f>
        <v>46800</v>
      </c>
      <c r="AY181" s="461">
        <f t="shared" ref="AY181:AY186" si="637">N181+AR181</f>
        <v>13.16</v>
      </c>
      <c r="AZ181" s="461">
        <f t="shared" ref="AZ181:BA186" si="638">O181+AP181</f>
        <v>11</v>
      </c>
      <c r="BA181" s="463">
        <f t="shared" si="638"/>
        <v>2.16</v>
      </c>
    </row>
    <row r="182" spans="1:53" s="229" customFormat="1" ht="13.5" customHeight="1" x14ac:dyDescent="0.2">
      <c r="A182" s="231">
        <v>38</v>
      </c>
      <c r="B182" s="232">
        <v>3435</v>
      </c>
      <c r="C182" s="232">
        <v>650022131</v>
      </c>
      <c r="D182" s="232">
        <v>70981531</v>
      </c>
      <c r="E182" s="233" t="s">
        <v>84</v>
      </c>
      <c r="F182" s="232">
        <v>3113</v>
      </c>
      <c r="G182" s="233" t="s">
        <v>310</v>
      </c>
      <c r="H182" s="264" t="s">
        <v>277</v>
      </c>
      <c r="I182" s="457">
        <f t="shared" si="617"/>
        <v>24799988</v>
      </c>
      <c r="J182" s="457">
        <v>18064668</v>
      </c>
      <c r="K182" s="457">
        <f t="shared" si="618"/>
        <v>6105858</v>
      </c>
      <c r="L182" s="457">
        <f t="shared" si="619"/>
        <v>180647</v>
      </c>
      <c r="M182" s="457">
        <v>448815</v>
      </c>
      <c r="N182" s="458">
        <f t="shared" si="620"/>
        <v>31.610099999999999</v>
      </c>
      <c r="O182" s="459">
        <v>24.5001</v>
      </c>
      <c r="P182" s="468">
        <v>7.11</v>
      </c>
      <c r="Q182" s="470">
        <f t="shared" si="621"/>
        <v>-13000</v>
      </c>
      <c r="R182" s="460">
        <v>0</v>
      </c>
      <c r="S182" s="673">
        <v>0</v>
      </c>
      <c r="T182" s="460">
        <v>0</v>
      </c>
      <c r="U182" s="460">
        <v>0</v>
      </c>
      <c r="V182" s="460">
        <f t="shared" si="622"/>
        <v>-13000</v>
      </c>
      <c r="W182" s="460">
        <v>13000</v>
      </c>
      <c r="X182" s="460">
        <v>0</v>
      </c>
      <c r="Y182" s="460">
        <v>0</v>
      </c>
      <c r="Z182" s="460">
        <f t="shared" si="623"/>
        <v>13000</v>
      </c>
      <c r="AA182" s="460">
        <f t="shared" si="624"/>
        <v>0</v>
      </c>
      <c r="AB182" s="69">
        <f t="shared" si="625"/>
        <v>0</v>
      </c>
      <c r="AC182" s="69">
        <f t="shared" si="626"/>
        <v>-130</v>
      </c>
      <c r="AD182" s="460">
        <v>0</v>
      </c>
      <c r="AE182" s="460">
        <v>0</v>
      </c>
      <c r="AF182" s="460">
        <f t="shared" si="627"/>
        <v>0</v>
      </c>
      <c r="AG182" s="460">
        <f t="shared" si="628"/>
        <v>-130</v>
      </c>
      <c r="AH182" s="461">
        <v>-0.02</v>
      </c>
      <c r="AI182" s="461">
        <v>0</v>
      </c>
      <c r="AJ182" s="461">
        <v>0</v>
      </c>
      <c r="AK182" s="461">
        <v>0</v>
      </c>
      <c r="AL182" s="674">
        <v>0</v>
      </c>
      <c r="AM182" s="461">
        <v>0</v>
      </c>
      <c r="AN182" s="461">
        <v>0</v>
      </c>
      <c r="AO182" s="461">
        <v>0</v>
      </c>
      <c r="AP182" s="461">
        <f t="shared" si="629"/>
        <v>-0.02</v>
      </c>
      <c r="AQ182" s="461">
        <f t="shared" si="630"/>
        <v>0</v>
      </c>
      <c r="AR182" s="463">
        <f t="shared" si="631"/>
        <v>-0.02</v>
      </c>
      <c r="AS182" s="469">
        <f t="shared" si="632"/>
        <v>24799858</v>
      </c>
      <c r="AT182" s="460">
        <f t="shared" si="633"/>
        <v>18051668</v>
      </c>
      <c r="AU182" s="460">
        <f t="shared" si="634"/>
        <v>13000</v>
      </c>
      <c r="AV182" s="460">
        <f t="shared" si="635"/>
        <v>6105858</v>
      </c>
      <c r="AW182" s="460">
        <f t="shared" si="635"/>
        <v>180517</v>
      </c>
      <c r="AX182" s="460">
        <f t="shared" si="636"/>
        <v>448815</v>
      </c>
      <c r="AY182" s="461">
        <f t="shared" si="637"/>
        <v>31.5901</v>
      </c>
      <c r="AZ182" s="461">
        <f t="shared" si="638"/>
        <v>24.4801</v>
      </c>
      <c r="BA182" s="463">
        <f t="shared" si="638"/>
        <v>7.11</v>
      </c>
    </row>
    <row r="183" spans="1:53" s="229" customFormat="1" ht="13.5" customHeight="1" x14ac:dyDescent="0.2">
      <c r="A183" s="231">
        <v>38</v>
      </c>
      <c r="B183" s="232">
        <v>3435</v>
      </c>
      <c r="C183" s="232">
        <v>650022131</v>
      </c>
      <c r="D183" s="232">
        <v>70981531</v>
      </c>
      <c r="E183" s="233" t="s">
        <v>84</v>
      </c>
      <c r="F183" s="232">
        <v>3113</v>
      </c>
      <c r="G183" s="233" t="s">
        <v>308</v>
      </c>
      <c r="H183" s="264" t="s">
        <v>278</v>
      </c>
      <c r="I183" s="457">
        <f t="shared" si="617"/>
        <v>0</v>
      </c>
      <c r="J183" s="457">
        <v>0</v>
      </c>
      <c r="K183" s="457">
        <f t="shared" si="618"/>
        <v>0</v>
      </c>
      <c r="L183" s="457">
        <f t="shared" si="619"/>
        <v>0</v>
      </c>
      <c r="M183" s="457">
        <v>0</v>
      </c>
      <c r="N183" s="458">
        <f t="shared" si="620"/>
        <v>0</v>
      </c>
      <c r="O183" s="459">
        <v>0</v>
      </c>
      <c r="P183" s="468">
        <v>0</v>
      </c>
      <c r="Q183" s="470">
        <f t="shared" si="621"/>
        <v>0</v>
      </c>
      <c r="R183" s="460">
        <f>4075285+158788-235809</f>
        <v>3998264</v>
      </c>
      <c r="S183" s="673">
        <v>0</v>
      </c>
      <c r="T183" s="460">
        <v>0</v>
      </c>
      <c r="U183" s="460">
        <v>0</v>
      </c>
      <c r="V183" s="460">
        <f t="shared" si="622"/>
        <v>3998264</v>
      </c>
      <c r="W183" s="460">
        <v>0</v>
      </c>
      <c r="X183" s="460">
        <v>0</v>
      </c>
      <c r="Y183" s="460">
        <v>0</v>
      </c>
      <c r="Z183" s="460">
        <f t="shared" si="623"/>
        <v>0</v>
      </c>
      <c r="AA183" s="460">
        <f t="shared" si="624"/>
        <v>3998264</v>
      </c>
      <c r="AB183" s="69">
        <f t="shared" si="625"/>
        <v>1351413</v>
      </c>
      <c r="AC183" s="69">
        <f t="shared" si="626"/>
        <v>39983</v>
      </c>
      <c r="AD183" s="460">
        <v>4500</v>
      </c>
      <c r="AE183" s="460">
        <v>0</v>
      </c>
      <c r="AF183" s="460">
        <f t="shared" si="627"/>
        <v>4500</v>
      </c>
      <c r="AG183" s="460">
        <f t="shared" si="628"/>
        <v>5394160</v>
      </c>
      <c r="AH183" s="461">
        <v>0</v>
      </c>
      <c r="AI183" s="461">
        <v>0</v>
      </c>
      <c r="AJ183" s="461">
        <f>11.55+0.46-0.67</f>
        <v>11.340000000000002</v>
      </c>
      <c r="AK183" s="461">
        <v>0</v>
      </c>
      <c r="AL183" s="674">
        <v>0</v>
      </c>
      <c r="AM183" s="461">
        <v>0</v>
      </c>
      <c r="AN183" s="461">
        <v>0</v>
      </c>
      <c r="AO183" s="461">
        <v>0</v>
      </c>
      <c r="AP183" s="461">
        <f t="shared" si="629"/>
        <v>11.340000000000002</v>
      </c>
      <c r="AQ183" s="461">
        <f t="shared" si="630"/>
        <v>0</v>
      </c>
      <c r="AR183" s="463">
        <f t="shared" si="631"/>
        <v>11.340000000000002</v>
      </c>
      <c r="AS183" s="469">
        <f t="shared" si="632"/>
        <v>5394160</v>
      </c>
      <c r="AT183" s="460">
        <f t="shared" si="633"/>
        <v>3998264</v>
      </c>
      <c r="AU183" s="460">
        <f t="shared" si="634"/>
        <v>0</v>
      </c>
      <c r="AV183" s="460">
        <f t="shared" si="635"/>
        <v>1351413</v>
      </c>
      <c r="AW183" s="460">
        <f t="shared" si="635"/>
        <v>39983</v>
      </c>
      <c r="AX183" s="460">
        <f t="shared" si="636"/>
        <v>4500</v>
      </c>
      <c r="AY183" s="461">
        <f t="shared" si="637"/>
        <v>11.340000000000002</v>
      </c>
      <c r="AZ183" s="461">
        <f t="shared" si="638"/>
        <v>11.340000000000002</v>
      </c>
      <c r="BA183" s="463">
        <f t="shared" si="638"/>
        <v>0</v>
      </c>
    </row>
    <row r="184" spans="1:53" s="229" customFormat="1" ht="12.75" customHeight="1" x14ac:dyDescent="0.2">
      <c r="A184" s="231">
        <v>38</v>
      </c>
      <c r="B184" s="232">
        <v>3435</v>
      </c>
      <c r="C184" s="232">
        <v>650022131</v>
      </c>
      <c r="D184" s="232">
        <v>70981531</v>
      </c>
      <c r="E184" s="233" t="s">
        <v>84</v>
      </c>
      <c r="F184" s="232">
        <v>3141</v>
      </c>
      <c r="G184" s="233" t="s">
        <v>311</v>
      </c>
      <c r="H184" s="264" t="s">
        <v>278</v>
      </c>
      <c r="I184" s="457">
        <f t="shared" si="617"/>
        <v>3208756</v>
      </c>
      <c r="J184" s="457">
        <v>2363795</v>
      </c>
      <c r="K184" s="457">
        <f t="shared" si="618"/>
        <v>798963</v>
      </c>
      <c r="L184" s="457">
        <f t="shared" si="619"/>
        <v>23638</v>
      </c>
      <c r="M184" s="457">
        <v>22360</v>
      </c>
      <c r="N184" s="458">
        <f t="shared" si="620"/>
        <v>7.6</v>
      </c>
      <c r="O184" s="459">
        <v>0</v>
      </c>
      <c r="P184" s="468">
        <v>7.6</v>
      </c>
      <c r="Q184" s="470">
        <f t="shared" si="621"/>
        <v>0</v>
      </c>
      <c r="R184" s="460">
        <v>0</v>
      </c>
      <c r="S184" s="673">
        <v>0</v>
      </c>
      <c r="T184" s="460">
        <v>0</v>
      </c>
      <c r="U184" s="460">
        <v>0</v>
      </c>
      <c r="V184" s="460">
        <f t="shared" si="622"/>
        <v>0</v>
      </c>
      <c r="W184" s="460">
        <v>0</v>
      </c>
      <c r="X184" s="460">
        <v>0</v>
      </c>
      <c r="Y184" s="460">
        <v>0</v>
      </c>
      <c r="Z184" s="460">
        <f t="shared" si="623"/>
        <v>0</v>
      </c>
      <c r="AA184" s="460">
        <f t="shared" si="624"/>
        <v>0</v>
      </c>
      <c r="AB184" s="69">
        <f t="shared" si="625"/>
        <v>0</v>
      </c>
      <c r="AC184" s="69">
        <f t="shared" si="626"/>
        <v>0</v>
      </c>
      <c r="AD184" s="460">
        <v>0</v>
      </c>
      <c r="AE184" s="460">
        <v>0</v>
      </c>
      <c r="AF184" s="460">
        <f t="shared" si="627"/>
        <v>0</v>
      </c>
      <c r="AG184" s="460">
        <f t="shared" si="628"/>
        <v>0</v>
      </c>
      <c r="AH184" s="461">
        <v>0</v>
      </c>
      <c r="AI184" s="461">
        <v>0</v>
      </c>
      <c r="AJ184" s="461">
        <v>0</v>
      </c>
      <c r="AK184" s="461">
        <v>0</v>
      </c>
      <c r="AL184" s="674">
        <v>0</v>
      </c>
      <c r="AM184" s="461">
        <v>0</v>
      </c>
      <c r="AN184" s="461">
        <v>0</v>
      </c>
      <c r="AO184" s="461">
        <v>0</v>
      </c>
      <c r="AP184" s="461">
        <f t="shared" si="629"/>
        <v>0</v>
      </c>
      <c r="AQ184" s="461">
        <f t="shared" si="630"/>
        <v>0</v>
      </c>
      <c r="AR184" s="463">
        <f t="shared" si="631"/>
        <v>0</v>
      </c>
      <c r="AS184" s="469">
        <f t="shared" si="632"/>
        <v>3208756</v>
      </c>
      <c r="AT184" s="460">
        <f t="shared" si="633"/>
        <v>2363795</v>
      </c>
      <c r="AU184" s="460">
        <f t="shared" si="634"/>
        <v>0</v>
      </c>
      <c r="AV184" s="460">
        <f t="shared" si="635"/>
        <v>798963</v>
      </c>
      <c r="AW184" s="460">
        <f t="shared" si="635"/>
        <v>23638</v>
      </c>
      <c r="AX184" s="460">
        <f t="shared" si="636"/>
        <v>22360</v>
      </c>
      <c r="AY184" s="461">
        <f t="shared" si="637"/>
        <v>7.6</v>
      </c>
      <c r="AZ184" s="461">
        <f t="shared" si="638"/>
        <v>0</v>
      </c>
      <c r="BA184" s="463">
        <f t="shared" si="638"/>
        <v>7.6</v>
      </c>
    </row>
    <row r="185" spans="1:53" s="229" customFormat="1" ht="13.5" customHeight="1" x14ac:dyDescent="0.2">
      <c r="A185" s="231">
        <v>38</v>
      </c>
      <c r="B185" s="232">
        <v>3435</v>
      </c>
      <c r="C185" s="232">
        <v>650022131</v>
      </c>
      <c r="D185" s="232">
        <v>70981531</v>
      </c>
      <c r="E185" s="233" t="s">
        <v>84</v>
      </c>
      <c r="F185" s="232">
        <v>3143</v>
      </c>
      <c r="G185" s="233" t="s">
        <v>616</v>
      </c>
      <c r="H185" s="264" t="s">
        <v>277</v>
      </c>
      <c r="I185" s="457">
        <f t="shared" si="617"/>
        <v>1998282</v>
      </c>
      <c r="J185" s="457">
        <v>1482405</v>
      </c>
      <c r="K185" s="457">
        <f t="shared" si="618"/>
        <v>501053</v>
      </c>
      <c r="L185" s="457">
        <f t="shared" si="619"/>
        <v>14824</v>
      </c>
      <c r="M185" s="457">
        <v>0</v>
      </c>
      <c r="N185" s="458">
        <f t="shared" si="620"/>
        <v>3.1029</v>
      </c>
      <c r="O185" s="459">
        <v>3.1029</v>
      </c>
      <c r="P185" s="468">
        <v>0</v>
      </c>
      <c r="Q185" s="470">
        <f t="shared" si="621"/>
        <v>0</v>
      </c>
      <c r="R185" s="460">
        <v>0</v>
      </c>
      <c r="S185" s="673">
        <v>0</v>
      </c>
      <c r="T185" s="460">
        <v>0</v>
      </c>
      <c r="U185" s="460">
        <v>0</v>
      </c>
      <c r="V185" s="460">
        <f t="shared" si="622"/>
        <v>0</v>
      </c>
      <c r="W185" s="460">
        <v>0</v>
      </c>
      <c r="X185" s="460">
        <v>0</v>
      </c>
      <c r="Y185" s="460">
        <v>0</v>
      </c>
      <c r="Z185" s="460">
        <f t="shared" si="623"/>
        <v>0</v>
      </c>
      <c r="AA185" s="460">
        <f t="shared" si="624"/>
        <v>0</v>
      </c>
      <c r="AB185" s="69">
        <f t="shared" si="625"/>
        <v>0</v>
      </c>
      <c r="AC185" s="69">
        <f t="shared" si="626"/>
        <v>0</v>
      </c>
      <c r="AD185" s="460">
        <v>0</v>
      </c>
      <c r="AE185" s="460">
        <v>0</v>
      </c>
      <c r="AF185" s="460">
        <f t="shared" si="627"/>
        <v>0</v>
      </c>
      <c r="AG185" s="460">
        <f t="shared" si="628"/>
        <v>0</v>
      </c>
      <c r="AH185" s="461">
        <v>0</v>
      </c>
      <c r="AI185" s="461">
        <v>0</v>
      </c>
      <c r="AJ185" s="461">
        <v>0</v>
      </c>
      <c r="AK185" s="461">
        <v>0</v>
      </c>
      <c r="AL185" s="674">
        <v>0</v>
      </c>
      <c r="AM185" s="461">
        <v>0</v>
      </c>
      <c r="AN185" s="461">
        <v>0</v>
      </c>
      <c r="AO185" s="461">
        <v>0</v>
      </c>
      <c r="AP185" s="461">
        <f t="shared" si="629"/>
        <v>0</v>
      </c>
      <c r="AQ185" s="461">
        <f t="shared" si="630"/>
        <v>0</v>
      </c>
      <c r="AR185" s="463">
        <f t="shared" si="631"/>
        <v>0</v>
      </c>
      <c r="AS185" s="469">
        <f t="shared" si="632"/>
        <v>1998282</v>
      </c>
      <c r="AT185" s="460">
        <f t="shared" si="633"/>
        <v>1482405</v>
      </c>
      <c r="AU185" s="460">
        <f t="shared" si="634"/>
        <v>0</v>
      </c>
      <c r="AV185" s="460">
        <f t="shared" si="635"/>
        <v>501053</v>
      </c>
      <c r="AW185" s="460">
        <f t="shared" si="635"/>
        <v>14824</v>
      </c>
      <c r="AX185" s="460">
        <f t="shared" si="636"/>
        <v>0</v>
      </c>
      <c r="AY185" s="461">
        <f t="shared" si="637"/>
        <v>3.1029</v>
      </c>
      <c r="AZ185" s="461">
        <f t="shared" si="638"/>
        <v>3.1029</v>
      </c>
      <c r="BA185" s="463">
        <f t="shared" si="638"/>
        <v>0</v>
      </c>
    </row>
    <row r="186" spans="1:53" s="229" customFormat="1" ht="13.5" customHeight="1" x14ac:dyDescent="0.2">
      <c r="A186" s="231">
        <v>38</v>
      </c>
      <c r="B186" s="232">
        <v>3435</v>
      </c>
      <c r="C186" s="232">
        <v>650022131</v>
      </c>
      <c r="D186" s="232">
        <v>70981531</v>
      </c>
      <c r="E186" s="233" t="s">
        <v>84</v>
      </c>
      <c r="F186" s="232">
        <v>3143</v>
      </c>
      <c r="G186" s="233" t="s">
        <v>617</v>
      </c>
      <c r="H186" s="264" t="s">
        <v>278</v>
      </c>
      <c r="I186" s="457">
        <f t="shared" si="617"/>
        <v>72567</v>
      </c>
      <c r="J186" s="457">
        <v>51850</v>
      </c>
      <c r="K186" s="457">
        <f t="shared" si="618"/>
        <v>17525</v>
      </c>
      <c r="L186" s="457">
        <f t="shared" si="619"/>
        <v>519</v>
      </c>
      <c r="M186" s="457">
        <v>2673</v>
      </c>
      <c r="N186" s="458">
        <f t="shared" si="620"/>
        <v>0.21</v>
      </c>
      <c r="O186" s="459">
        <v>0</v>
      </c>
      <c r="P186" s="468">
        <v>0.21</v>
      </c>
      <c r="Q186" s="470">
        <f t="shared" si="621"/>
        <v>0</v>
      </c>
      <c r="R186" s="460">
        <v>0</v>
      </c>
      <c r="S186" s="673">
        <v>0</v>
      </c>
      <c r="T186" s="460">
        <v>0</v>
      </c>
      <c r="U186" s="460">
        <v>0</v>
      </c>
      <c r="V186" s="460">
        <f t="shared" si="622"/>
        <v>0</v>
      </c>
      <c r="W186" s="460">
        <v>0</v>
      </c>
      <c r="X186" s="460">
        <v>0</v>
      </c>
      <c r="Y186" s="460">
        <v>0</v>
      </c>
      <c r="Z186" s="460">
        <f t="shared" si="623"/>
        <v>0</v>
      </c>
      <c r="AA186" s="460">
        <f t="shared" si="624"/>
        <v>0</v>
      </c>
      <c r="AB186" s="69">
        <f t="shared" si="625"/>
        <v>0</v>
      </c>
      <c r="AC186" s="69">
        <f t="shared" si="626"/>
        <v>0</v>
      </c>
      <c r="AD186" s="460">
        <v>0</v>
      </c>
      <c r="AE186" s="460">
        <v>0</v>
      </c>
      <c r="AF186" s="460">
        <f t="shared" si="627"/>
        <v>0</v>
      </c>
      <c r="AG186" s="460">
        <f t="shared" si="628"/>
        <v>0</v>
      </c>
      <c r="AH186" s="461">
        <v>0</v>
      </c>
      <c r="AI186" s="461">
        <v>0</v>
      </c>
      <c r="AJ186" s="461">
        <v>0</v>
      </c>
      <c r="AK186" s="461">
        <v>0</v>
      </c>
      <c r="AL186" s="674">
        <v>0</v>
      </c>
      <c r="AM186" s="461">
        <v>0</v>
      </c>
      <c r="AN186" s="461">
        <v>0</v>
      </c>
      <c r="AO186" s="461">
        <v>0</v>
      </c>
      <c r="AP186" s="461">
        <f t="shared" si="629"/>
        <v>0</v>
      </c>
      <c r="AQ186" s="461">
        <f t="shared" si="630"/>
        <v>0</v>
      </c>
      <c r="AR186" s="463">
        <f t="shared" si="631"/>
        <v>0</v>
      </c>
      <c r="AS186" s="469">
        <f t="shared" si="632"/>
        <v>72567</v>
      </c>
      <c r="AT186" s="460">
        <f t="shared" si="633"/>
        <v>51850</v>
      </c>
      <c r="AU186" s="460">
        <f t="shared" si="634"/>
        <v>0</v>
      </c>
      <c r="AV186" s="460">
        <f t="shared" si="635"/>
        <v>17525</v>
      </c>
      <c r="AW186" s="460">
        <f t="shared" si="635"/>
        <v>519</v>
      </c>
      <c r="AX186" s="460">
        <f t="shared" si="636"/>
        <v>2673</v>
      </c>
      <c r="AY186" s="461">
        <f t="shared" si="637"/>
        <v>0.21</v>
      </c>
      <c r="AZ186" s="461">
        <f t="shared" si="638"/>
        <v>0</v>
      </c>
      <c r="BA186" s="463">
        <f t="shared" si="638"/>
        <v>0.21</v>
      </c>
    </row>
    <row r="187" spans="1:53" s="229" customFormat="1" ht="12.75" customHeight="1" thickBot="1" x14ac:dyDescent="0.25">
      <c r="A187" s="159">
        <v>38</v>
      </c>
      <c r="B187" s="160">
        <v>3435</v>
      </c>
      <c r="C187" s="161">
        <v>650022131</v>
      </c>
      <c r="D187" s="161">
        <v>70981531</v>
      </c>
      <c r="E187" s="235" t="s">
        <v>85</v>
      </c>
      <c r="F187" s="160"/>
      <c r="G187" s="235"/>
      <c r="H187" s="265"/>
      <c r="I187" s="465">
        <f t="shared" ref="I187:P187" si="639">SUM(I181:I186)</f>
        <v>38514215</v>
      </c>
      <c r="J187" s="465">
        <f t="shared" si="639"/>
        <v>28185138</v>
      </c>
      <c r="K187" s="465">
        <f t="shared" si="639"/>
        <v>9526577</v>
      </c>
      <c r="L187" s="465">
        <f t="shared" si="639"/>
        <v>281852</v>
      </c>
      <c r="M187" s="465">
        <f t="shared" si="639"/>
        <v>520648</v>
      </c>
      <c r="N187" s="428">
        <f t="shared" si="639"/>
        <v>55.683</v>
      </c>
      <c r="O187" s="428">
        <f t="shared" si="639"/>
        <v>38.603000000000002</v>
      </c>
      <c r="P187" s="428">
        <f t="shared" si="639"/>
        <v>17.079999999999998</v>
      </c>
      <c r="Q187" s="624">
        <f t="shared" ref="Q187:BA187" si="640">SUM(Q181:Q186)</f>
        <v>-13000</v>
      </c>
      <c r="R187" s="625">
        <f t="shared" si="640"/>
        <v>3998264</v>
      </c>
      <c r="S187" s="625">
        <f t="shared" si="640"/>
        <v>0</v>
      </c>
      <c r="T187" s="625">
        <f t="shared" si="640"/>
        <v>0</v>
      </c>
      <c r="U187" s="625">
        <f t="shared" si="640"/>
        <v>0</v>
      </c>
      <c r="V187" s="625">
        <f t="shared" si="640"/>
        <v>3985264</v>
      </c>
      <c r="W187" s="625">
        <f t="shared" si="640"/>
        <v>13000</v>
      </c>
      <c r="X187" s="625">
        <f t="shared" si="640"/>
        <v>0</v>
      </c>
      <c r="Y187" s="625">
        <f t="shared" si="640"/>
        <v>0</v>
      </c>
      <c r="Z187" s="625">
        <f t="shared" si="640"/>
        <v>13000</v>
      </c>
      <c r="AA187" s="625">
        <f t="shared" si="640"/>
        <v>3998264</v>
      </c>
      <c r="AB187" s="625">
        <f t="shared" si="640"/>
        <v>1351413</v>
      </c>
      <c r="AC187" s="625">
        <f t="shared" si="640"/>
        <v>39853</v>
      </c>
      <c r="AD187" s="625">
        <f t="shared" si="640"/>
        <v>4500</v>
      </c>
      <c r="AE187" s="625">
        <f t="shared" si="640"/>
        <v>0</v>
      </c>
      <c r="AF187" s="625">
        <f t="shared" si="640"/>
        <v>4500</v>
      </c>
      <c r="AG187" s="625">
        <f t="shared" si="640"/>
        <v>5394030</v>
      </c>
      <c r="AH187" s="626">
        <f t="shared" si="640"/>
        <v>-0.02</v>
      </c>
      <c r="AI187" s="626">
        <f t="shared" si="640"/>
        <v>0</v>
      </c>
      <c r="AJ187" s="626">
        <f t="shared" si="640"/>
        <v>11.340000000000002</v>
      </c>
      <c r="AK187" s="626">
        <f t="shared" si="640"/>
        <v>0</v>
      </c>
      <c r="AL187" s="626">
        <f t="shared" si="640"/>
        <v>0</v>
      </c>
      <c r="AM187" s="626">
        <f t="shared" si="640"/>
        <v>0</v>
      </c>
      <c r="AN187" s="626">
        <f t="shared" si="640"/>
        <v>0</v>
      </c>
      <c r="AO187" s="626">
        <f t="shared" si="640"/>
        <v>0</v>
      </c>
      <c r="AP187" s="626">
        <f t="shared" si="640"/>
        <v>11.320000000000002</v>
      </c>
      <c r="AQ187" s="626">
        <f t="shared" si="640"/>
        <v>0</v>
      </c>
      <c r="AR187" s="627">
        <f t="shared" si="640"/>
        <v>11.320000000000002</v>
      </c>
      <c r="AS187" s="619">
        <f t="shared" si="640"/>
        <v>43908245</v>
      </c>
      <c r="AT187" s="465">
        <f t="shared" si="640"/>
        <v>32170402</v>
      </c>
      <c r="AU187" s="465">
        <f t="shared" si="640"/>
        <v>13000</v>
      </c>
      <c r="AV187" s="465">
        <f t="shared" si="640"/>
        <v>10877990</v>
      </c>
      <c r="AW187" s="465">
        <f t="shared" si="640"/>
        <v>321705</v>
      </c>
      <c r="AX187" s="465">
        <f t="shared" si="640"/>
        <v>525148</v>
      </c>
      <c r="AY187" s="428">
        <f t="shared" si="640"/>
        <v>67.003</v>
      </c>
      <c r="AZ187" s="428">
        <f t="shared" si="640"/>
        <v>49.923000000000002</v>
      </c>
      <c r="BA187" s="497">
        <f t="shared" si="640"/>
        <v>17.079999999999998</v>
      </c>
    </row>
    <row r="188" spans="1:53" s="229" customFormat="1" ht="12.75" customHeight="1" thickBot="1" x14ac:dyDescent="0.25">
      <c r="A188" s="236"/>
      <c r="B188" s="237"/>
      <c r="C188" s="237"/>
      <c r="D188" s="237"/>
      <c r="E188" s="86" t="s">
        <v>773</v>
      </c>
      <c r="F188" s="237"/>
      <c r="G188" s="237"/>
      <c r="H188" s="266"/>
      <c r="I188" s="466">
        <f t="shared" ref="I188:BA188" si="641">I13+I16+I19+I23+I26+I29+I33+I36+I40+I44+I48+I52+I55+I59+I63+I67+I71+I75+I80+I86+I92+I98+I104+I110+I116+I122+I128+I134+I136+I144+I151+I155+I160+I164+I171+I174+I180+I187</f>
        <v>619124769</v>
      </c>
      <c r="J188" s="466">
        <f t="shared" si="641"/>
        <v>453615669</v>
      </c>
      <c r="K188" s="466">
        <f t="shared" si="641"/>
        <v>153322101</v>
      </c>
      <c r="L188" s="466">
        <f t="shared" si="641"/>
        <v>4536161</v>
      </c>
      <c r="M188" s="466">
        <f t="shared" si="641"/>
        <v>7650838</v>
      </c>
      <c r="N188" s="423">
        <f t="shared" si="641"/>
        <v>885.74749999999995</v>
      </c>
      <c r="O188" s="423">
        <f t="shared" si="641"/>
        <v>611.07619999999997</v>
      </c>
      <c r="P188" s="423">
        <f t="shared" si="641"/>
        <v>274.37129999999996</v>
      </c>
      <c r="Q188" s="498">
        <f t="shared" si="641"/>
        <v>-802815</v>
      </c>
      <c r="R188" s="466">
        <f t="shared" si="641"/>
        <v>35912038</v>
      </c>
      <c r="S188" s="466">
        <f t="shared" si="641"/>
        <v>0</v>
      </c>
      <c r="T188" s="466">
        <f t="shared" si="641"/>
        <v>280871</v>
      </c>
      <c r="U188" s="466">
        <f t="shared" si="641"/>
        <v>0</v>
      </c>
      <c r="V188" s="466">
        <f t="shared" si="641"/>
        <v>35390094</v>
      </c>
      <c r="W188" s="466">
        <f t="shared" si="641"/>
        <v>802815</v>
      </c>
      <c r="X188" s="466">
        <f t="shared" si="641"/>
        <v>0</v>
      </c>
      <c r="Y188" s="466">
        <f t="shared" si="641"/>
        <v>459194</v>
      </c>
      <c r="Z188" s="466">
        <f t="shared" si="641"/>
        <v>1262009</v>
      </c>
      <c r="AA188" s="466">
        <f t="shared" si="641"/>
        <v>36652103</v>
      </c>
      <c r="AB188" s="466">
        <f t="shared" si="641"/>
        <v>12233204</v>
      </c>
      <c r="AC188" s="466">
        <f t="shared" si="641"/>
        <v>353896</v>
      </c>
      <c r="AD188" s="466">
        <f t="shared" si="641"/>
        <v>9000</v>
      </c>
      <c r="AE188" s="466">
        <f t="shared" si="641"/>
        <v>0</v>
      </c>
      <c r="AF188" s="466">
        <f t="shared" si="641"/>
        <v>9000</v>
      </c>
      <c r="AG188" s="466">
        <f t="shared" si="641"/>
        <v>49248203</v>
      </c>
      <c r="AH188" s="609">
        <f t="shared" si="641"/>
        <v>-0.33</v>
      </c>
      <c r="AI188" s="609">
        <f t="shared" si="641"/>
        <v>-1.1600000000000001</v>
      </c>
      <c r="AJ188" s="609">
        <f>AJ13+AJ16+AJ19+AJ23+AJ26+AJ29+AJ33+AJ36+AJ40+AJ44+AJ48+AJ52+AJ55+AJ59+AJ63+AJ67+AJ71+AJ75+AJ80+AJ86+AJ92+AJ98+AJ104+AJ110+AJ116+AJ122+AJ128+AJ134+AJ136+AJ144+AJ151+AJ155+AJ160+AJ164+AJ171+AJ174+AJ180+AJ187</f>
        <v>102.57000000000001</v>
      </c>
      <c r="AK188" s="609">
        <f>AK13+AK16+AK19+AK23+AK26+AK29+AK33+AK36+AK40+AK44+AK48+AK52+AK55+AK59+AK63+AK67+AK71+AK75+AK80+AK86+AK92+AK98+AK104+AK110+AK116+AK122+AK128+AK134+AK136+AK144+AK151+AK155+AK160+AK164+AK171+AK174+AK180+AK187</f>
        <v>0</v>
      </c>
      <c r="AL188" s="609">
        <f>AL13+AL16+AL19+AL23+AL26+AL29+AL33+AL36+AL40+AL44+AL48+AL52+AL55+AL59+AL63+AL67+AL71+AL75+AL80+AL86+AL92+AL98+AL104+AL110+AL116+AL122+AL128+AL134+AL136+AL144+AL151+AL155+AL160+AL164+AL171+AL174+AL180+AL187</f>
        <v>0</v>
      </c>
      <c r="AM188" s="609">
        <f t="shared" ref="AM188:AR188" si="642">AM13+AM16+AM19+AM23+AM26+AM29+AM33+AM36+AM40+AM44+AM48+AM52+AM55+AM59+AM63+AM67+AM71+AM75+AM80+AM86+AM92+AM98+AM104+AM110+AM116+AM122+AM128+AM134+AM136+AM144+AM151+AM155+AM160+AM164+AM171+AM174+AM180+AM187</f>
        <v>0.42000000000000004</v>
      </c>
      <c r="AN188" s="609">
        <f t="shared" si="642"/>
        <v>0</v>
      </c>
      <c r="AO188" s="609">
        <f t="shared" si="642"/>
        <v>0</v>
      </c>
      <c r="AP188" s="609">
        <f t="shared" si="642"/>
        <v>102.66000000000001</v>
      </c>
      <c r="AQ188" s="609">
        <f t="shared" si="642"/>
        <v>-1.1600000000000001</v>
      </c>
      <c r="AR188" s="610">
        <f t="shared" si="642"/>
        <v>101.50000000000001</v>
      </c>
      <c r="AS188" s="637">
        <f t="shared" si="641"/>
        <v>668372972</v>
      </c>
      <c r="AT188" s="466">
        <f t="shared" si="641"/>
        <v>489005763</v>
      </c>
      <c r="AU188" s="466">
        <f t="shared" si="641"/>
        <v>1262009</v>
      </c>
      <c r="AV188" s="466">
        <f t="shared" si="641"/>
        <v>165555305</v>
      </c>
      <c r="AW188" s="466">
        <f t="shared" si="641"/>
        <v>4890057</v>
      </c>
      <c r="AX188" s="466">
        <f t="shared" si="641"/>
        <v>7659838</v>
      </c>
      <c r="AY188" s="423">
        <f t="shared" si="641"/>
        <v>987.24749999999972</v>
      </c>
      <c r="AZ188" s="423">
        <f t="shared" si="641"/>
        <v>713.73620000000005</v>
      </c>
      <c r="BA188" s="499">
        <f t="shared" si="641"/>
        <v>273.21129999999994</v>
      </c>
    </row>
    <row r="189" spans="1:53" ht="12.75" customHeight="1" x14ac:dyDescent="0.2">
      <c r="D189" s="9"/>
      <c r="E189" s="5"/>
      <c r="F189" s="9"/>
      <c r="G189" s="5"/>
      <c r="H189" s="5"/>
      <c r="I189" s="474">
        <f>SUM(J188:M188)</f>
        <v>619124769</v>
      </c>
      <c r="J189" s="474"/>
      <c r="K189" s="474"/>
      <c r="L189" s="474"/>
      <c r="M189" s="474"/>
      <c r="N189" s="475">
        <f>SUM(O188:P188)</f>
        <v>885.44749999999999</v>
      </c>
      <c r="O189" s="475"/>
      <c r="P189" s="475"/>
      <c r="Q189" s="474">
        <f>W188</f>
        <v>802815</v>
      </c>
      <c r="R189" s="476"/>
      <c r="S189" s="476"/>
      <c r="T189" s="476"/>
      <c r="U189" s="476"/>
      <c r="V189" s="477">
        <f>SUM(Q188:U188)</f>
        <v>35390094</v>
      </c>
      <c r="W189" s="477">
        <f>Q188</f>
        <v>-802815</v>
      </c>
      <c r="X189" s="478"/>
      <c r="Y189" s="478"/>
      <c r="Z189" s="477">
        <f>SUM(W188:Y188)</f>
        <v>1262009</v>
      </c>
      <c r="AA189" s="477">
        <f>V188+Z188</f>
        <v>36652103</v>
      </c>
      <c r="AB189" s="479"/>
      <c r="AC189" s="479"/>
      <c r="AD189" s="478"/>
      <c r="AE189" s="478"/>
      <c r="AF189" s="477">
        <f>SUM(AD188:AE188)</f>
        <v>9000</v>
      </c>
      <c r="AG189" s="477">
        <f>AA188+AB188+AC188+AF188</f>
        <v>49248203</v>
      </c>
      <c r="AH189" s="611"/>
      <c r="AI189" s="611"/>
      <c r="AJ189" s="611"/>
      <c r="AK189" s="611"/>
      <c r="AL189" s="611"/>
      <c r="AM189" s="611"/>
      <c r="AN189" s="611"/>
      <c r="AO189" s="611"/>
      <c r="AP189" s="636">
        <f>AH188+AJ188+AK188+AM188+AN188</f>
        <v>102.66000000000001</v>
      </c>
      <c r="AQ189" s="636">
        <f>AI188+AL188+AO188</f>
        <v>-1.1600000000000001</v>
      </c>
      <c r="AR189" s="636">
        <f>SUM(AP188:AQ188)</f>
        <v>101.50000000000001</v>
      </c>
      <c r="AS189" s="474">
        <f>SUM(AT188:AX188)</f>
        <v>668372972</v>
      </c>
      <c r="AT189" s="54"/>
      <c r="AU189" s="54"/>
      <c r="AV189" s="54"/>
      <c r="AW189" s="54"/>
      <c r="AX189" s="54"/>
      <c r="AY189" s="475">
        <f>SUM(AZ188:BA188)</f>
        <v>986.94749999999999</v>
      </c>
      <c r="AZ189" s="89"/>
      <c r="BA189" s="89"/>
    </row>
    <row r="190" spans="1:53" ht="12.75" customHeight="1" thickBot="1" x14ac:dyDescent="0.25">
      <c r="D190" s="9"/>
      <c r="E190" s="5"/>
      <c r="F190" s="9"/>
      <c r="G190" s="5"/>
      <c r="H190" s="5"/>
      <c r="I190" s="87">
        <f>SUM(J191:M191)</f>
        <v>619124769</v>
      </c>
      <c r="J190" s="52"/>
      <c r="K190" s="480"/>
      <c r="L190" s="480"/>
      <c r="M190" s="52"/>
      <c r="N190" s="88">
        <f>SUM(O191:P191)</f>
        <v>885.44749999999988</v>
      </c>
      <c r="O190" s="179"/>
      <c r="P190" s="179"/>
      <c r="Q190" s="475"/>
      <c r="R190" s="475"/>
      <c r="S190" s="475"/>
      <c r="T190" s="475"/>
      <c r="U190" s="475"/>
      <c r="V190" s="481">
        <f>SUM(Q191:U191)</f>
        <v>35390094</v>
      </c>
      <c r="W190" s="482"/>
      <c r="X190" s="482"/>
      <c r="Y190" s="482"/>
      <c r="Z190" s="481">
        <f>SUM(W191:Y191)</f>
        <v>1262009</v>
      </c>
      <c r="AA190" s="481">
        <f>V191+Z191</f>
        <v>36652103</v>
      </c>
      <c r="AB190" s="483"/>
      <c r="AC190" s="483"/>
      <c r="AD190" s="482"/>
      <c r="AE190" s="482"/>
      <c r="AF190" s="481">
        <f>SUM(AD191:AE191)</f>
        <v>9000</v>
      </c>
      <c r="AG190" s="481">
        <f>AA191+AB191+AC191+AF191</f>
        <v>49248203</v>
      </c>
      <c r="AH190" s="612"/>
      <c r="AI190" s="612"/>
      <c r="AJ190" s="612"/>
      <c r="AK190" s="612"/>
      <c r="AL190" s="612"/>
      <c r="AM190" s="612"/>
      <c r="AN190" s="612"/>
      <c r="AO190" s="612"/>
      <c r="AP190" s="606">
        <f>AH191+AJ191+AK191+AM191+AN191</f>
        <v>102.66000000000001</v>
      </c>
      <c r="AQ190" s="606">
        <f>AI191+AL191+AO191</f>
        <v>-1.1599999999999999</v>
      </c>
      <c r="AR190" s="606">
        <f>SUM(AP191:AQ191)</f>
        <v>101.5</v>
      </c>
      <c r="AS190" s="474">
        <f>SUM(AT191:AX191)</f>
        <v>668372972</v>
      </c>
      <c r="AT190" s="54"/>
      <c r="AU190" s="54"/>
      <c r="AV190" s="54"/>
      <c r="AW190" s="54"/>
      <c r="AX190" s="54"/>
      <c r="AY190" s="475">
        <f>SUM(AZ191:BA191)</f>
        <v>986.94749999999999</v>
      </c>
      <c r="AZ190" s="89"/>
      <c r="BA190" s="89"/>
    </row>
    <row r="191" spans="1:53" ht="12.75" customHeight="1" thickBot="1" x14ac:dyDescent="0.25">
      <c r="D191" s="9"/>
      <c r="E191" s="5"/>
      <c r="F191" s="9"/>
      <c r="G191" s="5"/>
      <c r="H191" s="493" t="s">
        <v>0</v>
      </c>
      <c r="I191" s="142">
        <f t="shared" ref="I191:BA191" si="643">SUM(I192:I201)</f>
        <v>619124769</v>
      </c>
      <c r="J191" s="34">
        <f t="shared" si="643"/>
        <v>453615669</v>
      </c>
      <c r="K191" s="34">
        <f t="shared" si="643"/>
        <v>153322101</v>
      </c>
      <c r="L191" s="34">
        <f t="shared" si="643"/>
        <v>4536161</v>
      </c>
      <c r="M191" s="34">
        <f t="shared" si="643"/>
        <v>7650838</v>
      </c>
      <c r="N191" s="35">
        <f t="shared" si="643"/>
        <v>885.74749999999983</v>
      </c>
      <c r="O191" s="35">
        <f t="shared" si="643"/>
        <v>611.07619999999986</v>
      </c>
      <c r="P191" s="151">
        <f t="shared" si="643"/>
        <v>274.37130000000002</v>
      </c>
      <c r="Q191" s="142">
        <f t="shared" si="643"/>
        <v>-802815</v>
      </c>
      <c r="R191" s="34">
        <f t="shared" si="643"/>
        <v>35912038</v>
      </c>
      <c r="S191" s="34">
        <f t="shared" si="643"/>
        <v>0</v>
      </c>
      <c r="T191" s="34">
        <f t="shared" si="643"/>
        <v>280871</v>
      </c>
      <c r="U191" s="34">
        <f t="shared" si="643"/>
        <v>0</v>
      </c>
      <c r="V191" s="34">
        <f t="shared" si="643"/>
        <v>35390094</v>
      </c>
      <c r="W191" s="34">
        <f t="shared" si="643"/>
        <v>802815</v>
      </c>
      <c r="X191" s="34">
        <f t="shared" si="643"/>
        <v>0</v>
      </c>
      <c r="Y191" s="34">
        <f t="shared" si="643"/>
        <v>459194</v>
      </c>
      <c r="Z191" s="34">
        <f t="shared" si="643"/>
        <v>1262009</v>
      </c>
      <c r="AA191" s="34">
        <f t="shared" si="643"/>
        <v>36652103</v>
      </c>
      <c r="AB191" s="34">
        <f t="shared" si="643"/>
        <v>12233204</v>
      </c>
      <c r="AC191" s="34">
        <f t="shared" si="643"/>
        <v>353896</v>
      </c>
      <c r="AD191" s="34">
        <f t="shared" si="643"/>
        <v>9000</v>
      </c>
      <c r="AE191" s="34">
        <f t="shared" si="643"/>
        <v>0</v>
      </c>
      <c r="AF191" s="34">
        <f t="shared" si="643"/>
        <v>9000</v>
      </c>
      <c r="AG191" s="34">
        <f t="shared" si="643"/>
        <v>49248203</v>
      </c>
      <c r="AH191" s="613">
        <f t="shared" si="643"/>
        <v>-0.32999999999999996</v>
      </c>
      <c r="AI191" s="613">
        <f t="shared" si="643"/>
        <v>-1.1599999999999999</v>
      </c>
      <c r="AJ191" s="613">
        <f t="shared" si="643"/>
        <v>102.57000000000001</v>
      </c>
      <c r="AK191" s="613">
        <f t="shared" si="643"/>
        <v>0</v>
      </c>
      <c r="AL191" s="613">
        <f t="shared" si="643"/>
        <v>0</v>
      </c>
      <c r="AM191" s="613">
        <f t="shared" si="643"/>
        <v>0.42000000000000004</v>
      </c>
      <c r="AN191" s="613">
        <f t="shared" si="643"/>
        <v>0</v>
      </c>
      <c r="AO191" s="613">
        <f t="shared" si="643"/>
        <v>0</v>
      </c>
      <c r="AP191" s="613">
        <f t="shared" si="643"/>
        <v>102.66</v>
      </c>
      <c r="AQ191" s="613">
        <f t="shared" si="643"/>
        <v>-1.1599999999999999</v>
      </c>
      <c r="AR191" s="638">
        <f t="shared" si="643"/>
        <v>101.50000000000001</v>
      </c>
      <c r="AS191" s="142">
        <f t="shared" si="643"/>
        <v>668372972</v>
      </c>
      <c r="AT191" s="34">
        <f t="shared" si="643"/>
        <v>489005763</v>
      </c>
      <c r="AU191" s="34">
        <f t="shared" si="643"/>
        <v>1262009</v>
      </c>
      <c r="AV191" s="34">
        <f t="shared" si="643"/>
        <v>165555305</v>
      </c>
      <c r="AW191" s="34">
        <f t="shared" si="643"/>
        <v>4890057</v>
      </c>
      <c r="AX191" s="34">
        <f t="shared" si="643"/>
        <v>7659838</v>
      </c>
      <c r="AY191" s="35">
        <f t="shared" si="643"/>
        <v>987.24750000000006</v>
      </c>
      <c r="AZ191" s="35">
        <f t="shared" si="643"/>
        <v>713.73619999999994</v>
      </c>
      <c r="BA191" s="36">
        <f t="shared" si="643"/>
        <v>273.21130000000005</v>
      </c>
    </row>
    <row r="192" spans="1:53" ht="12.75" customHeight="1" x14ac:dyDescent="0.2">
      <c r="D192" s="9"/>
      <c r="E192" s="5"/>
      <c r="F192" s="9"/>
      <c r="G192" s="5"/>
      <c r="H192" s="494">
        <v>3111</v>
      </c>
      <c r="I192" s="580">
        <f t="shared" ref="I192:BA192" si="644">SUMIF($F$12:$F$464,"=3111",I$12:I$464)</f>
        <v>162809129</v>
      </c>
      <c r="J192" s="581">
        <f t="shared" si="644"/>
        <v>120146266</v>
      </c>
      <c r="K192" s="581">
        <f t="shared" si="644"/>
        <v>40609440</v>
      </c>
      <c r="L192" s="581">
        <f t="shared" si="644"/>
        <v>1201463</v>
      </c>
      <c r="M192" s="581">
        <f t="shared" si="644"/>
        <v>851960</v>
      </c>
      <c r="N192" s="584">
        <f t="shared" si="644"/>
        <v>250.41670000000002</v>
      </c>
      <c r="O192" s="584">
        <f t="shared" si="644"/>
        <v>194.97669999999999</v>
      </c>
      <c r="P192" s="585">
        <f t="shared" si="644"/>
        <v>55.44</v>
      </c>
      <c r="Q192" s="580">
        <f t="shared" si="644"/>
        <v>-345085</v>
      </c>
      <c r="R192" s="581">
        <f t="shared" si="644"/>
        <v>5061540</v>
      </c>
      <c r="S192" s="581">
        <f t="shared" si="644"/>
        <v>0</v>
      </c>
      <c r="T192" s="581">
        <f t="shared" si="644"/>
        <v>0</v>
      </c>
      <c r="U192" s="581">
        <f t="shared" si="644"/>
        <v>0</v>
      </c>
      <c r="V192" s="581">
        <f t="shared" si="644"/>
        <v>4716455</v>
      </c>
      <c r="W192" s="581">
        <f t="shared" si="644"/>
        <v>345085</v>
      </c>
      <c r="X192" s="581">
        <f t="shared" si="644"/>
        <v>0</v>
      </c>
      <c r="Y192" s="581">
        <f t="shared" si="644"/>
        <v>317486</v>
      </c>
      <c r="Z192" s="581">
        <f t="shared" si="644"/>
        <v>662571</v>
      </c>
      <c r="AA192" s="581">
        <f t="shared" si="644"/>
        <v>5379026</v>
      </c>
      <c r="AB192" s="581">
        <f t="shared" si="644"/>
        <v>1710799</v>
      </c>
      <c r="AC192" s="581">
        <f t="shared" si="644"/>
        <v>47163</v>
      </c>
      <c r="AD192" s="581">
        <f t="shared" si="644"/>
        <v>0</v>
      </c>
      <c r="AE192" s="581">
        <f t="shared" si="644"/>
        <v>0</v>
      </c>
      <c r="AF192" s="581">
        <f t="shared" si="644"/>
        <v>0</v>
      </c>
      <c r="AG192" s="581">
        <f t="shared" si="644"/>
        <v>7136988</v>
      </c>
      <c r="AH192" s="614">
        <f t="shared" si="644"/>
        <v>-0.11</v>
      </c>
      <c r="AI192" s="614">
        <f t="shared" si="644"/>
        <v>-0.8899999999999999</v>
      </c>
      <c r="AJ192" s="614">
        <f t="shared" si="644"/>
        <v>14.91</v>
      </c>
      <c r="AK192" s="614">
        <f t="shared" si="644"/>
        <v>0</v>
      </c>
      <c r="AL192" s="614">
        <f t="shared" si="644"/>
        <v>0</v>
      </c>
      <c r="AM192" s="614">
        <f t="shared" si="644"/>
        <v>0</v>
      </c>
      <c r="AN192" s="614">
        <f t="shared" si="644"/>
        <v>0</v>
      </c>
      <c r="AO192" s="614">
        <f t="shared" si="644"/>
        <v>0</v>
      </c>
      <c r="AP192" s="614">
        <f t="shared" si="644"/>
        <v>14.799999999999999</v>
      </c>
      <c r="AQ192" s="614">
        <f t="shared" si="644"/>
        <v>-0.8899999999999999</v>
      </c>
      <c r="AR192" s="639">
        <f t="shared" si="644"/>
        <v>13.91</v>
      </c>
      <c r="AS192" s="580">
        <f t="shared" si="644"/>
        <v>169946117</v>
      </c>
      <c r="AT192" s="581">
        <f t="shared" si="644"/>
        <v>124862721</v>
      </c>
      <c r="AU192" s="581">
        <f t="shared" si="644"/>
        <v>662571</v>
      </c>
      <c r="AV192" s="581">
        <f t="shared" si="644"/>
        <v>42320239</v>
      </c>
      <c r="AW192" s="581">
        <f t="shared" si="644"/>
        <v>1248626</v>
      </c>
      <c r="AX192" s="581">
        <f t="shared" si="644"/>
        <v>851960</v>
      </c>
      <c r="AY192" s="584">
        <f t="shared" si="644"/>
        <v>264.32670000000007</v>
      </c>
      <c r="AZ192" s="584">
        <f t="shared" si="644"/>
        <v>209.77669999999998</v>
      </c>
      <c r="BA192" s="587">
        <f t="shared" si="644"/>
        <v>54.550000000000011</v>
      </c>
    </row>
    <row r="193" spans="4:53" ht="12.75" customHeight="1" x14ac:dyDescent="0.2">
      <c r="D193" s="9"/>
      <c r="E193" s="5"/>
      <c r="F193" s="9"/>
      <c r="G193" s="5"/>
      <c r="H193" s="2">
        <v>3113</v>
      </c>
      <c r="I193" s="170">
        <f t="shared" ref="I193:BA193" si="645">SUMIF($F$12:$F$464,"=3113",I$12:I$464)</f>
        <v>324866531</v>
      </c>
      <c r="J193" s="16">
        <f t="shared" si="645"/>
        <v>236414060</v>
      </c>
      <c r="K193" s="16">
        <f t="shared" si="645"/>
        <v>79907954</v>
      </c>
      <c r="L193" s="16">
        <f t="shared" si="645"/>
        <v>2364142</v>
      </c>
      <c r="M193" s="16">
        <f t="shared" si="645"/>
        <v>6180375</v>
      </c>
      <c r="N193" s="13">
        <f t="shared" si="645"/>
        <v>397.1810999999999</v>
      </c>
      <c r="O193" s="13">
        <f t="shared" si="645"/>
        <v>315.54779999999994</v>
      </c>
      <c r="P193" s="172">
        <f t="shared" si="645"/>
        <v>81.633300000000006</v>
      </c>
      <c r="Q193" s="170">
        <f t="shared" si="645"/>
        <v>-317980</v>
      </c>
      <c r="R193" s="16">
        <f t="shared" si="645"/>
        <v>29354964</v>
      </c>
      <c r="S193" s="16">
        <f t="shared" si="645"/>
        <v>0</v>
      </c>
      <c r="T193" s="16">
        <f t="shared" si="645"/>
        <v>280871</v>
      </c>
      <c r="U193" s="16">
        <f t="shared" si="645"/>
        <v>0</v>
      </c>
      <c r="V193" s="16">
        <f t="shared" si="645"/>
        <v>29317855</v>
      </c>
      <c r="W193" s="16">
        <f t="shared" si="645"/>
        <v>317980</v>
      </c>
      <c r="X193" s="16">
        <f t="shared" si="645"/>
        <v>0</v>
      </c>
      <c r="Y193" s="16">
        <f t="shared" si="645"/>
        <v>0</v>
      </c>
      <c r="Z193" s="16">
        <f t="shared" si="645"/>
        <v>317980</v>
      </c>
      <c r="AA193" s="16">
        <f t="shared" si="645"/>
        <v>29635835</v>
      </c>
      <c r="AB193" s="16">
        <f t="shared" si="645"/>
        <v>10016914</v>
      </c>
      <c r="AC193" s="16">
        <f t="shared" si="645"/>
        <v>293177</v>
      </c>
      <c r="AD193" s="16">
        <f t="shared" si="645"/>
        <v>9000</v>
      </c>
      <c r="AE193" s="16">
        <f t="shared" si="645"/>
        <v>0</v>
      </c>
      <c r="AF193" s="16">
        <f t="shared" si="645"/>
        <v>9000</v>
      </c>
      <c r="AG193" s="16">
        <f t="shared" si="645"/>
        <v>39954926</v>
      </c>
      <c r="AH193" s="615">
        <f t="shared" si="645"/>
        <v>-0.18999999999999997</v>
      </c>
      <c r="AI193" s="615">
        <f t="shared" si="645"/>
        <v>-0.27</v>
      </c>
      <c r="AJ193" s="615">
        <f t="shared" si="645"/>
        <v>83.360000000000014</v>
      </c>
      <c r="AK193" s="615">
        <f t="shared" si="645"/>
        <v>0</v>
      </c>
      <c r="AL193" s="615">
        <f t="shared" si="645"/>
        <v>0</v>
      </c>
      <c r="AM193" s="615">
        <f t="shared" si="645"/>
        <v>0.42000000000000004</v>
      </c>
      <c r="AN193" s="615">
        <f t="shared" si="645"/>
        <v>0</v>
      </c>
      <c r="AO193" s="615">
        <f t="shared" si="645"/>
        <v>0</v>
      </c>
      <c r="AP193" s="615">
        <f t="shared" si="645"/>
        <v>83.59</v>
      </c>
      <c r="AQ193" s="615">
        <f t="shared" si="645"/>
        <v>-0.27</v>
      </c>
      <c r="AR193" s="640">
        <f t="shared" si="645"/>
        <v>83.320000000000022</v>
      </c>
      <c r="AS193" s="170">
        <f t="shared" si="645"/>
        <v>364821457</v>
      </c>
      <c r="AT193" s="16">
        <f t="shared" si="645"/>
        <v>265731915</v>
      </c>
      <c r="AU193" s="16">
        <f t="shared" si="645"/>
        <v>317980</v>
      </c>
      <c r="AV193" s="16">
        <f t="shared" si="645"/>
        <v>89924868</v>
      </c>
      <c r="AW193" s="16">
        <f t="shared" si="645"/>
        <v>2657319</v>
      </c>
      <c r="AX193" s="16">
        <f t="shared" si="645"/>
        <v>6189375</v>
      </c>
      <c r="AY193" s="13">
        <f t="shared" si="645"/>
        <v>480.50109999999995</v>
      </c>
      <c r="AZ193" s="13">
        <f t="shared" si="645"/>
        <v>399.13779999999997</v>
      </c>
      <c r="BA193" s="17">
        <f t="shared" si="645"/>
        <v>81.36330000000001</v>
      </c>
    </row>
    <row r="194" spans="4:53" ht="12.75" customHeight="1" x14ac:dyDescent="0.2">
      <c r="D194" s="9"/>
      <c r="E194" s="5"/>
      <c r="F194" s="9"/>
      <c r="G194" s="5"/>
      <c r="H194" s="2">
        <v>3114</v>
      </c>
      <c r="I194" s="170">
        <f t="shared" ref="I194:BA194" si="646">SUMIF($F$12:$F$464,"=3114",I$12:I$464)</f>
        <v>0</v>
      </c>
      <c r="J194" s="16">
        <f t="shared" si="646"/>
        <v>0</v>
      </c>
      <c r="K194" s="16">
        <f t="shared" si="646"/>
        <v>0</v>
      </c>
      <c r="L194" s="16">
        <f t="shared" si="646"/>
        <v>0</v>
      </c>
      <c r="M194" s="16">
        <f t="shared" si="646"/>
        <v>0</v>
      </c>
      <c r="N194" s="13">
        <f t="shared" si="646"/>
        <v>0</v>
      </c>
      <c r="O194" s="13">
        <f t="shared" si="646"/>
        <v>0</v>
      </c>
      <c r="P194" s="172">
        <f t="shared" si="646"/>
        <v>0</v>
      </c>
      <c r="Q194" s="170">
        <f t="shared" si="646"/>
        <v>0</v>
      </c>
      <c r="R194" s="16">
        <f t="shared" si="646"/>
        <v>0</v>
      </c>
      <c r="S194" s="16">
        <f t="shared" si="646"/>
        <v>0</v>
      </c>
      <c r="T194" s="16">
        <f t="shared" si="646"/>
        <v>0</v>
      </c>
      <c r="U194" s="16">
        <f t="shared" si="646"/>
        <v>0</v>
      </c>
      <c r="V194" s="16">
        <f t="shared" si="646"/>
        <v>0</v>
      </c>
      <c r="W194" s="16">
        <f t="shared" si="646"/>
        <v>0</v>
      </c>
      <c r="X194" s="16">
        <f t="shared" si="646"/>
        <v>0</v>
      </c>
      <c r="Y194" s="16">
        <f t="shared" si="646"/>
        <v>0</v>
      </c>
      <c r="Z194" s="16">
        <f t="shared" si="646"/>
        <v>0</v>
      </c>
      <c r="AA194" s="16">
        <f t="shared" si="646"/>
        <v>0</v>
      </c>
      <c r="AB194" s="16">
        <f t="shared" si="646"/>
        <v>0</v>
      </c>
      <c r="AC194" s="16">
        <f t="shared" si="646"/>
        <v>0</v>
      </c>
      <c r="AD194" s="16">
        <f t="shared" si="646"/>
        <v>0</v>
      </c>
      <c r="AE194" s="16">
        <f t="shared" si="646"/>
        <v>0</v>
      </c>
      <c r="AF194" s="16">
        <f t="shared" si="646"/>
        <v>0</v>
      </c>
      <c r="AG194" s="16">
        <f t="shared" si="646"/>
        <v>0</v>
      </c>
      <c r="AH194" s="615">
        <f t="shared" si="646"/>
        <v>0</v>
      </c>
      <c r="AI194" s="615">
        <f t="shared" si="646"/>
        <v>0</v>
      </c>
      <c r="AJ194" s="615">
        <f t="shared" si="646"/>
        <v>0</v>
      </c>
      <c r="AK194" s="615">
        <f t="shared" si="646"/>
        <v>0</v>
      </c>
      <c r="AL194" s="615">
        <f t="shared" si="646"/>
        <v>0</v>
      </c>
      <c r="AM194" s="615">
        <f t="shared" si="646"/>
        <v>0</v>
      </c>
      <c r="AN194" s="615">
        <f t="shared" si="646"/>
        <v>0</v>
      </c>
      <c r="AO194" s="615">
        <f t="shared" si="646"/>
        <v>0</v>
      </c>
      <c r="AP194" s="615">
        <f t="shared" si="646"/>
        <v>0</v>
      </c>
      <c r="AQ194" s="615">
        <f t="shared" si="646"/>
        <v>0</v>
      </c>
      <c r="AR194" s="640">
        <f t="shared" si="646"/>
        <v>0</v>
      </c>
      <c r="AS194" s="170">
        <f t="shared" si="646"/>
        <v>0</v>
      </c>
      <c r="AT194" s="16">
        <f t="shared" si="646"/>
        <v>0</v>
      </c>
      <c r="AU194" s="16">
        <f t="shared" si="646"/>
        <v>0</v>
      </c>
      <c r="AV194" s="16">
        <f t="shared" si="646"/>
        <v>0</v>
      </c>
      <c r="AW194" s="16">
        <f t="shared" si="646"/>
        <v>0</v>
      </c>
      <c r="AX194" s="16">
        <f t="shared" si="646"/>
        <v>0</v>
      </c>
      <c r="AY194" s="13">
        <f t="shared" si="646"/>
        <v>0</v>
      </c>
      <c r="AZ194" s="13">
        <f t="shared" si="646"/>
        <v>0</v>
      </c>
      <c r="BA194" s="17">
        <f t="shared" si="646"/>
        <v>0</v>
      </c>
    </row>
    <row r="195" spans="4:53" ht="12.75" customHeight="1" x14ac:dyDescent="0.2">
      <c r="D195" s="9"/>
      <c r="E195" s="5"/>
      <c r="F195" s="9"/>
      <c r="G195" s="5"/>
      <c r="H195" s="2">
        <v>3117</v>
      </c>
      <c r="I195" s="170">
        <f t="shared" ref="I195:BA195" si="647">SUMIF($F$12:$F$464,"=3117",I$12:I$464)</f>
        <v>9202638</v>
      </c>
      <c r="J195" s="16">
        <f t="shared" si="647"/>
        <v>6704331</v>
      </c>
      <c r="K195" s="16">
        <f t="shared" si="647"/>
        <v>2266064</v>
      </c>
      <c r="L195" s="16">
        <f t="shared" si="647"/>
        <v>67043</v>
      </c>
      <c r="M195" s="16">
        <f t="shared" si="647"/>
        <v>165200</v>
      </c>
      <c r="N195" s="13">
        <f t="shared" si="647"/>
        <v>12.206</v>
      </c>
      <c r="O195" s="13">
        <f t="shared" si="647"/>
        <v>9.0492999999999988</v>
      </c>
      <c r="P195" s="172">
        <f t="shared" si="647"/>
        <v>3.1566999999999998</v>
      </c>
      <c r="Q195" s="170">
        <f t="shared" si="647"/>
        <v>0</v>
      </c>
      <c r="R195" s="16">
        <f t="shared" si="647"/>
        <v>1495534</v>
      </c>
      <c r="S195" s="16">
        <f t="shared" si="647"/>
        <v>0</v>
      </c>
      <c r="T195" s="16">
        <f t="shared" si="647"/>
        <v>0</v>
      </c>
      <c r="U195" s="16">
        <f t="shared" si="647"/>
        <v>0</v>
      </c>
      <c r="V195" s="16">
        <f t="shared" si="647"/>
        <v>1495534</v>
      </c>
      <c r="W195" s="16">
        <f t="shared" si="647"/>
        <v>0</v>
      </c>
      <c r="X195" s="16">
        <f t="shared" si="647"/>
        <v>0</v>
      </c>
      <c r="Y195" s="16">
        <f t="shared" si="647"/>
        <v>0</v>
      </c>
      <c r="Z195" s="16">
        <f t="shared" si="647"/>
        <v>0</v>
      </c>
      <c r="AA195" s="16">
        <f t="shared" si="647"/>
        <v>1495534</v>
      </c>
      <c r="AB195" s="16">
        <f t="shared" si="647"/>
        <v>505491</v>
      </c>
      <c r="AC195" s="16">
        <f t="shared" si="647"/>
        <v>14955</v>
      </c>
      <c r="AD195" s="16">
        <f t="shared" si="647"/>
        <v>0</v>
      </c>
      <c r="AE195" s="16">
        <f t="shared" si="647"/>
        <v>0</v>
      </c>
      <c r="AF195" s="16">
        <f t="shared" si="647"/>
        <v>0</v>
      </c>
      <c r="AG195" s="16">
        <f t="shared" si="647"/>
        <v>2015980</v>
      </c>
      <c r="AH195" s="615">
        <f t="shared" si="647"/>
        <v>0</v>
      </c>
      <c r="AI195" s="615">
        <f t="shared" si="647"/>
        <v>0</v>
      </c>
      <c r="AJ195" s="615">
        <f t="shared" si="647"/>
        <v>4.3</v>
      </c>
      <c r="AK195" s="615">
        <f t="shared" si="647"/>
        <v>0</v>
      </c>
      <c r="AL195" s="615">
        <f t="shared" si="647"/>
        <v>0</v>
      </c>
      <c r="AM195" s="615">
        <f t="shared" si="647"/>
        <v>0</v>
      </c>
      <c r="AN195" s="615">
        <f t="shared" si="647"/>
        <v>0</v>
      </c>
      <c r="AO195" s="615">
        <f t="shared" si="647"/>
        <v>0</v>
      </c>
      <c r="AP195" s="615">
        <f t="shared" si="647"/>
        <v>4.3</v>
      </c>
      <c r="AQ195" s="615">
        <f t="shared" si="647"/>
        <v>0</v>
      </c>
      <c r="AR195" s="640">
        <f t="shared" si="647"/>
        <v>4.3</v>
      </c>
      <c r="AS195" s="170">
        <f t="shared" si="647"/>
        <v>11218618</v>
      </c>
      <c r="AT195" s="16">
        <f t="shared" si="647"/>
        <v>8199865</v>
      </c>
      <c r="AU195" s="16">
        <f t="shared" si="647"/>
        <v>0</v>
      </c>
      <c r="AV195" s="16">
        <f t="shared" si="647"/>
        <v>2771555</v>
      </c>
      <c r="AW195" s="16">
        <f t="shared" si="647"/>
        <v>81998</v>
      </c>
      <c r="AX195" s="16">
        <f t="shared" si="647"/>
        <v>165200</v>
      </c>
      <c r="AY195" s="13">
        <f t="shared" si="647"/>
        <v>16.506</v>
      </c>
      <c r="AZ195" s="13">
        <f t="shared" si="647"/>
        <v>13.349299999999999</v>
      </c>
      <c r="BA195" s="17">
        <f t="shared" si="647"/>
        <v>3.1566999999999998</v>
      </c>
    </row>
    <row r="196" spans="4:53" ht="13.5" customHeight="1" x14ac:dyDescent="0.2">
      <c r="D196" s="9"/>
      <c r="E196" s="5"/>
      <c r="F196" s="9"/>
      <c r="G196" s="5"/>
      <c r="H196" s="2">
        <v>3122</v>
      </c>
      <c r="I196" s="170">
        <f t="shared" ref="I196:BA196" si="648">SUMIF($F$12:$F$464,"=3122",I$12:I$464)</f>
        <v>0</v>
      </c>
      <c r="J196" s="16">
        <f t="shared" si="648"/>
        <v>0</v>
      </c>
      <c r="K196" s="16">
        <f t="shared" si="648"/>
        <v>0</v>
      </c>
      <c r="L196" s="16">
        <f t="shared" si="648"/>
        <v>0</v>
      </c>
      <c r="M196" s="16">
        <f t="shared" si="648"/>
        <v>0</v>
      </c>
      <c r="N196" s="13">
        <f t="shared" si="648"/>
        <v>0</v>
      </c>
      <c r="O196" s="13">
        <f t="shared" si="648"/>
        <v>0</v>
      </c>
      <c r="P196" s="172">
        <f t="shared" si="648"/>
        <v>0</v>
      </c>
      <c r="Q196" s="170">
        <f t="shared" si="648"/>
        <v>0</v>
      </c>
      <c r="R196" s="16">
        <f t="shared" si="648"/>
        <v>0</v>
      </c>
      <c r="S196" s="16">
        <f t="shared" si="648"/>
        <v>0</v>
      </c>
      <c r="T196" s="16">
        <f t="shared" si="648"/>
        <v>0</v>
      </c>
      <c r="U196" s="16">
        <f t="shared" si="648"/>
        <v>0</v>
      </c>
      <c r="V196" s="16">
        <f t="shared" si="648"/>
        <v>0</v>
      </c>
      <c r="W196" s="16">
        <f t="shared" si="648"/>
        <v>0</v>
      </c>
      <c r="X196" s="16">
        <f t="shared" si="648"/>
        <v>0</v>
      </c>
      <c r="Y196" s="16">
        <f t="shared" si="648"/>
        <v>0</v>
      </c>
      <c r="Z196" s="16">
        <f t="shared" si="648"/>
        <v>0</v>
      </c>
      <c r="AA196" s="16">
        <f t="shared" si="648"/>
        <v>0</v>
      </c>
      <c r="AB196" s="16">
        <f t="shared" si="648"/>
        <v>0</v>
      </c>
      <c r="AC196" s="16">
        <f t="shared" si="648"/>
        <v>0</v>
      </c>
      <c r="AD196" s="16">
        <f t="shared" si="648"/>
        <v>0</v>
      </c>
      <c r="AE196" s="16">
        <f t="shared" si="648"/>
        <v>0</v>
      </c>
      <c r="AF196" s="16">
        <f t="shared" si="648"/>
        <v>0</v>
      </c>
      <c r="AG196" s="16">
        <f t="shared" si="648"/>
        <v>0</v>
      </c>
      <c r="AH196" s="615">
        <f t="shared" si="648"/>
        <v>0</v>
      </c>
      <c r="AI196" s="615">
        <f t="shared" si="648"/>
        <v>0</v>
      </c>
      <c r="AJ196" s="615">
        <f t="shared" si="648"/>
        <v>0</v>
      </c>
      <c r="AK196" s="615">
        <f t="shared" si="648"/>
        <v>0</v>
      </c>
      <c r="AL196" s="615">
        <f t="shared" si="648"/>
        <v>0</v>
      </c>
      <c r="AM196" s="615">
        <f t="shared" si="648"/>
        <v>0</v>
      </c>
      <c r="AN196" s="615">
        <f t="shared" si="648"/>
        <v>0</v>
      </c>
      <c r="AO196" s="615">
        <f t="shared" si="648"/>
        <v>0</v>
      </c>
      <c r="AP196" s="615">
        <f t="shared" si="648"/>
        <v>0</v>
      </c>
      <c r="AQ196" s="615">
        <f t="shared" si="648"/>
        <v>0</v>
      </c>
      <c r="AR196" s="640">
        <f t="shared" si="648"/>
        <v>0</v>
      </c>
      <c r="AS196" s="170">
        <f t="shared" si="648"/>
        <v>0</v>
      </c>
      <c r="AT196" s="16">
        <f t="shared" si="648"/>
        <v>0</v>
      </c>
      <c r="AU196" s="16">
        <f t="shared" si="648"/>
        <v>0</v>
      </c>
      <c r="AV196" s="16">
        <f t="shared" si="648"/>
        <v>0</v>
      </c>
      <c r="AW196" s="16">
        <f t="shared" si="648"/>
        <v>0</v>
      </c>
      <c r="AX196" s="16">
        <f t="shared" si="648"/>
        <v>0</v>
      </c>
      <c r="AY196" s="13">
        <f t="shared" si="648"/>
        <v>0</v>
      </c>
      <c r="AZ196" s="13">
        <f t="shared" si="648"/>
        <v>0</v>
      </c>
      <c r="BA196" s="17">
        <f t="shared" si="648"/>
        <v>0</v>
      </c>
    </row>
    <row r="197" spans="4:53" ht="12.75" customHeight="1" x14ac:dyDescent="0.2">
      <c r="D197" s="9"/>
      <c r="E197" s="5"/>
      <c r="F197" s="9"/>
      <c r="G197" s="5"/>
      <c r="H197" s="2">
        <v>3124</v>
      </c>
      <c r="I197" s="170">
        <f t="shared" ref="I197:BA197" si="649">SUMIF($F$12:$F$464,"=3124",I$12:I$464)</f>
        <v>0</v>
      </c>
      <c r="J197" s="16">
        <f t="shared" si="649"/>
        <v>0</v>
      </c>
      <c r="K197" s="16">
        <f t="shared" si="649"/>
        <v>0</v>
      </c>
      <c r="L197" s="16">
        <f t="shared" si="649"/>
        <v>0</v>
      </c>
      <c r="M197" s="16">
        <f t="shared" si="649"/>
        <v>0</v>
      </c>
      <c r="N197" s="13">
        <f t="shared" si="649"/>
        <v>0</v>
      </c>
      <c r="O197" s="13">
        <f t="shared" si="649"/>
        <v>0</v>
      </c>
      <c r="P197" s="172">
        <f t="shared" si="649"/>
        <v>0</v>
      </c>
      <c r="Q197" s="170">
        <f t="shared" si="649"/>
        <v>0</v>
      </c>
      <c r="R197" s="16">
        <f t="shared" si="649"/>
        <v>0</v>
      </c>
      <c r="S197" s="16">
        <f t="shared" si="649"/>
        <v>0</v>
      </c>
      <c r="T197" s="16">
        <f t="shared" si="649"/>
        <v>0</v>
      </c>
      <c r="U197" s="16">
        <f t="shared" si="649"/>
        <v>0</v>
      </c>
      <c r="V197" s="16">
        <f t="shared" si="649"/>
        <v>0</v>
      </c>
      <c r="W197" s="16">
        <f t="shared" si="649"/>
        <v>0</v>
      </c>
      <c r="X197" s="16">
        <f t="shared" si="649"/>
        <v>0</v>
      </c>
      <c r="Y197" s="16">
        <f t="shared" si="649"/>
        <v>0</v>
      </c>
      <c r="Z197" s="16">
        <f t="shared" si="649"/>
        <v>0</v>
      </c>
      <c r="AA197" s="16">
        <f t="shared" si="649"/>
        <v>0</v>
      </c>
      <c r="AB197" s="16">
        <f t="shared" si="649"/>
        <v>0</v>
      </c>
      <c r="AC197" s="16">
        <f t="shared" si="649"/>
        <v>0</v>
      </c>
      <c r="AD197" s="16">
        <f t="shared" si="649"/>
        <v>0</v>
      </c>
      <c r="AE197" s="16">
        <f t="shared" si="649"/>
        <v>0</v>
      </c>
      <c r="AF197" s="16">
        <f t="shared" si="649"/>
        <v>0</v>
      </c>
      <c r="AG197" s="16">
        <f t="shared" si="649"/>
        <v>0</v>
      </c>
      <c r="AH197" s="615">
        <f t="shared" si="649"/>
        <v>0</v>
      </c>
      <c r="AI197" s="615">
        <f t="shared" si="649"/>
        <v>0</v>
      </c>
      <c r="AJ197" s="615">
        <f t="shared" si="649"/>
        <v>0</v>
      </c>
      <c r="AK197" s="615">
        <f t="shared" si="649"/>
        <v>0</v>
      </c>
      <c r="AL197" s="615">
        <f t="shared" si="649"/>
        <v>0</v>
      </c>
      <c r="AM197" s="615">
        <f t="shared" si="649"/>
        <v>0</v>
      </c>
      <c r="AN197" s="615">
        <f t="shared" si="649"/>
        <v>0</v>
      </c>
      <c r="AO197" s="615">
        <f t="shared" si="649"/>
        <v>0</v>
      </c>
      <c r="AP197" s="615">
        <f t="shared" si="649"/>
        <v>0</v>
      </c>
      <c r="AQ197" s="615">
        <f t="shared" si="649"/>
        <v>0</v>
      </c>
      <c r="AR197" s="640">
        <f t="shared" si="649"/>
        <v>0</v>
      </c>
      <c r="AS197" s="170">
        <f t="shared" si="649"/>
        <v>0</v>
      </c>
      <c r="AT197" s="16">
        <f t="shared" si="649"/>
        <v>0</v>
      </c>
      <c r="AU197" s="16">
        <f t="shared" si="649"/>
        <v>0</v>
      </c>
      <c r="AV197" s="16">
        <f t="shared" si="649"/>
        <v>0</v>
      </c>
      <c r="AW197" s="16">
        <f t="shared" si="649"/>
        <v>0</v>
      </c>
      <c r="AX197" s="16">
        <f t="shared" si="649"/>
        <v>0</v>
      </c>
      <c r="AY197" s="13">
        <f t="shared" si="649"/>
        <v>0</v>
      </c>
      <c r="AZ197" s="13">
        <f t="shared" si="649"/>
        <v>0</v>
      </c>
      <c r="BA197" s="17">
        <f t="shared" si="649"/>
        <v>0</v>
      </c>
    </row>
    <row r="198" spans="4:53" ht="12.75" customHeight="1" x14ac:dyDescent="0.2">
      <c r="D198" s="9"/>
      <c r="E198" s="5"/>
      <c r="F198" s="9"/>
      <c r="G198" s="5"/>
      <c r="H198" s="2">
        <v>3141</v>
      </c>
      <c r="I198" s="170">
        <f t="shared" ref="I198:BA198" si="650">SUMIF($F$12:$F$464,"=3141",I$12:I$464)</f>
        <v>51952908</v>
      </c>
      <c r="J198" s="16">
        <f t="shared" si="650"/>
        <v>38292635</v>
      </c>
      <c r="K198" s="16">
        <f t="shared" si="650"/>
        <v>12942911</v>
      </c>
      <c r="L198" s="16">
        <f t="shared" si="650"/>
        <v>382930</v>
      </c>
      <c r="M198" s="16">
        <f t="shared" si="650"/>
        <v>334432</v>
      </c>
      <c r="N198" s="13">
        <f t="shared" si="650"/>
        <v>123.07</v>
      </c>
      <c r="O198" s="13">
        <f t="shared" si="650"/>
        <v>0</v>
      </c>
      <c r="P198" s="172">
        <f t="shared" si="650"/>
        <v>122.77</v>
      </c>
      <c r="Q198" s="170">
        <f t="shared" si="650"/>
        <v>-78000</v>
      </c>
      <c r="R198" s="16">
        <f t="shared" si="650"/>
        <v>0</v>
      </c>
      <c r="S198" s="16">
        <f t="shared" si="650"/>
        <v>0</v>
      </c>
      <c r="T198" s="16">
        <f t="shared" si="650"/>
        <v>0</v>
      </c>
      <c r="U198" s="16">
        <f t="shared" si="650"/>
        <v>0</v>
      </c>
      <c r="V198" s="16">
        <f t="shared" si="650"/>
        <v>-78000</v>
      </c>
      <c r="W198" s="16">
        <f t="shared" si="650"/>
        <v>78000</v>
      </c>
      <c r="X198" s="16">
        <f t="shared" si="650"/>
        <v>0</v>
      </c>
      <c r="Y198" s="16">
        <f t="shared" si="650"/>
        <v>141708</v>
      </c>
      <c r="Z198" s="16">
        <f t="shared" si="650"/>
        <v>219708</v>
      </c>
      <c r="AA198" s="16">
        <f t="shared" si="650"/>
        <v>141708</v>
      </c>
      <c r="AB198" s="16">
        <f t="shared" si="650"/>
        <v>0</v>
      </c>
      <c r="AC198" s="16">
        <f t="shared" si="650"/>
        <v>-781</v>
      </c>
      <c r="AD198" s="16">
        <f t="shared" si="650"/>
        <v>0</v>
      </c>
      <c r="AE198" s="16">
        <f t="shared" si="650"/>
        <v>0</v>
      </c>
      <c r="AF198" s="16">
        <f t="shared" si="650"/>
        <v>0</v>
      </c>
      <c r="AG198" s="16">
        <f t="shared" si="650"/>
        <v>140927</v>
      </c>
      <c r="AH198" s="615">
        <f t="shared" si="650"/>
        <v>0</v>
      </c>
      <c r="AI198" s="615">
        <f t="shared" si="650"/>
        <v>0</v>
      </c>
      <c r="AJ198" s="615">
        <f t="shared" si="650"/>
        <v>0</v>
      </c>
      <c r="AK198" s="615">
        <f t="shared" si="650"/>
        <v>0</v>
      </c>
      <c r="AL198" s="615">
        <f t="shared" si="650"/>
        <v>0</v>
      </c>
      <c r="AM198" s="615">
        <f t="shared" si="650"/>
        <v>0</v>
      </c>
      <c r="AN198" s="615">
        <f t="shared" si="650"/>
        <v>0</v>
      </c>
      <c r="AO198" s="615">
        <f t="shared" si="650"/>
        <v>0</v>
      </c>
      <c r="AP198" s="615">
        <f t="shared" si="650"/>
        <v>0</v>
      </c>
      <c r="AQ198" s="615">
        <f t="shared" si="650"/>
        <v>0</v>
      </c>
      <c r="AR198" s="640">
        <f t="shared" si="650"/>
        <v>0</v>
      </c>
      <c r="AS198" s="170">
        <f t="shared" si="650"/>
        <v>52093835</v>
      </c>
      <c r="AT198" s="16">
        <f t="shared" si="650"/>
        <v>38214635</v>
      </c>
      <c r="AU198" s="16">
        <f t="shared" si="650"/>
        <v>219708</v>
      </c>
      <c r="AV198" s="16">
        <f t="shared" si="650"/>
        <v>12942911</v>
      </c>
      <c r="AW198" s="16">
        <f t="shared" si="650"/>
        <v>382149</v>
      </c>
      <c r="AX198" s="16">
        <f t="shared" si="650"/>
        <v>334432</v>
      </c>
      <c r="AY198" s="13">
        <f t="shared" si="650"/>
        <v>123.07</v>
      </c>
      <c r="AZ198" s="13">
        <f t="shared" si="650"/>
        <v>0</v>
      </c>
      <c r="BA198" s="17">
        <f t="shared" si="650"/>
        <v>122.77</v>
      </c>
    </row>
    <row r="199" spans="4:53" ht="12.75" customHeight="1" x14ac:dyDescent="0.2">
      <c r="D199" s="9"/>
      <c r="E199" s="5"/>
      <c r="F199" s="9"/>
      <c r="G199" s="5"/>
      <c r="H199" s="2">
        <v>3143</v>
      </c>
      <c r="I199" s="170">
        <f t="shared" ref="I199:BA199" si="651">SUMIF($F$12:$F$464,"=3143",I$12:I$464)</f>
        <v>33059853</v>
      </c>
      <c r="J199" s="16">
        <f t="shared" si="651"/>
        <v>24495550</v>
      </c>
      <c r="K199" s="16">
        <f t="shared" si="651"/>
        <v>8279496</v>
      </c>
      <c r="L199" s="16">
        <f t="shared" si="651"/>
        <v>244955</v>
      </c>
      <c r="M199" s="16">
        <f t="shared" si="651"/>
        <v>39852</v>
      </c>
      <c r="N199" s="13">
        <f t="shared" si="651"/>
        <v>51.818999999999988</v>
      </c>
      <c r="O199" s="13">
        <f t="shared" si="651"/>
        <v>48.708999999999989</v>
      </c>
      <c r="P199" s="172">
        <f t="shared" si="651"/>
        <v>3.11</v>
      </c>
      <c r="Q199" s="170">
        <f t="shared" si="651"/>
        <v>-29250</v>
      </c>
      <c r="R199" s="16">
        <f t="shared" si="651"/>
        <v>0</v>
      </c>
      <c r="S199" s="16">
        <f t="shared" si="651"/>
        <v>0</v>
      </c>
      <c r="T199" s="16">
        <f t="shared" si="651"/>
        <v>0</v>
      </c>
      <c r="U199" s="16">
        <f t="shared" si="651"/>
        <v>0</v>
      </c>
      <c r="V199" s="16">
        <f t="shared" si="651"/>
        <v>-29250</v>
      </c>
      <c r="W199" s="16">
        <f t="shared" si="651"/>
        <v>29250</v>
      </c>
      <c r="X199" s="16">
        <f t="shared" si="651"/>
        <v>0</v>
      </c>
      <c r="Y199" s="16">
        <f t="shared" si="651"/>
        <v>0</v>
      </c>
      <c r="Z199" s="16">
        <f t="shared" si="651"/>
        <v>29250</v>
      </c>
      <c r="AA199" s="16">
        <f t="shared" si="651"/>
        <v>0</v>
      </c>
      <c r="AB199" s="16">
        <f t="shared" si="651"/>
        <v>0</v>
      </c>
      <c r="AC199" s="16">
        <f t="shared" si="651"/>
        <v>-293</v>
      </c>
      <c r="AD199" s="16">
        <f t="shared" si="651"/>
        <v>0</v>
      </c>
      <c r="AE199" s="16">
        <f t="shared" si="651"/>
        <v>0</v>
      </c>
      <c r="AF199" s="16">
        <f t="shared" si="651"/>
        <v>0</v>
      </c>
      <c r="AG199" s="16">
        <f t="shared" si="651"/>
        <v>-293</v>
      </c>
      <c r="AH199" s="615">
        <f t="shared" si="651"/>
        <v>0</v>
      </c>
      <c r="AI199" s="615">
        <f t="shared" si="651"/>
        <v>0</v>
      </c>
      <c r="AJ199" s="615">
        <f t="shared" si="651"/>
        <v>0</v>
      </c>
      <c r="AK199" s="615">
        <f t="shared" si="651"/>
        <v>0</v>
      </c>
      <c r="AL199" s="615">
        <f t="shared" si="651"/>
        <v>0</v>
      </c>
      <c r="AM199" s="615">
        <f t="shared" si="651"/>
        <v>0</v>
      </c>
      <c r="AN199" s="615">
        <f t="shared" si="651"/>
        <v>0</v>
      </c>
      <c r="AO199" s="615">
        <f t="shared" si="651"/>
        <v>0</v>
      </c>
      <c r="AP199" s="615">
        <f t="shared" si="651"/>
        <v>0</v>
      </c>
      <c r="AQ199" s="615">
        <f t="shared" si="651"/>
        <v>0</v>
      </c>
      <c r="AR199" s="640">
        <f t="shared" si="651"/>
        <v>0</v>
      </c>
      <c r="AS199" s="170">
        <f t="shared" si="651"/>
        <v>33059560</v>
      </c>
      <c r="AT199" s="16">
        <f t="shared" si="651"/>
        <v>24466300</v>
      </c>
      <c r="AU199" s="16">
        <f t="shared" si="651"/>
        <v>29250</v>
      </c>
      <c r="AV199" s="16">
        <f t="shared" si="651"/>
        <v>8279496</v>
      </c>
      <c r="AW199" s="16">
        <f t="shared" si="651"/>
        <v>244662</v>
      </c>
      <c r="AX199" s="16">
        <f t="shared" si="651"/>
        <v>39852</v>
      </c>
      <c r="AY199" s="13">
        <f t="shared" si="651"/>
        <v>51.818999999999988</v>
      </c>
      <c r="AZ199" s="13">
        <f t="shared" si="651"/>
        <v>48.708999999999989</v>
      </c>
      <c r="BA199" s="17">
        <f t="shared" si="651"/>
        <v>3.11</v>
      </c>
    </row>
    <row r="200" spans="4:53" ht="12.75" customHeight="1" x14ac:dyDescent="0.2">
      <c r="D200" s="9"/>
      <c r="E200" s="5"/>
      <c r="F200" s="9"/>
      <c r="G200" s="5"/>
      <c r="H200" s="2">
        <v>3231</v>
      </c>
      <c r="I200" s="170">
        <f t="shared" ref="I200:BA200" si="652">SUMIF($F$12:$F$464,"=3231",I$12:I$464)</f>
        <v>31503868</v>
      </c>
      <c r="J200" s="16">
        <f t="shared" si="652"/>
        <v>23321103</v>
      </c>
      <c r="K200" s="16">
        <f t="shared" si="652"/>
        <v>7882533</v>
      </c>
      <c r="L200" s="16">
        <f t="shared" si="652"/>
        <v>233211</v>
      </c>
      <c r="M200" s="16">
        <f t="shared" si="652"/>
        <v>67021</v>
      </c>
      <c r="N200" s="13">
        <f t="shared" si="652"/>
        <v>41.0747</v>
      </c>
      <c r="O200" s="13">
        <f t="shared" si="652"/>
        <v>37.203400000000002</v>
      </c>
      <c r="P200" s="172">
        <f t="shared" si="652"/>
        <v>3.8713000000000002</v>
      </c>
      <c r="Q200" s="170">
        <f t="shared" si="652"/>
        <v>-32500</v>
      </c>
      <c r="R200" s="16">
        <f t="shared" si="652"/>
        <v>0</v>
      </c>
      <c r="S200" s="16">
        <f t="shared" si="652"/>
        <v>0</v>
      </c>
      <c r="T200" s="16">
        <f t="shared" si="652"/>
        <v>0</v>
      </c>
      <c r="U200" s="16">
        <f t="shared" si="652"/>
        <v>0</v>
      </c>
      <c r="V200" s="16">
        <f t="shared" si="652"/>
        <v>-32500</v>
      </c>
      <c r="W200" s="16">
        <f t="shared" si="652"/>
        <v>32500</v>
      </c>
      <c r="X200" s="16">
        <f t="shared" si="652"/>
        <v>0</v>
      </c>
      <c r="Y200" s="16">
        <f t="shared" si="652"/>
        <v>0</v>
      </c>
      <c r="Z200" s="16">
        <f t="shared" si="652"/>
        <v>32500</v>
      </c>
      <c r="AA200" s="16">
        <f t="shared" si="652"/>
        <v>0</v>
      </c>
      <c r="AB200" s="16">
        <f t="shared" si="652"/>
        <v>0</v>
      </c>
      <c r="AC200" s="16">
        <f t="shared" si="652"/>
        <v>-325</v>
      </c>
      <c r="AD200" s="16">
        <f t="shared" si="652"/>
        <v>0</v>
      </c>
      <c r="AE200" s="16">
        <f t="shared" si="652"/>
        <v>0</v>
      </c>
      <c r="AF200" s="16">
        <f t="shared" si="652"/>
        <v>0</v>
      </c>
      <c r="AG200" s="16">
        <f t="shared" si="652"/>
        <v>-325</v>
      </c>
      <c r="AH200" s="615">
        <f t="shared" si="652"/>
        <v>-0.03</v>
      </c>
      <c r="AI200" s="615">
        <f t="shared" si="652"/>
        <v>0</v>
      </c>
      <c r="AJ200" s="615">
        <f t="shared" si="652"/>
        <v>0</v>
      </c>
      <c r="AK200" s="615">
        <f t="shared" si="652"/>
        <v>0</v>
      </c>
      <c r="AL200" s="615">
        <f t="shared" si="652"/>
        <v>0</v>
      </c>
      <c r="AM200" s="615">
        <f t="shared" si="652"/>
        <v>0</v>
      </c>
      <c r="AN200" s="615">
        <f t="shared" si="652"/>
        <v>0</v>
      </c>
      <c r="AO200" s="615">
        <f t="shared" si="652"/>
        <v>0</v>
      </c>
      <c r="AP200" s="615">
        <f t="shared" si="652"/>
        <v>-0.03</v>
      </c>
      <c r="AQ200" s="615">
        <f t="shared" si="652"/>
        <v>0</v>
      </c>
      <c r="AR200" s="640">
        <f t="shared" si="652"/>
        <v>-0.03</v>
      </c>
      <c r="AS200" s="170">
        <f t="shared" si="652"/>
        <v>31503543</v>
      </c>
      <c r="AT200" s="16">
        <f t="shared" si="652"/>
        <v>23288603</v>
      </c>
      <c r="AU200" s="16">
        <f t="shared" si="652"/>
        <v>32500</v>
      </c>
      <c r="AV200" s="16">
        <f t="shared" si="652"/>
        <v>7882533</v>
      </c>
      <c r="AW200" s="16">
        <f t="shared" si="652"/>
        <v>232886</v>
      </c>
      <c r="AX200" s="16">
        <f t="shared" si="652"/>
        <v>67021</v>
      </c>
      <c r="AY200" s="13">
        <f t="shared" si="652"/>
        <v>41.044699999999999</v>
      </c>
      <c r="AZ200" s="13">
        <f t="shared" si="652"/>
        <v>37.173400000000001</v>
      </c>
      <c r="BA200" s="17">
        <f t="shared" si="652"/>
        <v>3.8713000000000002</v>
      </c>
    </row>
    <row r="201" spans="4:53" ht="12.75" customHeight="1" thickBot="1" x14ac:dyDescent="0.25">
      <c r="D201" s="9"/>
      <c r="E201" s="5"/>
      <c r="F201" s="9"/>
      <c r="G201" s="5"/>
      <c r="H201" s="154">
        <v>3233</v>
      </c>
      <c r="I201" s="173">
        <f t="shared" ref="I201:BA201" si="653">SUMIF($F$12:$F$464,"=3233",I$12:I$464)</f>
        <v>5729842</v>
      </c>
      <c r="J201" s="174">
        <f t="shared" si="653"/>
        <v>4241724</v>
      </c>
      <c r="K201" s="174">
        <f t="shared" si="653"/>
        <v>1433703</v>
      </c>
      <c r="L201" s="174">
        <f t="shared" si="653"/>
        <v>42417</v>
      </c>
      <c r="M201" s="174">
        <f t="shared" si="653"/>
        <v>11998</v>
      </c>
      <c r="N201" s="175">
        <f t="shared" si="653"/>
        <v>9.98</v>
      </c>
      <c r="O201" s="175">
        <f t="shared" si="653"/>
        <v>5.59</v>
      </c>
      <c r="P201" s="178">
        <f t="shared" si="653"/>
        <v>4.3899999999999997</v>
      </c>
      <c r="Q201" s="173">
        <f t="shared" si="653"/>
        <v>0</v>
      </c>
      <c r="R201" s="174">
        <f t="shared" si="653"/>
        <v>0</v>
      </c>
      <c r="S201" s="174">
        <f t="shared" si="653"/>
        <v>0</v>
      </c>
      <c r="T201" s="174">
        <f t="shared" si="653"/>
        <v>0</v>
      </c>
      <c r="U201" s="174">
        <f t="shared" si="653"/>
        <v>0</v>
      </c>
      <c r="V201" s="174">
        <f t="shared" si="653"/>
        <v>0</v>
      </c>
      <c r="W201" s="174">
        <f t="shared" si="653"/>
        <v>0</v>
      </c>
      <c r="X201" s="174">
        <f t="shared" si="653"/>
        <v>0</v>
      </c>
      <c r="Y201" s="174">
        <f t="shared" si="653"/>
        <v>0</v>
      </c>
      <c r="Z201" s="174">
        <f t="shared" si="653"/>
        <v>0</v>
      </c>
      <c r="AA201" s="174">
        <f t="shared" si="653"/>
        <v>0</v>
      </c>
      <c r="AB201" s="174">
        <f t="shared" si="653"/>
        <v>0</v>
      </c>
      <c r="AC201" s="174">
        <f t="shared" si="653"/>
        <v>0</v>
      </c>
      <c r="AD201" s="174">
        <f t="shared" si="653"/>
        <v>0</v>
      </c>
      <c r="AE201" s="174">
        <f t="shared" si="653"/>
        <v>0</v>
      </c>
      <c r="AF201" s="174">
        <f t="shared" si="653"/>
        <v>0</v>
      </c>
      <c r="AG201" s="174">
        <f t="shared" si="653"/>
        <v>0</v>
      </c>
      <c r="AH201" s="616">
        <f t="shared" si="653"/>
        <v>0</v>
      </c>
      <c r="AI201" s="616">
        <f t="shared" si="653"/>
        <v>0</v>
      </c>
      <c r="AJ201" s="616">
        <f t="shared" si="653"/>
        <v>0</v>
      </c>
      <c r="AK201" s="616">
        <f t="shared" si="653"/>
        <v>0</v>
      </c>
      <c r="AL201" s="616">
        <f t="shared" si="653"/>
        <v>0</v>
      </c>
      <c r="AM201" s="616">
        <f t="shared" si="653"/>
        <v>0</v>
      </c>
      <c r="AN201" s="616">
        <f t="shared" si="653"/>
        <v>0</v>
      </c>
      <c r="AO201" s="616">
        <f t="shared" si="653"/>
        <v>0</v>
      </c>
      <c r="AP201" s="616">
        <f t="shared" si="653"/>
        <v>0</v>
      </c>
      <c r="AQ201" s="616">
        <f t="shared" si="653"/>
        <v>0</v>
      </c>
      <c r="AR201" s="641">
        <f t="shared" si="653"/>
        <v>0</v>
      </c>
      <c r="AS201" s="173">
        <f t="shared" si="653"/>
        <v>5729842</v>
      </c>
      <c r="AT201" s="174">
        <f t="shared" si="653"/>
        <v>4241724</v>
      </c>
      <c r="AU201" s="174">
        <f t="shared" si="653"/>
        <v>0</v>
      </c>
      <c r="AV201" s="174">
        <f t="shared" si="653"/>
        <v>1433703</v>
      </c>
      <c r="AW201" s="174">
        <f t="shared" si="653"/>
        <v>42417</v>
      </c>
      <c r="AX201" s="174">
        <f t="shared" si="653"/>
        <v>11998</v>
      </c>
      <c r="AY201" s="175">
        <f t="shared" si="653"/>
        <v>9.98</v>
      </c>
      <c r="AZ201" s="175">
        <f t="shared" si="653"/>
        <v>5.59</v>
      </c>
      <c r="BA201" s="176">
        <f t="shared" si="653"/>
        <v>4.3899999999999997</v>
      </c>
    </row>
    <row r="202" spans="4:53" ht="12.75" customHeight="1" x14ac:dyDescent="0.2">
      <c r="D202" s="5"/>
      <c r="E202" s="5"/>
      <c r="F202" s="5"/>
      <c r="G202" s="5"/>
      <c r="H202" s="5"/>
    </row>
    <row r="203" spans="4:53" x14ac:dyDescent="0.2">
      <c r="J203" s="15"/>
      <c r="K203" s="15"/>
      <c r="L203" s="15"/>
      <c r="M203" s="15"/>
      <c r="N203" s="4"/>
    </row>
  </sheetData>
  <mergeCells count="26">
    <mergeCell ref="A3:E3"/>
    <mergeCell ref="I6:P7"/>
    <mergeCell ref="AH8:AI9"/>
    <mergeCell ref="AJ8:AJ9"/>
    <mergeCell ref="Q6:AR6"/>
    <mergeCell ref="AD7:AF9"/>
    <mergeCell ref="AG7:AG10"/>
    <mergeCell ref="AC7:AC10"/>
    <mergeCell ref="Q7:V9"/>
    <mergeCell ref="W7:Z9"/>
    <mergeCell ref="AA7:AA10"/>
    <mergeCell ref="AB7:AB10"/>
    <mergeCell ref="I8:I10"/>
    <mergeCell ref="J8:M9"/>
    <mergeCell ref="N8:N10"/>
    <mergeCell ref="O8:P9"/>
    <mergeCell ref="AS6:BA7"/>
    <mergeCell ref="AH7:AR7"/>
    <mergeCell ref="AN8:AO9"/>
    <mergeCell ref="AP8:AR9"/>
    <mergeCell ref="AS8:AS10"/>
    <mergeCell ref="AT8:AX9"/>
    <mergeCell ref="AY8:AY10"/>
    <mergeCell ref="AZ8:BA9"/>
    <mergeCell ref="AK8:AL8"/>
    <mergeCell ref="AM8:AM9"/>
  </mergeCells>
  <pageMargins left="0.7" right="0.7" top="0.78740157499999996" bottom="0.78740157499999996" header="0.3" footer="0.3"/>
  <pageSetup paperSize="8" scale="34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5"/>
  <dimension ref="A1:BA133"/>
  <sheetViews>
    <sheetView workbookViewId="0">
      <pane xSplit="8" ySplit="11" topLeftCell="AI87" activePane="bottomRight" state="frozen"/>
      <selection activeCell="AQ11" sqref="AQ11"/>
      <selection pane="topRight" activeCell="AQ11" sqref="AQ11"/>
      <selection pane="bottomLeft" activeCell="AQ11" sqref="AQ11"/>
      <selection pane="bottomRight" activeCell="AS6" sqref="AS6:BA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28515625" style="43" customWidth="1"/>
    <col min="8" max="8" width="8" customWidth="1"/>
    <col min="9" max="9" width="10.85546875" style="8" customWidth="1"/>
    <col min="10" max="10" width="11.7109375" style="8" customWidth="1"/>
    <col min="11" max="11" width="10.7109375" style="8" customWidth="1"/>
    <col min="12" max="13" width="9.28515625" style="8" customWidth="1"/>
    <col min="14" max="14" width="11.42578125" style="7" customWidth="1"/>
    <col min="15" max="16" width="9.28515625" style="7" customWidth="1"/>
    <col min="17" max="17" width="9.140625" style="8" customWidth="1"/>
    <col min="18" max="18" width="9.7109375" style="8" customWidth="1"/>
    <col min="19" max="20" width="9.140625" style="8" customWidth="1"/>
    <col min="21" max="21" width="9.7109375" style="8" customWidth="1"/>
    <col min="22" max="26" width="9.140625" style="8" customWidth="1"/>
    <col min="27" max="27" width="10.140625" style="8" customWidth="1"/>
    <col min="28" max="33" width="9.28515625" style="8" customWidth="1"/>
    <col min="34" max="44" width="9.28515625" style="7" customWidth="1"/>
    <col min="45" max="45" width="10" style="8" customWidth="1"/>
    <col min="46" max="46" width="9.7109375" style="8" customWidth="1"/>
    <col min="47" max="50" width="9.140625" style="8"/>
    <col min="51" max="51" width="11.42578125" style="7" customWidth="1"/>
    <col min="52" max="53" width="9.28515625" style="7" customWidth="1"/>
    <col min="184" max="184" width="7" customWidth="1"/>
    <col min="185" max="185" width="30.140625" customWidth="1"/>
    <col min="186" max="186" width="6.28515625" customWidth="1"/>
    <col min="187" max="187" width="31.42578125" customWidth="1"/>
    <col min="188" max="188" width="10.5703125" customWidth="1"/>
    <col min="189" max="189" width="10.42578125" customWidth="1"/>
    <col min="190" max="190" width="9.5703125" customWidth="1"/>
    <col min="191" max="191" width="8.42578125" customWidth="1"/>
    <col min="192" max="192" width="9" customWidth="1"/>
    <col min="193" max="193" width="10.42578125" customWidth="1"/>
    <col min="196" max="196" width="10.28515625" customWidth="1"/>
    <col min="440" max="440" width="7" customWidth="1"/>
    <col min="441" max="441" width="30.140625" customWidth="1"/>
    <col min="442" max="442" width="6.28515625" customWidth="1"/>
    <col min="443" max="443" width="31.42578125" customWidth="1"/>
    <col min="444" max="444" width="10.5703125" customWidth="1"/>
    <col min="445" max="445" width="10.42578125" customWidth="1"/>
    <col min="446" max="446" width="9.5703125" customWidth="1"/>
    <col min="447" max="447" width="8.42578125" customWidth="1"/>
    <col min="448" max="448" width="9" customWidth="1"/>
    <col min="449" max="449" width="10.42578125" customWidth="1"/>
    <col min="452" max="452" width="10.28515625" customWidth="1"/>
    <col min="696" max="696" width="7" customWidth="1"/>
    <col min="697" max="697" width="30.140625" customWidth="1"/>
    <col min="698" max="698" width="6.28515625" customWidth="1"/>
    <col min="699" max="699" width="31.42578125" customWidth="1"/>
    <col min="700" max="700" width="10.5703125" customWidth="1"/>
    <col min="701" max="701" width="10.42578125" customWidth="1"/>
    <col min="702" max="702" width="9.5703125" customWidth="1"/>
    <col min="703" max="703" width="8.42578125" customWidth="1"/>
    <col min="704" max="704" width="9" customWidth="1"/>
    <col min="705" max="705" width="10.42578125" customWidth="1"/>
    <col min="708" max="708" width="10.28515625" customWidth="1"/>
    <col min="952" max="952" width="7" customWidth="1"/>
    <col min="953" max="953" width="30.140625" customWidth="1"/>
    <col min="954" max="954" width="6.28515625" customWidth="1"/>
    <col min="955" max="955" width="31.42578125" customWidth="1"/>
    <col min="956" max="956" width="10.5703125" customWidth="1"/>
    <col min="957" max="957" width="10.42578125" customWidth="1"/>
    <col min="958" max="958" width="9.5703125" customWidth="1"/>
    <col min="959" max="959" width="8.42578125" customWidth="1"/>
    <col min="960" max="960" width="9" customWidth="1"/>
    <col min="961" max="961" width="10.42578125" customWidth="1"/>
    <col min="964" max="964" width="10.28515625" customWidth="1"/>
    <col min="1208" max="1208" width="7" customWidth="1"/>
    <col min="1209" max="1209" width="30.140625" customWidth="1"/>
    <col min="1210" max="1210" width="6.28515625" customWidth="1"/>
    <col min="1211" max="1211" width="31.42578125" customWidth="1"/>
    <col min="1212" max="1212" width="10.5703125" customWidth="1"/>
    <col min="1213" max="1213" width="10.42578125" customWidth="1"/>
    <col min="1214" max="1214" width="9.5703125" customWidth="1"/>
    <col min="1215" max="1215" width="8.42578125" customWidth="1"/>
    <col min="1216" max="1216" width="9" customWidth="1"/>
    <col min="1217" max="1217" width="10.42578125" customWidth="1"/>
    <col min="1220" max="1220" width="10.28515625" customWidth="1"/>
    <col min="1464" max="1464" width="7" customWidth="1"/>
    <col min="1465" max="1465" width="30.140625" customWidth="1"/>
    <col min="1466" max="1466" width="6.28515625" customWidth="1"/>
    <col min="1467" max="1467" width="31.42578125" customWidth="1"/>
    <col min="1468" max="1468" width="10.5703125" customWidth="1"/>
    <col min="1469" max="1469" width="10.42578125" customWidth="1"/>
    <col min="1470" max="1470" width="9.5703125" customWidth="1"/>
    <col min="1471" max="1471" width="8.42578125" customWidth="1"/>
    <col min="1472" max="1472" width="9" customWidth="1"/>
    <col min="1473" max="1473" width="10.42578125" customWidth="1"/>
    <col min="1476" max="1476" width="10.28515625" customWidth="1"/>
    <col min="1720" max="1720" width="7" customWidth="1"/>
    <col min="1721" max="1721" width="30.140625" customWidth="1"/>
    <col min="1722" max="1722" width="6.28515625" customWidth="1"/>
    <col min="1723" max="1723" width="31.42578125" customWidth="1"/>
    <col min="1724" max="1724" width="10.5703125" customWidth="1"/>
    <col min="1725" max="1725" width="10.42578125" customWidth="1"/>
    <col min="1726" max="1726" width="9.5703125" customWidth="1"/>
    <col min="1727" max="1727" width="8.42578125" customWidth="1"/>
    <col min="1728" max="1728" width="9" customWidth="1"/>
    <col min="1729" max="1729" width="10.42578125" customWidth="1"/>
    <col min="1732" max="1732" width="10.28515625" customWidth="1"/>
    <col min="1976" max="1976" width="7" customWidth="1"/>
    <col min="1977" max="1977" width="30.140625" customWidth="1"/>
    <col min="1978" max="1978" width="6.28515625" customWidth="1"/>
    <col min="1979" max="1979" width="31.42578125" customWidth="1"/>
    <col min="1980" max="1980" width="10.5703125" customWidth="1"/>
    <col min="1981" max="1981" width="10.42578125" customWidth="1"/>
    <col min="1982" max="1982" width="9.5703125" customWidth="1"/>
    <col min="1983" max="1983" width="8.42578125" customWidth="1"/>
    <col min="1984" max="1984" width="9" customWidth="1"/>
    <col min="1985" max="1985" width="10.42578125" customWidth="1"/>
    <col min="1988" max="1988" width="10.28515625" customWidth="1"/>
    <col min="2232" max="2232" width="7" customWidth="1"/>
    <col min="2233" max="2233" width="30.140625" customWidth="1"/>
    <col min="2234" max="2234" width="6.28515625" customWidth="1"/>
    <col min="2235" max="2235" width="31.42578125" customWidth="1"/>
    <col min="2236" max="2236" width="10.5703125" customWidth="1"/>
    <col min="2237" max="2237" width="10.42578125" customWidth="1"/>
    <col min="2238" max="2238" width="9.5703125" customWidth="1"/>
    <col min="2239" max="2239" width="8.42578125" customWidth="1"/>
    <col min="2240" max="2240" width="9" customWidth="1"/>
    <col min="2241" max="2241" width="10.42578125" customWidth="1"/>
    <col min="2244" max="2244" width="10.28515625" customWidth="1"/>
    <col min="2488" max="2488" width="7" customWidth="1"/>
    <col min="2489" max="2489" width="30.140625" customWidth="1"/>
    <col min="2490" max="2490" width="6.28515625" customWidth="1"/>
    <col min="2491" max="2491" width="31.42578125" customWidth="1"/>
    <col min="2492" max="2492" width="10.5703125" customWidth="1"/>
    <col min="2493" max="2493" width="10.42578125" customWidth="1"/>
    <col min="2494" max="2494" width="9.5703125" customWidth="1"/>
    <col min="2495" max="2495" width="8.42578125" customWidth="1"/>
    <col min="2496" max="2496" width="9" customWidth="1"/>
    <col min="2497" max="2497" width="10.42578125" customWidth="1"/>
    <col min="2500" max="2500" width="10.28515625" customWidth="1"/>
    <col min="2744" max="2744" width="7" customWidth="1"/>
    <col min="2745" max="2745" width="30.140625" customWidth="1"/>
    <col min="2746" max="2746" width="6.28515625" customWidth="1"/>
    <col min="2747" max="2747" width="31.42578125" customWidth="1"/>
    <col min="2748" max="2748" width="10.5703125" customWidth="1"/>
    <col min="2749" max="2749" width="10.42578125" customWidth="1"/>
    <col min="2750" max="2750" width="9.5703125" customWidth="1"/>
    <col min="2751" max="2751" width="8.42578125" customWidth="1"/>
    <col min="2752" max="2752" width="9" customWidth="1"/>
    <col min="2753" max="2753" width="10.42578125" customWidth="1"/>
    <col min="2756" max="2756" width="10.28515625" customWidth="1"/>
    <col min="3000" max="3000" width="7" customWidth="1"/>
    <col min="3001" max="3001" width="30.140625" customWidth="1"/>
    <col min="3002" max="3002" width="6.28515625" customWidth="1"/>
    <col min="3003" max="3003" width="31.42578125" customWidth="1"/>
    <col min="3004" max="3004" width="10.5703125" customWidth="1"/>
    <col min="3005" max="3005" width="10.42578125" customWidth="1"/>
    <col min="3006" max="3006" width="9.5703125" customWidth="1"/>
    <col min="3007" max="3007" width="8.42578125" customWidth="1"/>
    <col min="3008" max="3008" width="9" customWidth="1"/>
    <col min="3009" max="3009" width="10.42578125" customWidth="1"/>
    <col min="3012" max="3012" width="10.28515625" customWidth="1"/>
    <col min="3256" max="3256" width="7" customWidth="1"/>
    <col min="3257" max="3257" width="30.140625" customWidth="1"/>
    <col min="3258" max="3258" width="6.28515625" customWidth="1"/>
    <col min="3259" max="3259" width="31.42578125" customWidth="1"/>
    <col min="3260" max="3260" width="10.5703125" customWidth="1"/>
    <col min="3261" max="3261" width="10.42578125" customWidth="1"/>
    <col min="3262" max="3262" width="9.5703125" customWidth="1"/>
    <col min="3263" max="3263" width="8.42578125" customWidth="1"/>
    <col min="3264" max="3264" width="9" customWidth="1"/>
    <col min="3265" max="3265" width="10.42578125" customWidth="1"/>
    <col min="3268" max="3268" width="10.28515625" customWidth="1"/>
    <col min="3512" max="3512" width="7" customWidth="1"/>
    <col min="3513" max="3513" width="30.140625" customWidth="1"/>
    <col min="3514" max="3514" width="6.28515625" customWidth="1"/>
    <col min="3515" max="3515" width="31.42578125" customWidth="1"/>
    <col min="3516" max="3516" width="10.5703125" customWidth="1"/>
    <col min="3517" max="3517" width="10.42578125" customWidth="1"/>
    <col min="3518" max="3518" width="9.5703125" customWidth="1"/>
    <col min="3519" max="3519" width="8.42578125" customWidth="1"/>
    <col min="3520" max="3520" width="9" customWidth="1"/>
    <col min="3521" max="3521" width="10.42578125" customWidth="1"/>
    <col min="3524" max="3524" width="10.28515625" customWidth="1"/>
    <col min="3768" max="3768" width="7" customWidth="1"/>
    <col min="3769" max="3769" width="30.140625" customWidth="1"/>
    <col min="3770" max="3770" width="6.28515625" customWidth="1"/>
    <col min="3771" max="3771" width="31.42578125" customWidth="1"/>
    <col min="3772" max="3772" width="10.5703125" customWidth="1"/>
    <col min="3773" max="3773" width="10.42578125" customWidth="1"/>
    <col min="3774" max="3774" width="9.5703125" customWidth="1"/>
    <col min="3775" max="3775" width="8.42578125" customWidth="1"/>
    <col min="3776" max="3776" width="9" customWidth="1"/>
    <col min="3777" max="3777" width="10.42578125" customWidth="1"/>
    <col min="3780" max="3780" width="10.28515625" customWidth="1"/>
    <col min="4024" max="4024" width="7" customWidth="1"/>
    <col min="4025" max="4025" width="30.140625" customWidth="1"/>
    <col min="4026" max="4026" width="6.28515625" customWidth="1"/>
    <col min="4027" max="4027" width="31.42578125" customWidth="1"/>
    <col min="4028" max="4028" width="10.5703125" customWidth="1"/>
    <col min="4029" max="4029" width="10.42578125" customWidth="1"/>
    <col min="4030" max="4030" width="9.5703125" customWidth="1"/>
    <col min="4031" max="4031" width="8.42578125" customWidth="1"/>
    <col min="4032" max="4032" width="9" customWidth="1"/>
    <col min="4033" max="4033" width="10.42578125" customWidth="1"/>
    <col min="4036" max="4036" width="10.28515625" customWidth="1"/>
    <col min="4280" max="4280" width="7" customWidth="1"/>
    <col min="4281" max="4281" width="30.140625" customWidth="1"/>
    <col min="4282" max="4282" width="6.28515625" customWidth="1"/>
    <col min="4283" max="4283" width="31.42578125" customWidth="1"/>
    <col min="4284" max="4284" width="10.5703125" customWidth="1"/>
    <col min="4285" max="4285" width="10.42578125" customWidth="1"/>
    <col min="4286" max="4286" width="9.5703125" customWidth="1"/>
    <col min="4287" max="4287" width="8.42578125" customWidth="1"/>
    <col min="4288" max="4288" width="9" customWidth="1"/>
    <col min="4289" max="4289" width="10.42578125" customWidth="1"/>
    <col min="4292" max="4292" width="10.28515625" customWidth="1"/>
    <col min="4536" max="4536" width="7" customWidth="1"/>
    <col min="4537" max="4537" width="30.140625" customWidth="1"/>
    <col min="4538" max="4538" width="6.28515625" customWidth="1"/>
    <col min="4539" max="4539" width="31.42578125" customWidth="1"/>
    <col min="4540" max="4540" width="10.5703125" customWidth="1"/>
    <col min="4541" max="4541" width="10.42578125" customWidth="1"/>
    <col min="4542" max="4542" width="9.5703125" customWidth="1"/>
    <col min="4543" max="4543" width="8.42578125" customWidth="1"/>
    <col min="4544" max="4544" width="9" customWidth="1"/>
    <col min="4545" max="4545" width="10.42578125" customWidth="1"/>
    <col min="4548" max="4548" width="10.28515625" customWidth="1"/>
    <col min="4792" max="4792" width="7" customWidth="1"/>
    <col min="4793" max="4793" width="30.140625" customWidth="1"/>
    <col min="4794" max="4794" width="6.28515625" customWidth="1"/>
    <col min="4795" max="4795" width="31.42578125" customWidth="1"/>
    <col min="4796" max="4796" width="10.5703125" customWidth="1"/>
    <col min="4797" max="4797" width="10.42578125" customWidth="1"/>
    <col min="4798" max="4798" width="9.5703125" customWidth="1"/>
    <col min="4799" max="4799" width="8.42578125" customWidth="1"/>
    <col min="4800" max="4800" width="9" customWidth="1"/>
    <col min="4801" max="4801" width="10.42578125" customWidth="1"/>
    <col min="4804" max="4804" width="10.28515625" customWidth="1"/>
    <col min="5048" max="5048" width="7" customWidth="1"/>
    <col min="5049" max="5049" width="30.140625" customWidth="1"/>
    <col min="5050" max="5050" width="6.28515625" customWidth="1"/>
    <col min="5051" max="5051" width="31.42578125" customWidth="1"/>
    <col min="5052" max="5052" width="10.5703125" customWidth="1"/>
    <col min="5053" max="5053" width="10.42578125" customWidth="1"/>
    <col min="5054" max="5054" width="9.5703125" customWidth="1"/>
    <col min="5055" max="5055" width="8.42578125" customWidth="1"/>
    <col min="5056" max="5056" width="9" customWidth="1"/>
    <col min="5057" max="5057" width="10.42578125" customWidth="1"/>
    <col min="5060" max="5060" width="10.28515625" customWidth="1"/>
    <col min="5304" max="5304" width="7" customWidth="1"/>
    <col min="5305" max="5305" width="30.140625" customWidth="1"/>
    <col min="5306" max="5306" width="6.28515625" customWidth="1"/>
    <col min="5307" max="5307" width="31.42578125" customWidth="1"/>
    <col min="5308" max="5308" width="10.5703125" customWidth="1"/>
    <col min="5309" max="5309" width="10.42578125" customWidth="1"/>
    <col min="5310" max="5310" width="9.5703125" customWidth="1"/>
    <col min="5311" max="5311" width="8.42578125" customWidth="1"/>
    <col min="5312" max="5312" width="9" customWidth="1"/>
    <col min="5313" max="5313" width="10.42578125" customWidth="1"/>
    <col min="5316" max="5316" width="10.28515625" customWidth="1"/>
    <col min="5560" max="5560" width="7" customWidth="1"/>
    <col min="5561" max="5561" width="30.140625" customWidth="1"/>
    <col min="5562" max="5562" width="6.28515625" customWidth="1"/>
    <col min="5563" max="5563" width="31.42578125" customWidth="1"/>
    <col min="5564" max="5564" width="10.5703125" customWidth="1"/>
    <col min="5565" max="5565" width="10.42578125" customWidth="1"/>
    <col min="5566" max="5566" width="9.5703125" customWidth="1"/>
    <col min="5567" max="5567" width="8.42578125" customWidth="1"/>
    <col min="5568" max="5568" width="9" customWidth="1"/>
    <col min="5569" max="5569" width="10.42578125" customWidth="1"/>
    <col min="5572" max="5572" width="10.28515625" customWidth="1"/>
    <col min="5816" max="5816" width="7" customWidth="1"/>
    <col min="5817" max="5817" width="30.140625" customWidth="1"/>
    <col min="5818" max="5818" width="6.28515625" customWidth="1"/>
    <col min="5819" max="5819" width="31.42578125" customWidth="1"/>
    <col min="5820" max="5820" width="10.5703125" customWidth="1"/>
    <col min="5821" max="5821" width="10.42578125" customWidth="1"/>
    <col min="5822" max="5822" width="9.5703125" customWidth="1"/>
    <col min="5823" max="5823" width="8.42578125" customWidth="1"/>
    <col min="5824" max="5824" width="9" customWidth="1"/>
    <col min="5825" max="5825" width="10.42578125" customWidth="1"/>
    <col min="5828" max="5828" width="10.28515625" customWidth="1"/>
    <col min="6072" max="6072" width="7" customWidth="1"/>
    <col min="6073" max="6073" width="30.140625" customWidth="1"/>
    <col min="6074" max="6074" width="6.28515625" customWidth="1"/>
    <col min="6075" max="6075" width="31.42578125" customWidth="1"/>
    <col min="6076" max="6076" width="10.5703125" customWidth="1"/>
    <col min="6077" max="6077" width="10.42578125" customWidth="1"/>
    <col min="6078" max="6078" width="9.5703125" customWidth="1"/>
    <col min="6079" max="6079" width="8.42578125" customWidth="1"/>
    <col min="6080" max="6080" width="9" customWidth="1"/>
    <col min="6081" max="6081" width="10.42578125" customWidth="1"/>
    <col min="6084" max="6084" width="10.28515625" customWidth="1"/>
    <col min="6328" max="6328" width="7" customWidth="1"/>
    <col min="6329" max="6329" width="30.140625" customWidth="1"/>
    <col min="6330" max="6330" width="6.28515625" customWidth="1"/>
    <col min="6331" max="6331" width="31.42578125" customWidth="1"/>
    <col min="6332" max="6332" width="10.5703125" customWidth="1"/>
    <col min="6333" max="6333" width="10.42578125" customWidth="1"/>
    <col min="6334" max="6334" width="9.5703125" customWidth="1"/>
    <col min="6335" max="6335" width="8.42578125" customWidth="1"/>
    <col min="6336" max="6336" width="9" customWidth="1"/>
    <col min="6337" max="6337" width="10.42578125" customWidth="1"/>
    <col min="6340" max="6340" width="10.28515625" customWidth="1"/>
    <col min="6584" max="6584" width="7" customWidth="1"/>
    <col min="6585" max="6585" width="30.140625" customWidth="1"/>
    <col min="6586" max="6586" width="6.28515625" customWidth="1"/>
    <col min="6587" max="6587" width="31.42578125" customWidth="1"/>
    <col min="6588" max="6588" width="10.5703125" customWidth="1"/>
    <col min="6589" max="6589" width="10.42578125" customWidth="1"/>
    <col min="6590" max="6590" width="9.5703125" customWidth="1"/>
    <col min="6591" max="6591" width="8.42578125" customWidth="1"/>
    <col min="6592" max="6592" width="9" customWidth="1"/>
    <col min="6593" max="6593" width="10.42578125" customWidth="1"/>
    <col min="6596" max="6596" width="10.28515625" customWidth="1"/>
    <col min="6840" max="6840" width="7" customWidth="1"/>
    <col min="6841" max="6841" width="30.140625" customWidth="1"/>
    <col min="6842" max="6842" width="6.28515625" customWidth="1"/>
    <col min="6843" max="6843" width="31.42578125" customWidth="1"/>
    <col min="6844" max="6844" width="10.5703125" customWidth="1"/>
    <col min="6845" max="6845" width="10.42578125" customWidth="1"/>
    <col min="6846" max="6846" width="9.5703125" customWidth="1"/>
    <col min="6847" max="6847" width="8.42578125" customWidth="1"/>
    <col min="6848" max="6848" width="9" customWidth="1"/>
    <col min="6849" max="6849" width="10.42578125" customWidth="1"/>
    <col min="6852" max="6852" width="10.28515625" customWidth="1"/>
    <col min="7096" max="7096" width="7" customWidth="1"/>
    <col min="7097" max="7097" width="30.140625" customWidth="1"/>
    <col min="7098" max="7098" width="6.28515625" customWidth="1"/>
    <col min="7099" max="7099" width="31.42578125" customWidth="1"/>
    <col min="7100" max="7100" width="10.5703125" customWidth="1"/>
    <col min="7101" max="7101" width="10.42578125" customWidth="1"/>
    <col min="7102" max="7102" width="9.5703125" customWidth="1"/>
    <col min="7103" max="7103" width="8.42578125" customWidth="1"/>
    <col min="7104" max="7104" width="9" customWidth="1"/>
    <col min="7105" max="7105" width="10.42578125" customWidth="1"/>
    <col min="7108" max="7108" width="10.28515625" customWidth="1"/>
    <col min="7352" max="7352" width="7" customWidth="1"/>
    <col min="7353" max="7353" width="30.140625" customWidth="1"/>
    <col min="7354" max="7354" width="6.28515625" customWidth="1"/>
    <col min="7355" max="7355" width="31.42578125" customWidth="1"/>
    <col min="7356" max="7356" width="10.5703125" customWidth="1"/>
    <col min="7357" max="7357" width="10.42578125" customWidth="1"/>
    <col min="7358" max="7358" width="9.5703125" customWidth="1"/>
    <col min="7359" max="7359" width="8.42578125" customWidth="1"/>
    <col min="7360" max="7360" width="9" customWidth="1"/>
    <col min="7361" max="7361" width="10.42578125" customWidth="1"/>
    <col min="7364" max="7364" width="10.28515625" customWidth="1"/>
    <col min="7608" max="7608" width="7" customWidth="1"/>
    <col min="7609" max="7609" width="30.140625" customWidth="1"/>
    <col min="7610" max="7610" width="6.28515625" customWidth="1"/>
    <col min="7611" max="7611" width="31.42578125" customWidth="1"/>
    <col min="7612" max="7612" width="10.5703125" customWidth="1"/>
    <col min="7613" max="7613" width="10.42578125" customWidth="1"/>
    <col min="7614" max="7614" width="9.5703125" customWidth="1"/>
    <col min="7615" max="7615" width="8.42578125" customWidth="1"/>
    <col min="7616" max="7616" width="9" customWidth="1"/>
    <col min="7617" max="7617" width="10.42578125" customWidth="1"/>
    <col min="7620" max="7620" width="10.28515625" customWidth="1"/>
    <col min="7864" max="7864" width="7" customWidth="1"/>
    <col min="7865" max="7865" width="30.140625" customWidth="1"/>
    <col min="7866" max="7866" width="6.28515625" customWidth="1"/>
    <col min="7867" max="7867" width="31.42578125" customWidth="1"/>
    <col min="7868" max="7868" width="10.5703125" customWidth="1"/>
    <col min="7869" max="7869" width="10.42578125" customWidth="1"/>
    <col min="7870" max="7870" width="9.5703125" customWidth="1"/>
    <col min="7871" max="7871" width="8.42578125" customWidth="1"/>
    <col min="7872" max="7872" width="9" customWidth="1"/>
    <col min="7873" max="7873" width="10.42578125" customWidth="1"/>
    <col min="7876" max="7876" width="10.28515625" customWidth="1"/>
    <col min="8120" max="8120" width="7" customWidth="1"/>
    <col min="8121" max="8121" width="30.140625" customWidth="1"/>
    <col min="8122" max="8122" width="6.28515625" customWidth="1"/>
    <col min="8123" max="8123" width="31.42578125" customWidth="1"/>
    <col min="8124" max="8124" width="10.5703125" customWidth="1"/>
    <col min="8125" max="8125" width="10.42578125" customWidth="1"/>
    <col min="8126" max="8126" width="9.5703125" customWidth="1"/>
    <col min="8127" max="8127" width="8.42578125" customWidth="1"/>
    <col min="8128" max="8128" width="9" customWidth="1"/>
    <col min="8129" max="8129" width="10.42578125" customWidth="1"/>
    <col min="8132" max="8132" width="10.28515625" customWidth="1"/>
    <col min="8376" max="8376" width="7" customWidth="1"/>
    <col min="8377" max="8377" width="30.140625" customWidth="1"/>
    <col min="8378" max="8378" width="6.28515625" customWidth="1"/>
    <col min="8379" max="8379" width="31.42578125" customWidth="1"/>
    <col min="8380" max="8380" width="10.5703125" customWidth="1"/>
    <col min="8381" max="8381" width="10.42578125" customWidth="1"/>
    <col min="8382" max="8382" width="9.5703125" customWidth="1"/>
    <col min="8383" max="8383" width="8.42578125" customWidth="1"/>
    <col min="8384" max="8384" width="9" customWidth="1"/>
    <col min="8385" max="8385" width="10.42578125" customWidth="1"/>
    <col min="8388" max="8388" width="10.28515625" customWidth="1"/>
    <col min="8632" max="8632" width="7" customWidth="1"/>
    <col min="8633" max="8633" width="30.140625" customWidth="1"/>
    <col min="8634" max="8634" width="6.28515625" customWidth="1"/>
    <col min="8635" max="8635" width="31.42578125" customWidth="1"/>
    <col min="8636" max="8636" width="10.5703125" customWidth="1"/>
    <col min="8637" max="8637" width="10.42578125" customWidth="1"/>
    <col min="8638" max="8638" width="9.5703125" customWidth="1"/>
    <col min="8639" max="8639" width="8.42578125" customWidth="1"/>
    <col min="8640" max="8640" width="9" customWidth="1"/>
    <col min="8641" max="8641" width="10.42578125" customWidth="1"/>
    <col min="8644" max="8644" width="10.28515625" customWidth="1"/>
    <col min="8888" max="8888" width="7" customWidth="1"/>
    <col min="8889" max="8889" width="30.140625" customWidth="1"/>
    <col min="8890" max="8890" width="6.28515625" customWidth="1"/>
    <col min="8891" max="8891" width="31.42578125" customWidth="1"/>
    <col min="8892" max="8892" width="10.5703125" customWidth="1"/>
    <col min="8893" max="8893" width="10.42578125" customWidth="1"/>
    <col min="8894" max="8894" width="9.5703125" customWidth="1"/>
    <col min="8895" max="8895" width="8.42578125" customWidth="1"/>
    <col min="8896" max="8896" width="9" customWidth="1"/>
    <col min="8897" max="8897" width="10.42578125" customWidth="1"/>
    <col min="8900" max="8900" width="10.28515625" customWidth="1"/>
    <col min="9144" max="9144" width="7" customWidth="1"/>
    <col min="9145" max="9145" width="30.140625" customWidth="1"/>
    <col min="9146" max="9146" width="6.28515625" customWidth="1"/>
    <col min="9147" max="9147" width="31.42578125" customWidth="1"/>
    <col min="9148" max="9148" width="10.5703125" customWidth="1"/>
    <col min="9149" max="9149" width="10.42578125" customWidth="1"/>
    <col min="9150" max="9150" width="9.5703125" customWidth="1"/>
    <col min="9151" max="9151" width="8.42578125" customWidth="1"/>
    <col min="9152" max="9152" width="9" customWidth="1"/>
    <col min="9153" max="9153" width="10.42578125" customWidth="1"/>
    <col min="9156" max="9156" width="10.28515625" customWidth="1"/>
    <col min="9400" max="9400" width="7" customWidth="1"/>
    <col min="9401" max="9401" width="30.140625" customWidth="1"/>
    <col min="9402" max="9402" width="6.28515625" customWidth="1"/>
    <col min="9403" max="9403" width="31.42578125" customWidth="1"/>
    <col min="9404" max="9404" width="10.5703125" customWidth="1"/>
    <col min="9405" max="9405" width="10.42578125" customWidth="1"/>
    <col min="9406" max="9406" width="9.5703125" customWidth="1"/>
    <col min="9407" max="9407" width="8.42578125" customWidth="1"/>
    <col min="9408" max="9408" width="9" customWidth="1"/>
    <col min="9409" max="9409" width="10.42578125" customWidth="1"/>
    <col min="9412" max="9412" width="10.28515625" customWidth="1"/>
    <col min="9656" max="9656" width="7" customWidth="1"/>
    <col min="9657" max="9657" width="30.140625" customWidth="1"/>
    <col min="9658" max="9658" width="6.28515625" customWidth="1"/>
    <col min="9659" max="9659" width="31.42578125" customWidth="1"/>
    <col min="9660" max="9660" width="10.5703125" customWidth="1"/>
    <col min="9661" max="9661" width="10.42578125" customWidth="1"/>
    <col min="9662" max="9662" width="9.5703125" customWidth="1"/>
    <col min="9663" max="9663" width="8.42578125" customWidth="1"/>
    <col min="9664" max="9664" width="9" customWidth="1"/>
    <col min="9665" max="9665" width="10.42578125" customWidth="1"/>
    <col min="9668" max="9668" width="10.28515625" customWidth="1"/>
    <col min="9912" max="9912" width="7" customWidth="1"/>
    <col min="9913" max="9913" width="30.140625" customWidth="1"/>
    <col min="9914" max="9914" width="6.28515625" customWidth="1"/>
    <col min="9915" max="9915" width="31.42578125" customWidth="1"/>
    <col min="9916" max="9916" width="10.5703125" customWidth="1"/>
    <col min="9917" max="9917" width="10.42578125" customWidth="1"/>
    <col min="9918" max="9918" width="9.5703125" customWidth="1"/>
    <col min="9919" max="9919" width="8.42578125" customWidth="1"/>
    <col min="9920" max="9920" width="9" customWidth="1"/>
    <col min="9921" max="9921" width="10.42578125" customWidth="1"/>
    <col min="9924" max="9924" width="10.28515625" customWidth="1"/>
    <col min="10168" max="10168" width="7" customWidth="1"/>
    <col min="10169" max="10169" width="30.140625" customWidth="1"/>
    <col min="10170" max="10170" width="6.28515625" customWidth="1"/>
    <col min="10171" max="10171" width="31.42578125" customWidth="1"/>
    <col min="10172" max="10172" width="10.5703125" customWidth="1"/>
    <col min="10173" max="10173" width="10.42578125" customWidth="1"/>
    <col min="10174" max="10174" width="9.5703125" customWidth="1"/>
    <col min="10175" max="10175" width="8.42578125" customWidth="1"/>
    <col min="10176" max="10176" width="9" customWidth="1"/>
    <col min="10177" max="10177" width="10.42578125" customWidth="1"/>
    <col min="10180" max="10180" width="10.28515625" customWidth="1"/>
    <col min="10424" max="10424" width="7" customWidth="1"/>
    <col min="10425" max="10425" width="30.140625" customWidth="1"/>
    <col min="10426" max="10426" width="6.28515625" customWidth="1"/>
    <col min="10427" max="10427" width="31.42578125" customWidth="1"/>
    <col min="10428" max="10428" width="10.5703125" customWidth="1"/>
    <col min="10429" max="10429" width="10.42578125" customWidth="1"/>
    <col min="10430" max="10430" width="9.5703125" customWidth="1"/>
    <col min="10431" max="10431" width="8.42578125" customWidth="1"/>
    <col min="10432" max="10432" width="9" customWidth="1"/>
    <col min="10433" max="10433" width="10.42578125" customWidth="1"/>
    <col min="10436" max="10436" width="10.28515625" customWidth="1"/>
    <col min="10680" max="10680" width="7" customWidth="1"/>
    <col min="10681" max="10681" width="30.140625" customWidth="1"/>
    <col min="10682" max="10682" width="6.28515625" customWidth="1"/>
    <col min="10683" max="10683" width="31.42578125" customWidth="1"/>
    <col min="10684" max="10684" width="10.5703125" customWidth="1"/>
    <col min="10685" max="10685" width="10.42578125" customWidth="1"/>
    <col min="10686" max="10686" width="9.5703125" customWidth="1"/>
    <col min="10687" max="10687" width="8.42578125" customWidth="1"/>
    <col min="10688" max="10688" width="9" customWidth="1"/>
    <col min="10689" max="10689" width="10.42578125" customWidth="1"/>
    <col min="10692" max="10692" width="10.28515625" customWidth="1"/>
    <col min="10936" max="10936" width="7" customWidth="1"/>
    <col min="10937" max="10937" width="30.140625" customWidth="1"/>
    <col min="10938" max="10938" width="6.28515625" customWidth="1"/>
    <col min="10939" max="10939" width="31.42578125" customWidth="1"/>
    <col min="10940" max="10940" width="10.5703125" customWidth="1"/>
    <col min="10941" max="10941" width="10.42578125" customWidth="1"/>
    <col min="10942" max="10942" width="9.5703125" customWidth="1"/>
    <col min="10943" max="10943" width="8.42578125" customWidth="1"/>
    <col min="10944" max="10944" width="9" customWidth="1"/>
    <col min="10945" max="10945" width="10.42578125" customWidth="1"/>
    <col min="10948" max="10948" width="10.28515625" customWidth="1"/>
    <col min="11192" max="11192" width="7" customWidth="1"/>
    <col min="11193" max="11193" width="30.140625" customWidth="1"/>
    <col min="11194" max="11194" width="6.28515625" customWidth="1"/>
    <col min="11195" max="11195" width="31.42578125" customWidth="1"/>
    <col min="11196" max="11196" width="10.5703125" customWidth="1"/>
    <col min="11197" max="11197" width="10.42578125" customWidth="1"/>
    <col min="11198" max="11198" width="9.5703125" customWidth="1"/>
    <col min="11199" max="11199" width="8.42578125" customWidth="1"/>
    <col min="11200" max="11200" width="9" customWidth="1"/>
    <col min="11201" max="11201" width="10.42578125" customWidth="1"/>
    <col min="11204" max="11204" width="10.28515625" customWidth="1"/>
    <col min="11448" max="11448" width="7" customWidth="1"/>
    <col min="11449" max="11449" width="30.140625" customWidth="1"/>
    <col min="11450" max="11450" width="6.28515625" customWidth="1"/>
    <col min="11451" max="11451" width="31.42578125" customWidth="1"/>
    <col min="11452" max="11452" width="10.5703125" customWidth="1"/>
    <col min="11453" max="11453" width="10.42578125" customWidth="1"/>
    <col min="11454" max="11454" width="9.5703125" customWidth="1"/>
    <col min="11455" max="11455" width="8.42578125" customWidth="1"/>
    <col min="11456" max="11456" width="9" customWidth="1"/>
    <col min="11457" max="11457" width="10.42578125" customWidth="1"/>
    <col min="11460" max="11460" width="10.28515625" customWidth="1"/>
    <col min="11704" max="11704" width="7" customWidth="1"/>
    <col min="11705" max="11705" width="30.140625" customWidth="1"/>
    <col min="11706" max="11706" width="6.28515625" customWidth="1"/>
    <col min="11707" max="11707" width="31.42578125" customWidth="1"/>
    <col min="11708" max="11708" width="10.5703125" customWidth="1"/>
    <col min="11709" max="11709" width="10.42578125" customWidth="1"/>
    <col min="11710" max="11710" width="9.5703125" customWidth="1"/>
    <col min="11711" max="11711" width="8.42578125" customWidth="1"/>
    <col min="11712" max="11712" width="9" customWidth="1"/>
    <col min="11713" max="11713" width="10.42578125" customWidth="1"/>
    <col min="11716" max="11716" width="10.28515625" customWidth="1"/>
    <col min="11960" max="11960" width="7" customWidth="1"/>
    <col min="11961" max="11961" width="30.140625" customWidth="1"/>
    <col min="11962" max="11962" width="6.28515625" customWidth="1"/>
    <col min="11963" max="11963" width="31.42578125" customWidth="1"/>
    <col min="11964" max="11964" width="10.5703125" customWidth="1"/>
    <col min="11965" max="11965" width="10.42578125" customWidth="1"/>
    <col min="11966" max="11966" width="9.5703125" customWidth="1"/>
    <col min="11967" max="11967" width="8.42578125" customWidth="1"/>
    <col min="11968" max="11968" width="9" customWidth="1"/>
    <col min="11969" max="11969" width="10.42578125" customWidth="1"/>
    <col min="11972" max="11972" width="10.28515625" customWidth="1"/>
    <col min="12216" max="12216" width="7" customWidth="1"/>
    <col min="12217" max="12217" width="30.140625" customWidth="1"/>
    <col min="12218" max="12218" width="6.28515625" customWidth="1"/>
    <col min="12219" max="12219" width="31.42578125" customWidth="1"/>
    <col min="12220" max="12220" width="10.5703125" customWidth="1"/>
    <col min="12221" max="12221" width="10.42578125" customWidth="1"/>
    <col min="12222" max="12222" width="9.5703125" customWidth="1"/>
    <col min="12223" max="12223" width="8.42578125" customWidth="1"/>
    <col min="12224" max="12224" width="9" customWidth="1"/>
    <col min="12225" max="12225" width="10.42578125" customWidth="1"/>
    <col min="12228" max="12228" width="10.28515625" customWidth="1"/>
    <col min="12472" max="12472" width="7" customWidth="1"/>
    <col min="12473" max="12473" width="30.140625" customWidth="1"/>
    <col min="12474" max="12474" width="6.28515625" customWidth="1"/>
    <col min="12475" max="12475" width="31.42578125" customWidth="1"/>
    <col min="12476" max="12476" width="10.5703125" customWidth="1"/>
    <col min="12477" max="12477" width="10.42578125" customWidth="1"/>
    <col min="12478" max="12478" width="9.5703125" customWidth="1"/>
    <col min="12479" max="12479" width="8.42578125" customWidth="1"/>
    <col min="12480" max="12480" width="9" customWidth="1"/>
    <col min="12481" max="12481" width="10.42578125" customWidth="1"/>
    <col min="12484" max="12484" width="10.28515625" customWidth="1"/>
    <col min="12728" max="12728" width="7" customWidth="1"/>
    <col min="12729" max="12729" width="30.140625" customWidth="1"/>
    <col min="12730" max="12730" width="6.28515625" customWidth="1"/>
    <col min="12731" max="12731" width="31.42578125" customWidth="1"/>
    <col min="12732" max="12732" width="10.5703125" customWidth="1"/>
    <col min="12733" max="12733" width="10.42578125" customWidth="1"/>
    <col min="12734" max="12734" width="9.5703125" customWidth="1"/>
    <col min="12735" max="12735" width="8.42578125" customWidth="1"/>
    <col min="12736" max="12736" width="9" customWidth="1"/>
    <col min="12737" max="12737" width="10.42578125" customWidth="1"/>
    <col min="12740" max="12740" width="10.28515625" customWidth="1"/>
    <col min="12984" max="12984" width="7" customWidth="1"/>
    <col min="12985" max="12985" width="30.140625" customWidth="1"/>
    <col min="12986" max="12986" width="6.28515625" customWidth="1"/>
    <col min="12987" max="12987" width="31.42578125" customWidth="1"/>
    <col min="12988" max="12988" width="10.5703125" customWidth="1"/>
    <col min="12989" max="12989" width="10.42578125" customWidth="1"/>
    <col min="12990" max="12990" width="9.5703125" customWidth="1"/>
    <col min="12991" max="12991" width="8.42578125" customWidth="1"/>
    <col min="12992" max="12992" width="9" customWidth="1"/>
    <col min="12993" max="12993" width="10.42578125" customWidth="1"/>
    <col min="12996" max="12996" width="10.28515625" customWidth="1"/>
    <col min="13240" max="13240" width="7" customWidth="1"/>
    <col min="13241" max="13241" width="30.140625" customWidth="1"/>
    <col min="13242" max="13242" width="6.28515625" customWidth="1"/>
    <col min="13243" max="13243" width="31.42578125" customWidth="1"/>
    <col min="13244" max="13244" width="10.5703125" customWidth="1"/>
    <col min="13245" max="13245" width="10.42578125" customWidth="1"/>
    <col min="13246" max="13246" width="9.5703125" customWidth="1"/>
    <col min="13247" max="13247" width="8.42578125" customWidth="1"/>
    <col min="13248" max="13248" width="9" customWidth="1"/>
    <col min="13249" max="13249" width="10.42578125" customWidth="1"/>
    <col min="13252" max="13252" width="10.28515625" customWidth="1"/>
    <col min="13496" max="13496" width="7" customWidth="1"/>
    <col min="13497" max="13497" width="30.140625" customWidth="1"/>
    <col min="13498" max="13498" width="6.28515625" customWidth="1"/>
    <col min="13499" max="13499" width="31.42578125" customWidth="1"/>
    <col min="13500" max="13500" width="10.5703125" customWidth="1"/>
    <col min="13501" max="13501" width="10.42578125" customWidth="1"/>
    <col min="13502" max="13502" width="9.5703125" customWidth="1"/>
    <col min="13503" max="13503" width="8.42578125" customWidth="1"/>
    <col min="13504" max="13504" width="9" customWidth="1"/>
    <col min="13505" max="13505" width="10.42578125" customWidth="1"/>
    <col min="13508" max="13508" width="10.28515625" customWidth="1"/>
    <col min="13752" max="13752" width="7" customWidth="1"/>
    <col min="13753" max="13753" width="30.140625" customWidth="1"/>
    <col min="13754" max="13754" width="6.28515625" customWidth="1"/>
    <col min="13755" max="13755" width="31.42578125" customWidth="1"/>
    <col min="13756" max="13756" width="10.5703125" customWidth="1"/>
    <col min="13757" max="13757" width="10.42578125" customWidth="1"/>
    <col min="13758" max="13758" width="9.5703125" customWidth="1"/>
    <col min="13759" max="13759" width="8.42578125" customWidth="1"/>
    <col min="13760" max="13760" width="9" customWidth="1"/>
    <col min="13761" max="13761" width="10.42578125" customWidth="1"/>
    <col min="13764" max="13764" width="10.28515625" customWidth="1"/>
    <col min="14008" max="14008" width="7" customWidth="1"/>
    <col min="14009" max="14009" width="30.140625" customWidth="1"/>
    <col min="14010" max="14010" width="6.28515625" customWidth="1"/>
    <col min="14011" max="14011" width="31.42578125" customWidth="1"/>
    <col min="14012" max="14012" width="10.5703125" customWidth="1"/>
    <col min="14013" max="14013" width="10.42578125" customWidth="1"/>
    <col min="14014" max="14014" width="9.5703125" customWidth="1"/>
    <col min="14015" max="14015" width="8.42578125" customWidth="1"/>
    <col min="14016" max="14016" width="9" customWidth="1"/>
    <col min="14017" max="14017" width="10.42578125" customWidth="1"/>
    <col min="14020" max="14020" width="10.28515625" customWidth="1"/>
    <col min="14264" max="14264" width="7" customWidth="1"/>
    <col min="14265" max="14265" width="30.140625" customWidth="1"/>
    <col min="14266" max="14266" width="6.28515625" customWidth="1"/>
    <col min="14267" max="14267" width="31.42578125" customWidth="1"/>
    <col min="14268" max="14268" width="10.5703125" customWidth="1"/>
    <col min="14269" max="14269" width="10.42578125" customWidth="1"/>
    <col min="14270" max="14270" width="9.5703125" customWidth="1"/>
    <col min="14271" max="14271" width="8.42578125" customWidth="1"/>
    <col min="14272" max="14272" width="9" customWidth="1"/>
    <col min="14273" max="14273" width="10.42578125" customWidth="1"/>
    <col min="14276" max="14276" width="10.28515625" customWidth="1"/>
    <col min="14520" max="14520" width="7" customWidth="1"/>
    <col min="14521" max="14521" width="30.140625" customWidth="1"/>
    <col min="14522" max="14522" width="6.28515625" customWidth="1"/>
    <col min="14523" max="14523" width="31.42578125" customWidth="1"/>
    <col min="14524" max="14524" width="10.5703125" customWidth="1"/>
    <col min="14525" max="14525" width="10.42578125" customWidth="1"/>
    <col min="14526" max="14526" width="9.5703125" customWidth="1"/>
    <col min="14527" max="14527" width="8.42578125" customWidth="1"/>
    <col min="14528" max="14528" width="9" customWidth="1"/>
    <col min="14529" max="14529" width="10.42578125" customWidth="1"/>
    <col min="14532" max="14532" width="10.28515625" customWidth="1"/>
    <col min="14776" max="14776" width="7" customWidth="1"/>
    <col min="14777" max="14777" width="30.140625" customWidth="1"/>
    <col min="14778" max="14778" width="6.28515625" customWidth="1"/>
    <col min="14779" max="14779" width="31.42578125" customWidth="1"/>
    <col min="14780" max="14780" width="10.5703125" customWidth="1"/>
    <col min="14781" max="14781" width="10.42578125" customWidth="1"/>
    <col min="14782" max="14782" width="9.5703125" customWidth="1"/>
    <col min="14783" max="14783" width="8.42578125" customWidth="1"/>
    <col min="14784" max="14784" width="9" customWidth="1"/>
    <col min="14785" max="14785" width="10.42578125" customWidth="1"/>
    <col min="14788" max="14788" width="10.28515625" customWidth="1"/>
    <col min="15032" max="15032" width="7" customWidth="1"/>
    <col min="15033" max="15033" width="30.140625" customWidth="1"/>
    <col min="15034" max="15034" width="6.28515625" customWidth="1"/>
    <col min="15035" max="15035" width="31.42578125" customWidth="1"/>
    <col min="15036" max="15036" width="10.5703125" customWidth="1"/>
    <col min="15037" max="15037" width="10.42578125" customWidth="1"/>
    <col min="15038" max="15038" width="9.5703125" customWidth="1"/>
    <col min="15039" max="15039" width="8.42578125" customWidth="1"/>
    <col min="15040" max="15040" width="9" customWidth="1"/>
    <col min="15041" max="15041" width="10.42578125" customWidth="1"/>
    <col min="15044" max="15044" width="10.28515625" customWidth="1"/>
    <col min="15288" max="15288" width="7" customWidth="1"/>
    <col min="15289" max="15289" width="30.140625" customWidth="1"/>
    <col min="15290" max="15290" width="6.28515625" customWidth="1"/>
    <col min="15291" max="15291" width="31.42578125" customWidth="1"/>
    <col min="15292" max="15292" width="10.5703125" customWidth="1"/>
    <col min="15293" max="15293" width="10.42578125" customWidth="1"/>
    <col min="15294" max="15294" width="9.5703125" customWidth="1"/>
    <col min="15295" max="15295" width="8.42578125" customWidth="1"/>
    <col min="15296" max="15296" width="9" customWidth="1"/>
    <col min="15297" max="15297" width="10.42578125" customWidth="1"/>
    <col min="15300" max="15300" width="10.28515625" customWidth="1"/>
    <col min="15544" max="15544" width="7" customWidth="1"/>
    <col min="15545" max="15545" width="30.140625" customWidth="1"/>
    <col min="15546" max="15546" width="6.28515625" customWidth="1"/>
    <col min="15547" max="15547" width="31.42578125" customWidth="1"/>
    <col min="15548" max="15548" width="10.5703125" customWidth="1"/>
    <col min="15549" max="15549" width="10.42578125" customWidth="1"/>
    <col min="15550" max="15550" width="9.5703125" customWidth="1"/>
    <col min="15551" max="15551" width="8.42578125" customWidth="1"/>
    <col min="15552" max="15552" width="9" customWidth="1"/>
    <col min="15553" max="15553" width="10.42578125" customWidth="1"/>
    <col min="15556" max="15556" width="10.28515625" customWidth="1"/>
    <col min="15800" max="15800" width="7" customWidth="1"/>
    <col min="15801" max="15801" width="30.140625" customWidth="1"/>
    <col min="15802" max="15802" width="6.28515625" customWidth="1"/>
    <col min="15803" max="15803" width="31.42578125" customWidth="1"/>
    <col min="15804" max="15804" width="10.5703125" customWidth="1"/>
    <col min="15805" max="15805" width="10.42578125" customWidth="1"/>
    <col min="15806" max="15806" width="9.5703125" customWidth="1"/>
    <col min="15807" max="15807" width="8.42578125" customWidth="1"/>
    <col min="15808" max="15808" width="9" customWidth="1"/>
    <col min="15809" max="15809" width="10.42578125" customWidth="1"/>
    <col min="15812" max="15812" width="10.28515625" customWidth="1"/>
    <col min="16056" max="16056" width="7" customWidth="1"/>
    <col min="16057" max="16057" width="30.140625" customWidth="1"/>
    <col min="16058" max="16058" width="6.28515625" customWidth="1"/>
    <col min="16059" max="16059" width="31.42578125" customWidth="1"/>
    <col min="16060" max="16060" width="10.5703125" customWidth="1"/>
    <col min="16061" max="16061" width="10.42578125" customWidth="1"/>
    <col min="16062" max="16062" width="9.5703125" customWidth="1"/>
    <col min="16063" max="16063" width="8.42578125" customWidth="1"/>
    <col min="16064" max="16064" width="9" customWidth="1"/>
    <col min="16065" max="16065" width="10.42578125" customWidth="1"/>
    <col min="16068" max="16068" width="10.28515625" customWidth="1"/>
  </cols>
  <sheetData>
    <row r="1" spans="1:53" ht="15" x14ac:dyDescent="0.25">
      <c r="A1" s="51" t="s">
        <v>2</v>
      </c>
      <c r="B1" s="51"/>
      <c r="C1" s="43"/>
      <c r="D1" s="51"/>
      <c r="E1" s="51"/>
      <c r="F1" s="92"/>
      <c r="G1" s="741" t="s">
        <v>826</v>
      </c>
      <c r="H1" s="92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89"/>
      <c r="AK1" s="89"/>
      <c r="AL1" s="89"/>
      <c r="AM1" s="89"/>
      <c r="AN1" s="89"/>
      <c r="AO1" s="89"/>
      <c r="AP1" s="89"/>
      <c r="AQ1" s="89"/>
      <c r="AR1" s="89"/>
    </row>
    <row r="2" spans="1:53" ht="15" x14ac:dyDescent="0.25">
      <c r="A2" s="51" t="s">
        <v>3</v>
      </c>
      <c r="B2" s="51"/>
      <c r="C2" s="43"/>
      <c r="D2" s="51"/>
      <c r="E2" s="51"/>
      <c r="F2" s="92"/>
      <c r="G2" s="92"/>
      <c r="H2" s="92"/>
    </row>
    <row r="3" spans="1:53" ht="12.75" customHeight="1" x14ac:dyDescent="0.25">
      <c r="A3" s="784" t="s">
        <v>4</v>
      </c>
      <c r="B3" s="784"/>
      <c r="C3" s="784"/>
      <c r="D3" s="784"/>
      <c r="E3" s="784"/>
      <c r="F3" s="92"/>
      <c r="G3" s="92"/>
      <c r="H3" s="92"/>
      <c r="S3" s="631"/>
      <c r="T3" s="631"/>
    </row>
    <row r="4" spans="1:53" ht="15" x14ac:dyDescent="0.25">
      <c r="A4" s="91"/>
      <c r="B4" s="51"/>
      <c r="C4" s="51"/>
      <c r="D4" s="51"/>
      <c r="E4" s="51"/>
      <c r="F4" s="92"/>
      <c r="G4" s="92"/>
      <c r="H4" s="92"/>
      <c r="R4" s="712" t="s">
        <v>839</v>
      </c>
      <c r="S4" s="630"/>
      <c r="T4" s="630"/>
    </row>
    <row r="5" spans="1:53" ht="23.25" customHeight="1" thickBot="1" x14ac:dyDescent="0.3">
      <c r="A5" s="185" t="s">
        <v>827</v>
      </c>
      <c r="B5" s="52"/>
      <c r="C5" s="52"/>
      <c r="D5" s="52"/>
      <c r="E5" s="53"/>
      <c r="F5" s="271"/>
      <c r="G5" s="271"/>
      <c r="H5" s="53"/>
      <c r="R5" s="713" t="s">
        <v>840</v>
      </c>
      <c r="S5" s="630"/>
      <c r="T5" s="630"/>
    </row>
    <row r="6" spans="1:53" ht="15" customHeight="1" x14ac:dyDescent="0.25">
      <c r="A6" s="766" t="s">
        <v>859</v>
      </c>
      <c r="B6" s="767"/>
      <c r="C6" s="768"/>
      <c r="D6" s="768"/>
      <c r="E6" s="767"/>
      <c r="F6" s="767"/>
      <c r="G6" s="53"/>
      <c r="H6" s="92"/>
      <c r="I6" s="803" t="s">
        <v>828</v>
      </c>
      <c r="J6" s="804"/>
      <c r="K6" s="804"/>
      <c r="L6" s="804"/>
      <c r="M6" s="804"/>
      <c r="N6" s="804"/>
      <c r="O6" s="804"/>
      <c r="P6" s="805"/>
      <c r="Q6" s="809" t="s">
        <v>841</v>
      </c>
      <c r="R6" s="809"/>
      <c r="S6" s="809"/>
      <c r="T6" s="809"/>
      <c r="U6" s="809"/>
      <c r="V6" s="809"/>
      <c r="W6" s="809"/>
      <c r="X6" s="809"/>
      <c r="Y6" s="809"/>
      <c r="Z6" s="809"/>
      <c r="AA6" s="809"/>
      <c r="AB6" s="809"/>
      <c r="AC6" s="809"/>
      <c r="AD6" s="809"/>
      <c r="AE6" s="809"/>
      <c r="AF6" s="809"/>
      <c r="AG6" s="809"/>
      <c r="AH6" s="809"/>
      <c r="AI6" s="809"/>
      <c r="AJ6" s="809"/>
      <c r="AK6" s="809"/>
      <c r="AL6" s="809"/>
      <c r="AM6" s="809"/>
      <c r="AN6" s="809"/>
      <c r="AO6" s="809"/>
      <c r="AP6" s="809"/>
      <c r="AQ6" s="809"/>
      <c r="AR6" s="810"/>
      <c r="AS6" s="811" t="s">
        <v>865</v>
      </c>
      <c r="AT6" s="812"/>
      <c r="AU6" s="812"/>
      <c r="AV6" s="812"/>
      <c r="AW6" s="812"/>
      <c r="AX6" s="812"/>
      <c r="AY6" s="812"/>
      <c r="AZ6" s="812"/>
      <c r="BA6" s="813"/>
    </row>
    <row r="7" spans="1:53" ht="15" customHeight="1" thickBot="1" x14ac:dyDescent="0.3">
      <c r="A7" s="91"/>
      <c r="B7" s="6"/>
      <c r="D7" s="10"/>
      <c r="E7" s="6"/>
      <c r="F7" s="92"/>
      <c r="G7" s="92"/>
      <c r="H7" s="92"/>
      <c r="I7" s="806"/>
      <c r="J7" s="807"/>
      <c r="K7" s="807"/>
      <c r="L7" s="807"/>
      <c r="M7" s="807"/>
      <c r="N7" s="807"/>
      <c r="O7" s="807"/>
      <c r="P7" s="808"/>
      <c r="Q7" s="817" t="s">
        <v>282</v>
      </c>
      <c r="R7" s="817"/>
      <c r="S7" s="817"/>
      <c r="T7" s="817"/>
      <c r="U7" s="817"/>
      <c r="V7" s="818"/>
      <c r="W7" s="823" t="s">
        <v>283</v>
      </c>
      <c r="X7" s="817"/>
      <c r="Y7" s="817"/>
      <c r="Z7" s="818"/>
      <c r="AA7" s="785" t="s">
        <v>284</v>
      </c>
      <c r="AB7" s="785" t="s">
        <v>5</v>
      </c>
      <c r="AC7" s="785" t="s">
        <v>285</v>
      </c>
      <c r="AD7" s="826"/>
      <c r="AE7" s="826"/>
      <c r="AF7" s="827"/>
      <c r="AG7" s="785" t="s">
        <v>305</v>
      </c>
      <c r="AH7" s="832" t="s">
        <v>850</v>
      </c>
      <c r="AI7" s="833"/>
      <c r="AJ7" s="833"/>
      <c r="AK7" s="833"/>
      <c r="AL7" s="833"/>
      <c r="AM7" s="833"/>
      <c r="AN7" s="833"/>
      <c r="AO7" s="833"/>
      <c r="AP7" s="833"/>
      <c r="AQ7" s="833"/>
      <c r="AR7" s="834"/>
      <c r="AS7" s="814"/>
      <c r="AT7" s="815"/>
      <c r="AU7" s="815"/>
      <c r="AV7" s="815"/>
      <c r="AW7" s="815"/>
      <c r="AX7" s="815"/>
      <c r="AY7" s="815"/>
      <c r="AZ7" s="815"/>
      <c r="BA7" s="816"/>
    </row>
    <row r="8" spans="1:53" ht="15" customHeight="1" x14ac:dyDescent="0.25">
      <c r="A8" s="120"/>
      <c r="B8" s="93"/>
      <c r="C8" s="93"/>
      <c r="D8" s="93"/>
      <c r="E8" s="93"/>
      <c r="F8" s="93"/>
      <c r="G8" s="93"/>
      <c r="H8" s="93"/>
      <c r="I8" s="794" t="s">
        <v>6</v>
      </c>
      <c r="J8" s="797" t="s">
        <v>802</v>
      </c>
      <c r="K8" s="798"/>
      <c r="L8" s="798"/>
      <c r="M8" s="799"/>
      <c r="N8" s="773" t="s">
        <v>849</v>
      </c>
      <c r="O8" s="776" t="s">
        <v>803</v>
      </c>
      <c r="P8" s="777"/>
      <c r="Q8" s="819"/>
      <c r="R8" s="819"/>
      <c r="S8" s="819"/>
      <c r="T8" s="819"/>
      <c r="U8" s="819"/>
      <c r="V8" s="820"/>
      <c r="W8" s="824"/>
      <c r="X8" s="819"/>
      <c r="Y8" s="819"/>
      <c r="Z8" s="820"/>
      <c r="AA8" s="786"/>
      <c r="AB8" s="786"/>
      <c r="AC8" s="786"/>
      <c r="AD8" s="828"/>
      <c r="AE8" s="828"/>
      <c r="AF8" s="829"/>
      <c r="AG8" s="786"/>
      <c r="AH8" s="780" t="s">
        <v>286</v>
      </c>
      <c r="AI8" s="781"/>
      <c r="AJ8" s="837" t="s">
        <v>287</v>
      </c>
      <c r="AK8" s="835" t="s">
        <v>842</v>
      </c>
      <c r="AL8" s="836"/>
      <c r="AM8" s="837" t="s">
        <v>820</v>
      </c>
      <c r="AN8" s="780" t="s">
        <v>288</v>
      </c>
      <c r="AO8" s="781"/>
      <c r="AP8" s="788" t="s">
        <v>851</v>
      </c>
      <c r="AQ8" s="789"/>
      <c r="AR8" s="790"/>
      <c r="AS8" s="794" t="s">
        <v>6</v>
      </c>
      <c r="AT8" s="797" t="s">
        <v>802</v>
      </c>
      <c r="AU8" s="798"/>
      <c r="AV8" s="798"/>
      <c r="AW8" s="798"/>
      <c r="AX8" s="799"/>
      <c r="AY8" s="773" t="s">
        <v>849</v>
      </c>
      <c r="AZ8" s="776" t="s">
        <v>804</v>
      </c>
      <c r="BA8" s="777"/>
    </row>
    <row r="9" spans="1:53" ht="15" customHeight="1" thickBot="1" x14ac:dyDescent="0.25">
      <c r="A9" s="12" t="s">
        <v>794</v>
      </c>
      <c r="D9" s="12"/>
      <c r="F9" s="60"/>
      <c r="G9" s="61"/>
      <c r="H9" s="61"/>
      <c r="I9" s="795"/>
      <c r="J9" s="800"/>
      <c r="K9" s="801"/>
      <c r="L9" s="801"/>
      <c r="M9" s="802"/>
      <c r="N9" s="774"/>
      <c r="O9" s="778"/>
      <c r="P9" s="779"/>
      <c r="Q9" s="821"/>
      <c r="R9" s="821"/>
      <c r="S9" s="821"/>
      <c r="T9" s="821"/>
      <c r="U9" s="821"/>
      <c r="V9" s="822"/>
      <c r="W9" s="825"/>
      <c r="X9" s="821"/>
      <c r="Y9" s="821"/>
      <c r="Z9" s="822"/>
      <c r="AA9" s="786"/>
      <c r="AB9" s="786"/>
      <c r="AC9" s="786"/>
      <c r="AD9" s="830"/>
      <c r="AE9" s="830"/>
      <c r="AF9" s="831"/>
      <c r="AG9" s="786"/>
      <c r="AH9" s="782"/>
      <c r="AI9" s="783"/>
      <c r="AJ9" s="838"/>
      <c r="AK9" s="634" t="s">
        <v>817</v>
      </c>
      <c r="AL9" s="634" t="s">
        <v>818</v>
      </c>
      <c r="AM9" s="838"/>
      <c r="AN9" s="782"/>
      <c r="AO9" s="783"/>
      <c r="AP9" s="791"/>
      <c r="AQ9" s="792"/>
      <c r="AR9" s="793"/>
      <c r="AS9" s="795"/>
      <c r="AT9" s="800"/>
      <c r="AU9" s="801"/>
      <c r="AV9" s="801"/>
      <c r="AW9" s="801"/>
      <c r="AX9" s="802"/>
      <c r="AY9" s="774"/>
      <c r="AZ9" s="778"/>
      <c r="BA9" s="779"/>
    </row>
    <row r="10" spans="1:53" ht="34.5" thickBot="1" x14ac:dyDescent="0.25">
      <c r="A10" s="62" t="s">
        <v>776</v>
      </c>
      <c r="B10" s="63" t="s">
        <v>547</v>
      </c>
      <c r="C10" s="63" t="s">
        <v>548</v>
      </c>
      <c r="D10" s="63" t="s">
        <v>264</v>
      </c>
      <c r="E10" s="166" t="s">
        <v>778</v>
      </c>
      <c r="F10" s="63" t="s">
        <v>0</v>
      </c>
      <c r="G10" s="124" t="s">
        <v>265</v>
      </c>
      <c r="H10" s="37" t="s">
        <v>276</v>
      </c>
      <c r="I10" s="796"/>
      <c r="J10" s="439" t="s">
        <v>274</v>
      </c>
      <c r="K10" s="431" t="s">
        <v>5</v>
      </c>
      <c r="L10" s="431" t="s">
        <v>1</v>
      </c>
      <c r="M10" s="431" t="s">
        <v>7</v>
      </c>
      <c r="N10" s="775"/>
      <c r="O10" s="434" t="s">
        <v>280</v>
      </c>
      <c r="P10" s="435" t="s">
        <v>281</v>
      </c>
      <c r="Q10" s="642" t="s">
        <v>289</v>
      </c>
      <c r="R10" s="433" t="s">
        <v>287</v>
      </c>
      <c r="S10" s="433" t="s">
        <v>819</v>
      </c>
      <c r="T10" s="433" t="s">
        <v>820</v>
      </c>
      <c r="U10" s="433" t="s">
        <v>288</v>
      </c>
      <c r="V10" s="433" t="s">
        <v>821</v>
      </c>
      <c r="W10" s="432" t="s">
        <v>290</v>
      </c>
      <c r="X10" s="433" t="s">
        <v>801</v>
      </c>
      <c r="Y10" s="432" t="s">
        <v>291</v>
      </c>
      <c r="Z10" s="433" t="s">
        <v>768</v>
      </c>
      <c r="AA10" s="787"/>
      <c r="AB10" s="787"/>
      <c r="AC10" s="787"/>
      <c r="AD10" s="433" t="s">
        <v>287</v>
      </c>
      <c r="AE10" s="433" t="s">
        <v>292</v>
      </c>
      <c r="AF10" s="433" t="s">
        <v>769</v>
      </c>
      <c r="AG10" s="787"/>
      <c r="AH10" s="436" t="s">
        <v>280</v>
      </c>
      <c r="AI10" s="437" t="s">
        <v>281</v>
      </c>
      <c r="AJ10" s="436" t="s">
        <v>280</v>
      </c>
      <c r="AK10" s="436" t="s">
        <v>280</v>
      </c>
      <c r="AL10" s="437" t="s">
        <v>281</v>
      </c>
      <c r="AM10" s="436" t="s">
        <v>280</v>
      </c>
      <c r="AN10" s="436" t="s">
        <v>280</v>
      </c>
      <c r="AO10" s="437" t="s">
        <v>281</v>
      </c>
      <c r="AP10" s="436" t="s">
        <v>280</v>
      </c>
      <c r="AQ10" s="437" t="s">
        <v>281</v>
      </c>
      <c r="AR10" s="438" t="s">
        <v>301</v>
      </c>
      <c r="AS10" s="796"/>
      <c r="AT10" s="38" t="s">
        <v>274</v>
      </c>
      <c r="AU10" s="439" t="s">
        <v>283</v>
      </c>
      <c r="AV10" s="431" t="s">
        <v>5</v>
      </c>
      <c r="AW10" s="431" t="s">
        <v>1</v>
      </c>
      <c r="AX10" s="431" t="s">
        <v>7</v>
      </c>
      <c r="AY10" s="775"/>
      <c r="AZ10" s="434" t="s">
        <v>280</v>
      </c>
      <c r="BA10" s="435" t="s">
        <v>281</v>
      </c>
    </row>
    <row r="11" spans="1:53" s="125" customFormat="1" ht="11.25" customHeight="1" thickBot="1" x14ac:dyDescent="0.25">
      <c r="A11" s="136" t="s">
        <v>549</v>
      </c>
      <c r="B11" s="137" t="s">
        <v>550</v>
      </c>
      <c r="C11" s="137" t="s">
        <v>266</v>
      </c>
      <c r="D11" s="137" t="s">
        <v>267</v>
      </c>
      <c r="E11" s="137" t="s">
        <v>551</v>
      </c>
      <c r="F11" s="137" t="s">
        <v>0</v>
      </c>
      <c r="G11" s="137" t="s">
        <v>552</v>
      </c>
      <c r="H11" s="138" t="s">
        <v>772</v>
      </c>
      <c r="I11" s="143" t="s">
        <v>268</v>
      </c>
      <c r="J11" s="144" t="s">
        <v>269</v>
      </c>
      <c r="K11" s="144" t="s">
        <v>270</v>
      </c>
      <c r="L11" s="144" t="s">
        <v>271</v>
      </c>
      <c r="M11" s="144" t="s">
        <v>272</v>
      </c>
      <c r="N11" s="429" t="s">
        <v>273</v>
      </c>
      <c r="O11" s="145" t="s">
        <v>553</v>
      </c>
      <c r="P11" s="146" t="s">
        <v>554</v>
      </c>
      <c r="Q11" s="139" t="s">
        <v>293</v>
      </c>
      <c r="R11" s="140" t="s">
        <v>293</v>
      </c>
      <c r="S11" s="140" t="s">
        <v>293</v>
      </c>
      <c r="T11" s="140" t="s">
        <v>293</v>
      </c>
      <c r="U11" s="140" t="s">
        <v>293</v>
      </c>
      <c r="V11" s="140" t="s">
        <v>293</v>
      </c>
      <c r="W11" s="140" t="s">
        <v>294</v>
      </c>
      <c r="X11" s="140" t="s">
        <v>294</v>
      </c>
      <c r="Y11" s="140" t="s">
        <v>295</v>
      </c>
      <c r="Z11" s="140" t="s">
        <v>294</v>
      </c>
      <c r="AA11" s="140" t="s">
        <v>296</v>
      </c>
      <c r="AB11" s="140" t="s">
        <v>297</v>
      </c>
      <c r="AC11" s="140" t="s">
        <v>298</v>
      </c>
      <c r="AD11" s="140" t="s">
        <v>300</v>
      </c>
      <c r="AE11" s="140" t="s">
        <v>299</v>
      </c>
      <c r="AF11" s="140" t="s">
        <v>299</v>
      </c>
      <c r="AG11" s="140" t="s">
        <v>306</v>
      </c>
      <c r="AH11" s="193" t="s">
        <v>302</v>
      </c>
      <c r="AI11" s="193" t="s">
        <v>303</v>
      </c>
      <c r="AJ11" s="193" t="s">
        <v>302</v>
      </c>
      <c r="AK11" s="193" t="s">
        <v>302</v>
      </c>
      <c r="AL11" s="193" t="s">
        <v>303</v>
      </c>
      <c r="AM11" s="193" t="s">
        <v>302</v>
      </c>
      <c r="AN11" s="193" t="s">
        <v>302</v>
      </c>
      <c r="AO11" s="193" t="s">
        <v>303</v>
      </c>
      <c r="AP11" s="193" t="s">
        <v>302</v>
      </c>
      <c r="AQ11" s="193" t="s">
        <v>303</v>
      </c>
      <c r="AR11" s="194" t="s">
        <v>304</v>
      </c>
      <c r="AS11" s="629" t="s">
        <v>268</v>
      </c>
      <c r="AT11" s="140" t="s">
        <v>269</v>
      </c>
      <c r="AU11" s="140" t="s">
        <v>275</v>
      </c>
      <c r="AV11" s="140" t="s">
        <v>270</v>
      </c>
      <c r="AW11" s="140" t="s">
        <v>271</v>
      </c>
      <c r="AX11" s="140" t="s">
        <v>272</v>
      </c>
      <c r="AY11" s="193" t="s">
        <v>273</v>
      </c>
      <c r="AZ11" s="193" t="s">
        <v>553</v>
      </c>
      <c r="BA11" s="194" t="s">
        <v>554</v>
      </c>
    </row>
    <row r="12" spans="1:53" x14ac:dyDescent="0.2">
      <c r="A12" s="238">
        <v>1</v>
      </c>
      <c r="B12" s="239">
        <v>3440</v>
      </c>
      <c r="C12" s="239">
        <v>600078078</v>
      </c>
      <c r="D12" s="239">
        <v>72743441</v>
      </c>
      <c r="E12" s="240" t="s">
        <v>86</v>
      </c>
      <c r="F12" s="239">
        <v>3111</v>
      </c>
      <c r="G12" s="241" t="s">
        <v>307</v>
      </c>
      <c r="H12" s="242" t="s">
        <v>277</v>
      </c>
      <c r="I12" s="440">
        <f>SUM(J12:M12)</f>
        <v>11050303</v>
      </c>
      <c r="J12" s="441">
        <v>8153563</v>
      </c>
      <c r="K12" s="441">
        <f t="shared" ref="K12:K14" si="0">ROUND(J12*33.8%,0)</f>
        <v>2755904</v>
      </c>
      <c r="L12" s="441">
        <f>ROUND(J12*1%,0)</f>
        <v>81536</v>
      </c>
      <c r="M12" s="441">
        <v>59300</v>
      </c>
      <c r="N12" s="458">
        <f t="shared" ref="N12:N14" si="1">O12+P12</f>
        <v>16.73</v>
      </c>
      <c r="O12" s="443">
        <v>12.4</v>
      </c>
      <c r="P12" s="467">
        <v>4.33</v>
      </c>
      <c r="Q12" s="447">
        <f t="shared" ref="Q12:Q14" si="2">W12*-1</f>
        <v>-91000</v>
      </c>
      <c r="R12" s="445">
        <v>0</v>
      </c>
      <c r="S12" s="675">
        <v>0</v>
      </c>
      <c r="T12" s="445">
        <v>0</v>
      </c>
      <c r="U12" s="445">
        <v>0</v>
      </c>
      <c r="V12" s="445">
        <f>SUM(Q12:U12)</f>
        <v>-91000</v>
      </c>
      <c r="W12" s="445">
        <v>91000</v>
      </c>
      <c r="X12" s="445">
        <v>0</v>
      </c>
      <c r="Y12" s="445">
        <v>0</v>
      </c>
      <c r="Z12" s="445">
        <f t="shared" ref="Z12:Z14" si="3">SUM(W12:Y12)</f>
        <v>91000</v>
      </c>
      <c r="AA12" s="445">
        <f t="shared" ref="AA12:AA14" si="4">V12+Z12</f>
        <v>0</v>
      </c>
      <c r="AB12" s="147">
        <f t="shared" ref="AB12:AB14" si="5">ROUND((V12+W12+X12)*33.8%,0)</f>
        <v>0</v>
      </c>
      <c r="AC12" s="147">
        <f>ROUND(V12*1%,0)</f>
        <v>-910</v>
      </c>
      <c r="AD12" s="445">
        <v>0</v>
      </c>
      <c r="AE12" s="445">
        <v>0</v>
      </c>
      <c r="AF12" s="445">
        <f t="shared" ref="AF12:AF14" si="6">SUM(AD12:AE12)</f>
        <v>0</v>
      </c>
      <c r="AG12" s="445">
        <f t="shared" ref="AG12:AG14" si="7">AA12+AB12+AC12+AF12</f>
        <v>-910</v>
      </c>
      <c r="AH12" s="446">
        <v>0</v>
      </c>
      <c r="AI12" s="446">
        <v>-0.22</v>
      </c>
      <c r="AJ12" s="446">
        <v>0</v>
      </c>
      <c r="AK12" s="446">
        <v>0</v>
      </c>
      <c r="AL12" s="676">
        <v>0</v>
      </c>
      <c r="AM12" s="446">
        <v>0</v>
      </c>
      <c r="AN12" s="446">
        <v>0</v>
      </c>
      <c r="AO12" s="446">
        <v>0</v>
      </c>
      <c r="AP12" s="446">
        <f>AH12+AJ12+AK12+AM12+AN12</f>
        <v>0</v>
      </c>
      <c r="AQ12" s="446">
        <f>AI12+AL12+AO12</f>
        <v>-0.22</v>
      </c>
      <c r="AR12" s="448">
        <f t="shared" ref="AR12:AR14" si="8">SUM(AP12:AQ12)</f>
        <v>-0.22</v>
      </c>
      <c r="AS12" s="444">
        <f>I12+AG12</f>
        <v>11049393</v>
      </c>
      <c r="AT12" s="445">
        <f>J12+V12</f>
        <v>8062563</v>
      </c>
      <c r="AU12" s="445">
        <f>Z12</f>
        <v>91000</v>
      </c>
      <c r="AV12" s="445">
        <f t="shared" ref="AV12:AW14" si="9">K12+AB12</f>
        <v>2755904</v>
      </c>
      <c r="AW12" s="445">
        <f t="shared" si="9"/>
        <v>80626</v>
      </c>
      <c r="AX12" s="445">
        <f>M12+AF12</f>
        <v>59300</v>
      </c>
      <c r="AY12" s="446">
        <f>N12+AR12</f>
        <v>16.510000000000002</v>
      </c>
      <c r="AZ12" s="446">
        <f t="shared" ref="AZ12:BA14" si="10">O12+AP12</f>
        <v>12.4</v>
      </c>
      <c r="BA12" s="448">
        <f t="shared" si="10"/>
        <v>4.1100000000000003</v>
      </c>
    </row>
    <row r="13" spans="1:53" x14ac:dyDescent="0.2">
      <c r="A13" s="211">
        <v>1</v>
      </c>
      <c r="B13" s="212">
        <v>3440</v>
      </c>
      <c r="C13" s="212">
        <v>600078078</v>
      </c>
      <c r="D13" s="212">
        <v>72743441</v>
      </c>
      <c r="E13" s="210" t="s">
        <v>86</v>
      </c>
      <c r="F13" s="212">
        <v>3111</v>
      </c>
      <c r="G13" s="213" t="s">
        <v>308</v>
      </c>
      <c r="H13" s="214" t="s">
        <v>278</v>
      </c>
      <c r="I13" s="462">
        <f t="shared" ref="I13" si="11">SUM(J13:M13)</f>
        <v>0</v>
      </c>
      <c r="J13" s="457">
        <v>0</v>
      </c>
      <c r="K13" s="457">
        <f t="shared" si="0"/>
        <v>0</v>
      </c>
      <c r="L13" s="457">
        <f>ROUND(J13*1%,0)</f>
        <v>0</v>
      </c>
      <c r="M13" s="457">
        <v>0</v>
      </c>
      <c r="N13" s="458">
        <f t="shared" si="1"/>
        <v>0</v>
      </c>
      <c r="O13" s="459">
        <v>0</v>
      </c>
      <c r="P13" s="468">
        <v>0</v>
      </c>
      <c r="Q13" s="470">
        <f t="shared" si="2"/>
        <v>0</v>
      </c>
      <c r="R13" s="460">
        <v>970038</v>
      </c>
      <c r="S13" s="673">
        <v>0</v>
      </c>
      <c r="T13" s="460">
        <v>0</v>
      </c>
      <c r="U13" s="460">
        <v>0</v>
      </c>
      <c r="V13" s="460">
        <f>SUM(Q13:U13)</f>
        <v>970038</v>
      </c>
      <c r="W13" s="460">
        <v>0</v>
      </c>
      <c r="X13" s="460">
        <v>0</v>
      </c>
      <c r="Y13" s="460">
        <v>0</v>
      </c>
      <c r="Z13" s="460">
        <f t="shared" si="3"/>
        <v>0</v>
      </c>
      <c r="AA13" s="460">
        <f t="shared" si="4"/>
        <v>970038</v>
      </c>
      <c r="AB13" s="69">
        <f t="shared" si="5"/>
        <v>327873</v>
      </c>
      <c r="AC13" s="69">
        <f>ROUND(V13*1%,0)</f>
        <v>9700</v>
      </c>
      <c r="AD13" s="460">
        <v>0</v>
      </c>
      <c r="AE13" s="460">
        <v>0</v>
      </c>
      <c r="AF13" s="460">
        <f t="shared" si="6"/>
        <v>0</v>
      </c>
      <c r="AG13" s="460">
        <f t="shared" si="7"/>
        <v>1307611</v>
      </c>
      <c r="AH13" s="461">
        <v>0</v>
      </c>
      <c r="AI13" s="461">
        <v>0</v>
      </c>
      <c r="AJ13" s="461">
        <v>3</v>
      </c>
      <c r="AK13" s="461">
        <v>0</v>
      </c>
      <c r="AL13" s="674">
        <v>0</v>
      </c>
      <c r="AM13" s="461">
        <v>0</v>
      </c>
      <c r="AN13" s="461">
        <v>0</v>
      </c>
      <c r="AO13" s="461">
        <v>0</v>
      </c>
      <c r="AP13" s="461">
        <f>AH13+AJ13+AK13+AM13+AN13</f>
        <v>3</v>
      </c>
      <c r="AQ13" s="461">
        <f>AI13+AL13+AO13</f>
        <v>0</v>
      </c>
      <c r="AR13" s="463">
        <f t="shared" si="8"/>
        <v>3</v>
      </c>
      <c r="AS13" s="469">
        <f>I13+AG13</f>
        <v>1307611</v>
      </c>
      <c r="AT13" s="460">
        <f>J13+V13</f>
        <v>970038</v>
      </c>
      <c r="AU13" s="460">
        <f>Z13</f>
        <v>0</v>
      </c>
      <c r="AV13" s="460">
        <f t="shared" si="9"/>
        <v>327873</v>
      </c>
      <c r="AW13" s="460">
        <f t="shared" si="9"/>
        <v>9700</v>
      </c>
      <c r="AX13" s="460">
        <f>M13+AF13</f>
        <v>0</v>
      </c>
      <c r="AY13" s="461">
        <f>N13+AR13</f>
        <v>3</v>
      </c>
      <c r="AZ13" s="461">
        <f t="shared" si="10"/>
        <v>3</v>
      </c>
      <c r="BA13" s="463">
        <f t="shared" si="10"/>
        <v>0</v>
      </c>
    </row>
    <row r="14" spans="1:53" x14ac:dyDescent="0.2">
      <c r="A14" s="211">
        <v>1</v>
      </c>
      <c r="B14" s="212">
        <v>3440</v>
      </c>
      <c r="C14" s="212">
        <v>600078078</v>
      </c>
      <c r="D14" s="212">
        <v>72743441</v>
      </c>
      <c r="E14" s="210" t="s">
        <v>86</v>
      </c>
      <c r="F14" s="212">
        <v>3141</v>
      </c>
      <c r="G14" s="213" t="s">
        <v>311</v>
      </c>
      <c r="H14" s="214" t="s">
        <v>278</v>
      </c>
      <c r="I14" s="462">
        <f t="shared" ref="I14" si="12">SUM(J14:M14)</f>
        <v>1795352</v>
      </c>
      <c r="J14" s="457">
        <v>1326244</v>
      </c>
      <c r="K14" s="457">
        <f t="shared" si="0"/>
        <v>448270</v>
      </c>
      <c r="L14" s="457">
        <f>ROUND(J14*1%,0)</f>
        <v>13262</v>
      </c>
      <c r="M14" s="457">
        <v>7576</v>
      </c>
      <c r="N14" s="458">
        <f t="shared" si="1"/>
        <v>4.26</v>
      </c>
      <c r="O14" s="459">
        <v>0</v>
      </c>
      <c r="P14" s="468">
        <v>4.26</v>
      </c>
      <c r="Q14" s="470">
        <f t="shared" si="2"/>
        <v>-39000</v>
      </c>
      <c r="R14" s="460">
        <v>0</v>
      </c>
      <c r="S14" s="673">
        <v>0</v>
      </c>
      <c r="T14" s="460">
        <v>0</v>
      </c>
      <c r="U14" s="460">
        <v>0</v>
      </c>
      <c r="V14" s="460">
        <f>SUM(Q14:U14)</f>
        <v>-39000</v>
      </c>
      <c r="W14" s="460">
        <v>39000</v>
      </c>
      <c r="X14" s="460">
        <v>0</v>
      </c>
      <c r="Y14" s="460">
        <v>0</v>
      </c>
      <c r="Z14" s="460">
        <f t="shared" si="3"/>
        <v>39000</v>
      </c>
      <c r="AA14" s="460">
        <f t="shared" si="4"/>
        <v>0</v>
      </c>
      <c r="AB14" s="69">
        <f t="shared" si="5"/>
        <v>0</v>
      </c>
      <c r="AC14" s="69">
        <f>ROUND(V14*1%,0)</f>
        <v>-390</v>
      </c>
      <c r="AD14" s="460">
        <v>0</v>
      </c>
      <c r="AE14" s="460">
        <v>0</v>
      </c>
      <c r="AF14" s="460">
        <f t="shared" si="6"/>
        <v>0</v>
      </c>
      <c r="AG14" s="460">
        <f t="shared" si="7"/>
        <v>-390</v>
      </c>
      <c r="AH14" s="461">
        <v>0</v>
      </c>
      <c r="AI14" s="461">
        <v>-0.1</v>
      </c>
      <c r="AJ14" s="461">
        <v>0</v>
      </c>
      <c r="AK14" s="461">
        <v>0</v>
      </c>
      <c r="AL14" s="674">
        <v>0</v>
      </c>
      <c r="AM14" s="461">
        <v>0</v>
      </c>
      <c r="AN14" s="461">
        <v>0</v>
      </c>
      <c r="AO14" s="461">
        <v>0</v>
      </c>
      <c r="AP14" s="461">
        <f>AH14+AJ14+AK14+AM14+AN14</f>
        <v>0</v>
      </c>
      <c r="AQ14" s="461">
        <f>AI14+AL14+AO14</f>
        <v>-0.1</v>
      </c>
      <c r="AR14" s="463">
        <f t="shared" si="8"/>
        <v>-0.1</v>
      </c>
      <c r="AS14" s="469">
        <f>I14+AG14</f>
        <v>1794962</v>
      </c>
      <c r="AT14" s="460">
        <f>J14+V14</f>
        <v>1287244</v>
      </c>
      <c r="AU14" s="460">
        <f>Z14</f>
        <v>39000</v>
      </c>
      <c r="AV14" s="460">
        <f t="shared" si="9"/>
        <v>448270</v>
      </c>
      <c r="AW14" s="460">
        <f t="shared" si="9"/>
        <v>12872</v>
      </c>
      <c r="AX14" s="460">
        <f>M14+AF14</f>
        <v>7576</v>
      </c>
      <c r="AY14" s="461">
        <f>N14+AR14</f>
        <v>4.16</v>
      </c>
      <c r="AZ14" s="461">
        <f t="shared" si="10"/>
        <v>0</v>
      </c>
      <c r="BA14" s="463">
        <f t="shared" si="10"/>
        <v>4.16</v>
      </c>
    </row>
    <row r="15" spans="1:53" x14ac:dyDescent="0.2">
      <c r="A15" s="158">
        <v>1</v>
      </c>
      <c r="B15" s="18">
        <v>3440</v>
      </c>
      <c r="C15" s="18">
        <v>600078078</v>
      </c>
      <c r="D15" s="18">
        <v>72743441</v>
      </c>
      <c r="E15" s="167" t="s">
        <v>87</v>
      </c>
      <c r="F15" s="18"/>
      <c r="G15" s="157"/>
      <c r="H15" s="191"/>
      <c r="I15" s="504">
        <f t="shared" ref="I15:P15" si="13">SUM(I12:I14)</f>
        <v>12845655</v>
      </c>
      <c r="J15" s="500">
        <f t="shared" si="13"/>
        <v>9479807</v>
      </c>
      <c r="K15" s="500">
        <f t="shared" si="13"/>
        <v>3204174</v>
      </c>
      <c r="L15" s="500">
        <f t="shared" si="13"/>
        <v>94798</v>
      </c>
      <c r="M15" s="500">
        <f t="shared" si="13"/>
        <v>66876</v>
      </c>
      <c r="N15" s="501">
        <f t="shared" si="13"/>
        <v>20.990000000000002</v>
      </c>
      <c r="O15" s="501">
        <f t="shared" si="13"/>
        <v>12.4</v>
      </c>
      <c r="P15" s="506">
        <f t="shared" si="13"/>
        <v>8.59</v>
      </c>
      <c r="Q15" s="504">
        <f t="shared" ref="Q15:BA15" si="14">SUM(Q12:Q14)</f>
        <v>-130000</v>
      </c>
      <c r="R15" s="500">
        <f t="shared" si="14"/>
        <v>970038</v>
      </c>
      <c r="S15" s="500">
        <f t="shared" si="14"/>
        <v>0</v>
      </c>
      <c r="T15" s="500">
        <f t="shared" si="14"/>
        <v>0</v>
      </c>
      <c r="U15" s="500">
        <f t="shared" si="14"/>
        <v>0</v>
      </c>
      <c r="V15" s="500">
        <f t="shared" si="14"/>
        <v>840038</v>
      </c>
      <c r="W15" s="500">
        <f t="shared" si="14"/>
        <v>130000</v>
      </c>
      <c r="X15" s="500">
        <f t="shared" si="14"/>
        <v>0</v>
      </c>
      <c r="Y15" s="500">
        <f t="shared" si="14"/>
        <v>0</v>
      </c>
      <c r="Z15" s="500">
        <f t="shared" si="14"/>
        <v>130000</v>
      </c>
      <c r="AA15" s="500">
        <f t="shared" si="14"/>
        <v>970038</v>
      </c>
      <c r="AB15" s="500">
        <f t="shared" si="14"/>
        <v>327873</v>
      </c>
      <c r="AC15" s="500">
        <f t="shared" si="14"/>
        <v>8400</v>
      </c>
      <c r="AD15" s="500">
        <f t="shared" si="14"/>
        <v>0</v>
      </c>
      <c r="AE15" s="500">
        <f t="shared" si="14"/>
        <v>0</v>
      </c>
      <c r="AF15" s="500">
        <f t="shared" si="14"/>
        <v>0</v>
      </c>
      <c r="AG15" s="500">
        <f t="shared" si="14"/>
        <v>1306311</v>
      </c>
      <c r="AH15" s="501">
        <f t="shared" si="14"/>
        <v>0</v>
      </c>
      <c r="AI15" s="501">
        <f t="shared" si="14"/>
        <v>-0.32</v>
      </c>
      <c r="AJ15" s="501">
        <f t="shared" si="14"/>
        <v>3</v>
      </c>
      <c r="AK15" s="501">
        <f t="shared" si="14"/>
        <v>0</v>
      </c>
      <c r="AL15" s="501">
        <f t="shared" si="14"/>
        <v>0</v>
      </c>
      <c r="AM15" s="501">
        <f t="shared" si="14"/>
        <v>0</v>
      </c>
      <c r="AN15" s="501">
        <f t="shared" si="14"/>
        <v>0</v>
      </c>
      <c r="AO15" s="501">
        <f t="shared" si="14"/>
        <v>0</v>
      </c>
      <c r="AP15" s="501">
        <f t="shared" si="14"/>
        <v>3</v>
      </c>
      <c r="AQ15" s="501">
        <f t="shared" si="14"/>
        <v>-0.32</v>
      </c>
      <c r="AR15" s="41">
        <f t="shared" si="14"/>
        <v>2.6799999999999997</v>
      </c>
      <c r="AS15" s="508">
        <f t="shared" si="14"/>
        <v>14151966</v>
      </c>
      <c r="AT15" s="500">
        <f t="shared" si="14"/>
        <v>10319845</v>
      </c>
      <c r="AU15" s="500">
        <f t="shared" si="14"/>
        <v>130000</v>
      </c>
      <c r="AV15" s="500">
        <f t="shared" si="14"/>
        <v>3532047</v>
      </c>
      <c r="AW15" s="500">
        <f t="shared" si="14"/>
        <v>103198</v>
      </c>
      <c r="AX15" s="500">
        <f t="shared" si="14"/>
        <v>66876</v>
      </c>
      <c r="AY15" s="501">
        <f t="shared" si="14"/>
        <v>23.67</v>
      </c>
      <c r="AZ15" s="501">
        <f t="shared" si="14"/>
        <v>15.4</v>
      </c>
      <c r="BA15" s="41">
        <f t="shared" si="14"/>
        <v>8.27</v>
      </c>
    </row>
    <row r="16" spans="1:53" x14ac:dyDescent="0.2">
      <c r="A16" s="211">
        <v>2</v>
      </c>
      <c r="B16" s="212">
        <v>3458</v>
      </c>
      <c r="C16" s="212">
        <v>600029069</v>
      </c>
      <c r="D16" s="212">
        <v>75121557</v>
      </c>
      <c r="E16" s="210" t="s">
        <v>88</v>
      </c>
      <c r="F16" s="212">
        <v>3233</v>
      </c>
      <c r="G16" s="213" t="s">
        <v>314</v>
      </c>
      <c r="H16" s="214" t="s">
        <v>278</v>
      </c>
      <c r="I16" s="462">
        <f t="shared" ref="I16" si="15">SUM(J16:M16)</f>
        <v>2710574</v>
      </c>
      <c r="J16" s="457">
        <v>2008501</v>
      </c>
      <c r="K16" s="457">
        <f t="shared" ref="K16" si="16">ROUND(J16*33.8%,0)</f>
        <v>678873</v>
      </c>
      <c r="L16" s="457">
        <f>ROUND(J16*1%,0)</f>
        <v>20085</v>
      </c>
      <c r="M16" s="457">
        <v>3115</v>
      </c>
      <c r="N16" s="458">
        <f t="shared" ref="N16" si="17">O16+P16</f>
        <v>4.49</v>
      </c>
      <c r="O16" s="459">
        <v>2.94</v>
      </c>
      <c r="P16" s="468">
        <v>1.55</v>
      </c>
      <c r="Q16" s="470">
        <f t="shared" ref="Q16" si="18">W16*-1</f>
        <v>-65000</v>
      </c>
      <c r="R16" s="460">
        <v>0</v>
      </c>
      <c r="S16" s="673">
        <v>0</v>
      </c>
      <c r="T16" s="460">
        <v>0</v>
      </c>
      <c r="U16" s="460">
        <v>0</v>
      </c>
      <c r="V16" s="460">
        <f>SUM(Q16:U16)</f>
        <v>-65000</v>
      </c>
      <c r="W16" s="460">
        <v>65000</v>
      </c>
      <c r="X16" s="460">
        <v>0</v>
      </c>
      <c r="Y16" s="460">
        <v>0</v>
      </c>
      <c r="Z16" s="460">
        <f t="shared" ref="Z16" si="19">SUM(W16:Y16)</f>
        <v>65000</v>
      </c>
      <c r="AA16" s="460">
        <f t="shared" ref="AA16" si="20">V16+Z16</f>
        <v>0</v>
      </c>
      <c r="AB16" s="69">
        <f t="shared" ref="AB16" si="21">ROUND((V16+W16+X16)*33.8%,0)</f>
        <v>0</v>
      </c>
      <c r="AC16" s="69">
        <f>ROUND(V16*1%,0)</f>
        <v>-650</v>
      </c>
      <c r="AD16" s="460">
        <v>0</v>
      </c>
      <c r="AE16" s="460">
        <v>0</v>
      </c>
      <c r="AF16" s="460">
        <f t="shared" ref="AF16" si="22">SUM(AD16:AE16)</f>
        <v>0</v>
      </c>
      <c r="AG16" s="460">
        <f t="shared" ref="AG16" si="23">AA16+AB16+AC16+AF16</f>
        <v>-650</v>
      </c>
      <c r="AH16" s="461">
        <v>-0.12</v>
      </c>
      <c r="AI16" s="461">
        <v>0</v>
      </c>
      <c r="AJ16" s="461">
        <v>0</v>
      </c>
      <c r="AK16" s="461">
        <v>0</v>
      </c>
      <c r="AL16" s="674">
        <v>0</v>
      </c>
      <c r="AM16" s="461">
        <v>0</v>
      </c>
      <c r="AN16" s="461">
        <v>0</v>
      </c>
      <c r="AO16" s="461">
        <v>0</v>
      </c>
      <c r="AP16" s="461">
        <f>AH16+AJ16+AK16+AM16+AN16</f>
        <v>-0.12</v>
      </c>
      <c r="AQ16" s="461">
        <f>AI16+AL16+AO16</f>
        <v>0</v>
      </c>
      <c r="AR16" s="463">
        <f t="shared" ref="AR16" si="24">SUM(AP16:AQ16)</f>
        <v>-0.12</v>
      </c>
      <c r="AS16" s="469">
        <f>I16+AG16</f>
        <v>2709924</v>
      </c>
      <c r="AT16" s="460">
        <f>J16+V16</f>
        <v>1943501</v>
      </c>
      <c r="AU16" s="460">
        <f>Z16</f>
        <v>65000</v>
      </c>
      <c r="AV16" s="460">
        <f>K16+AB16</f>
        <v>678873</v>
      </c>
      <c r="AW16" s="460">
        <f>L16+AC16</f>
        <v>19435</v>
      </c>
      <c r="AX16" s="460">
        <f>M16+AF16</f>
        <v>3115</v>
      </c>
      <c r="AY16" s="461">
        <f>N16+AR16</f>
        <v>4.37</v>
      </c>
      <c r="AZ16" s="461">
        <f>O16+AP16</f>
        <v>2.82</v>
      </c>
      <c r="BA16" s="463">
        <f>P16+AQ16</f>
        <v>1.55</v>
      </c>
    </row>
    <row r="17" spans="1:53" x14ac:dyDescent="0.2">
      <c r="A17" s="158">
        <v>2</v>
      </c>
      <c r="B17" s="18">
        <v>3458</v>
      </c>
      <c r="C17" s="18">
        <v>600029069</v>
      </c>
      <c r="D17" s="18">
        <v>75121557</v>
      </c>
      <c r="E17" s="167" t="s">
        <v>89</v>
      </c>
      <c r="F17" s="18"/>
      <c r="G17" s="157"/>
      <c r="H17" s="191"/>
      <c r="I17" s="504">
        <f t="shared" ref="I17:BA17" si="25">SUM(I16)</f>
        <v>2710574</v>
      </c>
      <c r="J17" s="500">
        <f t="shared" si="25"/>
        <v>2008501</v>
      </c>
      <c r="K17" s="500">
        <f t="shared" si="25"/>
        <v>678873</v>
      </c>
      <c r="L17" s="500">
        <f t="shared" si="25"/>
        <v>20085</v>
      </c>
      <c r="M17" s="500">
        <f t="shared" si="25"/>
        <v>3115</v>
      </c>
      <c r="N17" s="501">
        <f t="shared" si="25"/>
        <v>4.49</v>
      </c>
      <c r="O17" s="501">
        <f t="shared" si="25"/>
        <v>2.94</v>
      </c>
      <c r="P17" s="506">
        <f t="shared" si="25"/>
        <v>1.55</v>
      </c>
      <c r="Q17" s="504">
        <f t="shared" si="25"/>
        <v>-65000</v>
      </c>
      <c r="R17" s="500">
        <f t="shared" si="25"/>
        <v>0</v>
      </c>
      <c r="S17" s="500">
        <f t="shared" si="25"/>
        <v>0</v>
      </c>
      <c r="T17" s="500">
        <f t="shared" si="25"/>
        <v>0</v>
      </c>
      <c r="U17" s="500">
        <f t="shared" si="25"/>
        <v>0</v>
      </c>
      <c r="V17" s="500">
        <f t="shared" si="25"/>
        <v>-65000</v>
      </c>
      <c r="W17" s="500">
        <f t="shared" si="25"/>
        <v>65000</v>
      </c>
      <c r="X17" s="500">
        <f t="shared" si="25"/>
        <v>0</v>
      </c>
      <c r="Y17" s="500">
        <f t="shared" si="25"/>
        <v>0</v>
      </c>
      <c r="Z17" s="500">
        <f t="shared" si="25"/>
        <v>65000</v>
      </c>
      <c r="AA17" s="500">
        <f t="shared" si="25"/>
        <v>0</v>
      </c>
      <c r="AB17" s="500">
        <f t="shared" si="25"/>
        <v>0</v>
      </c>
      <c r="AC17" s="500">
        <f t="shared" si="25"/>
        <v>-650</v>
      </c>
      <c r="AD17" s="500">
        <f t="shared" si="25"/>
        <v>0</v>
      </c>
      <c r="AE17" s="500">
        <f t="shared" si="25"/>
        <v>0</v>
      </c>
      <c r="AF17" s="500">
        <f t="shared" si="25"/>
        <v>0</v>
      </c>
      <c r="AG17" s="500">
        <f t="shared" si="25"/>
        <v>-650</v>
      </c>
      <c r="AH17" s="501">
        <f t="shared" si="25"/>
        <v>-0.12</v>
      </c>
      <c r="AI17" s="501">
        <f t="shared" si="25"/>
        <v>0</v>
      </c>
      <c r="AJ17" s="501">
        <f t="shared" si="25"/>
        <v>0</v>
      </c>
      <c r="AK17" s="501">
        <f t="shared" si="25"/>
        <v>0</v>
      </c>
      <c r="AL17" s="501">
        <f t="shared" si="25"/>
        <v>0</v>
      </c>
      <c r="AM17" s="501">
        <f t="shared" si="25"/>
        <v>0</v>
      </c>
      <c r="AN17" s="501">
        <f t="shared" si="25"/>
        <v>0</v>
      </c>
      <c r="AO17" s="501">
        <f t="shared" si="25"/>
        <v>0</v>
      </c>
      <c r="AP17" s="501">
        <f t="shared" si="25"/>
        <v>-0.12</v>
      </c>
      <c r="AQ17" s="501">
        <f t="shared" si="25"/>
        <v>0</v>
      </c>
      <c r="AR17" s="41">
        <f t="shared" si="25"/>
        <v>-0.12</v>
      </c>
      <c r="AS17" s="508">
        <f t="shared" si="25"/>
        <v>2709924</v>
      </c>
      <c r="AT17" s="500">
        <f t="shared" si="25"/>
        <v>1943501</v>
      </c>
      <c r="AU17" s="500">
        <f t="shared" si="25"/>
        <v>65000</v>
      </c>
      <c r="AV17" s="500">
        <f t="shared" si="25"/>
        <v>678873</v>
      </c>
      <c r="AW17" s="500">
        <f t="shared" si="25"/>
        <v>19435</v>
      </c>
      <c r="AX17" s="500">
        <f t="shared" si="25"/>
        <v>3115</v>
      </c>
      <c r="AY17" s="501">
        <f t="shared" si="25"/>
        <v>4.37</v>
      </c>
      <c r="AZ17" s="501">
        <f t="shared" si="25"/>
        <v>2.82</v>
      </c>
      <c r="BA17" s="41">
        <f t="shared" si="25"/>
        <v>1.55</v>
      </c>
    </row>
    <row r="18" spans="1:53" x14ac:dyDescent="0.2">
      <c r="A18" s="211">
        <v>3</v>
      </c>
      <c r="B18" s="212">
        <v>3439</v>
      </c>
      <c r="C18" s="212">
        <v>600010473</v>
      </c>
      <c r="D18" s="212">
        <v>43256791</v>
      </c>
      <c r="E18" s="210" t="s">
        <v>788</v>
      </c>
      <c r="F18" s="212">
        <v>3113</v>
      </c>
      <c r="G18" s="213" t="s">
        <v>310</v>
      </c>
      <c r="H18" s="214" t="s">
        <v>277</v>
      </c>
      <c r="I18" s="462">
        <f t="shared" ref="I18:I22" si="26">SUM(J18:M18)</f>
        <v>23896044</v>
      </c>
      <c r="J18" s="457">
        <v>17240552</v>
      </c>
      <c r="K18" s="457">
        <f t="shared" ref="K18:K22" si="27">ROUND(J18*33.8%,0)</f>
        <v>5827307</v>
      </c>
      <c r="L18" s="457">
        <f>ROUND(J18*1%,0)-1</f>
        <v>172405</v>
      </c>
      <c r="M18" s="457">
        <v>655780</v>
      </c>
      <c r="N18" s="458">
        <f t="shared" ref="N18:N22" si="28">O18+P18</f>
        <v>31.248799999999999</v>
      </c>
      <c r="O18" s="459">
        <v>25.83</v>
      </c>
      <c r="P18" s="468">
        <v>5.4188000000000001</v>
      </c>
      <c r="Q18" s="470">
        <f t="shared" ref="Q18:Q22" si="29">W18*-1</f>
        <v>-32500</v>
      </c>
      <c r="R18" s="460">
        <v>0</v>
      </c>
      <c r="S18" s="673">
        <v>0</v>
      </c>
      <c r="T18" s="460">
        <v>0</v>
      </c>
      <c r="U18" s="460">
        <v>0</v>
      </c>
      <c r="V18" s="460">
        <f>SUM(Q18:U18)</f>
        <v>-32500</v>
      </c>
      <c r="W18" s="460">
        <v>32500</v>
      </c>
      <c r="X18" s="460">
        <v>420920</v>
      </c>
      <c r="Y18" s="460">
        <v>0</v>
      </c>
      <c r="Z18" s="460">
        <f t="shared" ref="Z18:Z22" si="30">SUM(W18:Y18)</f>
        <v>453420</v>
      </c>
      <c r="AA18" s="460">
        <f t="shared" ref="AA18:AA22" si="31">V18+Z18</f>
        <v>420920</v>
      </c>
      <c r="AB18" s="69">
        <f t="shared" ref="AB18:AB22" si="32">ROUND((V18+W18+X18)*33.8%,0)</f>
        <v>142271</v>
      </c>
      <c r="AC18" s="69">
        <f t="shared" ref="AC18:AC22" si="33">ROUND(V18*1%,0)</f>
        <v>-325</v>
      </c>
      <c r="AD18" s="460">
        <v>0</v>
      </c>
      <c r="AE18" s="460">
        <v>0</v>
      </c>
      <c r="AF18" s="460">
        <f t="shared" ref="AF18:AF22" si="34">SUM(AD18:AE18)</f>
        <v>0</v>
      </c>
      <c r="AG18" s="460">
        <f t="shared" ref="AG18:AG22" si="35">AA18+AB18+AC18+AF18</f>
        <v>562866</v>
      </c>
      <c r="AH18" s="461">
        <v>0</v>
      </c>
      <c r="AI18" s="461">
        <v>-0.05</v>
      </c>
      <c r="AJ18" s="461">
        <v>0</v>
      </c>
      <c r="AK18" s="461">
        <v>0</v>
      </c>
      <c r="AL18" s="674">
        <v>0</v>
      </c>
      <c r="AM18" s="461">
        <v>0</v>
      </c>
      <c r="AN18" s="461">
        <v>0</v>
      </c>
      <c r="AO18" s="461">
        <v>0</v>
      </c>
      <c r="AP18" s="461">
        <f>AH18+AJ18+AK18+AM18+AN18</f>
        <v>0</v>
      </c>
      <c r="AQ18" s="461">
        <f>AI18+AL18+AO18</f>
        <v>-0.05</v>
      </c>
      <c r="AR18" s="463">
        <f t="shared" ref="AR18:AR22" si="36">SUM(AP18:AQ18)</f>
        <v>-0.05</v>
      </c>
      <c r="AS18" s="469">
        <f>I18+AG18</f>
        <v>24458910</v>
      </c>
      <c r="AT18" s="460">
        <f>J18+V18</f>
        <v>17208052</v>
      </c>
      <c r="AU18" s="460">
        <f t="shared" ref="AU18:AU22" si="37">Z18</f>
        <v>453420</v>
      </c>
      <c r="AV18" s="460">
        <f t="shared" ref="AV18:AW22" si="38">K18+AB18</f>
        <v>5969578</v>
      </c>
      <c r="AW18" s="460">
        <f t="shared" si="38"/>
        <v>172080</v>
      </c>
      <c r="AX18" s="460">
        <f>M18+AF18</f>
        <v>655780</v>
      </c>
      <c r="AY18" s="461">
        <f>N18+AR18</f>
        <v>31.198799999999999</v>
      </c>
      <c r="AZ18" s="461">
        <f t="shared" ref="AZ18:BA22" si="39">O18+AP18</f>
        <v>25.83</v>
      </c>
      <c r="BA18" s="463">
        <f t="shared" si="39"/>
        <v>5.3688000000000002</v>
      </c>
    </row>
    <row r="19" spans="1:53" x14ac:dyDescent="0.2">
      <c r="A19" s="211">
        <v>3</v>
      </c>
      <c r="B19" s="212">
        <v>3439</v>
      </c>
      <c r="C19" s="212">
        <v>600010473</v>
      </c>
      <c r="D19" s="212">
        <v>43256791</v>
      </c>
      <c r="E19" s="210" t="s">
        <v>788</v>
      </c>
      <c r="F19" s="212">
        <v>3113</v>
      </c>
      <c r="G19" s="213" t="s">
        <v>308</v>
      </c>
      <c r="H19" s="214" t="s">
        <v>278</v>
      </c>
      <c r="I19" s="462">
        <f t="shared" si="26"/>
        <v>0</v>
      </c>
      <c r="J19" s="457">
        <v>0</v>
      </c>
      <c r="K19" s="457">
        <f t="shared" si="27"/>
        <v>0</v>
      </c>
      <c r="L19" s="457">
        <f t="shared" ref="L19:L22" si="40">ROUND(J19*1%,0)</f>
        <v>0</v>
      </c>
      <c r="M19" s="457">
        <v>0</v>
      </c>
      <c r="N19" s="458">
        <f t="shared" si="28"/>
        <v>0</v>
      </c>
      <c r="O19" s="459">
        <v>0</v>
      </c>
      <c r="P19" s="468">
        <v>0</v>
      </c>
      <c r="Q19" s="470">
        <f t="shared" si="29"/>
        <v>0</v>
      </c>
      <c r="R19" s="460">
        <v>5033099</v>
      </c>
      <c r="S19" s="673">
        <v>0</v>
      </c>
      <c r="T19" s="460">
        <v>0</v>
      </c>
      <c r="U19" s="460">
        <v>0</v>
      </c>
      <c r="V19" s="460">
        <f>SUM(Q19:U19)</f>
        <v>5033099</v>
      </c>
      <c r="W19" s="460">
        <v>0</v>
      </c>
      <c r="X19" s="460">
        <v>0</v>
      </c>
      <c r="Y19" s="460">
        <v>0</v>
      </c>
      <c r="Z19" s="460">
        <f t="shared" si="30"/>
        <v>0</v>
      </c>
      <c r="AA19" s="460">
        <f t="shared" si="31"/>
        <v>5033099</v>
      </c>
      <c r="AB19" s="69">
        <f t="shared" si="32"/>
        <v>1701187</v>
      </c>
      <c r="AC19" s="69">
        <f t="shared" si="33"/>
        <v>50331</v>
      </c>
      <c r="AD19" s="460">
        <f>1000+3500</f>
        <v>4500</v>
      </c>
      <c r="AE19" s="460">
        <v>0</v>
      </c>
      <c r="AF19" s="460">
        <f t="shared" si="34"/>
        <v>4500</v>
      </c>
      <c r="AG19" s="460">
        <f t="shared" si="35"/>
        <v>6789117</v>
      </c>
      <c r="AH19" s="461">
        <v>0</v>
      </c>
      <c r="AI19" s="461">
        <v>0</v>
      </c>
      <c r="AJ19" s="461">
        <v>14.09</v>
      </c>
      <c r="AK19" s="461">
        <v>0</v>
      </c>
      <c r="AL19" s="674">
        <v>0</v>
      </c>
      <c r="AM19" s="461">
        <v>0</v>
      </c>
      <c r="AN19" s="461">
        <v>0</v>
      </c>
      <c r="AO19" s="461">
        <v>0</v>
      </c>
      <c r="AP19" s="461">
        <f>AH19+AJ19+AK19+AM19+AN19</f>
        <v>14.09</v>
      </c>
      <c r="AQ19" s="461">
        <f>AI19+AL19+AO19</f>
        <v>0</v>
      </c>
      <c r="AR19" s="463">
        <f t="shared" si="36"/>
        <v>14.09</v>
      </c>
      <c r="AS19" s="469">
        <f>I19+AG19</f>
        <v>6789117</v>
      </c>
      <c r="AT19" s="460">
        <f>J19+V19</f>
        <v>5033099</v>
      </c>
      <c r="AU19" s="460">
        <f t="shared" si="37"/>
        <v>0</v>
      </c>
      <c r="AV19" s="460">
        <f t="shared" si="38"/>
        <v>1701187</v>
      </c>
      <c r="AW19" s="460">
        <f t="shared" si="38"/>
        <v>50331</v>
      </c>
      <c r="AX19" s="460">
        <f>M19+AF19</f>
        <v>4500</v>
      </c>
      <c r="AY19" s="461">
        <f>N19+AR19</f>
        <v>14.09</v>
      </c>
      <c r="AZ19" s="461">
        <f t="shared" si="39"/>
        <v>14.09</v>
      </c>
      <c r="BA19" s="463">
        <f t="shared" si="39"/>
        <v>0</v>
      </c>
    </row>
    <row r="20" spans="1:53" x14ac:dyDescent="0.2">
      <c r="A20" s="211">
        <v>3</v>
      </c>
      <c r="B20" s="212">
        <v>3439</v>
      </c>
      <c r="C20" s="212">
        <v>600010473</v>
      </c>
      <c r="D20" s="212">
        <v>43256791</v>
      </c>
      <c r="E20" s="210" t="s">
        <v>788</v>
      </c>
      <c r="F20" s="212">
        <v>3143</v>
      </c>
      <c r="G20" s="213" t="s">
        <v>616</v>
      </c>
      <c r="H20" s="234" t="s">
        <v>277</v>
      </c>
      <c r="I20" s="462">
        <f t="shared" si="26"/>
        <v>2035561</v>
      </c>
      <c r="J20" s="457">
        <v>1510060</v>
      </c>
      <c r="K20" s="457">
        <f t="shared" si="27"/>
        <v>510400</v>
      </c>
      <c r="L20" s="457">
        <f t="shared" si="40"/>
        <v>15101</v>
      </c>
      <c r="M20" s="457">
        <v>0</v>
      </c>
      <c r="N20" s="458">
        <f t="shared" si="28"/>
        <v>3.24</v>
      </c>
      <c r="O20" s="459">
        <v>3.24</v>
      </c>
      <c r="P20" s="468">
        <v>0</v>
      </c>
      <c r="Q20" s="470">
        <f t="shared" si="29"/>
        <v>-14144</v>
      </c>
      <c r="R20" s="460">
        <v>0</v>
      </c>
      <c r="S20" s="673">
        <v>0</v>
      </c>
      <c r="T20" s="460">
        <v>0</v>
      </c>
      <c r="U20" s="460">
        <v>0</v>
      </c>
      <c r="V20" s="460">
        <f>SUM(Q20:U20)</f>
        <v>-14144</v>
      </c>
      <c r="W20" s="460">
        <v>14144</v>
      </c>
      <c r="X20" s="460">
        <v>13240</v>
      </c>
      <c r="Y20" s="460">
        <v>0</v>
      </c>
      <c r="Z20" s="460">
        <f t="shared" si="30"/>
        <v>27384</v>
      </c>
      <c r="AA20" s="460">
        <f t="shared" si="31"/>
        <v>13240</v>
      </c>
      <c r="AB20" s="69">
        <f t="shared" si="32"/>
        <v>4475</v>
      </c>
      <c r="AC20" s="69">
        <f t="shared" si="33"/>
        <v>-141</v>
      </c>
      <c r="AD20" s="460">
        <v>0</v>
      </c>
      <c r="AE20" s="460">
        <v>0</v>
      </c>
      <c r="AF20" s="460">
        <f t="shared" si="34"/>
        <v>0</v>
      </c>
      <c r="AG20" s="460">
        <f t="shared" si="35"/>
        <v>17574</v>
      </c>
      <c r="AH20" s="461">
        <v>-0.03</v>
      </c>
      <c r="AI20" s="461">
        <v>0</v>
      </c>
      <c r="AJ20" s="461">
        <v>0</v>
      </c>
      <c r="AK20" s="461">
        <v>0</v>
      </c>
      <c r="AL20" s="674">
        <v>0</v>
      </c>
      <c r="AM20" s="461">
        <v>0</v>
      </c>
      <c r="AN20" s="461">
        <v>0</v>
      </c>
      <c r="AO20" s="461">
        <v>0</v>
      </c>
      <c r="AP20" s="461">
        <f>AH20+AJ20+AK20+AM20+AN20</f>
        <v>-0.03</v>
      </c>
      <c r="AQ20" s="461">
        <f>AI20+AL20+AO20</f>
        <v>0</v>
      </c>
      <c r="AR20" s="463">
        <f t="shared" si="36"/>
        <v>-0.03</v>
      </c>
      <c r="AS20" s="469">
        <f>I20+AG20</f>
        <v>2053135</v>
      </c>
      <c r="AT20" s="460">
        <f>J20+V20</f>
        <v>1495916</v>
      </c>
      <c r="AU20" s="460">
        <f t="shared" si="37"/>
        <v>27384</v>
      </c>
      <c r="AV20" s="460">
        <f t="shared" si="38"/>
        <v>514875</v>
      </c>
      <c r="AW20" s="460">
        <f t="shared" si="38"/>
        <v>14960</v>
      </c>
      <c r="AX20" s="460">
        <f>M20+AF20</f>
        <v>0</v>
      </c>
      <c r="AY20" s="461">
        <f>N20+AR20</f>
        <v>3.2100000000000004</v>
      </c>
      <c r="AZ20" s="461">
        <f t="shared" si="39"/>
        <v>3.2100000000000004</v>
      </c>
      <c r="BA20" s="463">
        <f t="shared" si="39"/>
        <v>0</v>
      </c>
    </row>
    <row r="21" spans="1:53" x14ac:dyDescent="0.2">
      <c r="A21" s="211">
        <v>3</v>
      </c>
      <c r="B21" s="212">
        <v>3439</v>
      </c>
      <c r="C21" s="212">
        <v>600010473</v>
      </c>
      <c r="D21" s="212">
        <v>43256791</v>
      </c>
      <c r="E21" s="210" t="s">
        <v>788</v>
      </c>
      <c r="F21" s="212">
        <v>3143</v>
      </c>
      <c r="G21" s="213" t="s">
        <v>617</v>
      </c>
      <c r="H21" s="234" t="s">
        <v>278</v>
      </c>
      <c r="I21" s="462">
        <f t="shared" si="26"/>
        <v>62305</v>
      </c>
      <c r="J21" s="457">
        <v>44518</v>
      </c>
      <c r="K21" s="457">
        <f t="shared" si="27"/>
        <v>15047</v>
      </c>
      <c r="L21" s="457">
        <f t="shared" si="40"/>
        <v>445</v>
      </c>
      <c r="M21" s="457">
        <v>2295</v>
      </c>
      <c r="N21" s="458">
        <f t="shared" si="28"/>
        <v>0.18</v>
      </c>
      <c r="O21" s="459">
        <v>0</v>
      </c>
      <c r="P21" s="468">
        <v>0.18</v>
      </c>
      <c r="Q21" s="470">
        <f t="shared" si="29"/>
        <v>0</v>
      </c>
      <c r="R21" s="460">
        <v>0</v>
      </c>
      <c r="S21" s="673">
        <v>0</v>
      </c>
      <c r="T21" s="460">
        <v>0</v>
      </c>
      <c r="U21" s="460">
        <v>0</v>
      </c>
      <c r="V21" s="460">
        <f>SUM(Q21:U21)</f>
        <v>0</v>
      </c>
      <c r="W21" s="460">
        <v>0</v>
      </c>
      <c r="X21" s="460">
        <v>0</v>
      </c>
      <c r="Y21" s="460">
        <v>0</v>
      </c>
      <c r="Z21" s="460">
        <f t="shared" si="30"/>
        <v>0</v>
      </c>
      <c r="AA21" s="460">
        <f t="shared" si="31"/>
        <v>0</v>
      </c>
      <c r="AB21" s="69">
        <f t="shared" si="32"/>
        <v>0</v>
      </c>
      <c r="AC21" s="69">
        <f t="shared" si="33"/>
        <v>0</v>
      </c>
      <c r="AD21" s="460">
        <v>0</v>
      </c>
      <c r="AE21" s="460">
        <v>0</v>
      </c>
      <c r="AF21" s="460">
        <f t="shared" si="34"/>
        <v>0</v>
      </c>
      <c r="AG21" s="460">
        <f t="shared" si="35"/>
        <v>0</v>
      </c>
      <c r="AH21" s="461">
        <v>0</v>
      </c>
      <c r="AI21" s="461">
        <v>0</v>
      </c>
      <c r="AJ21" s="461">
        <v>0</v>
      </c>
      <c r="AK21" s="461">
        <v>0</v>
      </c>
      <c r="AL21" s="674">
        <v>0</v>
      </c>
      <c r="AM21" s="461">
        <v>0</v>
      </c>
      <c r="AN21" s="461">
        <v>0</v>
      </c>
      <c r="AO21" s="461">
        <v>0</v>
      </c>
      <c r="AP21" s="461">
        <f>AH21+AJ21+AK21+AM21+AN21</f>
        <v>0</v>
      </c>
      <c r="AQ21" s="461">
        <f>AI21+AL21+AO21</f>
        <v>0</v>
      </c>
      <c r="AR21" s="463">
        <f t="shared" si="36"/>
        <v>0</v>
      </c>
      <c r="AS21" s="469">
        <f>I21+AG21</f>
        <v>62305</v>
      </c>
      <c r="AT21" s="460">
        <f>J21+V21</f>
        <v>44518</v>
      </c>
      <c r="AU21" s="460">
        <f t="shared" si="37"/>
        <v>0</v>
      </c>
      <c r="AV21" s="460">
        <f t="shared" si="38"/>
        <v>15047</v>
      </c>
      <c r="AW21" s="460">
        <f t="shared" si="38"/>
        <v>445</v>
      </c>
      <c r="AX21" s="460">
        <f>M21+AF21</f>
        <v>2295</v>
      </c>
      <c r="AY21" s="461">
        <f>N21+AR21</f>
        <v>0.18</v>
      </c>
      <c r="AZ21" s="461">
        <f t="shared" si="39"/>
        <v>0</v>
      </c>
      <c r="BA21" s="463">
        <f t="shared" si="39"/>
        <v>0.18</v>
      </c>
    </row>
    <row r="22" spans="1:53" x14ac:dyDescent="0.2">
      <c r="A22" s="211">
        <v>3</v>
      </c>
      <c r="B22" s="212">
        <v>3439</v>
      </c>
      <c r="C22" s="212">
        <v>600010473</v>
      </c>
      <c r="D22" s="212">
        <v>43256791</v>
      </c>
      <c r="E22" s="210" t="s">
        <v>788</v>
      </c>
      <c r="F22" s="212">
        <v>3143</v>
      </c>
      <c r="G22" s="213" t="s">
        <v>313</v>
      </c>
      <c r="H22" s="214" t="s">
        <v>278</v>
      </c>
      <c r="I22" s="462">
        <f t="shared" si="26"/>
        <v>240135</v>
      </c>
      <c r="J22" s="457">
        <v>177674</v>
      </c>
      <c r="K22" s="457">
        <f t="shared" si="27"/>
        <v>60054</v>
      </c>
      <c r="L22" s="457">
        <f t="shared" si="40"/>
        <v>1777</v>
      </c>
      <c r="M22" s="457">
        <v>630</v>
      </c>
      <c r="N22" s="458">
        <f t="shared" si="28"/>
        <v>0.4</v>
      </c>
      <c r="O22" s="459">
        <v>0.33</v>
      </c>
      <c r="P22" s="468">
        <v>7.0000000000000007E-2</v>
      </c>
      <c r="Q22" s="470">
        <f t="shared" si="29"/>
        <v>-32500</v>
      </c>
      <c r="R22" s="460">
        <v>0</v>
      </c>
      <c r="S22" s="673">
        <v>0</v>
      </c>
      <c r="T22" s="460">
        <v>0</v>
      </c>
      <c r="U22" s="460">
        <v>0</v>
      </c>
      <c r="V22" s="460">
        <f>SUM(Q22:U22)</f>
        <v>-32500</v>
      </c>
      <c r="W22" s="460">
        <v>32500</v>
      </c>
      <c r="X22" s="460">
        <v>0</v>
      </c>
      <c r="Y22" s="460">
        <v>0</v>
      </c>
      <c r="Z22" s="460">
        <f t="shared" si="30"/>
        <v>32500</v>
      </c>
      <c r="AA22" s="460">
        <f t="shared" si="31"/>
        <v>0</v>
      </c>
      <c r="AB22" s="69">
        <f t="shared" si="32"/>
        <v>0</v>
      </c>
      <c r="AC22" s="69">
        <f t="shared" si="33"/>
        <v>-325</v>
      </c>
      <c r="AD22" s="460">
        <v>0</v>
      </c>
      <c r="AE22" s="460">
        <v>0</v>
      </c>
      <c r="AF22" s="460">
        <f t="shared" si="34"/>
        <v>0</v>
      </c>
      <c r="AG22" s="460">
        <f t="shared" si="35"/>
        <v>-325</v>
      </c>
      <c r="AH22" s="461">
        <v>-0.08</v>
      </c>
      <c r="AI22" s="461">
        <v>0</v>
      </c>
      <c r="AJ22" s="461">
        <v>0</v>
      </c>
      <c r="AK22" s="461">
        <v>0</v>
      </c>
      <c r="AL22" s="674">
        <v>0</v>
      </c>
      <c r="AM22" s="461">
        <v>0</v>
      </c>
      <c r="AN22" s="461">
        <v>0</v>
      </c>
      <c r="AO22" s="461">
        <v>0</v>
      </c>
      <c r="AP22" s="461">
        <f>AH22+AJ22+AK22+AM22+AN22</f>
        <v>-0.08</v>
      </c>
      <c r="AQ22" s="461">
        <f>AI22+AL22+AO22</f>
        <v>0</v>
      </c>
      <c r="AR22" s="463">
        <f t="shared" si="36"/>
        <v>-0.08</v>
      </c>
      <c r="AS22" s="469">
        <f>I22+AG22</f>
        <v>239810</v>
      </c>
      <c r="AT22" s="460">
        <f>J22+V22</f>
        <v>145174</v>
      </c>
      <c r="AU22" s="460">
        <f t="shared" si="37"/>
        <v>32500</v>
      </c>
      <c r="AV22" s="460">
        <f t="shared" si="38"/>
        <v>60054</v>
      </c>
      <c r="AW22" s="460">
        <f t="shared" si="38"/>
        <v>1452</v>
      </c>
      <c r="AX22" s="460">
        <f>M22+AF22</f>
        <v>630</v>
      </c>
      <c r="AY22" s="461">
        <f>N22+AR22</f>
        <v>0.32</v>
      </c>
      <c r="AZ22" s="461">
        <f t="shared" si="39"/>
        <v>0.25</v>
      </c>
      <c r="BA22" s="463">
        <f t="shared" si="39"/>
        <v>7.0000000000000007E-2</v>
      </c>
    </row>
    <row r="23" spans="1:53" x14ac:dyDescent="0.2">
      <c r="A23" s="158">
        <v>3</v>
      </c>
      <c r="B23" s="18">
        <v>3439</v>
      </c>
      <c r="C23" s="18">
        <v>600010473</v>
      </c>
      <c r="D23" s="18">
        <v>43256791</v>
      </c>
      <c r="E23" s="167" t="s">
        <v>90</v>
      </c>
      <c r="F23" s="18"/>
      <c r="G23" s="157"/>
      <c r="H23" s="191"/>
      <c r="I23" s="505">
        <f t="shared" ref="I23:P23" si="41">SUM(I18:I22)</f>
        <v>26234045</v>
      </c>
      <c r="J23" s="502">
        <f t="shared" si="41"/>
        <v>18972804</v>
      </c>
      <c r="K23" s="502">
        <f t="shared" si="41"/>
        <v>6412808</v>
      </c>
      <c r="L23" s="502">
        <f t="shared" si="41"/>
        <v>189728</v>
      </c>
      <c r="M23" s="502">
        <f t="shared" si="41"/>
        <v>658705</v>
      </c>
      <c r="N23" s="503">
        <f t="shared" si="41"/>
        <v>35.068799999999996</v>
      </c>
      <c r="O23" s="503">
        <f t="shared" si="41"/>
        <v>29.4</v>
      </c>
      <c r="P23" s="507">
        <f t="shared" si="41"/>
        <v>5.6688000000000001</v>
      </c>
      <c r="Q23" s="505">
        <f t="shared" ref="Q23:BA23" si="42">SUM(Q18:Q22)</f>
        <v>-79144</v>
      </c>
      <c r="R23" s="502">
        <f t="shared" si="42"/>
        <v>5033099</v>
      </c>
      <c r="S23" s="502">
        <f t="shared" si="42"/>
        <v>0</v>
      </c>
      <c r="T23" s="502">
        <f t="shared" si="42"/>
        <v>0</v>
      </c>
      <c r="U23" s="502">
        <f t="shared" si="42"/>
        <v>0</v>
      </c>
      <c r="V23" s="502">
        <f t="shared" si="42"/>
        <v>4953955</v>
      </c>
      <c r="W23" s="502">
        <f t="shared" si="42"/>
        <v>79144</v>
      </c>
      <c r="X23" s="502">
        <f t="shared" si="42"/>
        <v>434160</v>
      </c>
      <c r="Y23" s="502">
        <f t="shared" si="42"/>
        <v>0</v>
      </c>
      <c r="Z23" s="502">
        <f t="shared" si="42"/>
        <v>513304</v>
      </c>
      <c r="AA23" s="502">
        <f t="shared" si="42"/>
        <v>5467259</v>
      </c>
      <c r="AB23" s="502">
        <f t="shared" si="42"/>
        <v>1847933</v>
      </c>
      <c r="AC23" s="502">
        <f t="shared" si="42"/>
        <v>49540</v>
      </c>
      <c r="AD23" s="502">
        <f t="shared" si="42"/>
        <v>4500</v>
      </c>
      <c r="AE23" s="502">
        <f t="shared" si="42"/>
        <v>0</v>
      </c>
      <c r="AF23" s="502">
        <f t="shared" si="42"/>
        <v>4500</v>
      </c>
      <c r="AG23" s="502">
        <f t="shared" si="42"/>
        <v>7369232</v>
      </c>
      <c r="AH23" s="503">
        <f t="shared" si="42"/>
        <v>-0.11</v>
      </c>
      <c r="AI23" s="503">
        <f t="shared" si="42"/>
        <v>-0.05</v>
      </c>
      <c r="AJ23" s="503">
        <f t="shared" si="42"/>
        <v>14.09</v>
      </c>
      <c r="AK23" s="503">
        <f t="shared" si="42"/>
        <v>0</v>
      </c>
      <c r="AL23" s="503">
        <f t="shared" si="42"/>
        <v>0</v>
      </c>
      <c r="AM23" s="503">
        <f t="shared" si="42"/>
        <v>0</v>
      </c>
      <c r="AN23" s="503">
        <f t="shared" si="42"/>
        <v>0</v>
      </c>
      <c r="AO23" s="503">
        <f t="shared" si="42"/>
        <v>0</v>
      </c>
      <c r="AP23" s="503">
        <f t="shared" si="42"/>
        <v>13.98</v>
      </c>
      <c r="AQ23" s="503">
        <f t="shared" si="42"/>
        <v>-0.05</v>
      </c>
      <c r="AR23" s="40">
        <f t="shared" si="42"/>
        <v>13.93</v>
      </c>
      <c r="AS23" s="509">
        <f t="shared" si="42"/>
        <v>33603277</v>
      </c>
      <c r="AT23" s="502">
        <f t="shared" si="42"/>
        <v>23926759</v>
      </c>
      <c r="AU23" s="502">
        <f t="shared" si="42"/>
        <v>513304</v>
      </c>
      <c r="AV23" s="502">
        <f t="shared" si="42"/>
        <v>8260741</v>
      </c>
      <c r="AW23" s="502">
        <f t="shared" si="42"/>
        <v>239268</v>
      </c>
      <c r="AX23" s="502">
        <f t="shared" si="42"/>
        <v>663205</v>
      </c>
      <c r="AY23" s="503">
        <f t="shared" si="42"/>
        <v>48.998799999999996</v>
      </c>
      <c r="AZ23" s="503">
        <f t="shared" si="42"/>
        <v>43.38</v>
      </c>
      <c r="BA23" s="40">
        <f t="shared" si="42"/>
        <v>5.6188000000000002</v>
      </c>
    </row>
    <row r="24" spans="1:53" x14ac:dyDescent="0.2">
      <c r="A24" s="211">
        <v>4</v>
      </c>
      <c r="B24" s="212">
        <v>3438</v>
      </c>
      <c r="C24" s="212">
        <v>600078493</v>
      </c>
      <c r="D24" s="212">
        <v>43257089</v>
      </c>
      <c r="E24" s="210" t="s">
        <v>91</v>
      </c>
      <c r="F24" s="212">
        <v>3113</v>
      </c>
      <c r="G24" s="213" t="s">
        <v>310</v>
      </c>
      <c r="H24" s="214" t="s">
        <v>277</v>
      </c>
      <c r="I24" s="462">
        <f t="shared" ref="I24:I27" si="43">SUM(J24:M24)</f>
        <v>30255052</v>
      </c>
      <c r="J24" s="457">
        <v>22064074</v>
      </c>
      <c r="K24" s="457">
        <f t="shared" ref="K24:K27" si="44">ROUND(J24*33.8%,0)</f>
        <v>7457657</v>
      </c>
      <c r="L24" s="457">
        <f t="shared" ref="L24:L27" si="45">ROUND(J24*1%,0)</f>
        <v>220641</v>
      </c>
      <c r="M24" s="457">
        <v>512680</v>
      </c>
      <c r="N24" s="458">
        <f t="shared" ref="N24:N27" si="46">O24+P24</f>
        <v>38.337499999999999</v>
      </c>
      <c r="O24" s="459">
        <v>31.227499999999999</v>
      </c>
      <c r="P24" s="468">
        <v>7.1099999999999994</v>
      </c>
      <c r="Q24" s="470">
        <f t="shared" ref="Q24:Q27" si="47">W24*-1</f>
        <v>-13000</v>
      </c>
      <c r="R24" s="460">
        <v>0</v>
      </c>
      <c r="S24" s="673">
        <v>0</v>
      </c>
      <c r="T24" s="460">
        <v>0</v>
      </c>
      <c r="U24" s="460">
        <v>0</v>
      </c>
      <c r="V24" s="460">
        <f>SUM(Q24:U24)</f>
        <v>-13000</v>
      </c>
      <c r="W24" s="460">
        <v>13000</v>
      </c>
      <c r="X24" s="460">
        <v>0</v>
      </c>
      <c r="Y24" s="460">
        <v>0</v>
      </c>
      <c r="Z24" s="460">
        <f t="shared" ref="Z24:Z27" si="48">SUM(W24:Y24)</f>
        <v>13000</v>
      </c>
      <c r="AA24" s="460">
        <f t="shared" ref="AA24:AA27" si="49">V24+Z24</f>
        <v>0</v>
      </c>
      <c r="AB24" s="69">
        <f t="shared" ref="AB24:AB27" si="50">ROUND((V24+W24+X24)*33.8%,0)</f>
        <v>0</v>
      </c>
      <c r="AC24" s="69">
        <f t="shared" ref="AC24:AC27" si="51">ROUND(V24*1%,0)</f>
        <v>-130</v>
      </c>
      <c r="AD24" s="460">
        <v>0</v>
      </c>
      <c r="AE24" s="460">
        <v>0</v>
      </c>
      <c r="AF24" s="460">
        <f t="shared" ref="AF24:AF27" si="52">SUM(AD24:AE24)</f>
        <v>0</v>
      </c>
      <c r="AG24" s="460">
        <f t="shared" ref="AG24:AG27" si="53">AA24+AB24+AC24+AF24</f>
        <v>-130</v>
      </c>
      <c r="AH24" s="461">
        <v>0</v>
      </c>
      <c r="AI24" s="461">
        <v>0</v>
      </c>
      <c r="AJ24" s="461">
        <v>0</v>
      </c>
      <c r="AK24" s="461">
        <v>0</v>
      </c>
      <c r="AL24" s="674">
        <v>0</v>
      </c>
      <c r="AM24" s="461">
        <v>0</v>
      </c>
      <c r="AN24" s="461">
        <v>0</v>
      </c>
      <c r="AO24" s="461">
        <v>0</v>
      </c>
      <c r="AP24" s="461">
        <f>AH24+AJ24+AK24+AM24+AN24</f>
        <v>0</v>
      </c>
      <c r="AQ24" s="461">
        <f>AI24+AL24+AO24</f>
        <v>0</v>
      </c>
      <c r="AR24" s="463">
        <f t="shared" ref="AR24:AR27" si="54">SUM(AP24:AQ24)</f>
        <v>0</v>
      </c>
      <c r="AS24" s="469">
        <f>I24+AG24</f>
        <v>30254922</v>
      </c>
      <c r="AT24" s="460">
        <f>J24+V24</f>
        <v>22051074</v>
      </c>
      <c r="AU24" s="460">
        <f t="shared" ref="AU24:AU27" si="55">Z24</f>
        <v>13000</v>
      </c>
      <c r="AV24" s="460">
        <f t="shared" ref="AV24:AW27" si="56">K24+AB24</f>
        <v>7457657</v>
      </c>
      <c r="AW24" s="460">
        <f t="shared" si="56"/>
        <v>220511</v>
      </c>
      <c r="AX24" s="460">
        <f>M24+AF24</f>
        <v>512680</v>
      </c>
      <c r="AY24" s="461">
        <f>N24+AR24</f>
        <v>38.337499999999999</v>
      </c>
      <c r="AZ24" s="461">
        <f t="shared" ref="AZ24:BA27" si="57">O24+AP24</f>
        <v>31.227499999999999</v>
      </c>
      <c r="BA24" s="463">
        <f t="shared" si="57"/>
        <v>7.1099999999999994</v>
      </c>
    </row>
    <row r="25" spans="1:53" x14ac:dyDescent="0.2">
      <c r="A25" s="211">
        <v>4</v>
      </c>
      <c r="B25" s="212">
        <v>3438</v>
      </c>
      <c r="C25" s="212">
        <v>600078493</v>
      </c>
      <c r="D25" s="212">
        <v>43257089</v>
      </c>
      <c r="E25" s="210" t="s">
        <v>91</v>
      </c>
      <c r="F25" s="212">
        <v>3113</v>
      </c>
      <c r="G25" s="213" t="s">
        <v>308</v>
      </c>
      <c r="H25" s="214" t="s">
        <v>278</v>
      </c>
      <c r="I25" s="462">
        <f t="shared" si="43"/>
        <v>0</v>
      </c>
      <c r="J25" s="457">
        <v>0</v>
      </c>
      <c r="K25" s="457">
        <f t="shared" si="44"/>
        <v>0</v>
      </c>
      <c r="L25" s="457">
        <f t="shared" si="45"/>
        <v>0</v>
      </c>
      <c r="M25" s="457">
        <v>0</v>
      </c>
      <c r="N25" s="458">
        <f t="shared" si="46"/>
        <v>0</v>
      </c>
      <c r="O25" s="459">
        <v>0</v>
      </c>
      <c r="P25" s="468">
        <v>0</v>
      </c>
      <c r="Q25" s="470">
        <f t="shared" si="47"/>
        <v>0</v>
      </c>
      <c r="R25" s="460">
        <v>2078675</v>
      </c>
      <c r="S25" s="673">
        <v>0</v>
      </c>
      <c r="T25" s="460">
        <v>0</v>
      </c>
      <c r="U25" s="460">
        <v>0</v>
      </c>
      <c r="V25" s="460">
        <f>SUM(Q25:U25)</f>
        <v>2078675</v>
      </c>
      <c r="W25" s="460">
        <v>0</v>
      </c>
      <c r="X25" s="460">
        <v>0</v>
      </c>
      <c r="Y25" s="460">
        <v>0</v>
      </c>
      <c r="Z25" s="460">
        <f t="shared" si="48"/>
        <v>0</v>
      </c>
      <c r="AA25" s="460">
        <f t="shared" si="49"/>
        <v>2078675</v>
      </c>
      <c r="AB25" s="69">
        <f t="shared" si="50"/>
        <v>702592</v>
      </c>
      <c r="AC25" s="69">
        <f t="shared" si="51"/>
        <v>20787</v>
      </c>
      <c r="AD25" s="460">
        <v>0</v>
      </c>
      <c r="AE25" s="460">
        <v>0</v>
      </c>
      <c r="AF25" s="460">
        <f t="shared" si="52"/>
        <v>0</v>
      </c>
      <c r="AG25" s="460">
        <f t="shared" si="53"/>
        <v>2802054</v>
      </c>
      <c r="AH25" s="461">
        <v>0</v>
      </c>
      <c r="AI25" s="461">
        <v>0</v>
      </c>
      <c r="AJ25" s="461">
        <v>5.78</v>
      </c>
      <c r="AK25" s="461">
        <v>0</v>
      </c>
      <c r="AL25" s="674">
        <v>0</v>
      </c>
      <c r="AM25" s="461">
        <v>0</v>
      </c>
      <c r="AN25" s="461">
        <v>0</v>
      </c>
      <c r="AO25" s="461">
        <v>0</v>
      </c>
      <c r="AP25" s="461">
        <f>AH25+AJ25+AK25+AM25+AN25</f>
        <v>5.78</v>
      </c>
      <c r="AQ25" s="461">
        <f>AI25+AL25+AO25</f>
        <v>0</v>
      </c>
      <c r="AR25" s="463">
        <f t="shared" si="54"/>
        <v>5.78</v>
      </c>
      <c r="AS25" s="469">
        <f>I25+AG25</f>
        <v>2802054</v>
      </c>
      <c r="AT25" s="460">
        <f>J25+V25</f>
        <v>2078675</v>
      </c>
      <c r="AU25" s="460">
        <f t="shared" si="55"/>
        <v>0</v>
      </c>
      <c r="AV25" s="460">
        <f t="shared" si="56"/>
        <v>702592</v>
      </c>
      <c r="AW25" s="460">
        <f t="shared" si="56"/>
        <v>20787</v>
      </c>
      <c r="AX25" s="460">
        <f>M25+AF25</f>
        <v>0</v>
      </c>
      <c r="AY25" s="461">
        <f>N25+AR25</f>
        <v>5.78</v>
      </c>
      <c r="AZ25" s="461">
        <f t="shared" si="57"/>
        <v>5.78</v>
      </c>
      <c r="BA25" s="463">
        <f t="shared" si="57"/>
        <v>0</v>
      </c>
    </row>
    <row r="26" spans="1:53" x14ac:dyDescent="0.2">
      <c r="A26" s="211">
        <v>4</v>
      </c>
      <c r="B26" s="212">
        <v>3438</v>
      </c>
      <c r="C26" s="212">
        <v>600078493</v>
      </c>
      <c r="D26" s="212">
        <v>43257089</v>
      </c>
      <c r="E26" s="210" t="s">
        <v>91</v>
      </c>
      <c r="F26" s="212">
        <v>3143</v>
      </c>
      <c r="G26" s="213" t="s">
        <v>616</v>
      </c>
      <c r="H26" s="234" t="s">
        <v>277</v>
      </c>
      <c r="I26" s="462">
        <f t="shared" si="43"/>
        <v>1836358</v>
      </c>
      <c r="J26" s="457">
        <v>1362283</v>
      </c>
      <c r="K26" s="457">
        <f t="shared" si="44"/>
        <v>460452</v>
      </c>
      <c r="L26" s="457">
        <f t="shared" si="45"/>
        <v>13623</v>
      </c>
      <c r="M26" s="457">
        <v>0</v>
      </c>
      <c r="N26" s="458">
        <f t="shared" si="46"/>
        <v>2.6606999999999998</v>
      </c>
      <c r="O26" s="459">
        <v>2.6606999999999998</v>
      </c>
      <c r="P26" s="468">
        <v>0</v>
      </c>
      <c r="Q26" s="470">
        <f t="shared" si="47"/>
        <v>-32500</v>
      </c>
      <c r="R26" s="460">
        <v>0</v>
      </c>
      <c r="S26" s="673">
        <v>0</v>
      </c>
      <c r="T26" s="460">
        <v>0</v>
      </c>
      <c r="U26" s="460">
        <v>0</v>
      </c>
      <c r="V26" s="460">
        <f>SUM(Q26:U26)</f>
        <v>-32500</v>
      </c>
      <c r="W26" s="460">
        <v>32500</v>
      </c>
      <c r="X26" s="460">
        <v>0</v>
      </c>
      <c r="Y26" s="460">
        <v>0</v>
      </c>
      <c r="Z26" s="460">
        <f t="shared" si="48"/>
        <v>32500</v>
      </c>
      <c r="AA26" s="460">
        <f t="shared" si="49"/>
        <v>0</v>
      </c>
      <c r="AB26" s="69">
        <f t="shared" si="50"/>
        <v>0</v>
      </c>
      <c r="AC26" s="69">
        <f t="shared" si="51"/>
        <v>-325</v>
      </c>
      <c r="AD26" s="460">
        <v>0</v>
      </c>
      <c r="AE26" s="460">
        <v>0</v>
      </c>
      <c r="AF26" s="460">
        <f t="shared" si="52"/>
        <v>0</v>
      </c>
      <c r="AG26" s="460">
        <f t="shared" si="53"/>
        <v>-325</v>
      </c>
      <c r="AH26" s="461">
        <v>0</v>
      </c>
      <c r="AI26" s="461">
        <v>0</v>
      </c>
      <c r="AJ26" s="461">
        <v>0</v>
      </c>
      <c r="AK26" s="461">
        <v>0</v>
      </c>
      <c r="AL26" s="674">
        <v>0</v>
      </c>
      <c r="AM26" s="461">
        <v>0</v>
      </c>
      <c r="AN26" s="461">
        <v>0</v>
      </c>
      <c r="AO26" s="461">
        <v>0</v>
      </c>
      <c r="AP26" s="461">
        <f>AH26+AJ26+AK26+AM26+AN26</f>
        <v>0</v>
      </c>
      <c r="AQ26" s="461">
        <f>AI26+AL26+AO26</f>
        <v>0</v>
      </c>
      <c r="AR26" s="463">
        <f t="shared" si="54"/>
        <v>0</v>
      </c>
      <c r="AS26" s="469">
        <f>I26+AG26</f>
        <v>1836033</v>
      </c>
      <c r="AT26" s="460">
        <f>J26+V26</f>
        <v>1329783</v>
      </c>
      <c r="AU26" s="460">
        <f t="shared" si="55"/>
        <v>32500</v>
      </c>
      <c r="AV26" s="460">
        <f t="shared" si="56"/>
        <v>460452</v>
      </c>
      <c r="AW26" s="460">
        <f t="shared" si="56"/>
        <v>13298</v>
      </c>
      <c r="AX26" s="460">
        <f>M26+AF26</f>
        <v>0</v>
      </c>
      <c r="AY26" s="461">
        <f>N26+AR26</f>
        <v>2.6606999999999998</v>
      </c>
      <c r="AZ26" s="461">
        <f t="shared" si="57"/>
        <v>2.6606999999999998</v>
      </c>
      <c r="BA26" s="463">
        <f t="shared" si="57"/>
        <v>0</v>
      </c>
    </row>
    <row r="27" spans="1:53" x14ac:dyDescent="0.2">
      <c r="A27" s="211">
        <v>4</v>
      </c>
      <c r="B27" s="212">
        <v>3438</v>
      </c>
      <c r="C27" s="212">
        <v>600078493</v>
      </c>
      <c r="D27" s="212">
        <v>43257089</v>
      </c>
      <c r="E27" s="210" t="s">
        <v>91</v>
      </c>
      <c r="F27" s="212">
        <v>3143</v>
      </c>
      <c r="G27" s="213" t="s">
        <v>617</v>
      </c>
      <c r="H27" s="234" t="s">
        <v>278</v>
      </c>
      <c r="I27" s="462">
        <f t="shared" si="43"/>
        <v>64504</v>
      </c>
      <c r="J27" s="457">
        <v>46089</v>
      </c>
      <c r="K27" s="457">
        <f t="shared" si="44"/>
        <v>15578</v>
      </c>
      <c r="L27" s="457">
        <f t="shared" si="45"/>
        <v>461</v>
      </c>
      <c r="M27" s="457">
        <v>2376</v>
      </c>
      <c r="N27" s="458">
        <f t="shared" si="46"/>
        <v>0.18</v>
      </c>
      <c r="O27" s="459">
        <v>0</v>
      </c>
      <c r="P27" s="468">
        <v>0.18</v>
      </c>
      <c r="Q27" s="470">
        <f t="shared" si="47"/>
        <v>0</v>
      </c>
      <c r="R27" s="460">
        <v>0</v>
      </c>
      <c r="S27" s="673">
        <v>0</v>
      </c>
      <c r="T27" s="460">
        <v>0</v>
      </c>
      <c r="U27" s="460">
        <v>0</v>
      </c>
      <c r="V27" s="460">
        <f>SUM(Q27:U27)</f>
        <v>0</v>
      </c>
      <c r="W27" s="460">
        <v>0</v>
      </c>
      <c r="X27" s="460">
        <v>0</v>
      </c>
      <c r="Y27" s="460">
        <v>0</v>
      </c>
      <c r="Z27" s="460">
        <f t="shared" si="48"/>
        <v>0</v>
      </c>
      <c r="AA27" s="460">
        <f t="shared" si="49"/>
        <v>0</v>
      </c>
      <c r="AB27" s="69">
        <f t="shared" si="50"/>
        <v>0</v>
      </c>
      <c r="AC27" s="69">
        <f t="shared" si="51"/>
        <v>0</v>
      </c>
      <c r="AD27" s="460">
        <v>0</v>
      </c>
      <c r="AE27" s="460">
        <v>0</v>
      </c>
      <c r="AF27" s="460">
        <f t="shared" si="52"/>
        <v>0</v>
      </c>
      <c r="AG27" s="460">
        <f t="shared" si="53"/>
        <v>0</v>
      </c>
      <c r="AH27" s="461">
        <v>0</v>
      </c>
      <c r="AI27" s="461">
        <v>0</v>
      </c>
      <c r="AJ27" s="461">
        <v>0</v>
      </c>
      <c r="AK27" s="461">
        <v>0</v>
      </c>
      <c r="AL27" s="674">
        <v>0</v>
      </c>
      <c r="AM27" s="461">
        <v>0</v>
      </c>
      <c r="AN27" s="461">
        <v>0</v>
      </c>
      <c r="AO27" s="461">
        <v>0</v>
      </c>
      <c r="AP27" s="461">
        <f>AH27+AJ27+AK27+AM27+AN27</f>
        <v>0</v>
      </c>
      <c r="AQ27" s="461">
        <f>AI27+AL27+AO27</f>
        <v>0</v>
      </c>
      <c r="AR27" s="463">
        <f t="shared" si="54"/>
        <v>0</v>
      </c>
      <c r="AS27" s="469">
        <f>I27+AG27</f>
        <v>64504</v>
      </c>
      <c r="AT27" s="460">
        <f>J27+V27</f>
        <v>46089</v>
      </c>
      <c r="AU27" s="460">
        <f t="shared" si="55"/>
        <v>0</v>
      </c>
      <c r="AV27" s="460">
        <f t="shared" si="56"/>
        <v>15578</v>
      </c>
      <c r="AW27" s="460">
        <f t="shared" si="56"/>
        <v>461</v>
      </c>
      <c r="AX27" s="460">
        <f>M27+AF27</f>
        <v>2376</v>
      </c>
      <c r="AY27" s="461">
        <f>N27+AR27</f>
        <v>0.18</v>
      </c>
      <c r="AZ27" s="461">
        <f t="shared" si="57"/>
        <v>0</v>
      </c>
      <c r="BA27" s="463">
        <f t="shared" si="57"/>
        <v>0.18</v>
      </c>
    </row>
    <row r="28" spans="1:53" x14ac:dyDescent="0.2">
      <c r="A28" s="158">
        <v>4</v>
      </c>
      <c r="B28" s="18">
        <v>3438</v>
      </c>
      <c r="C28" s="18">
        <v>600078493</v>
      </c>
      <c r="D28" s="18">
        <v>43257089</v>
      </c>
      <c r="E28" s="167" t="s">
        <v>92</v>
      </c>
      <c r="F28" s="18"/>
      <c r="G28" s="157"/>
      <c r="H28" s="191"/>
      <c r="I28" s="505">
        <f t="shared" ref="I28:P28" si="58">SUM(I24:I27)</f>
        <v>32155914</v>
      </c>
      <c r="J28" s="502">
        <f t="shared" si="58"/>
        <v>23472446</v>
      </c>
      <c r="K28" s="502">
        <f t="shared" si="58"/>
        <v>7933687</v>
      </c>
      <c r="L28" s="502">
        <f t="shared" si="58"/>
        <v>234725</v>
      </c>
      <c r="M28" s="502">
        <f t="shared" si="58"/>
        <v>515056</v>
      </c>
      <c r="N28" s="503">
        <f t="shared" si="58"/>
        <v>41.178199999999997</v>
      </c>
      <c r="O28" s="503">
        <f t="shared" si="58"/>
        <v>33.888199999999998</v>
      </c>
      <c r="P28" s="507">
        <f t="shared" si="58"/>
        <v>7.2899999999999991</v>
      </c>
      <c r="Q28" s="505">
        <f t="shared" ref="Q28:BA28" si="59">SUM(Q24:Q27)</f>
        <v>-45500</v>
      </c>
      <c r="R28" s="502">
        <f t="shared" si="59"/>
        <v>2078675</v>
      </c>
      <c r="S28" s="502">
        <f t="shared" si="59"/>
        <v>0</v>
      </c>
      <c r="T28" s="502">
        <f t="shared" si="59"/>
        <v>0</v>
      </c>
      <c r="U28" s="502">
        <f t="shared" si="59"/>
        <v>0</v>
      </c>
      <c r="V28" s="502">
        <f t="shared" si="59"/>
        <v>2033175</v>
      </c>
      <c r="W28" s="502">
        <f t="shared" si="59"/>
        <v>45500</v>
      </c>
      <c r="X28" s="502">
        <f t="shared" si="59"/>
        <v>0</v>
      </c>
      <c r="Y28" s="502">
        <f t="shared" si="59"/>
        <v>0</v>
      </c>
      <c r="Z28" s="502">
        <f t="shared" si="59"/>
        <v>45500</v>
      </c>
      <c r="AA28" s="502">
        <f t="shared" si="59"/>
        <v>2078675</v>
      </c>
      <c r="AB28" s="502">
        <f t="shared" si="59"/>
        <v>702592</v>
      </c>
      <c r="AC28" s="502">
        <f t="shared" si="59"/>
        <v>20332</v>
      </c>
      <c r="AD28" s="502">
        <f t="shared" si="59"/>
        <v>0</v>
      </c>
      <c r="AE28" s="502">
        <f t="shared" si="59"/>
        <v>0</v>
      </c>
      <c r="AF28" s="502">
        <f t="shared" si="59"/>
        <v>0</v>
      </c>
      <c r="AG28" s="502">
        <f t="shared" si="59"/>
        <v>2801599</v>
      </c>
      <c r="AH28" s="503">
        <f t="shared" si="59"/>
        <v>0</v>
      </c>
      <c r="AI28" s="503">
        <f t="shared" si="59"/>
        <v>0</v>
      </c>
      <c r="AJ28" s="503">
        <f t="shared" si="59"/>
        <v>5.78</v>
      </c>
      <c r="AK28" s="503">
        <f t="shared" si="59"/>
        <v>0</v>
      </c>
      <c r="AL28" s="503">
        <f t="shared" si="59"/>
        <v>0</v>
      </c>
      <c r="AM28" s="503">
        <f t="shared" si="59"/>
        <v>0</v>
      </c>
      <c r="AN28" s="503">
        <f t="shared" si="59"/>
        <v>0</v>
      </c>
      <c r="AO28" s="503">
        <f t="shared" si="59"/>
        <v>0</v>
      </c>
      <c r="AP28" s="503">
        <f t="shared" si="59"/>
        <v>5.78</v>
      </c>
      <c r="AQ28" s="503">
        <f t="shared" si="59"/>
        <v>0</v>
      </c>
      <c r="AR28" s="40">
        <f t="shared" si="59"/>
        <v>5.78</v>
      </c>
      <c r="AS28" s="509">
        <f t="shared" si="59"/>
        <v>34957513</v>
      </c>
      <c r="AT28" s="502">
        <f t="shared" si="59"/>
        <v>25505621</v>
      </c>
      <c r="AU28" s="502">
        <f t="shared" si="59"/>
        <v>45500</v>
      </c>
      <c r="AV28" s="502">
        <f t="shared" si="59"/>
        <v>8636279</v>
      </c>
      <c r="AW28" s="502">
        <f t="shared" si="59"/>
        <v>255057</v>
      </c>
      <c r="AX28" s="502">
        <f t="shared" si="59"/>
        <v>515056</v>
      </c>
      <c r="AY28" s="503">
        <f t="shared" si="59"/>
        <v>46.958199999999998</v>
      </c>
      <c r="AZ28" s="503">
        <f t="shared" si="59"/>
        <v>39.668199999999999</v>
      </c>
      <c r="BA28" s="40">
        <f t="shared" si="59"/>
        <v>7.2899999999999991</v>
      </c>
    </row>
    <row r="29" spans="1:53" s="3" customFormat="1" x14ac:dyDescent="0.2">
      <c r="A29" s="211">
        <v>5</v>
      </c>
      <c r="B29" s="212">
        <v>3459</v>
      </c>
      <c r="C29" s="212">
        <v>651040264</v>
      </c>
      <c r="D29" s="212">
        <v>75121531</v>
      </c>
      <c r="E29" s="210" t="s">
        <v>93</v>
      </c>
      <c r="F29" s="212">
        <v>3231</v>
      </c>
      <c r="G29" s="213" t="s">
        <v>312</v>
      </c>
      <c r="H29" s="234" t="s">
        <v>277</v>
      </c>
      <c r="I29" s="462">
        <f t="shared" ref="I29" si="60">SUM(J29:M29)</f>
        <v>15716066</v>
      </c>
      <c r="J29" s="457">
        <v>11636345</v>
      </c>
      <c r="K29" s="457">
        <f t="shared" ref="K29" si="61">ROUND(J29*33.8%,0)</f>
        <v>3933085</v>
      </c>
      <c r="L29" s="457">
        <f>ROUND(J29*1%,0)</f>
        <v>116363</v>
      </c>
      <c r="M29" s="457">
        <v>30273</v>
      </c>
      <c r="N29" s="458">
        <f t="shared" ref="N29" si="62">O29+P29</f>
        <v>20.505800000000001</v>
      </c>
      <c r="O29" s="459">
        <v>18.5959</v>
      </c>
      <c r="P29" s="468">
        <v>1.9098999999999999</v>
      </c>
      <c r="Q29" s="470">
        <f t="shared" ref="Q29" si="63">W29*-1</f>
        <v>-52000</v>
      </c>
      <c r="R29" s="460">
        <v>0</v>
      </c>
      <c r="S29" s="673">
        <v>0</v>
      </c>
      <c r="T29" s="460">
        <v>0</v>
      </c>
      <c r="U29" s="460">
        <v>0</v>
      </c>
      <c r="V29" s="460">
        <f>SUM(Q29:U29)</f>
        <v>-52000</v>
      </c>
      <c r="W29" s="460">
        <v>52000</v>
      </c>
      <c r="X29" s="460">
        <v>0</v>
      </c>
      <c r="Y29" s="460">
        <v>0</v>
      </c>
      <c r="Z29" s="460">
        <f t="shared" ref="Z29" si="64">SUM(W29:Y29)</f>
        <v>52000</v>
      </c>
      <c r="AA29" s="460">
        <f t="shared" ref="AA29" si="65">V29+Z29</f>
        <v>0</v>
      </c>
      <c r="AB29" s="69">
        <f t="shared" ref="AB29" si="66">ROUND((V29+W29+X29)*33.8%,0)</f>
        <v>0</v>
      </c>
      <c r="AC29" s="69">
        <f>ROUND(V29*1%,0)</f>
        <v>-520</v>
      </c>
      <c r="AD29" s="460">
        <v>0</v>
      </c>
      <c r="AE29" s="460">
        <v>0</v>
      </c>
      <c r="AF29" s="460">
        <f t="shared" ref="AF29" si="67">SUM(AD29:AE29)</f>
        <v>0</v>
      </c>
      <c r="AG29" s="460">
        <f t="shared" ref="AG29" si="68">AA29+AB29+AC29+AF29</f>
        <v>-520</v>
      </c>
      <c r="AH29" s="461">
        <v>0</v>
      </c>
      <c r="AI29" s="461">
        <v>-0.14000000000000001</v>
      </c>
      <c r="AJ29" s="461">
        <v>0</v>
      </c>
      <c r="AK29" s="461">
        <v>0</v>
      </c>
      <c r="AL29" s="674">
        <v>0</v>
      </c>
      <c r="AM29" s="461">
        <v>0</v>
      </c>
      <c r="AN29" s="461">
        <v>0</v>
      </c>
      <c r="AO29" s="461">
        <v>0</v>
      </c>
      <c r="AP29" s="461">
        <f>AH29+AJ29+AK29+AM29+AN29</f>
        <v>0</v>
      </c>
      <c r="AQ29" s="461">
        <f>AI29+AL29+AO29</f>
        <v>-0.14000000000000001</v>
      </c>
      <c r="AR29" s="463">
        <f t="shared" ref="AR29" si="69">SUM(AP29:AQ29)</f>
        <v>-0.14000000000000001</v>
      </c>
      <c r="AS29" s="469">
        <f>I29+AG29</f>
        <v>15715546</v>
      </c>
      <c r="AT29" s="460">
        <f>J29+V29</f>
        <v>11584345</v>
      </c>
      <c r="AU29" s="460">
        <f>Z29</f>
        <v>52000</v>
      </c>
      <c r="AV29" s="460">
        <f>K29+AB29</f>
        <v>3933085</v>
      </c>
      <c r="AW29" s="460">
        <f>L29+AC29</f>
        <v>115843</v>
      </c>
      <c r="AX29" s="460">
        <f>M29+AF29</f>
        <v>30273</v>
      </c>
      <c r="AY29" s="461">
        <f>N29+AR29</f>
        <v>20.3658</v>
      </c>
      <c r="AZ29" s="461">
        <f>O29+AP29</f>
        <v>18.5959</v>
      </c>
      <c r="BA29" s="463">
        <f>P29+AQ29</f>
        <v>1.7698999999999998</v>
      </c>
    </row>
    <row r="30" spans="1:53" s="3" customFormat="1" x14ac:dyDescent="0.2">
      <c r="A30" s="158">
        <v>5</v>
      </c>
      <c r="B30" s="18">
        <v>3459</v>
      </c>
      <c r="C30" s="18">
        <v>651040264</v>
      </c>
      <c r="D30" s="18">
        <v>75121531</v>
      </c>
      <c r="E30" s="167" t="s">
        <v>94</v>
      </c>
      <c r="F30" s="18"/>
      <c r="G30" s="157"/>
      <c r="H30" s="191"/>
      <c r="I30" s="504">
        <f t="shared" ref="I30:BA30" si="70">SUM(I29)</f>
        <v>15716066</v>
      </c>
      <c r="J30" s="500">
        <f t="shared" si="70"/>
        <v>11636345</v>
      </c>
      <c r="K30" s="500">
        <f t="shared" si="70"/>
        <v>3933085</v>
      </c>
      <c r="L30" s="500">
        <f t="shared" si="70"/>
        <v>116363</v>
      </c>
      <c r="M30" s="500">
        <f t="shared" si="70"/>
        <v>30273</v>
      </c>
      <c r="N30" s="501">
        <f t="shared" si="70"/>
        <v>20.505800000000001</v>
      </c>
      <c r="O30" s="501">
        <f t="shared" si="70"/>
        <v>18.5959</v>
      </c>
      <c r="P30" s="506">
        <f t="shared" si="70"/>
        <v>1.9098999999999999</v>
      </c>
      <c r="Q30" s="504">
        <f t="shared" si="70"/>
        <v>-52000</v>
      </c>
      <c r="R30" s="500">
        <f t="shared" si="70"/>
        <v>0</v>
      </c>
      <c r="S30" s="500">
        <f t="shared" si="70"/>
        <v>0</v>
      </c>
      <c r="T30" s="500">
        <f t="shared" si="70"/>
        <v>0</v>
      </c>
      <c r="U30" s="500">
        <f t="shared" si="70"/>
        <v>0</v>
      </c>
      <c r="V30" s="500">
        <f t="shared" si="70"/>
        <v>-52000</v>
      </c>
      <c r="W30" s="500">
        <f t="shared" si="70"/>
        <v>52000</v>
      </c>
      <c r="X30" s="500">
        <f t="shared" si="70"/>
        <v>0</v>
      </c>
      <c r="Y30" s="500">
        <f t="shared" si="70"/>
        <v>0</v>
      </c>
      <c r="Z30" s="500">
        <f t="shared" si="70"/>
        <v>52000</v>
      </c>
      <c r="AA30" s="500">
        <f t="shared" si="70"/>
        <v>0</v>
      </c>
      <c r="AB30" s="500">
        <f t="shared" si="70"/>
        <v>0</v>
      </c>
      <c r="AC30" s="500">
        <f t="shared" si="70"/>
        <v>-520</v>
      </c>
      <c r="AD30" s="500">
        <f t="shared" si="70"/>
        <v>0</v>
      </c>
      <c r="AE30" s="500">
        <f t="shared" si="70"/>
        <v>0</v>
      </c>
      <c r="AF30" s="500">
        <f t="shared" si="70"/>
        <v>0</v>
      </c>
      <c r="AG30" s="500">
        <f t="shared" si="70"/>
        <v>-520</v>
      </c>
      <c r="AH30" s="501">
        <f t="shared" si="70"/>
        <v>0</v>
      </c>
      <c r="AI30" s="501">
        <f t="shared" si="70"/>
        <v>-0.14000000000000001</v>
      </c>
      <c r="AJ30" s="501">
        <f t="shared" si="70"/>
        <v>0</v>
      </c>
      <c r="AK30" s="501">
        <f t="shared" si="70"/>
        <v>0</v>
      </c>
      <c r="AL30" s="501">
        <f t="shared" si="70"/>
        <v>0</v>
      </c>
      <c r="AM30" s="501">
        <f t="shared" si="70"/>
        <v>0</v>
      </c>
      <c r="AN30" s="501">
        <f t="shared" si="70"/>
        <v>0</v>
      </c>
      <c r="AO30" s="501">
        <f t="shared" si="70"/>
        <v>0</v>
      </c>
      <c r="AP30" s="501">
        <f t="shared" si="70"/>
        <v>0</v>
      </c>
      <c r="AQ30" s="501">
        <f t="shared" si="70"/>
        <v>-0.14000000000000001</v>
      </c>
      <c r="AR30" s="41">
        <f t="shared" si="70"/>
        <v>-0.14000000000000001</v>
      </c>
      <c r="AS30" s="508">
        <f t="shared" si="70"/>
        <v>15715546</v>
      </c>
      <c r="AT30" s="500">
        <f t="shared" si="70"/>
        <v>11584345</v>
      </c>
      <c r="AU30" s="500">
        <f t="shared" si="70"/>
        <v>52000</v>
      </c>
      <c r="AV30" s="500">
        <f t="shared" si="70"/>
        <v>3933085</v>
      </c>
      <c r="AW30" s="500">
        <f t="shared" si="70"/>
        <v>115843</v>
      </c>
      <c r="AX30" s="500">
        <f t="shared" si="70"/>
        <v>30273</v>
      </c>
      <c r="AY30" s="501">
        <f t="shared" si="70"/>
        <v>20.3658</v>
      </c>
      <c r="AZ30" s="501">
        <f t="shared" si="70"/>
        <v>18.5959</v>
      </c>
      <c r="BA30" s="41">
        <f t="shared" si="70"/>
        <v>1.7698999999999998</v>
      </c>
    </row>
    <row r="31" spans="1:53" s="3" customFormat="1" x14ac:dyDescent="0.2">
      <c r="A31" s="211">
        <v>6</v>
      </c>
      <c r="B31" s="212">
        <v>3401</v>
      </c>
      <c r="C31" s="212">
        <v>650023404</v>
      </c>
      <c r="D31" s="212">
        <v>70981477</v>
      </c>
      <c r="E31" s="210" t="s">
        <v>95</v>
      </c>
      <c r="F31" s="212">
        <v>3111</v>
      </c>
      <c r="G31" s="213" t="s">
        <v>307</v>
      </c>
      <c r="H31" s="214" t="s">
        <v>277</v>
      </c>
      <c r="I31" s="462">
        <f t="shared" ref="I31:I36" si="71">SUM(J31:M31)</f>
        <v>1609058</v>
      </c>
      <c r="J31" s="457">
        <v>1187135</v>
      </c>
      <c r="K31" s="457">
        <f t="shared" ref="K31:K36" si="72">ROUND(J31*33.8%,0)</f>
        <v>401252</v>
      </c>
      <c r="L31" s="457">
        <f t="shared" ref="L31:L36" si="73">ROUND(J31*1%,0)</f>
        <v>11871</v>
      </c>
      <c r="M31" s="457">
        <v>8800</v>
      </c>
      <c r="N31" s="458">
        <f t="shared" ref="N31:N36" si="74">O31+P31</f>
        <v>2.4</v>
      </c>
      <c r="O31" s="459">
        <v>2</v>
      </c>
      <c r="P31" s="468">
        <v>0.4</v>
      </c>
      <c r="Q31" s="470">
        <f t="shared" ref="Q31:Q36" si="75">W31*-1</f>
        <v>-16250</v>
      </c>
      <c r="R31" s="460">
        <v>0</v>
      </c>
      <c r="S31" s="673">
        <v>0</v>
      </c>
      <c r="T31" s="460">
        <v>0</v>
      </c>
      <c r="U31" s="460">
        <v>0</v>
      </c>
      <c r="V31" s="460">
        <f t="shared" ref="V31:V36" si="76">SUM(Q31:U31)</f>
        <v>-16250</v>
      </c>
      <c r="W31" s="460">
        <v>16250</v>
      </c>
      <c r="X31" s="460">
        <v>0</v>
      </c>
      <c r="Y31" s="460">
        <v>0</v>
      </c>
      <c r="Z31" s="460">
        <f t="shared" ref="Z31:Z36" si="77">SUM(W31:Y31)</f>
        <v>16250</v>
      </c>
      <c r="AA31" s="460">
        <f t="shared" ref="AA31:AA36" si="78">V31+Z31</f>
        <v>0</v>
      </c>
      <c r="AB31" s="69">
        <f t="shared" ref="AB31:AB36" si="79">ROUND((V31+W31+X31)*33.8%,0)</f>
        <v>0</v>
      </c>
      <c r="AC31" s="69">
        <f t="shared" ref="AC31:AC36" si="80">ROUND(V31*1%,0)</f>
        <v>-163</v>
      </c>
      <c r="AD31" s="460">
        <v>0</v>
      </c>
      <c r="AE31" s="460">
        <v>0</v>
      </c>
      <c r="AF31" s="460">
        <f t="shared" ref="AF31:AF36" si="81">SUM(AD31:AE31)</f>
        <v>0</v>
      </c>
      <c r="AG31" s="460">
        <f t="shared" ref="AG31:AG36" si="82">AA31+AB31+AC31+AF31</f>
        <v>-163</v>
      </c>
      <c r="AH31" s="461">
        <v>-0.02</v>
      </c>
      <c r="AI31" s="461">
        <v>0</v>
      </c>
      <c r="AJ31" s="461">
        <v>0</v>
      </c>
      <c r="AK31" s="461">
        <v>0</v>
      </c>
      <c r="AL31" s="674">
        <v>0</v>
      </c>
      <c r="AM31" s="461">
        <v>0</v>
      </c>
      <c r="AN31" s="461">
        <v>0</v>
      </c>
      <c r="AO31" s="461">
        <v>0</v>
      </c>
      <c r="AP31" s="461">
        <f t="shared" ref="AP31:AP36" si="83">AH31+AJ31+AK31+AM31+AN31</f>
        <v>-0.02</v>
      </c>
      <c r="AQ31" s="461">
        <f t="shared" ref="AQ31:AQ36" si="84">AI31+AL31+AO31</f>
        <v>0</v>
      </c>
      <c r="AR31" s="463">
        <f t="shared" ref="AR31:AR36" si="85">SUM(AP31:AQ31)</f>
        <v>-0.02</v>
      </c>
      <c r="AS31" s="469">
        <f t="shared" ref="AS31:AS36" si="86">I31+AG31</f>
        <v>1608895</v>
      </c>
      <c r="AT31" s="460">
        <f t="shared" ref="AT31:AT36" si="87">J31+V31</f>
        <v>1170885</v>
      </c>
      <c r="AU31" s="460">
        <f t="shared" ref="AU31:AU36" si="88">Z31</f>
        <v>16250</v>
      </c>
      <c r="AV31" s="460">
        <f t="shared" ref="AV31:AW36" si="89">K31+AB31</f>
        <v>401252</v>
      </c>
      <c r="AW31" s="460">
        <f t="shared" si="89"/>
        <v>11708</v>
      </c>
      <c r="AX31" s="460">
        <f t="shared" ref="AX31:AX36" si="90">M31+AF31</f>
        <v>8800</v>
      </c>
      <c r="AY31" s="461">
        <f t="shared" ref="AY31:AY36" si="91">N31+AR31</f>
        <v>2.38</v>
      </c>
      <c r="AZ31" s="461">
        <f t="shared" ref="AZ31:BA36" si="92">O31+AP31</f>
        <v>1.98</v>
      </c>
      <c r="BA31" s="463">
        <f t="shared" si="92"/>
        <v>0.4</v>
      </c>
    </row>
    <row r="32" spans="1:53" x14ac:dyDescent="0.2">
      <c r="A32" s="211">
        <v>6</v>
      </c>
      <c r="B32" s="212">
        <v>3401</v>
      </c>
      <c r="C32" s="212">
        <v>650023404</v>
      </c>
      <c r="D32" s="212">
        <v>70981477</v>
      </c>
      <c r="E32" s="210" t="s">
        <v>95</v>
      </c>
      <c r="F32" s="212">
        <v>3117</v>
      </c>
      <c r="G32" s="213" t="s">
        <v>310</v>
      </c>
      <c r="H32" s="214" t="s">
        <v>277</v>
      </c>
      <c r="I32" s="462">
        <f t="shared" si="71"/>
        <v>3418791</v>
      </c>
      <c r="J32" s="457">
        <v>2493465</v>
      </c>
      <c r="K32" s="457">
        <f t="shared" si="72"/>
        <v>842791</v>
      </c>
      <c r="L32" s="457">
        <f t="shared" si="73"/>
        <v>24935</v>
      </c>
      <c r="M32" s="457">
        <v>57600</v>
      </c>
      <c r="N32" s="458">
        <f t="shared" si="74"/>
        <v>5.0630000000000006</v>
      </c>
      <c r="O32" s="459">
        <v>3.5844</v>
      </c>
      <c r="P32" s="468">
        <v>1.4786000000000001</v>
      </c>
      <c r="Q32" s="470">
        <f t="shared" si="75"/>
        <v>-26000</v>
      </c>
      <c r="R32" s="460">
        <v>0</v>
      </c>
      <c r="S32" s="673">
        <v>0</v>
      </c>
      <c r="T32" s="460">
        <v>0</v>
      </c>
      <c r="U32" s="460">
        <v>0</v>
      </c>
      <c r="V32" s="460">
        <f t="shared" si="76"/>
        <v>-26000</v>
      </c>
      <c r="W32" s="460">
        <v>26000</v>
      </c>
      <c r="X32" s="460">
        <v>0</v>
      </c>
      <c r="Y32" s="460">
        <v>0</v>
      </c>
      <c r="Z32" s="460">
        <f t="shared" si="77"/>
        <v>26000</v>
      </c>
      <c r="AA32" s="460">
        <f t="shared" si="78"/>
        <v>0</v>
      </c>
      <c r="AB32" s="69">
        <f t="shared" si="79"/>
        <v>0</v>
      </c>
      <c r="AC32" s="69">
        <f t="shared" si="80"/>
        <v>-260</v>
      </c>
      <c r="AD32" s="460">
        <v>0</v>
      </c>
      <c r="AE32" s="460">
        <v>0</v>
      </c>
      <c r="AF32" s="460">
        <f t="shared" si="81"/>
        <v>0</v>
      </c>
      <c r="AG32" s="460">
        <f t="shared" si="82"/>
        <v>-260</v>
      </c>
      <c r="AH32" s="461">
        <v>-0.02</v>
      </c>
      <c r="AI32" s="461">
        <v>-0.05</v>
      </c>
      <c r="AJ32" s="461">
        <v>0</v>
      </c>
      <c r="AK32" s="461">
        <v>0</v>
      </c>
      <c r="AL32" s="674">
        <v>0</v>
      </c>
      <c r="AM32" s="461">
        <v>0</v>
      </c>
      <c r="AN32" s="461">
        <v>0</v>
      </c>
      <c r="AO32" s="461">
        <v>0</v>
      </c>
      <c r="AP32" s="461">
        <f t="shared" si="83"/>
        <v>-0.02</v>
      </c>
      <c r="AQ32" s="461">
        <f t="shared" si="84"/>
        <v>-0.05</v>
      </c>
      <c r="AR32" s="463">
        <f t="shared" si="85"/>
        <v>-7.0000000000000007E-2</v>
      </c>
      <c r="AS32" s="469">
        <f t="shared" si="86"/>
        <v>3418531</v>
      </c>
      <c r="AT32" s="460">
        <f t="shared" si="87"/>
        <v>2467465</v>
      </c>
      <c r="AU32" s="460">
        <f t="shared" si="88"/>
        <v>26000</v>
      </c>
      <c r="AV32" s="460">
        <f t="shared" si="89"/>
        <v>842791</v>
      </c>
      <c r="AW32" s="460">
        <f t="shared" si="89"/>
        <v>24675</v>
      </c>
      <c r="AX32" s="460">
        <f t="shared" si="90"/>
        <v>57600</v>
      </c>
      <c r="AY32" s="461">
        <f t="shared" si="91"/>
        <v>4.9930000000000003</v>
      </c>
      <c r="AZ32" s="461">
        <f t="shared" si="92"/>
        <v>3.5644</v>
      </c>
      <c r="BA32" s="463">
        <f t="shared" si="92"/>
        <v>1.4286000000000001</v>
      </c>
    </row>
    <row r="33" spans="1:53" x14ac:dyDescent="0.2">
      <c r="A33" s="211">
        <v>6</v>
      </c>
      <c r="B33" s="212">
        <v>3401</v>
      </c>
      <c r="C33" s="212">
        <v>650023404</v>
      </c>
      <c r="D33" s="212">
        <v>70981477</v>
      </c>
      <c r="E33" s="210" t="s">
        <v>95</v>
      </c>
      <c r="F33" s="212">
        <v>3117</v>
      </c>
      <c r="G33" s="213" t="s">
        <v>315</v>
      </c>
      <c r="H33" s="214" t="s">
        <v>278</v>
      </c>
      <c r="I33" s="462">
        <f t="shared" si="71"/>
        <v>0</v>
      </c>
      <c r="J33" s="457">
        <v>0</v>
      </c>
      <c r="K33" s="457">
        <f t="shared" si="72"/>
        <v>0</v>
      </c>
      <c r="L33" s="457">
        <f t="shared" si="73"/>
        <v>0</v>
      </c>
      <c r="M33" s="457">
        <v>0</v>
      </c>
      <c r="N33" s="458">
        <f t="shared" si="74"/>
        <v>0</v>
      </c>
      <c r="O33" s="459">
        <v>0</v>
      </c>
      <c r="P33" s="468">
        <v>0</v>
      </c>
      <c r="Q33" s="470">
        <f t="shared" si="75"/>
        <v>0</v>
      </c>
      <c r="R33" s="460">
        <v>306107</v>
      </c>
      <c r="S33" s="673">
        <v>0</v>
      </c>
      <c r="T33" s="460">
        <v>0</v>
      </c>
      <c r="U33" s="460">
        <v>0</v>
      </c>
      <c r="V33" s="460">
        <f t="shared" si="76"/>
        <v>306107</v>
      </c>
      <c r="W33" s="460">
        <v>0</v>
      </c>
      <c r="X33" s="460">
        <v>0</v>
      </c>
      <c r="Y33" s="460">
        <v>0</v>
      </c>
      <c r="Z33" s="460">
        <f t="shared" si="77"/>
        <v>0</v>
      </c>
      <c r="AA33" s="460">
        <f t="shared" si="78"/>
        <v>306107</v>
      </c>
      <c r="AB33" s="69">
        <f t="shared" si="79"/>
        <v>103464</v>
      </c>
      <c r="AC33" s="69">
        <f t="shared" si="80"/>
        <v>3061</v>
      </c>
      <c r="AD33" s="460">
        <v>0</v>
      </c>
      <c r="AE33" s="460">
        <v>0</v>
      </c>
      <c r="AF33" s="460">
        <f t="shared" si="81"/>
        <v>0</v>
      </c>
      <c r="AG33" s="460">
        <f t="shared" si="82"/>
        <v>412632</v>
      </c>
      <c r="AH33" s="461">
        <v>0</v>
      </c>
      <c r="AI33" s="461">
        <v>0</v>
      </c>
      <c r="AJ33" s="461">
        <v>0.85</v>
      </c>
      <c r="AK33" s="461">
        <v>0</v>
      </c>
      <c r="AL33" s="674">
        <v>0</v>
      </c>
      <c r="AM33" s="461">
        <v>0</v>
      </c>
      <c r="AN33" s="461">
        <v>0</v>
      </c>
      <c r="AO33" s="461">
        <v>0</v>
      </c>
      <c r="AP33" s="461">
        <f t="shared" si="83"/>
        <v>0.85</v>
      </c>
      <c r="AQ33" s="461">
        <f t="shared" si="84"/>
        <v>0</v>
      </c>
      <c r="AR33" s="463">
        <f t="shared" si="85"/>
        <v>0.85</v>
      </c>
      <c r="AS33" s="469">
        <f t="shared" si="86"/>
        <v>412632</v>
      </c>
      <c r="AT33" s="460">
        <f t="shared" si="87"/>
        <v>306107</v>
      </c>
      <c r="AU33" s="460">
        <f t="shared" si="88"/>
        <v>0</v>
      </c>
      <c r="AV33" s="460">
        <f t="shared" si="89"/>
        <v>103464</v>
      </c>
      <c r="AW33" s="460">
        <f t="shared" si="89"/>
        <v>3061</v>
      </c>
      <c r="AX33" s="460">
        <f t="shared" si="90"/>
        <v>0</v>
      </c>
      <c r="AY33" s="461">
        <f t="shared" si="91"/>
        <v>0.85</v>
      </c>
      <c r="AZ33" s="461">
        <f t="shared" si="92"/>
        <v>0.85</v>
      </c>
      <c r="BA33" s="463">
        <f t="shared" si="92"/>
        <v>0</v>
      </c>
    </row>
    <row r="34" spans="1:53" x14ac:dyDescent="0.2">
      <c r="A34" s="211">
        <v>6</v>
      </c>
      <c r="B34" s="212">
        <v>3401</v>
      </c>
      <c r="C34" s="212">
        <v>650023404</v>
      </c>
      <c r="D34" s="212">
        <v>70981477</v>
      </c>
      <c r="E34" s="210" t="s">
        <v>95</v>
      </c>
      <c r="F34" s="212">
        <v>3141</v>
      </c>
      <c r="G34" s="213" t="s">
        <v>311</v>
      </c>
      <c r="H34" s="214" t="s">
        <v>278</v>
      </c>
      <c r="I34" s="462">
        <f t="shared" si="71"/>
        <v>750415</v>
      </c>
      <c r="J34" s="457">
        <v>554450</v>
      </c>
      <c r="K34" s="457">
        <f t="shared" si="72"/>
        <v>187404</v>
      </c>
      <c r="L34" s="457">
        <f t="shared" si="73"/>
        <v>5545</v>
      </c>
      <c r="M34" s="457">
        <v>3016</v>
      </c>
      <c r="N34" s="458">
        <f t="shared" si="74"/>
        <v>1.78</v>
      </c>
      <c r="O34" s="459">
        <v>0</v>
      </c>
      <c r="P34" s="468">
        <v>1.78</v>
      </c>
      <c r="Q34" s="470">
        <f t="shared" si="75"/>
        <v>-6500</v>
      </c>
      <c r="R34" s="460">
        <v>0</v>
      </c>
      <c r="S34" s="673">
        <v>0</v>
      </c>
      <c r="T34" s="460">
        <v>0</v>
      </c>
      <c r="U34" s="460">
        <v>0</v>
      </c>
      <c r="V34" s="460">
        <f t="shared" si="76"/>
        <v>-6500</v>
      </c>
      <c r="W34" s="460">
        <v>6500</v>
      </c>
      <c r="X34" s="460">
        <v>0</v>
      </c>
      <c r="Y34" s="460">
        <v>0</v>
      </c>
      <c r="Z34" s="460">
        <f t="shared" si="77"/>
        <v>6500</v>
      </c>
      <c r="AA34" s="460">
        <f t="shared" si="78"/>
        <v>0</v>
      </c>
      <c r="AB34" s="69">
        <f t="shared" si="79"/>
        <v>0</v>
      </c>
      <c r="AC34" s="69">
        <f t="shared" si="80"/>
        <v>-65</v>
      </c>
      <c r="AD34" s="460">
        <v>0</v>
      </c>
      <c r="AE34" s="460">
        <v>0</v>
      </c>
      <c r="AF34" s="460">
        <f t="shared" si="81"/>
        <v>0</v>
      </c>
      <c r="AG34" s="460">
        <f t="shared" si="82"/>
        <v>-65</v>
      </c>
      <c r="AH34" s="461">
        <v>0</v>
      </c>
      <c r="AI34" s="461">
        <v>0</v>
      </c>
      <c r="AJ34" s="461">
        <v>0</v>
      </c>
      <c r="AK34" s="461">
        <v>0</v>
      </c>
      <c r="AL34" s="674">
        <v>0</v>
      </c>
      <c r="AM34" s="461">
        <v>0</v>
      </c>
      <c r="AN34" s="461">
        <v>0</v>
      </c>
      <c r="AO34" s="461">
        <v>0</v>
      </c>
      <c r="AP34" s="461">
        <f t="shared" si="83"/>
        <v>0</v>
      </c>
      <c r="AQ34" s="461">
        <f t="shared" si="84"/>
        <v>0</v>
      </c>
      <c r="AR34" s="463">
        <f t="shared" si="85"/>
        <v>0</v>
      </c>
      <c r="AS34" s="469">
        <f t="shared" si="86"/>
        <v>750350</v>
      </c>
      <c r="AT34" s="460">
        <f t="shared" si="87"/>
        <v>547950</v>
      </c>
      <c r="AU34" s="460">
        <f t="shared" si="88"/>
        <v>6500</v>
      </c>
      <c r="AV34" s="460">
        <f t="shared" si="89"/>
        <v>187404</v>
      </c>
      <c r="AW34" s="460">
        <f t="shared" si="89"/>
        <v>5480</v>
      </c>
      <c r="AX34" s="460">
        <f t="shared" si="90"/>
        <v>3016</v>
      </c>
      <c r="AY34" s="461">
        <f t="shared" si="91"/>
        <v>1.78</v>
      </c>
      <c r="AZ34" s="461">
        <f t="shared" si="92"/>
        <v>0</v>
      </c>
      <c r="BA34" s="463">
        <f t="shared" si="92"/>
        <v>1.78</v>
      </c>
    </row>
    <row r="35" spans="1:53" x14ac:dyDescent="0.2">
      <c r="A35" s="211">
        <v>6</v>
      </c>
      <c r="B35" s="212">
        <v>3401</v>
      </c>
      <c r="C35" s="212">
        <v>650023404</v>
      </c>
      <c r="D35" s="212">
        <v>70981477</v>
      </c>
      <c r="E35" s="210" t="s">
        <v>95</v>
      </c>
      <c r="F35" s="212">
        <v>3143</v>
      </c>
      <c r="G35" s="213" t="s">
        <v>616</v>
      </c>
      <c r="H35" s="234" t="s">
        <v>277</v>
      </c>
      <c r="I35" s="462">
        <f t="shared" si="71"/>
        <v>706555</v>
      </c>
      <c r="J35" s="457">
        <v>524150</v>
      </c>
      <c r="K35" s="457">
        <f t="shared" si="72"/>
        <v>177163</v>
      </c>
      <c r="L35" s="457">
        <f t="shared" si="73"/>
        <v>5242</v>
      </c>
      <c r="M35" s="457">
        <v>0</v>
      </c>
      <c r="N35" s="458">
        <f t="shared" si="74"/>
        <v>1</v>
      </c>
      <c r="O35" s="459">
        <v>1</v>
      </c>
      <c r="P35" s="468">
        <v>0</v>
      </c>
      <c r="Q35" s="470">
        <f t="shared" si="75"/>
        <v>0</v>
      </c>
      <c r="R35" s="460">
        <v>0</v>
      </c>
      <c r="S35" s="673">
        <v>0</v>
      </c>
      <c r="T35" s="460">
        <v>0</v>
      </c>
      <c r="U35" s="460">
        <v>0</v>
      </c>
      <c r="V35" s="460">
        <f t="shared" si="76"/>
        <v>0</v>
      </c>
      <c r="W35" s="460">
        <v>0</v>
      </c>
      <c r="X35" s="460">
        <v>0</v>
      </c>
      <c r="Y35" s="460">
        <v>0</v>
      </c>
      <c r="Z35" s="460">
        <f t="shared" si="77"/>
        <v>0</v>
      </c>
      <c r="AA35" s="460">
        <f t="shared" si="78"/>
        <v>0</v>
      </c>
      <c r="AB35" s="69">
        <f t="shared" si="79"/>
        <v>0</v>
      </c>
      <c r="AC35" s="69">
        <f t="shared" si="80"/>
        <v>0</v>
      </c>
      <c r="AD35" s="460">
        <v>0</v>
      </c>
      <c r="AE35" s="460">
        <v>0</v>
      </c>
      <c r="AF35" s="460">
        <f t="shared" si="81"/>
        <v>0</v>
      </c>
      <c r="AG35" s="460">
        <f t="shared" si="82"/>
        <v>0</v>
      </c>
      <c r="AH35" s="461">
        <v>0</v>
      </c>
      <c r="AI35" s="461">
        <v>0</v>
      </c>
      <c r="AJ35" s="461">
        <v>0</v>
      </c>
      <c r="AK35" s="461">
        <v>0</v>
      </c>
      <c r="AL35" s="674">
        <v>0</v>
      </c>
      <c r="AM35" s="461">
        <v>0</v>
      </c>
      <c r="AN35" s="461">
        <v>0</v>
      </c>
      <c r="AO35" s="461">
        <v>0</v>
      </c>
      <c r="AP35" s="461">
        <f t="shared" si="83"/>
        <v>0</v>
      </c>
      <c r="AQ35" s="461">
        <f t="shared" si="84"/>
        <v>0</v>
      </c>
      <c r="AR35" s="463">
        <f t="shared" si="85"/>
        <v>0</v>
      </c>
      <c r="AS35" s="469">
        <f t="shared" si="86"/>
        <v>706555</v>
      </c>
      <c r="AT35" s="460">
        <f t="shared" si="87"/>
        <v>524150</v>
      </c>
      <c r="AU35" s="460">
        <f t="shared" si="88"/>
        <v>0</v>
      </c>
      <c r="AV35" s="460">
        <f t="shared" si="89"/>
        <v>177163</v>
      </c>
      <c r="AW35" s="460">
        <f t="shared" si="89"/>
        <v>5242</v>
      </c>
      <c r="AX35" s="460">
        <f t="shared" si="90"/>
        <v>0</v>
      </c>
      <c r="AY35" s="461">
        <f t="shared" si="91"/>
        <v>1</v>
      </c>
      <c r="AZ35" s="461">
        <f t="shared" si="92"/>
        <v>1</v>
      </c>
      <c r="BA35" s="463">
        <f t="shared" si="92"/>
        <v>0</v>
      </c>
    </row>
    <row r="36" spans="1:53" x14ac:dyDescent="0.2">
      <c r="A36" s="211">
        <v>6</v>
      </c>
      <c r="B36" s="212">
        <v>3401</v>
      </c>
      <c r="C36" s="212">
        <v>650023404</v>
      </c>
      <c r="D36" s="212">
        <v>70981477</v>
      </c>
      <c r="E36" s="210" t="s">
        <v>95</v>
      </c>
      <c r="F36" s="212">
        <v>3143</v>
      </c>
      <c r="G36" s="213" t="s">
        <v>617</v>
      </c>
      <c r="H36" s="234" t="s">
        <v>278</v>
      </c>
      <c r="I36" s="462">
        <f t="shared" si="71"/>
        <v>21257</v>
      </c>
      <c r="J36" s="457">
        <v>15188</v>
      </c>
      <c r="K36" s="457">
        <f t="shared" si="72"/>
        <v>5134</v>
      </c>
      <c r="L36" s="457">
        <f t="shared" si="73"/>
        <v>152</v>
      </c>
      <c r="M36" s="457">
        <v>783</v>
      </c>
      <c r="N36" s="458">
        <f t="shared" si="74"/>
        <v>0.06</v>
      </c>
      <c r="O36" s="459">
        <v>0</v>
      </c>
      <c r="P36" s="468">
        <v>0.06</v>
      </c>
      <c r="Q36" s="470">
        <f t="shared" si="75"/>
        <v>0</v>
      </c>
      <c r="R36" s="460">
        <v>0</v>
      </c>
      <c r="S36" s="673">
        <v>0</v>
      </c>
      <c r="T36" s="460">
        <v>0</v>
      </c>
      <c r="U36" s="460">
        <v>0</v>
      </c>
      <c r="V36" s="460">
        <f t="shared" si="76"/>
        <v>0</v>
      </c>
      <c r="W36" s="460">
        <v>0</v>
      </c>
      <c r="X36" s="460">
        <v>0</v>
      </c>
      <c r="Y36" s="460">
        <v>0</v>
      </c>
      <c r="Z36" s="460">
        <f t="shared" si="77"/>
        <v>0</v>
      </c>
      <c r="AA36" s="460">
        <f t="shared" si="78"/>
        <v>0</v>
      </c>
      <c r="AB36" s="69">
        <f t="shared" si="79"/>
        <v>0</v>
      </c>
      <c r="AC36" s="69">
        <f t="shared" si="80"/>
        <v>0</v>
      </c>
      <c r="AD36" s="460">
        <v>0</v>
      </c>
      <c r="AE36" s="460">
        <v>0</v>
      </c>
      <c r="AF36" s="460">
        <f t="shared" si="81"/>
        <v>0</v>
      </c>
      <c r="AG36" s="460">
        <f t="shared" si="82"/>
        <v>0</v>
      </c>
      <c r="AH36" s="461">
        <v>0</v>
      </c>
      <c r="AI36" s="461">
        <v>0</v>
      </c>
      <c r="AJ36" s="461">
        <v>0</v>
      </c>
      <c r="AK36" s="461">
        <v>0</v>
      </c>
      <c r="AL36" s="674">
        <v>0</v>
      </c>
      <c r="AM36" s="461">
        <v>0</v>
      </c>
      <c r="AN36" s="461">
        <v>0</v>
      </c>
      <c r="AO36" s="461">
        <v>0</v>
      </c>
      <c r="AP36" s="461">
        <f t="shared" si="83"/>
        <v>0</v>
      </c>
      <c r="AQ36" s="461">
        <f t="shared" si="84"/>
        <v>0</v>
      </c>
      <c r="AR36" s="463">
        <f t="shared" si="85"/>
        <v>0</v>
      </c>
      <c r="AS36" s="469">
        <f t="shared" si="86"/>
        <v>21257</v>
      </c>
      <c r="AT36" s="460">
        <f t="shared" si="87"/>
        <v>15188</v>
      </c>
      <c r="AU36" s="460">
        <f t="shared" si="88"/>
        <v>0</v>
      </c>
      <c r="AV36" s="460">
        <f t="shared" si="89"/>
        <v>5134</v>
      </c>
      <c r="AW36" s="460">
        <f t="shared" si="89"/>
        <v>152</v>
      </c>
      <c r="AX36" s="460">
        <f t="shared" si="90"/>
        <v>783</v>
      </c>
      <c r="AY36" s="461">
        <f t="shared" si="91"/>
        <v>0.06</v>
      </c>
      <c r="AZ36" s="461">
        <f t="shared" si="92"/>
        <v>0</v>
      </c>
      <c r="BA36" s="463">
        <f t="shared" si="92"/>
        <v>0.06</v>
      </c>
    </row>
    <row r="37" spans="1:53" x14ac:dyDescent="0.2">
      <c r="A37" s="158">
        <v>6</v>
      </c>
      <c r="B37" s="18">
        <v>3401</v>
      </c>
      <c r="C37" s="18">
        <v>650023404</v>
      </c>
      <c r="D37" s="18">
        <v>70981477</v>
      </c>
      <c r="E37" s="167" t="s">
        <v>96</v>
      </c>
      <c r="F37" s="18"/>
      <c r="G37" s="157"/>
      <c r="H37" s="191"/>
      <c r="I37" s="504">
        <f t="shared" ref="I37:BA37" si="93">SUM(I31:I36)</f>
        <v>6506076</v>
      </c>
      <c r="J37" s="500">
        <f t="shared" si="93"/>
        <v>4774388</v>
      </c>
      <c r="K37" s="500">
        <f t="shared" si="93"/>
        <v>1613744</v>
      </c>
      <c r="L37" s="500">
        <f t="shared" si="93"/>
        <v>47745</v>
      </c>
      <c r="M37" s="500">
        <f t="shared" si="93"/>
        <v>70199</v>
      </c>
      <c r="N37" s="501">
        <f t="shared" si="93"/>
        <v>10.303000000000001</v>
      </c>
      <c r="O37" s="501">
        <f t="shared" si="93"/>
        <v>6.5844000000000005</v>
      </c>
      <c r="P37" s="506">
        <f t="shared" si="93"/>
        <v>3.7185999999999999</v>
      </c>
      <c r="Q37" s="504">
        <f t="shared" si="93"/>
        <v>-48750</v>
      </c>
      <c r="R37" s="500">
        <f t="shared" si="93"/>
        <v>306107</v>
      </c>
      <c r="S37" s="500">
        <f t="shared" si="93"/>
        <v>0</v>
      </c>
      <c r="T37" s="500">
        <f t="shared" si="93"/>
        <v>0</v>
      </c>
      <c r="U37" s="500">
        <f t="shared" si="93"/>
        <v>0</v>
      </c>
      <c r="V37" s="500">
        <f t="shared" si="93"/>
        <v>257357</v>
      </c>
      <c r="W37" s="500">
        <f t="shared" si="93"/>
        <v>48750</v>
      </c>
      <c r="X37" s="500">
        <f t="shared" si="93"/>
        <v>0</v>
      </c>
      <c r="Y37" s="500">
        <f t="shared" si="93"/>
        <v>0</v>
      </c>
      <c r="Z37" s="500">
        <f t="shared" si="93"/>
        <v>48750</v>
      </c>
      <c r="AA37" s="500">
        <f t="shared" si="93"/>
        <v>306107</v>
      </c>
      <c r="AB37" s="500">
        <f t="shared" si="93"/>
        <v>103464</v>
      </c>
      <c r="AC37" s="500">
        <f t="shared" si="93"/>
        <v>2573</v>
      </c>
      <c r="AD37" s="500">
        <f t="shared" si="93"/>
        <v>0</v>
      </c>
      <c r="AE37" s="500">
        <f t="shared" si="93"/>
        <v>0</v>
      </c>
      <c r="AF37" s="500">
        <f t="shared" si="93"/>
        <v>0</v>
      </c>
      <c r="AG37" s="500">
        <f t="shared" si="93"/>
        <v>412144</v>
      </c>
      <c r="AH37" s="501">
        <f t="shared" si="93"/>
        <v>-0.04</v>
      </c>
      <c r="AI37" s="501">
        <f t="shared" si="93"/>
        <v>-0.05</v>
      </c>
      <c r="AJ37" s="501">
        <f t="shared" si="93"/>
        <v>0.85</v>
      </c>
      <c r="AK37" s="501">
        <f t="shared" si="93"/>
        <v>0</v>
      </c>
      <c r="AL37" s="501">
        <f t="shared" si="93"/>
        <v>0</v>
      </c>
      <c r="AM37" s="501">
        <f t="shared" si="93"/>
        <v>0</v>
      </c>
      <c r="AN37" s="501">
        <f t="shared" si="93"/>
        <v>0</v>
      </c>
      <c r="AO37" s="501">
        <f t="shared" si="93"/>
        <v>0</v>
      </c>
      <c r="AP37" s="501">
        <f t="shared" si="93"/>
        <v>0.80999999999999994</v>
      </c>
      <c r="AQ37" s="501">
        <f t="shared" si="93"/>
        <v>-0.05</v>
      </c>
      <c r="AR37" s="41">
        <f t="shared" si="93"/>
        <v>0.76</v>
      </c>
      <c r="AS37" s="508">
        <f t="shared" si="93"/>
        <v>6918220</v>
      </c>
      <c r="AT37" s="500">
        <f t="shared" si="93"/>
        <v>5031745</v>
      </c>
      <c r="AU37" s="500">
        <f t="shared" si="93"/>
        <v>48750</v>
      </c>
      <c r="AV37" s="500">
        <f t="shared" si="93"/>
        <v>1717208</v>
      </c>
      <c r="AW37" s="500">
        <f t="shared" si="93"/>
        <v>50318</v>
      </c>
      <c r="AX37" s="500">
        <f t="shared" si="93"/>
        <v>70199</v>
      </c>
      <c r="AY37" s="501">
        <f t="shared" si="93"/>
        <v>11.063000000000001</v>
      </c>
      <c r="AZ37" s="501">
        <f t="shared" si="93"/>
        <v>7.3943999999999992</v>
      </c>
      <c r="BA37" s="41">
        <f t="shared" si="93"/>
        <v>3.6686000000000001</v>
      </c>
    </row>
    <row r="38" spans="1:53" x14ac:dyDescent="0.2">
      <c r="A38" s="211">
        <v>7</v>
      </c>
      <c r="B38" s="212">
        <v>3404</v>
      </c>
      <c r="C38" s="212">
        <v>650023021</v>
      </c>
      <c r="D38" s="212">
        <v>70982597</v>
      </c>
      <c r="E38" s="210" t="s">
        <v>97</v>
      </c>
      <c r="F38" s="212">
        <v>3111</v>
      </c>
      <c r="G38" s="213" t="s">
        <v>307</v>
      </c>
      <c r="H38" s="214" t="s">
        <v>277</v>
      </c>
      <c r="I38" s="462">
        <f t="shared" ref="I38:I43" si="94">SUM(J38:M38)</f>
        <v>6427087</v>
      </c>
      <c r="J38" s="457">
        <v>4744427</v>
      </c>
      <c r="K38" s="457">
        <f t="shared" ref="K38:K43" si="95">ROUND(J38*33.8%,0)</f>
        <v>1603616</v>
      </c>
      <c r="L38" s="457">
        <f t="shared" ref="L38:L43" si="96">ROUND(J38*1%,0)</f>
        <v>47444</v>
      </c>
      <c r="M38" s="457">
        <v>31600</v>
      </c>
      <c r="N38" s="458">
        <f t="shared" ref="N38:N43" si="97">O38+P38</f>
        <v>9.5045000000000002</v>
      </c>
      <c r="O38" s="459">
        <v>8.0645000000000007</v>
      </c>
      <c r="P38" s="468">
        <v>1.44</v>
      </c>
      <c r="Q38" s="470">
        <f t="shared" ref="Q38:Q43" si="98">W38*-1</f>
        <v>-13000</v>
      </c>
      <c r="R38" s="460">
        <v>0</v>
      </c>
      <c r="S38" s="673">
        <v>0</v>
      </c>
      <c r="T38" s="460">
        <v>0</v>
      </c>
      <c r="U38" s="460">
        <v>0</v>
      </c>
      <c r="V38" s="460">
        <f t="shared" ref="V38:V43" si="99">SUM(Q38:U38)</f>
        <v>-13000</v>
      </c>
      <c r="W38" s="460">
        <v>13000</v>
      </c>
      <c r="X38" s="460">
        <v>0</v>
      </c>
      <c r="Y38" s="460">
        <v>0</v>
      </c>
      <c r="Z38" s="460">
        <f t="shared" ref="Z38:Z43" si="100">SUM(W38:Y38)</f>
        <v>13000</v>
      </c>
      <c r="AA38" s="460">
        <f t="shared" ref="AA38:AA43" si="101">V38+Z38</f>
        <v>0</v>
      </c>
      <c r="AB38" s="69">
        <f t="shared" ref="AB38:AB43" si="102">ROUND((V38+W38+X38)*33.8%,0)</f>
        <v>0</v>
      </c>
      <c r="AC38" s="69">
        <f t="shared" ref="AC38:AC43" si="103">ROUND(V38*1%,0)</f>
        <v>-130</v>
      </c>
      <c r="AD38" s="460">
        <v>0</v>
      </c>
      <c r="AE38" s="460">
        <v>0</v>
      </c>
      <c r="AF38" s="460">
        <f t="shared" ref="AF38:AF43" si="104">SUM(AD38:AE38)</f>
        <v>0</v>
      </c>
      <c r="AG38" s="460">
        <f t="shared" ref="AG38:AG43" si="105">AA38+AB38+AC38+AF38</f>
        <v>-130</v>
      </c>
      <c r="AH38" s="461">
        <v>0</v>
      </c>
      <c r="AI38" s="461">
        <v>0</v>
      </c>
      <c r="AJ38" s="461">
        <v>0</v>
      </c>
      <c r="AK38" s="461">
        <v>0</v>
      </c>
      <c r="AL38" s="674">
        <v>0</v>
      </c>
      <c r="AM38" s="461">
        <v>0</v>
      </c>
      <c r="AN38" s="461">
        <v>0</v>
      </c>
      <c r="AO38" s="461">
        <v>0</v>
      </c>
      <c r="AP38" s="461">
        <f t="shared" ref="AP38:AP43" si="106">AH38+AJ38+AK38+AM38+AN38</f>
        <v>0</v>
      </c>
      <c r="AQ38" s="461">
        <f t="shared" ref="AQ38:AQ43" si="107">AI38+AL38+AO38</f>
        <v>0</v>
      </c>
      <c r="AR38" s="463">
        <f t="shared" ref="AR38:AR43" si="108">SUM(AP38:AQ38)</f>
        <v>0</v>
      </c>
      <c r="AS38" s="469">
        <f t="shared" ref="AS38:AS43" si="109">I38+AG38</f>
        <v>6426957</v>
      </c>
      <c r="AT38" s="460">
        <f t="shared" ref="AT38:AT43" si="110">J38+V38</f>
        <v>4731427</v>
      </c>
      <c r="AU38" s="460">
        <f t="shared" ref="AU38:AU43" si="111">Z38</f>
        <v>13000</v>
      </c>
      <c r="AV38" s="460">
        <f t="shared" ref="AV38:AW43" si="112">K38+AB38</f>
        <v>1603616</v>
      </c>
      <c r="AW38" s="460">
        <f t="shared" si="112"/>
        <v>47314</v>
      </c>
      <c r="AX38" s="460">
        <f t="shared" ref="AX38:AX43" si="113">M38+AF38</f>
        <v>31600</v>
      </c>
      <c r="AY38" s="461">
        <f t="shared" ref="AY38:AY43" si="114">N38+AR38</f>
        <v>9.5045000000000002</v>
      </c>
      <c r="AZ38" s="461">
        <f t="shared" ref="AZ38:BA43" si="115">O38+AP38</f>
        <v>8.0645000000000007</v>
      </c>
      <c r="BA38" s="463">
        <f t="shared" si="115"/>
        <v>1.44</v>
      </c>
    </row>
    <row r="39" spans="1:53" x14ac:dyDescent="0.2">
      <c r="A39" s="211">
        <v>7</v>
      </c>
      <c r="B39" s="212">
        <v>3404</v>
      </c>
      <c r="C39" s="212">
        <v>650023021</v>
      </c>
      <c r="D39" s="212">
        <v>70982597</v>
      </c>
      <c r="E39" s="210" t="s">
        <v>97</v>
      </c>
      <c r="F39" s="212">
        <v>3113</v>
      </c>
      <c r="G39" s="213" t="s">
        <v>310</v>
      </c>
      <c r="H39" s="214" t="s">
        <v>277</v>
      </c>
      <c r="I39" s="462">
        <f t="shared" si="94"/>
        <v>19891394</v>
      </c>
      <c r="J39" s="457">
        <v>14505014</v>
      </c>
      <c r="K39" s="457">
        <f t="shared" si="95"/>
        <v>4902695</v>
      </c>
      <c r="L39" s="457">
        <f t="shared" si="96"/>
        <v>145050</v>
      </c>
      <c r="M39" s="457">
        <v>338635</v>
      </c>
      <c r="N39" s="458">
        <f t="shared" si="97"/>
        <v>27.243499999999997</v>
      </c>
      <c r="O39" s="459">
        <v>20.863499999999998</v>
      </c>
      <c r="P39" s="468">
        <v>6.3800000000000008</v>
      </c>
      <c r="Q39" s="470">
        <f t="shared" si="98"/>
        <v>-39000</v>
      </c>
      <c r="R39" s="460">
        <v>0</v>
      </c>
      <c r="S39" s="673">
        <v>0</v>
      </c>
      <c r="T39" s="460">
        <v>39616</v>
      </c>
      <c r="U39" s="460">
        <v>135605</v>
      </c>
      <c r="V39" s="460">
        <f t="shared" si="99"/>
        <v>136221</v>
      </c>
      <c r="W39" s="460">
        <v>39000</v>
      </c>
      <c r="X39" s="460">
        <v>0</v>
      </c>
      <c r="Y39" s="460">
        <v>0</v>
      </c>
      <c r="Z39" s="460">
        <f t="shared" si="100"/>
        <v>39000</v>
      </c>
      <c r="AA39" s="460">
        <f t="shared" si="101"/>
        <v>175221</v>
      </c>
      <c r="AB39" s="69">
        <f t="shared" si="102"/>
        <v>59225</v>
      </c>
      <c r="AC39" s="69">
        <f t="shared" si="103"/>
        <v>1362</v>
      </c>
      <c r="AD39" s="460">
        <v>0</v>
      </c>
      <c r="AE39" s="460">
        <v>0</v>
      </c>
      <c r="AF39" s="460">
        <f t="shared" si="104"/>
        <v>0</v>
      </c>
      <c r="AG39" s="460">
        <f t="shared" si="105"/>
        <v>235808</v>
      </c>
      <c r="AH39" s="461">
        <v>0</v>
      </c>
      <c r="AI39" s="461">
        <v>0</v>
      </c>
      <c r="AJ39" s="461">
        <v>0</v>
      </c>
      <c r="AK39" s="461">
        <v>0</v>
      </c>
      <c r="AL39" s="674">
        <v>0</v>
      </c>
      <c r="AM39" s="461">
        <v>0.06</v>
      </c>
      <c r="AN39" s="461">
        <v>0.2273</v>
      </c>
      <c r="AO39" s="461">
        <v>0</v>
      </c>
      <c r="AP39" s="461">
        <f t="shared" si="106"/>
        <v>0.2873</v>
      </c>
      <c r="AQ39" s="461">
        <f t="shared" si="107"/>
        <v>0</v>
      </c>
      <c r="AR39" s="463">
        <f t="shared" si="108"/>
        <v>0.2873</v>
      </c>
      <c r="AS39" s="469">
        <f t="shared" si="109"/>
        <v>20127202</v>
      </c>
      <c r="AT39" s="460">
        <f t="shared" si="110"/>
        <v>14641235</v>
      </c>
      <c r="AU39" s="460">
        <f t="shared" si="111"/>
        <v>39000</v>
      </c>
      <c r="AV39" s="460">
        <f t="shared" si="112"/>
        <v>4961920</v>
      </c>
      <c r="AW39" s="460">
        <f t="shared" si="112"/>
        <v>146412</v>
      </c>
      <c r="AX39" s="460">
        <f t="shared" si="113"/>
        <v>338635</v>
      </c>
      <c r="AY39" s="461">
        <f t="shared" si="114"/>
        <v>27.530799999999996</v>
      </c>
      <c r="AZ39" s="461">
        <f t="shared" si="115"/>
        <v>21.150799999999997</v>
      </c>
      <c r="BA39" s="463">
        <f t="shared" si="115"/>
        <v>6.3800000000000008</v>
      </c>
    </row>
    <row r="40" spans="1:53" x14ac:dyDescent="0.2">
      <c r="A40" s="211">
        <v>7</v>
      </c>
      <c r="B40" s="212">
        <v>3404</v>
      </c>
      <c r="C40" s="212">
        <v>650023021</v>
      </c>
      <c r="D40" s="212">
        <v>70982597</v>
      </c>
      <c r="E40" s="210" t="s">
        <v>97</v>
      </c>
      <c r="F40" s="212">
        <v>3113</v>
      </c>
      <c r="G40" s="213" t="s">
        <v>308</v>
      </c>
      <c r="H40" s="214" t="s">
        <v>278</v>
      </c>
      <c r="I40" s="462">
        <f t="shared" si="94"/>
        <v>0</v>
      </c>
      <c r="J40" s="457">
        <v>0</v>
      </c>
      <c r="K40" s="457">
        <f t="shared" si="95"/>
        <v>0</v>
      </c>
      <c r="L40" s="457">
        <f t="shared" si="96"/>
        <v>0</v>
      </c>
      <c r="M40" s="457">
        <v>0</v>
      </c>
      <c r="N40" s="458">
        <f t="shared" si="97"/>
        <v>0</v>
      </c>
      <c r="O40" s="459">
        <v>0</v>
      </c>
      <c r="P40" s="468">
        <v>0</v>
      </c>
      <c r="Q40" s="470">
        <f t="shared" si="98"/>
        <v>0</v>
      </c>
      <c r="R40" s="460">
        <v>3127652</v>
      </c>
      <c r="S40" s="673">
        <v>0</v>
      </c>
      <c r="T40" s="460">
        <v>0</v>
      </c>
      <c r="U40" s="460">
        <v>0</v>
      </c>
      <c r="V40" s="460">
        <f t="shared" si="99"/>
        <v>3127652</v>
      </c>
      <c r="W40" s="460">
        <v>0</v>
      </c>
      <c r="X40" s="460">
        <v>0</v>
      </c>
      <c r="Y40" s="460">
        <v>0</v>
      </c>
      <c r="Z40" s="460">
        <f t="shared" si="100"/>
        <v>0</v>
      </c>
      <c r="AA40" s="460">
        <f t="shared" si="101"/>
        <v>3127652</v>
      </c>
      <c r="AB40" s="69">
        <f t="shared" si="102"/>
        <v>1057146</v>
      </c>
      <c r="AC40" s="69">
        <f t="shared" si="103"/>
        <v>31277</v>
      </c>
      <c r="AD40" s="460">
        <v>0</v>
      </c>
      <c r="AE40" s="460">
        <v>0</v>
      </c>
      <c r="AF40" s="460">
        <f t="shared" si="104"/>
        <v>0</v>
      </c>
      <c r="AG40" s="460">
        <f t="shared" si="105"/>
        <v>4216075</v>
      </c>
      <c r="AH40" s="461">
        <v>0</v>
      </c>
      <c r="AI40" s="461">
        <v>0</v>
      </c>
      <c r="AJ40" s="461">
        <v>9.0299999999999994</v>
      </c>
      <c r="AK40" s="461">
        <v>0</v>
      </c>
      <c r="AL40" s="674">
        <v>0</v>
      </c>
      <c r="AM40" s="461">
        <v>0</v>
      </c>
      <c r="AN40" s="461">
        <v>0</v>
      </c>
      <c r="AO40" s="461">
        <v>0</v>
      </c>
      <c r="AP40" s="461">
        <f t="shared" si="106"/>
        <v>9.0299999999999994</v>
      </c>
      <c r="AQ40" s="461">
        <f t="shared" si="107"/>
        <v>0</v>
      </c>
      <c r="AR40" s="463">
        <f t="shared" si="108"/>
        <v>9.0299999999999994</v>
      </c>
      <c r="AS40" s="469">
        <f t="shared" si="109"/>
        <v>4216075</v>
      </c>
      <c r="AT40" s="460">
        <f t="shared" si="110"/>
        <v>3127652</v>
      </c>
      <c r="AU40" s="460">
        <f t="shared" si="111"/>
        <v>0</v>
      </c>
      <c r="AV40" s="460">
        <f t="shared" si="112"/>
        <v>1057146</v>
      </c>
      <c r="AW40" s="460">
        <f t="shared" si="112"/>
        <v>31277</v>
      </c>
      <c r="AX40" s="460">
        <f t="shared" si="113"/>
        <v>0</v>
      </c>
      <c r="AY40" s="461">
        <f t="shared" si="114"/>
        <v>9.0299999999999994</v>
      </c>
      <c r="AZ40" s="461">
        <f t="shared" si="115"/>
        <v>9.0299999999999994</v>
      </c>
      <c r="BA40" s="463">
        <f t="shared" si="115"/>
        <v>0</v>
      </c>
    </row>
    <row r="41" spans="1:53" x14ac:dyDescent="0.2">
      <c r="A41" s="211">
        <v>7</v>
      </c>
      <c r="B41" s="212">
        <v>3404</v>
      </c>
      <c r="C41" s="212">
        <v>650023021</v>
      </c>
      <c r="D41" s="212">
        <v>70982597</v>
      </c>
      <c r="E41" s="210" t="s">
        <v>97</v>
      </c>
      <c r="F41" s="212">
        <v>3141</v>
      </c>
      <c r="G41" s="213" t="s">
        <v>311</v>
      </c>
      <c r="H41" s="214" t="s">
        <v>278</v>
      </c>
      <c r="I41" s="462">
        <f t="shared" si="94"/>
        <v>2395077</v>
      </c>
      <c r="J41" s="457">
        <v>1764523</v>
      </c>
      <c r="K41" s="457">
        <f t="shared" si="95"/>
        <v>596409</v>
      </c>
      <c r="L41" s="457">
        <f t="shared" si="96"/>
        <v>17645</v>
      </c>
      <c r="M41" s="457">
        <v>16500</v>
      </c>
      <c r="N41" s="458">
        <f t="shared" si="97"/>
        <v>5.67</v>
      </c>
      <c r="O41" s="459">
        <v>0</v>
      </c>
      <c r="P41" s="468">
        <v>5.67</v>
      </c>
      <c r="Q41" s="470">
        <f t="shared" si="98"/>
        <v>-13000</v>
      </c>
      <c r="R41" s="460">
        <v>0</v>
      </c>
      <c r="S41" s="673">
        <v>0</v>
      </c>
      <c r="T41" s="460">
        <v>0</v>
      </c>
      <c r="U41" s="460">
        <v>0</v>
      </c>
      <c r="V41" s="460">
        <f t="shared" si="99"/>
        <v>-13000</v>
      </c>
      <c r="W41" s="460">
        <v>13000</v>
      </c>
      <c r="X41" s="460">
        <v>0</v>
      </c>
      <c r="Y41" s="460">
        <v>0</v>
      </c>
      <c r="Z41" s="460">
        <f t="shared" si="100"/>
        <v>13000</v>
      </c>
      <c r="AA41" s="460">
        <f t="shared" si="101"/>
        <v>0</v>
      </c>
      <c r="AB41" s="69">
        <f t="shared" si="102"/>
        <v>0</v>
      </c>
      <c r="AC41" s="69">
        <f t="shared" si="103"/>
        <v>-130</v>
      </c>
      <c r="AD41" s="460">
        <v>0</v>
      </c>
      <c r="AE41" s="460">
        <v>0</v>
      </c>
      <c r="AF41" s="460">
        <f t="shared" si="104"/>
        <v>0</v>
      </c>
      <c r="AG41" s="460">
        <f t="shared" si="105"/>
        <v>-130</v>
      </c>
      <c r="AH41" s="461">
        <v>0</v>
      </c>
      <c r="AI41" s="461">
        <v>0</v>
      </c>
      <c r="AJ41" s="461">
        <v>0</v>
      </c>
      <c r="AK41" s="461">
        <v>0</v>
      </c>
      <c r="AL41" s="674">
        <v>0</v>
      </c>
      <c r="AM41" s="461">
        <v>0</v>
      </c>
      <c r="AN41" s="461">
        <v>0</v>
      </c>
      <c r="AO41" s="461">
        <v>0</v>
      </c>
      <c r="AP41" s="461">
        <f t="shared" si="106"/>
        <v>0</v>
      </c>
      <c r="AQ41" s="461">
        <f t="shared" si="107"/>
        <v>0</v>
      </c>
      <c r="AR41" s="463">
        <f t="shared" si="108"/>
        <v>0</v>
      </c>
      <c r="AS41" s="469">
        <f t="shared" si="109"/>
        <v>2394947</v>
      </c>
      <c r="AT41" s="460">
        <f t="shared" si="110"/>
        <v>1751523</v>
      </c>
      <c r="AU41" s="460">
        <f t="shared" si="111"/>
        <v>13000</v>
      </c>
      <c r="AV41" s="460">
        <f t="shared" si="112"/>
        <v>596409</v>
      </c>
      <c r="AW41" s="460">
        <f t="shared" si="112"/>
        <v>17515</v>
      </c>
      <c r="AX41" s="460">
        <f t="shared" si="113"/>
        <v>16500</v>
      </c>
      <c r="AY41" s="461">
        <f t="shared" si="114"/>
        <v>5.67</v>
      </c>
      <c r="AZ41" s="461">
        <f t="shared" si="115"/>
        <v>0</v>
      </c>
      <c r="BA41" s="463">
        <f t="shared" si="115"/>
        <v>5.67</v>
      </c>
    </row>
    <row r="42" spans="1:53" s="3" customFormat="1" x14ac:dyDescent="0.2">
      <c r="A42" s="211">
        <v>7</v>
      </c>
      <c r="B42" s="212">
        <v>3404</v>
      </c>
      <c r="C42" s="212">
        <v>650023021</v>
      </c>
      <c r="D42" s="212">
        <v>70982597</v>
      </c>
      <c r="E42" s="210" t="s">
        <v>97</v>
      </c>
      <c r="F42" s="212">
        <v>3143</v>
      </c>
      <c r="G42" s="213" t="s">
        <v>616</v>
      </c>
      <c r="H42" s="234" t="s">
        <v>277</v>
      </c>
      <c r="I42" s="462">
        <f t="shared" si="94"/>
        <v>1904405</v>
      </c>
      <c r="J42" s="457">
        <v>1412763</v>
      </c>
      <c r="K42" s="457">
        <f t="shared" si="95"/>
        <v>477514</v>
      </c>
      <c r="L42" s="457">
        <f t="shared" si="96"/>
        <v>14128</v>
      </c>
      <c r="M42" s="457">
        <v>0</v>
      </c>
      <c r="N42" s="458">
        <f t="shared" si="97"/>
        <v>2.9643000000000002</v>
      </c>
      <c r="O42" s="459">
        <v>2.9643000000000002</v>
      </c>
      <c r="P42" s="468">
        <v>0</v>
      </c>
      <c r="Q42" s="470">
        <f t="shared" si="98"/>
        <v>0</v>
      </c>
      <c r="R42" s="460">
        <v>0</v>
      </c>
      <c r="S42" s="673">
        <v>0</v>
      </c>
      <c r="T42" s="460">
        <v>0</v>
      </c>
      <c r="U42" s="460">
        <v>-26086</v>
      </c>
      <c r="V42" s="460">
        <f t="shared" si="99"/>
        <v>-26086</v>
      </c>
      <c r="W42" s="460">
        <v>0</v>
      </c>
      <c r="X42" s="460">
        <v>0</v>
      </c>
      <c r="Y42" s="460">
        <v>0</v>
      </c>
      <c r="Z42" s="460">
        <f t="shared" si="100"/>
        <v>0</v>
      </c>
      <c r="AA42" s="460">
        <f t="shared" si="101"/>
        <v>-26086</v>
      </c>
      <c r="AB42" s="69">
        <f t="shared" si="102"/>
        <v>-8817</v>
      </c>
      <c r="AC42" s="69">
        <f t="shared" si="103"/>
        <v>-261</v>
      </c>
      <c r="AD42" s="460">
        <v>0</v>
      </c>
      <c r="AE42" s="460">
        <v>0</v>
      </c>
      <c r="AF42" s="460">
        <f t="shared" si="104"/>
        <v>0</v>
      </c>
      <c r="AG42" s="460">
        <f t="shared" si="105"/>
        <v>-35164</v>
      </c>
      <c r="AH42" s="461">
        <v>0</v>
      </c>
      <c r="AI42" s="461">
        <v>0</v>
      </c>
      <c r="AJ42" s="461">
        <v>0</v>
      </c>
      <c r="AK42" s="461">
        <v>0</v>
      </c>
      <c r="AL42" s="674">
        <v>0</v>
      </c>
      <c r="AM42" s="461">
        <v>0</v>
      </c>
      <c r="AN42" s="461">
        <v>0</v>
      </c>
      <c r="AO42" s="461">
        <v>0</v>
      </c>
      <c r="AP42" s="461">
        <f t="shared" si="106"/>
        <v>0</v>
      </c>
      <c r="AQ42" s="461">
        <f t="shared" si="107"/>
        <v>0</v>
      </c>
      <c r="AR42" s="463">
        <f t="shared" si="108"/>
        <v>0</v>
      </c>
      <c r="AS42" s="469">
        <f t="shared" si="109"/>
        <v>1869241</v>
      </c>
      <c r="AT42" s="460">
        <f t="shared" si="110"/>
        <v>1386677</v>
      </c>
      <c r="AU42" s="460">
        <f t="shared" si="111"/>
        <v>0</v>
      </c>
      <c r="AV42" s="460">
        <f t="shared" si="112"/>
        <v>468697</v>
      </c>
      <c r="AW42" s="460">
        <f t="shared" si="112"/>
        <v>13867</v>
      </c>
      <c r="AX42" s="460">
        <f t="shared" si="113"/>
        <v>0</v>
      </c>
      <c r="AY42" s="461">
        <f t="shared" si="114"/>
        <v>2.9643000000000002</v>
      </c>
      <c r="AZ42" s="461">
        <f t="shared" si="115"/>
        <v>2.9643000000000002</v>
      </c>
      <c r="BA42" s="463">
        <f t="shared" si="115"/>
        <v>0</v>
      </c>
    </row>
    <row r="43" spans="1:53" s="3" customFormat="1" x14ac:dyDescent="0.2">
      <c r="A43" s="211">
        <v>7</v>
      </c>
      <c r="B43" s="212">
        <v>3404</v>
      </c>
      <c r="C43" s="212">
        <v>650023021</v>
      </c>
      <c r="D43" s="212">
        <v>70982597</v>
      </c>
      <c r="E43" s="210" t="s">
        <v>97</v>
      </c>
      <c r="F43" s="212">
        <v>3143</v>
      </c>
      <c r="G43" s="213" t="s">
        <v>617</v>
      </c>
      <c r="H43" s="234" t="s">
        <v>278</v>
      </c>
      <c r="I43" s="462">
        <f t="shared" si="94"/>
        <v>54975</v>
      </c>
      <c r="J43" s="457">
        <v>39280</v>
      </c>
      <c r="K43" s="457">
        <f t="shared" si="95"/>
        <v>13277</v>
      </c>
      <c r="L43" s="457">
        <f t="shared" si="96"/>
        <v>393</v>
      </c>
      <c r="M43" s="457">
        <v>2025</v>
      </c>
      <c r="N43" s="458">
        <f t="shared" si="97"/>
        <v>0.16</v>
      </c>
      <c r="O43" s="459">
        <v>0</v>
      </c>
      <c r="P43" s="468">
        <v>0.16</v>
      </c>
      <c r="Q43" s="470">
        <f t="shared" si="98"/>
        <v>0</v>
      </c>
      <c r="R43" s="460">
        <v>0</v>
      </c>
      <c r="S43" s="673">
        <v>0</v>
      </c>
      <c r="T43" s="460">
        <v>0</v>
      </c>
      <c r="U43" s="460">
        <v>0</v>
      </c>
      <c r="V43" s="460">
        <f t="shared" si="99"/>
        <v>0</v>
      </c>
      <c r="W43" s="460">
        <v>0</v>
      </c>
      <c r="X43" s="460">
        <v>0</v>
      </c>
      <c r="Y43" s="460">
        <v>0</v>
      </c>
      <c r="Z43" s="460">
        <f t="shared" si="100"/>
        <v>0</v>
      </c>
      <c r="AA43" s="460">
        <f t="shared" si="101"/>
        <v>0</v>
      </c>
      <c r="AB43" s="69">
        <f t="shared" si="102"/>
        <v>0</v>
      </c>
      <c r="AC43" s="69">
        <f t="shared" si="103"/>
        <v>0</v>
      </c>
      <c r="AD43" s="460">
        <v>0</v>
      </c>
      <c r="AE43" s="460">
        <v>0</v>
      </c>
      <c r="AF43" s="460">
        <f t="shared" si="104"/>
        <v>0</v>
      </c>
      <c r="AG43" s="460">
        <f t="shared" si="105"/>
        <v>0</v>
      </c>
      <c r="AH43" s="461">
        <v>0</v>
      </c>
      <c r="AI43" s="461">
        <v>0</v>
      </c>
      <c r="AJ43" s="461">
        <v>0</v>
      </c>
      <c r="AK43" s="461">
        <v>0</v>
      </c>
      <c r="AL43" s="674">
        <v>0</v>
      </c>
      <c r="AM43" s="461">
        <v>0</v>
      </c>
      <c r="AN43" s="461">
        <v>0</v>
      </c>
      <c r="AO43" s="461">
        <v>0</v>
      </c>
      <c r="AP43" s="461">
        <f t="shared" si="106"/>
        <v>0</v>
      </c>
      <c r="AQ43" s="461">
        <f t="shared" si="107"/>
        <v>0</v>
      </c>
      <c r="AR43" s="463">
        <f t="shared" si="108"/>
        <v>0</v>
      </c>
      <c r="AS43" s="469">
        <f t="shared" si="109"/>
        <v>54975</v>
      </c>
      <c r="AT43" s="460">
        <f t="shared" si="110"/>
        <v>39280</v>
      </c>
      <c r="AU43" s="460">
        <f t="shared" si="111"/>
        <v>0</v>
      </c>
      <c r="AV43" s="460">
        <f t="shared" si="112"/>
        <v>13277</v>
      </c>
      <c r="AW43" s="460">
        <f t="shared" si="112"/>
        <v>393</v>
      </c>
      <c r="AX43" s="460">
        <f t="shared" si="113"/>
        <v>2025</v>
      </c>
      <c r="AY43" s="461">
        <f t="shared" si="114"/>
        <v>0.16</v>
      </c>
      <c r="AZ43" s="461">
        <f t="shared" si="115"/>
        <v>0</v>
      </c>
      <c r="BA43" s="463">
        <f t="shared" si="115"/>
        <v>0.16</v>
      </c>
    </row>
    <row r="44" spans="1:53" x14ac:dyDescent="0.2">
      <c r="A44" s="158">
        <v>7</v>
      </c>
      <c r="B44" s="18">
        <v>3404</v>
      </c>
      <c r="C44" s="18">
        <v>650023021</v>
      </c>
      <c r="D44" s="18">
        <v>70982597</v>
      </c>
      <c r="E44" s="167" t="s">
        <v>98</v>
      </c>
      <c r="F44" s="18"/>
      <c r="G44" s="157"/>
      <c r="H44" s="191"/>
      <c r="I44" s="504">
        <f t="shared" ref="I44:BA44" si="116">SUM(I38:I43)</f>
        <v>30672938</v>
      </c>
      <c r="J44" s="500">
        <f t="shared" si="116"/>
        <v>22466007</v>
      </c>
      <c r="K44" s="500">
        <f t="shared" si="116"/>
        <v>7593511</v>
      </c>
      <c r="L44" s="500">
        <f t="shared" si="116"/>
        <v>224660</v>
      </c>
      <c r="M44" s="500">
        <f t="shared" si="116"/>
        <v>388760</v>
      </c>
      <c r="N44" s="501">
        <f t="shared" si="116"/>
        <v>45.542299999999997</v>
      </c>
      <c r="O44" s="501">
        <f t="shared" si="116"/>
        <v>31.892299999999999</v>
      </c>
      <c r="P44" s="506">
        <f t="shared" si="116"/>
        <v>13.65</v>
      </c>
      <c r="Q44" s="504">
        <f t="shared" si="116"/>
        <v>-65000</v>
      </c>
      <c r="R44" s="500">
        <f t="shared" si="116"/>
        <v>3127652</v>
      </c>
      <c r="S44" s="500">
        <f t="shared" si="116"/>
        <v>0</v>
      </c>
      <c r="T44" s="500">
        <f t="shared" si="116"/>
        <v>39616</v>
      </c>
      <c r="U44" s="500">
        <f t="shared" si="116"/>
        <v>109519</v>
      </c>
      <c r="V44" s="500">
        <f t="shared" si="116"/>
        <v>3211787</v>
      </c>
      <c r="W44" s="500">
        <f t="shared" si="116"/>
        <v>65000</v>
      </c>
      <c r="X44" s="500">
        <f t="shared" si="116"/>
        <v>0</v>
      </c>
      <c r="Y44" s="500">
        <f t="shared" si="116"/>
        <v>0</v>
      </c>
      <c r="Z44" s="500">
        <f t="shared" si="116"/>
        <v>65000</v>
      </c>
      <c r="AA44" s="500">
        <f t="shared" si="116"/>
        <v>3276787</v>
      </c>
      <c r="AB44" s="500">
        <f t="shared" si="116"/>
        <v>1107554</v>
      </c>
      <c r="AC44" s="500">
        <f t="shared" si="116"/>
        <v>32118</v>
      </c>
      <c r="AD44" s="500">
        <f t="shared" si="116"/>
        <v>0</v>
      </c>
      <c r="AE44" s="500">
        <f t="shared" si="116"/>
        <v>0</v>
      </c>
      <c r="AF44" s="500">
        <f t="shared" si="116"/>
        <v>0</v>
      </c>
      <c r="AG44" s="500">
        <f t="shared" si="116"/>
        <v>4416459</v>
      </c>
      <c r="AH44" s="501">
        <f t="shared" si="116"/>
        <v>0</v>
      </c>
      <c r="AI44" s="501">
        <f t="shared" si="116"/>
        <v>0</v>
      </c>
      <c r="AJ44" s="501">
        <f t="shared" si="116"/>
        <v>9.0299999999999994</v>
      </c>
      <c r="AK44" s="501">
        <f t="shared" si="116"/>
        <v>0</v>
      </c>
      <c r="AL44" s="501">
        <f t="shared" si="116"/>
        <v>0</v>
      </c>
      <c r="AM44" s="501">
        <f t="shared" si="116"/>
        <v>0.06</v>
      </c>
      <c r="AN44" s="501">
        <f t="shared" si="116"/>
        <v>0.2273</v>
      </c>
      <c r="AO44" s="501">
        <f t="shared" si="116"/>
        <v>0</v>
      </c>
      <c r="AP44" s="501">
        <f t="shared" si="116"/>
        <v>9.3172999999999995</v>
      </c>
      <c r="AQ44" s="501">
        <f t="shared" si="116"/>
        <v>0</v>
      </c>
      <c r="AR44" s="41">
        <f t="shared" si="116"/>
        <v>9.3172999999999995</v>
      </c>
      <c r="AS44" s="508">
        <f t="shared" si="116"/>
        <v>35089397</v>
      </c>
      <c r="AT44" s="500">
        <f t="shared" si="116"/>
        <v>25677794</v>
      </c>
      <c r="AU44" s="500">
        <f t="shared" si="116"/>
        <v>65000</v>
      </c>
      <c r="AV44" s="500">
        <f t="shared" si="116"/>
        <v>8701065</v>
      </c>
      <c r="AW44" s="500">
        <f t="shared" si="116"/>
        <v>256778</v>
      </c>
      <c r="AX44" s="500">
        <f t="shared" si="116"/>
        <v>388760</v>
      </c>
      <c r="AY44" s="501">
        <f t="shared" si="116"/>
        <v>54.859599999999993</v>
      </c>
      <c r="AZ44" s="501">
        <f t="shared" si="116"/>
        <v>41.209600000000002</v>
      </c>
      <c r="BA44" s="41">
        <f t="shared" si="116"/>
        <v>13.65</v>
      </c>
    </row>
    <row r="45" spans="1:53" x14ac:dyDescent="0.2">
      <c r="A45" s="211">
        <v>8</v>
      </c>
      <c r="B45" s="212">
        <v>3477</v>
      </c>
      <c r="C45" s="212">
        <v>600098451</v>
      </c>
      <c r="D45" s="212">
        <v>70695491</v>
      </c>
      <c r="E45" s="210" t="s">
        <v>99</v>
      </c>
      <c r="F45" s="212">
        <v>3111</v>
      </c>
      <c r="G45" s="213" t="s">
        <v>307</v>
      </c>
      <c r="H45" s="214" t="s">
        <v>277</v>
      </c>
      <c r="I45" s="462">
        <f t="shared" ref="I45:I47" si="117">SUM(J45:M45)</f>
        <v>4157401</v>
      </c>
      <c r="J45" s="457">
        <v>3069882</v>
      </c>
      <c r="K45" s="457">
        <f t="shared" ref="K45:K47" si="118">ROUND(J45*33.8%,0)</f>
        <v>1037620</v>
      </c>
      <c r="L45" s="457">
        <f t="shared" ref="L45:L47" si="119">ROUND(J45*1%,0)</f>
        <v>30699</v>
      </c>
      <c r="M45" s="457">
        <v>19200</v>
      </c>
      <c r="N45" s="458">
        <f t="shared" ref="N45:N47" si="120">O45+P45</f>
        <v>6.68</v>
      </c>
      <c r="O45" s="459">
        <v>5</v>
      </c>
      <c r="P45" s="468">
        <v>1.6800000000000002</v>
      </c>
      <c r="Q45" s="470">
        <f t="shared" ref="Q45:Q47" si="121">W45*-1</f>
        <v>0</v>
      </c>
      <c r="R45" s="460">
        <v>0</v>
      </c>
      <c r="S45" s="673">
        <v>0</v>
      </c>
      <c r="T45" s="460">
        <v>0</v>
      </c>
      <c r="U45" s="460">
        <v>0</v>
      </c>
      <c r="V45" s="460">
        <f>SUM(Q45:U45)</f>
        <v>0</v>
      </c>
      <c r="W45" s="460">
        <v>0</v>
      </c>
      <c r="X45" s="460">
        <v>0</v>
      </c>
      <c r="Y45" s="460">
        <v>0</v>
      </c>
      <c r="Z45" s="460">
        <f t="shared" ref="Z45:Z47" si="122">SUM(W45:Y45)</f>
        <v>0</v>
      </c>
      <c r="AA45" s="460">
        <f t="shared" ref="AA45:AA47" si="123">V45+Z45</f>
        <v>0</v>
      </c>
      <c r="AB45" s="69">
        <f t="shared" ref="AB45:AB47" si="124">ROUND((V45+W45+X45)*33.8%,0)</f>
        <v>0</v>
      </c>
      <c r="AC45" s="69">
        <f t="shared" ref="AC45:AC47" si="125">ROUND(V45*1%,0)</f>
        <v>0</v>
      </c>
      <c r="AD45" s="460">
        <v>0</v>
      </c>
      <c r="AE45" s="460">
        <v>0</v>
      </c>
      <c r="AF45" s="460">
        <f t="shared" ref="AF45:AF47" si="126">SUM(AD45:AE45)</f>
        <v>0</v>
      </c>
      <c r="AG45" s="460">
        <f t="shared" ref="AG45:AG47" si="127">AA45+AB45+AC45+AF45</f>
        <v>0</v>
      </c>
      <c r="AH45" s="461">
        <v>0</v>
      </c>
      <c r="AI45" s="461">
        <v>0</v>
      </c>
      <c r="AJ45" s="461">
        <v>0</v>
      </c>
      <c r="AK45" s="461">
        <v>0</v>
      </c>
      <c r="AL45" s="674">
        <v>0</v>
      </c>
      <c r="AM45" s="461">
        <v>0</v>
      </c>
      <c r="AN45" s="461">
        <v>0</v>
      </c>
      <c r="AO45" s="461">
        <v>0</v>
      </c>
      <c r="AP45" s="461">
        <f>AH45+AJ45+AK45+AM45+AN45</f>
        <v>0</v>
      </c>
      <c r="AQ45" s="461">
        <f>AI45+AL45+AO45</f>
        <v>0</v>
      </c>
      <c r="AR45" s="463">
        <f t="shared" ref="AR45:AR47" si="128">SUM(AP45:AQ45)</f>
        <v>0</v>
      </c>
      <c r="AS45" s="469">
        <f>I45+AG45</f>
        <v>4157401</v>
      </c>
      <c r="AT45" s="460">
        <f>J45+V45</f>
        <v>3069882</v>
      </c>
      <c r="AU45" s="460">
        <f t="shared" ref="AU45:AU47" si="129">Z45</f>
        <v>0</v>
      </c>
      <c r="AV45" s="460">
        <f t="shared" ref="AV45:AW47" si="130">K45+AB45</f>
        <v>1037620</v>
      </c>
      <c r="AW45" s="460">
        <f t="shared" si="130"/>
        <v>30699</v>
      </c>
      <c r="AX45" s="460">
        <f>M45+AF45</f>
        <v>19200</v>
      </c>
      <c r="AY45" s="461">
        <f>N45+AR45</f>
        <v>6.68</v>
      </c>
      <c r="AZ45" s="461">
        <f t="shared" ref="AZ45:BA47" si="131">O45+AP45</f>
        <v>5</v>
      </c>
      <c r="BA45" s="463">
        <f t="shared" si="131"/>
        <v>1.6800000000000002</v>
      </c>
    </row>
    <row r="46" spans="1:53" x14ac:dyDescent="0.2">
      <c r="A46" s="211">
        <v>8</v>
      </c>
      <c r="B46" s="212">
        <v>3477</v>
      </c>
      <c r="C46" s="212">
        <v>600098451</v>
      </c>
      <c r="D46" s="212">
        <v>70695491</v>
      </c>
      <c r="E46" s="210" t="s">
        <v>99</v>
      </c>
      <c r="F46" s="212">
        <v>3111</v>
      </c>
      <c r="G46" s="213" t="s">
        <v>308</v>
      </c>
      <c r="H46" s="214" t="s">
        <v>278</v>
      </c>
      <c r="I46" s="462">
        <f t="shared" si="117"/>
        <v>0</v>
      </c>
      <c r="J46" s="457">
        <v>0</v>
      </c>
      <c r="K46" s="457">
        <f t="shared" si="118"/>
        <v>0</v>
      </c>
      <c r="L46" s="457">
        <f t="shared" si="119"/>
        <v>0</v>
      </c>
      <c r="M46" s="457">
        <v>0</v>
      </c>
      <c r="N46" s="458">
        <f t="shared" si="120"/>
        <v>0</v>
      </c>
      <c r="O46" s="459">
        <v>0</v>
      </c>
      <c r="P46" s="468">
        <v>0</v>
      </c>
      <c r="Q46" s="470">
        <f t="shared" si="121"/>
        <v>0</v>
      </c>
      <c r="R46" s="460">
        <v>346447</v>
      </c>
      <c r="S46" s="673">
        <v>0</v>
      </c>
      <c r="T46" s="460">
        <v>0</v>
      </c>
      <c r="U46" s="460">
        <v>0</v>
      </c>
      <c r="V46" s="460">
        <f>SUM(Q46:U46)</f>
        <v>346447</v>
      </c>
      <c r="W46" s="460">
        <v>0</v>
      </c>
      <c r="X46" s="460">
        <v>0</v>
      </c>
      <c r="Y46" s="460">
        <v>0</v>
      </c>
      <c r="Z46" s="460">
        <f t="shared" si="122"/>
        <v>0</v>
      </c>
      <c r="AA46" s="460">
        <f t="shared" si="123"/>
        <v>346447</v>
      </c>
      <c r="AB46" s="69">
        <f t="shared" si="124"/>
        <v>117099</v>
      </c>
      <c r="AC46" s="69">
        <f t="shared" si="125"/>
        <v>3464</v>
      </c>
      <c r="AD46" s="460">
        <v>0</v>
      </c>
      <c r="AE46" s="460">
        <v>0</v>
      </c>
      <c r="AF46" s="460">
        <f t="shared" si="126"/>
        <v>0</v>
      </c>
      <c r="AG46" s="460">
        <f t="shared" si="127"/>
        <v>467010</v>
      </c>
      <c r="AH46" s="461">
        <v>0</v>
      </c>
      <c r="AI46" s="461">
        <v>0</v>
      </c>
      <c r="AJ46" s="461">
        <v>1</v>
      </c>
      <c r="AK46" s="461">
        <v>0</v>
      </c>
      <c r="AL46" s="674">
        <v>0</v>
      </c>
      <c r="AM46" s="461">
        <v>0</v>
      </c>
      <c r="AN46" s="461">
        <v>0</v>
      </c>
      <c r="AO46" s="461">
        <v>0</v>
      </c>
      <c r="AP46" s="461">
        <f>AH46+AJ46+AK46+AM46+AN46</f>
        <v>1</v>
      </c>
      <c r="AQ46" s="461">
        <f>AI46+AL46+AO46</f>
        <v>0</v>
      </c>
      <c r="AR46" s="463">
        <f t="shared" si="128"/>
        <v>1</v>
      </c>
      <c r="AS46" s="469">
        <f>I46+AG46</f>
        <v>467010</v>
      </c>
      <c r="AT46" s="460">
        <f>J46+V46</f>
        <v>346447</v>
      </c>
      <c r="AU46" s="460">
        <f t="shared" si="129"/>
        <v>0</v>
      </c>
      <c r="AV46" s="460">
        <f t="shared" si="130"/>
        <v>117099</v>
      </c>
      <c r="AW46" s="460">
        <f t="shared" si="130"/>
        <v>3464</v>
      </c>
      <c r="AX46" s="460">
        <f>M46+AF46</f>
        <v>0</v>
      </c>
      <c r="AY46" s="461">
        <f>N46+AR46</f>
        <v>1</v>
      </c>
      <c r="AZ46" s="461">
        <f t="shared" si="131"/>
        <v>1</v>
      </c>
      <c r="BA46" s="463">
        <f t="shared" si="131"/>
        <v>0</v>
      </c>
    </row>
    <row r="47" spans="1:53" x14ac:dyDescent="0.2">
      <c r="A47" s="211">
        <v>8</v>
      </c>
      <c r="B47" s="212">
        <v>3477</v>
      </c>
      <c r="C47" s="212">
        <v>600098451</v>
      </c>
      <c r="D47" s="212">
        <v>70695491</v>
      </c>
      <c r="E47" s="210" t="s">
        <v>99</v>
      </c>
      <c r="F47" s="212">
        <v>3141</v>
      </c>
      <c r="G47" s="213" t="s">
        <v>311</v>
      </c>
      <c r="H47" s="214" t="s">
        <v>278</v>
      </c>
      <c r="I47" s="462">
        <f t="shared" si="117"/>
        <v>631479</v>
      </c>
      <c r="J47" s="457">
        <v>466605</v>
      </c>
      <c r="K47" s="457">
        <f t="shared" si="118"/>
        <v>157712</v>
      </c>
      <c r="L47" s="457">
        <f t="shared" si="119"/>
        <v>4666</v>
      </c>
      <c r="M47" s="457">
        <v>2496</v>
      </c>
      <c r="N47" s="458">
        <f t="shared" si="120"/>
        <v>1.5</v>
      </c>
      <c r="O47" s="459">
        <v>0</v>
      </c>
      <c r="P47" s="468">
        <v>1.5</v>
      </c>
      <c r="Q47" s="470">
        <f t="shared" si="121"/>
        <v>0</v>
      </c>
      <c r="R47" s="460">
        <v>0</v>
      </c>
      <c r="S47" s="673">
        <v>0</v>
      </c>
      <c r="T47" s="460">
        <v>0</v>
      </c>
      <c r="U47" s="460">
        <v>0</v>
      </c>
      <c r="V47" s="460">
        <f>SUM(Q47:U47)</f>
        <v>0</v>
      </c>
      <c r="W47" s="460">
        <v>0</v>
      </c>
      <c r="X47" s="460">
        <v>0</v>
      </c>
      <c r="Y47" s="460">
        <v>0</v>
      </c>
      <c r="Z47" s="460">
        <f t="shared" si="122"/>
        <v>0</v>
      </c>
      <c r="AA47" s="460">
        <f t="shared" si="123"/>
        <v>0</v>
      </c>
      <c r="AB47" s="69">
        <f t="shared" si="124"/>
        <v>0</v>
      </c>
      <c r="AC47" s="69">
        <f t="shared" si="125"/>
        <v>0</v>
      </c>
      <c r="AD47" s="460">
        <v>0</v>
      </c>
      <c r="AE47" s="460">
        <v>0</v>
      </c>
      <c r="AF47" s="460">
        <f t="shared" si="126"/>
        <v>0</v>
      </c>
      <c r="AG47" s="460">
        <f t="shared" si="127"/>
        <v>0</v>
      </c>
      <c r="AH47" s="461">
        <v>0</v>
      </c>
      <c r="AI47" s="461">
        <v>0</v>
      </c>
      <c r="AJ47" s="461">
        <v>0</v>
      </c>
      <c r="AK47" s="461">
        <v>0</v>
      </c>
      <c r="AL47" s="674">
        <v>0</v>
      </c>
      <c r="AM47" s="461">
        <v>0</v>
      </c>
      <c r="AN47" s="461">
        <v>0</v>
      </c>
      <c r="AO47" s="461">
        <v>0</v>
      </c>
      <c r="AP47" s="461">
        <f>AH47+AJ47+AK47+AM47+AN47</f>
        <v>0</v>
      </c>
      <c r="AQ47" s="461">
        <f>AI47+AL47+AO47</f>
        <v>0</v>
      </c>
      <c r="AR47" s="463">
        <f t="shared" si="128"/>
        <v>0</v>
      </c>
      <c r="AS47" s="469">
        <f>I47+AG47</f>
        <v>631479</v>
      </c>
      <c r="AT47" s="460">
        <f>J47+V47</f>
        <v>466605</v>
      </c>
      <c r="AU47" s="460">
        <f t="shared" si="129"/>
        <v>0</v>
      </c>
      <c r="AV47" s="460">
        <f t="shared" si="130"/>
        <v>157712</v>
      </c>
      <c r="AW47" s="460">
        <f t="shared" si="130"/>
        <v>4666</v>
      </c>
      <c r="AX47" s="460">
        <f>M47+AF47</f>
        <v>2496</v>
      </c>
      <c r="AY47" s="461">
        <f>N47+AR47</f>
        <v>1.5</v>
      </c>
      <c r="AZ47" s="461">
        <f t="shared" si="131"/>
        <v>0</v>
      </c>
      <c r="BA47" s="463">
        <f t="shared" si="131"/>
        <v>1.5</v>
      </c>
    </row>
    <row r="48" spans="1:53" x14ac:dyDescent="0.2">
      <c r="A48" s="158">
        <v>8</v>
      </c>
      <c r="B48" s="18">
        <v>3477</v>
      </c>
      <c r="C48" s="18">
        <v>600098451</v>
      </c>
      <c r="D48" s="18">
        <v>70695491</v>
      </c>
      <c r="E48" s="167" t="s">
        <v>100</v>
      </c>
      <c r="F48" s="18"/>
      <c r="G48" s="157"/>
      <c r="H48" s="191"/>
      <c r="I48" s="505">
        <f t="shared" ref="I48:P48" si="132">SUM(I45:I47)</f>
        <v>4788880</v>
      </c>
      <c r="J48" s="502">
        <f t="shared" si="132"/>
        <v>3536487</v>
      </c>
      <c r="K48" s="502">
        <f t="shared" si="132"/>
        <v>1195332</v>
      </c>
      <c r="L48" s="502">
        <f t="shared" si="132"/>
        <v>35365</v>
      </c>
      <c r="M48" s="502">
        <f t="shared" si="132"/>
        <v>21696</v>
      </c>
      <c r="N48" s="503">
        <f t="shared" si="132"/>
        <v>8.18</v>
      </c>
      <c r="O48" s="503">
        <f t="shared" si="132"/>
        <v>5</v>
      </c>
      <c r="P48" s="507">
        <f t="shared" si="132"/>
        <v>3.18</v>
      </c>
      <c r="Q48" s="505">
        <f t="shared" ref="Q48:BA48" si="133">SUM(Q45:Q47)</f>
        <v>0</v>
      </c>
      <c r="R48" s="502">
        <f t="shared" si="133"/>
        <v>346447</v>
      </c>
      <c r="S48" s="502">
        <f t="shared" si="133"/>
        <v>0</v>
      </c>
      <c r="T48" s="502">
        <f t="shared" si="133"/>
        <v>0</v>
      </c>
      <c r="U48" s="502">
        <f t="shared" si="133"/>
        <v>0</v>
      </c>
      <c r="V48" s="502">
        <f t="shared" si="133"/>
        <v>346447</v>
      </c>
      <c r="W48" s="502">
        <f t="shared" si="133"/>
        <v>0</v>
      </c>
      <c r="X48" s="502">
        <f t="shared" si="133"/>
        <v>0</v>
      </c>
      <c r="Y48" s="502">
        <f t="shared" si="133"/>
        <v>0</v>
      </c>
      <c r="Z48" s="502">
        <f t="shared" si="133"/>
        <v>0</v>
      </c>
      <c r="AA48" s="502">
        <f t="shared" si="133"/>
        <v>346447</v>
      </c>
      <c r="AB48" s="502">
        <f t="shared" si="133"/>
        <v>117099</v>
      </c>
      <c r="AC48" s="502">
        <f t="shared" si="133"/>
        <v>3464</v>
      </c>
      <c r="AD48" s="502">
        <f t="shared" si="133"/>
        <v>0</v>
      </c>
      <c r="AE48" s="502">
        <f t="shared" si="133"/>
        <v>0</v>
      </c>
      <c r="AF48" s="502">
        <f t="shared" si="133"/>
        <v>0</v>
      </c>
      <c r="AG48" s="502">
        <f t="shared" si="133"/>
        <v>467010</v>
      </c>
      <c r="AH48" s="503">
        <f t="shared" si="133"/>
        <v>0</v>
      </c>
      <c r="AI48" s="503">
        <f t="shared" si="133"/>
        <v>0</v>
      </c>
      <c r="AJ48" s="503">
        <f t="shared" si="133"/>
        <v>1</v>
      </c>
      <c r="AK48" s="503">
        <f t="shared" si="133"/>
        <v>0</v>
      </c>
      <c r="AL48" s="503">
        <f t="shared" si="133"/>
        <v>0</v>
      </c>
      <c r="AM48" s="503">
        <f t="shared" si="133"/>
        <v>0</v>
      </c>
      <c r="AN48" s="503">
        <f t="shared" si="133"/>
        <v>0</v>
      </c>
      <c r="AO48" s="503">
        <f t="shared" si="133"/>
        <v>0</v>
      </c>
      <c r="AP48" s="503">
        <f t="shared" si="133"/>
        <v>1</v>
      </c>
      <c r="AQ48" s="503">
        <f t="shared" si="133"/>
        <v>0</v>
      </c>
      <c r="AR48" s="40">
        <f t="shared" si="133"/>
        <v>1</v>
      </c>
      <c r="AS48" s="509">
        <f t="shared" si="133"/>
        <v>5255890</v>
      </c>
      <c r="AT48" s="502">
        <f t="shared" si="133"/>
        <v>3882934</v>
      </c>
      <c r="AU48" s="502">
        <f t="shared" si="133"/>
        <v>0</v>
      </c>
      <c r="AV48" s="502">
        <f t="shared" si="133"/>
        <v>1312431</v>
      </c>
      <c r="AW48" s="502">
        <f t="shared" si="133"/>
        <v>38829</v>
      </c>
      <c r="AX48" s="502">
        <f t="shared" si="133"/>
        <v>21696</v>
      </c>
      <c r="AY48" s="503">
        <f t="shared" si="133"/>
        <v>9.18</v>
      </c>
      <c r="AZ48" s="503">
        <f t="shared" si="133"/>
        <v>6</v>
      </c>
      <c r="BA48" s="40">
        <f t="shared" si="133"/>
        <v>3.18</v>
      </c>
    </row>
    <row r="49" spans="1:53" x14ac:dyDescent="0.2">
      <c r="A49" s="211">
        <v>9</v>
      </c>
      <c r="B49" s="212">
        <v>3476</v>
      </c>
      <c r="C49" s="212">
        <v>600099164</v>
      </c>
      <c r="D49" s="212">
        <v>854808</v>
      </c>
      <c r="E49" s="210" t="s">
        <v>101</v>
      </c>
      <c r="F49" s="212">
        <v>3113</v>
      </c>
      <c r="G49" s="213" t="s">
        <v>310</v>
      </c>
      <c r="H49" s="214" t="s">
        <v>277</v>
      </c>
      <c r="I49" s="462">
        <f t="shared" ref="I49:I53" si="134">SUM(J49:M49)</f>
        <v>10619129</v>
      </c>
      <c r="J49" s="457">
        <v>7768211</v>
      </c>
      <c r="K49" s="457">
        <f>ROUND(J49*33.8%,0)+1</f>
        <v>2625656</v>
      </c>
      <c r="L49" s="457">
        <f t="shared" ref="L49:L53" si="135">ROUND(J49*1%,0)</f>
        <v>77682</v>
      </c>
      <c r="M49" s="457">
        <v>147580</v>
      </c>
      <c r="N49" s="458">
        <f t="shared" ref="N49:N53" si="136">O49+P49</f>
        <v>14.164999999999999</v>
      </c>
      <c r="O49" s="459">
        <v>11.5983</v>
      </c>
      <c r="P49" s="468">
        <v>2.5667</v>
      </c>
      <c r="Q49" s="470">
        <f t="shared" ref="Q49:Q53" si="137">W49*-1</f>
        <v>0</v>
      </c>
      <c r="R49" s="460">
        <v>0</v>
      </c>
      <c r="S49" s="673">
        <v>0</v>
      </c>
      <c r="T49" s="460">
        <v>0</v>
      </c>
      <c r="U49" s="460">
        <v>0</v>
      </c>
      <c r="V49" s="460">
        <f>SUM(Q49:U49)</f>
        <v>0</v>
      </c>
      <c r="W49" s="460">
        <v>0</v>
      </c>
      <c r="X49" s="460">
        <v>0</v>
      </c>
      <c r="Y49" s="460">
        <v>0</v>
      </c>
      <c r="Z49" s="460">
        <f t="shared" ref="Z49:Z53" si="138">SUM(W49:Y49)</f>
        <v>0</v>
      </c>
      <c r="AA49" s="460">
        <f t="shared" ref="AA49:AA53" si="139">V49+Z49</f>
        <v>0</v>
      </c>
      <c r="AB49" s="69">
        <f t="shared" ref="AB49:AB53" si="140">ROUND((V49+W49+X49)*33.8%,0)</f>
        <v>0</v>
      </c>
      <c r="AC49" s="69">
        <f t="shared" ref="AC49:AC53" si="141">ROUND(V49*1%,0)</f>
        <v>0</v>
      </c>
      <c r="AD49" s="460">
        <v>0</v>
      </c>
      <c r="AE49" s="460">
        <v>0</v>
      </c>
      <c r="AF49" s="460">
        <f t="shared" ref="AF49:AF53" si="142">SUM(AD49:AE49)</f>
        <v>0</v>
      </c>
      <c r="AG49" s="460">
        <f t="shared" ref="AG49:AG53" si="143">AA49+AB49+AC49+AF49</f>
        <v>0</v>
      </c>
      <c r="AH49" s="461">
        <v>0</v>
      </c>
      <c r="AI49" s="461">
        <v>0</v>
      </c>
      <c r="AJ49" s="461">
        <v>0</v>
      </c>
      <c r="AK49" s="461">
        <v>0</v>
      </c>
      <c r="AL49" s="674">
        <v>0</v>
      </c>
      <c r="AM49" s="461">
        <v>0</v>
      </c>
      <c r="AN49" s="461">
        <v>0</v>
      </c>
      <c r="AO49" s="461">
        <v>0</v>
      </c>
      <c r="AP49" s="461">
        <f>AH49+AJ49+AK49+AM49+AN49</f>
        <v>0</v>
      </c>
      <c r="AQ49" s="461">
        <f>AI49+AL49+AO49</f>
        <v>0</v>
      </c>
      <c r="AR49" s="463">
        <f t="shared" ref="AR49:AR53" si="144">SUM(AP49:AQ49)</f>
        <v>0</v>
      </c>
      <c r="AS49" s="469">
        <f>I49+AG49</f>
        <v>10619129</v>
      </c>
      <c r="AT49" s="460">
        <f>J49+V49</f>
        <v>7768211</v>
      </c>
      <c r="AU49" s="460">
        <f t="shared" ref="AU49:AU53" si="145">Z49</f>
        <v>0</v>
      </c>
      <c r="AV49" s="460">
        <f t="shared" ref="AV49:AW53" si="146">K49+AB49</f>
        <v>2625656</v>
      </c>
      <c r="AW49" s="460">
        <f t="shared" si="146"/>
        <v>77682</v>
      </c>
      <c r="AX49" s="460">
        <f>M49+AF49</f>
        <v>147580</v>
      </c>
      <c r="AY49" s="461">
        <f>N49+AR49</f>
        <v>14.164999999999999</v>
      </c>
      <c r="AZ49" s="461">
        <f t="shared" ref="AZ49:BA53" si="147">O49+AP49</f>
        <v>11.5983</v>
      </c>
      <c r="BA49" s="463">
        <f t="shared" si="147"/>
        <v>2.5667</v>
      </c>
    </row>
    <row r="50" spans="1:53" x14ac:dyDescent="0.2">
      <c r="A50" s="211">
        <v>9</v>
      </c>
      <c r="B50" s="212">
        <v>3476</v>
      </c>
      <c r="C50" s="212">
        <v>600099164</v>
      </c>
      <c r="D50" s="212">
        <v>854808</v>
      </c>
      <c r="E50" s="210" t="s">
        <v>101</v>
      </c>
      <c r="F50" s="212">
        <v>3113</v>
      </c>
      <c r="G50" s="213" t="s">
        <v>308</v>
      </c>
      <c r="H50" s="214" t="s">
        <v>278</v>
      </c>
      <c r="I50" s="462">
        <f t="shared" si="134"/>
        <v>0</v>
      </c>
      <c r="J50" s="457">
        <v>0</v>
      </c>
      <c r="K50" s="457">
        <f t="shared" ref="K50:K53" si="148">ROUND(J50*33.8%,0)</f>
        <v>0</v>
      </c>
      <c r="L50" s="457">
        <f t="shared" si="135"/>
        <v>0</v>
      </c>
      <c r="M50" s="457">
        <v>0</v>
      </c>
      <c r="N50" s="458">
        <f t="shared" si="136"/>
        <v>0</v>
      </c>
      <c r="O50" s="459">
        <v>0</v>
      </c>
      <c r="P50" s="468">
        <v>0</v>
      </c>
      <c r="Q50" s="470">
        <f t="shared" si="137"/>
        <v>0</v>
      </c>
      <c r="R50" s="460">
        <v>219495</v>
      </c>
      <c r="S50" s="673">
        <v>0</v>
      </c>
      <c r="T50" s="460">
        <v>0</v>
      </c>
      <c r="U50" s="460">
        <v>0</v>
      </c>
      <c r="V50" s="460">
        <f>SUM(Q50:U50)</f>
        <v>219495</v>
      </c>
      <c r="W50" s="460">
        <v>0</v>
      </c>
      <c r="X50" s="460">
        <v>0</v>
      </c>
      <c r="Y50" s="460">
        <v>0</v>
      </c>
      <c r="Z50" s="460">
        <f t="shared" si="138"/>
        <v>0</v>
      </c>
      <c r="AA50" s="460">
        <f t="shared" si="139"/>
        <v>219495</v>
      </c>
      <c r="AB50" s="69">
        <f t="shared" si="140"/>
        <v>74189</v>
      </c>
      <c r="AC50" s="69">
        <f t="shared" si="141"/>
        <v>2195</v>
      </c>
      <c r="AD50" s="460">
        <v>0</v>
      </c>
      <c r="AE50" s="460">
        <v>0</v>
      </c>
      <c r="AF50" s="460">
        <f t="shared" si="142"/>
        <v>0</v>
      </c>
      <c r="AG50" s="460">
        <f t="shared" si="143"/>
        <v>295879</v>
      </c>
      <c r="AH50" s="461">
        <v>0</v>
      </c>
      <c r="AI50" s="461">
        <v>0</v>
      </c>
      <c r="AJ50" s="461">
        <v>0.6</v>
      </c>
      <c r="AK50" s="461">
        <v>0</v>
      </c>
      <c r="AL50" s="674">
        <v>0</v>
      </c>
      <c r="AM50" s="461">
        <v>0</v>
      </c>
      <c r="AN50" s="461">
        <v>0</v>
      </c>
      <c r="AO50" s="461">
        <v>0</v>
      </c>
      <c r="AP50" s="461">
        <f>AH50+AJ50+AK50+AM50+AN50</f>
        <v>0.6</v>
      </c>
      <c r="AQ50" s="461">
        <f>AI50+AL50+AO50</f>
        <v>0</v>
      </c>
      <c r="AR50" s="463">
        <f t="shared" si="144"/>
        <v>0.6</v>
      </c>
      <c r="AS50" s="469">
        <f>I50+AG50</f>
        <v>295879</v>
      </c>
      <c r="AT50" s="460">
        <f>J50+V50</f>
        <v>219495</v>
      </c>
      <c r="AU50" s="460">
        <f t="shared" si="145"/>
        <v>0</v>
      </c>
      <c r="AV50" s="460">
        <f t="shared" si="146"/>
        <v>74189</v>
      </c>
      <c r="AW50" s="460">
        <f t="shared" si="146"/>
        <v>2195</v>
      </c>
      <c r="AX50" s="460">
        <f>M50+AF50</f>
        <v>0</v>
      </c>
      <c r="AY50" s="461">
        <f>N50+AR50</f>
        <v>0.6</v>
      </c>
      <c r="AZ50" s="461">
        <f t="shared" si="147"/>
        <v>0.6</v>
      </c>
      <c r="BA50" s="463">
        <f t="shared" si="147"/>
        <v>0</v>
      </c>
    </row>
    <row r="51" spans="1:53" x14ac:dyDescent="0.2">
      <c r="A51" s="211">
        <v>9</v>
      </c>
      <c r="B51" s="212">
        <v>3476</v>
      </c>
      <c r="C51" s="212">
        <v>600099164</v>
      </c>
      <c r="D51" s="212">
        <v>854808</v>
      </c>
      <c r="E51" s="210" t="s">
        <v>101</v>
      </c>
      <c r="F51" s="212">
        <v>3141</v>
      </c>
      <c r="G51" s="213" t="s">
        <v>311</v>
      </c>
      <c r="H51" s="214" t="s">
        <v>278</v>
      </c>
      <c r="I51" s="462">
        <f t="shared" si="134"/>
        <v>859096</v>
      </c>
      <c r="J51" s="457">
        <v>633300</v>
      </c>
      <c r="K51" s="457">
        <f t="shared" si="148"/>
        <v>214055</v>
      </c>
      <c r="L51" s="457">
        <f t="shared" si="135"/>
        <v>6333</v>
      </c>
      <c r="M51" s="457">
        <v>5408</v>
      </c>
      <c r="N51" s="458">
        <f t="shared" si="136"/>
        <v>2.04</v>
      </c>
      <c r="O51" s="459">
        <v>0</v>
      </c>
      <c r="P51" s="468">
        <v>2.04</v>
      </c>
      <c r="Q51" s="470">
        <f t="shared" si="137"/>
        <v>0</v>
      </c>
      <c r="R51" s="460">
        <v>0</v>
      </c>
      <c r="S51" s="673">
        <v>0</v>
      </c>
      <c r="T51" s="460">
        <v>0</v>
      </c>
      <c r="U51" s="460">
        <v>0</v>
      </c>
      <c r="V51" s="460">
        <f>SUM(Q51:U51)</f>
        <v>0</v>
      </c>
      <c r="W51" s="460">
        <v>0</v>
      </c>
      <c r="X51" s="460">
        <v>0</v>
      </c>
      <c r="Y51" s="460">
        <v>0</v>
      </c>
      <c r="Z51" s="460">
        <f t="shared" si="138"/>
        <v>0</v>
      </c>
      <c r="AA51" s="460">
        <f t="shared" si="139"/>
        <v>0</v>
      </c>
      <c r="AB51" s="69">
        <f t="shared" si="140"/>
        <v>0</v>
      </c>
      <c r="AC51" s="69">
        <f t="shared" si="141"/>
        <v>0</v>
      </c>
      <c r="AD51" s="460">
        <v>0</v>
      </c>
      <c r="AE51" s="460">
        <v>0</v>
      </c>
      <c r="AF51" s="460">
        <f t="shared" si="142"/>
        <v>0</v>
      </c>
      <c r="AG51" s="460">
        <f t="shared" si="143"/>
        <v>0</v>
      </c>
      <c r="AH51" s="461">
        <v>0</v>
      </c>
      <c r="AI51" s="461">
        <v>0</v>
      </c>
      <c r="AJ51" s="461">
        <v>0</v>
      </c>
      <c r="AK51" s="461">
        <v>0</v>
      </c>
      <c r="AL51" s="674">
        <v>0</v>
      </c>
      <c r="AM51" s="461">
        <v>0</v>
      </c>
      <c r="AN51" s="461">
        <v>0</v>
      </c>
      <c r="AO51" s="461">
        <v>0</v>
      </c>
      <c r="AP51" s="461">
        <f>AH51+AJ51+AK51+AM51+AN51</f>
        <v>0</v>
      </c>
      <c r="AQ51" s="461">
        <f>AI51+AL51+AO51</f>
        <v>0</v>
      </c>
      <c r="AR51" s="463">
        <f t="shared" si="144"/>
        <v>0</v>
      </c>
      <c r="AS51" s="469">
        <f>I51+AG51</f>
        <v>859096</v>
      </c>
      <c r="AT51" s="460">
        <f>J51+V51</f>
        <v>633300</v>
      </c>
      <c r="AU51" s="460">
        <f t="shared" si="145"/>
        <v>0</v>
      </c>
      <c r="AV51" s="460">
        <f t="shared" si="146"/>
        <v>214055</v>
      </c>
      <c r="AW51" s="460">
        <f t="shared" si="146"/>
        <v>6333</v>
      </c>
      <c r="AX51" s="460">
        <f>M51+AF51</f>
        <v>5408</v>
      </c>
      <c r="AY51" s="461">
        <f>N51+AR51</f>
        <v>2.04</v>
      </c>
      <c r="AZ51" s="461">
        <f t="shared" si="147"/>
        <v>0</v>
      </c>
      <c r="BA51" s="463">
        <f t="shared" si="147"/>
        <v>2.04</v>
      </c>
    </row>
    <row r="52" spans="1:53" x14ac:dyDescent="0.2">
      <c r="A52" s="211">
        <v>9</v>
      </c>
      <c r="B52" s="212">
        <v>3476</v>
      </c>
      <c r="C52" s="212">
        <v>600099164</v>
      </c>
      <c r="D52" s="212">
        <v>854808</v>
      </c>
      <c r="E52" s="210" t="s">
        <v>101</v>
      </c>
      <c r="F52" s="212">
        <v>3143</v>
      </c>
      <c r="G52" s="213" t="s">
        <v>616</v>
      </c>
      <c r="H52" s="234" t="s">
        <v>277</v>
      </c>
      <c r="I52" s="462">
        <f t="shared" si="134"/>
        <v>585695</v>
      </c>
      <c r="J52" s="457">
        <v>434492</v>
      </c>
      <c r="K52" s="457">
        <f t="shared" si="148"/>
        <v>146858</v>
      </c>
      <c r="L52" s="457">
        <f t="shared" si="135"/>
        <v>4345</v>
      </c>
      <c r="M52" s="457">
        <v>0</v>
      </c>
      <c r="N52" s="458">
        <f t="shared" si="136"/>
        <v>0.89280000000000004</v>
      </c>
      <c r="O52" s="459">
        <v>0.89280000000000004</v>
      </c>
      <c r="P52" s="468">
        <v>0</v>
      </c>
      <c r="Q52" s="470">
        <f t="shared" si="137"/>
        <v>0</v>
      </c>
      <c r="R52" s="460">
        <v>0</v>
      </c>
      <c r="S52" s="673">
        <v>0</v>
      </c>
      <c r="T52" s="460">
        <v>0</v>
      </c>
      <c r="U52" s="460">
        <v>0</v>
      </c>
      <c r="V52" s="460">
        <f>SUM(Q52:U52)</f>
        <v>0</v>
      </c>
      <c r="W52" s="460">
        <v>0</v>
      </c>
      <c r="X52" s="460">
        <v>0</v>
      </c>
      <c r="Y52" s="460">
        <v>0</v>
      </c>
      <c r="Z52" s="460">
        <f t="shared" si="138"/>
        <v>0</v>
      </c>
      <c r="AA52" s="460">
        <f t="shared" si="139"/>
        <v>0</v>
      </c>
      <c r="AB52" s="69">
        <f t="shared" si="140"/>
        <v>0</v>
      </c>
      <c r="AC52" s="69">
        <f t="shared" si="141"/>
        <v>0</v>
      </c>
      <c r="AD52" s="460">
        <v>0</v>
      </c>
      <c r="AE52" s="460">
        <v>0</v>
      </c>
      <c r="AF52" s="460">
        <f t="shared" si="142"/>
        <v>0</v>
      </c>
      <c r="AG52" s="460">
        <f t="shared" si="143"/>
        <v>0</v>
      </c>
      <c r="AH52" s="461">
        <v>0</v>
      </c>
      <c r="AI52" s="461">
        <v>0</v>
      </c>
      <c r="AJ52" s="461">
        <v>0</v>
      </c>
      <c r="AK52" s="461">
        <v>0</v>
      </c>
      <c r="AL52" s="674">
        <v>0</v>
      </c>
      <c r="AM52" s="461">
        <v>0</v>
      </c>
      <c r="AN52" s="461">
        <v>0</v>
      </c>
      <c r="AO52" s="461">
        <v>0</v>
      </c>
      <c r="AP52" s="461">
        <f>AH52+AJ52+AK52+AM52+AN52</f>
        <v>0</v>
      </c>
      <c r="AQ52" s="461">
        <f>AI52+AL52+AO52</f>
        <v>0</v>
      </c>
      <c r="AR52" s="463">
        <f t="shared" si="144"/>
        <v>0</v>
      </c>
      <c r="AS52" s="469">
        <f>I52+AG52</f>
        <v>585695</v>
      </c>
      <c r="AT52" s="460">
        <f>J52+V52</f>
        <v>434492</v>
      </c>
      <c r="AU52" s="460">
        <f t="shared" si="145"/>
        <v>0</v>
      </c>
      <c r="AV52" s="460">
        <f t="shared" si="146"/>
        <v>146858</v>
      </c>
      <c r="AW52" s="460">
        <f t="shared" si="146"/>
        <v>4345</v>
      </c>
      <c r="AX52" s="460">
        <f>M52+AF52</f>
        <v>0</v>
      </c>
      <c r="AY52" s="461">
        <f>N52+AR52</f>
        <v>0.89280000000000004</v>
      </c>
      <c r="AZ52" s="461">
        <f t="shared" si="147"/>
        <v>0.89280000000000004</v>
      </c>
      <c r="BA52" s="463">
        <f t="shared" si="147"/>
        <v>0</v>
      </c>
    </row>
    <row r="53" spans="1:53" x14ac:dyDescent="0.2">
      <c r="A53" s="211">
        <v>9</v>
      </c>
      <c r="B53" s="212">
        <v>3476</v>
      </c>
      <c r="C53" s="212">
        <v>600099164</v>
      </c>
      <c r="D53" s="212">
        <v>854808</v>
      </c>
      <c r="E53" s="210" t="s">
        <v>101</v>
      </c>
      <c r="F53" s="212">
        <v>3143</v>
      </c>
      <c r="G53" s="213" t="s">
        <v>617</v>
      </c>
      <c r="H53" s="234" t="s">
        <v>278</v>
      </c>
      <c r="I53" s="462">
        <f t="shared" si="134"/>
        <v>21990</v>
      </c>
      <c r="J53" s="457">
        <v>15712</v>
      </c>
      <c r="K53" s="457">
        <f t="shared" si="148"/>
        <v>5311</v>
      </c>
      <c r="L53" s="457">
        <f t="shared" si="135"/>
        <v>157</v>
      </c>
      <c r="M53" s="457">
        <v>810</v>
      </c>
      <c r="N53" s="458">
        <f t="shared" si="136"/>
        <v>0.06</v>
      </c>
      <c r="O53" s="459">
        <v>0</v>
      </c>
      <c r="P53" s="468">
        <v>0.06</v>
      </c>
      <c r="Q53" s="470">
        <f t="shared" si="137"/>
        <v>0</v>
      </c>
      <c r="R53" s="460">
        <v>0</v>
      </c>
      <c r="S53" s="673">
        <v>0</v>
      </c>
      <c r="T53" s="460">
        <v>0</v>
      </c>
      <c r="U53" s="460">
        <v>0</v>
      </c>
      <c r="V53" s="460">
        <f>SUM(Q53:U53)</f>
        <v>0</v>
      </c>
      <c r="W53" s="460">
        <v>0</v>
      </c>
      <c r="X53" s="460">
        <v>0</v>
      </c>
      <c r="Y53" s="460">
        <v>0</v>
      </c>
      <c r="Z53" s="460">
        <f t="shared" si="138"/>
        <v>0</v>
      </c>
      <c r="AA53" s="460">
        <f t="shared" si="139"/>
        <v>0</v>
      </c>
      <c r="AB53" s="69">
        <f t="shared" si="140"/>
        <v>0</v>
      </c>
      <c r="AC53" s="69">
        <f t="shared" si="141"/>
        <v>0</v>
      </c>
      <c r="AD53" s="460">
        <v>0</v>
      </c>
      <c r="AE53" s="460">
        <v>0</v>
      </c>
      <c r="AF53" s="460">
        <f t="shared" si="142"/>
        <v>0</v>
      </c>
      <c r="AG53" s="460">
        <f t="shared" si="143"/>
        <v>0</v>
      </c>
      <c r="AH53" s="461">
        <v>0</v>
      </c>
      <c r="AI53" s="461">
        <v>0</v>
      </c>
      <c r="AJ53" s="461">
        <v>0</v>
      </c>
      <c r="AK53" s="461">
        <v>0</v>
      </c>
      <c r="AL53" s="674">
        <v>0</v>
      </c>
      <c r="AM53" s="461">
        <v>0</v>
      </c>
      <c r="AN53" s="461">
        <v>0</v>
      </c>
      <c r="AO53" s="461">
        <v>0</v>
      </c>
      <c r="AP53" s="461">
        <f>AH53+AJ53+AK53+AM53+AN53</f>
        <v>0</v>
      </c>
      <c r="AQ53" s="461">
        <f>AI53+AL53+AO53</f>
        <v>0</v>
      </c>
      <c r="AR53" s="463">
        <f t="shared" si="144"/>
        <v>0</v>
      </c>
      <c r="AS53" s="469">
        <f>I53+AG53</f>
        <v>21990</v>
      </c>
      <c r="AT53" s="460">
        <f>J53+V53</f>
        <v>15712</v>
      </c>
      <c r="AU53" s="460">
        <f t="shared" si="145"/>
        <v>0</v>
      </c>
      <c r="AV53" s="460">
        <f t="shared" si="146"/>
        <v>5311</v>
      </c>
      <c r="AW53" s="460">
        <f t="shared" si="146"/>
        <v>157</v>
      </c>
      <c r="AX53" s="460">
        <f>M53+AF53</f>
        <v>810</v>
      </c>
      <c r="AY53" s="461">
        <f>N53+AR53</f>
        <v>0.06</v>
      </c>
      <c r="AZ53" s="461">
        <f t="shared" si="147"/>
        <v>0</v>
      </c>
      <c r="BA53" s="463">
        <f t="shared" si="147"/>
        <v>0.06</v>
      </c>
    </row>
    <row r="54" spans="1:53" x14ac:dyDescent="0.2">
      <c r="A54" s="158">
        <v>9</v>
      </c>
      <c r="B54" s="18">
        <v>3476</v>
      </c>
      <c r="C54" s="18">
        <v>600099164</v>
      </c>
      <c r="D54" s="18">
        <v>854808</v>
      </c>
      <c r="E54" s="167" t="s">
        <v>102</v>
      </c>
      <c r="F54" s="18"/>
      <c r="G54" s="157"/>
      <c r="H54" s="191"/>
      <c r="I54" s="504">
        <f t="shared" ref="I54:P54" si="149">SUM(I49:I53)</f>
        <v>12085910</v>
      </c>
      <c r="J54" s="500">
        <f t="shared" si="149"/>
        <v>8851715</v>
      </c>
      <c r="K54" s="500">
        <f t="shared" si="149"/>
        <v>2991880</v>
      </c>
      <c r="L54" s="500">
        <f t="shared" si="149"/>
        <v>88517</v>
      </c>
      <c r="M54" s="500">
        <f t="shared" si="149"/>
        <v>153798</v>
      </c>
      <c r="N54" s="501">
        <f t="shared" si="149"/>
        <v>17.157799999999998</v>
      </c>
      <c r="O54" s="501">
        <f t="shared" si="149"/>
        <v>12.491099999999999</v>
      </c>
      <c r="P54" s="506">
        <f t="shared" si="149"/>
        <v>4.6666999999999996</v>
      </c>
      <c r="Q54" s="504">
        <f t="shared" ref="Q54:BA54" si="150">SUM(Q49:Q53)</f>
        <v>0</v>
      </c>
      <c r="R54" s="500">
        <f t="shared" si="150"/>
        <v>219495</v>
      </c>
      <c r="S54" s="500">
        <f t="shared" si="150"/>
        <v>0</v>
      </c>
      <c r="T54" s="500">
        <f t="shared" si="150"/>
        <v>0</v>
      </c>
      <c r="U54" s="500">
        <f t="shared" si="150"/>
        <v>0</v>
      </c>
      <c r="V54" s="500">
        <f t="shared" si="150"/>
        <v>219495</v>
      </c>
      <c r="W54" s="500">
        <f t="shared" si="150"/>
        <v>0</v>
      </c>
      <c r="X54" s="500">
        <f t="shared" si="150"/>
        <v>0</v>
      </c>
      <c r="Y54" s="500">
        <f t="shared" si="150"/>
        <v>0</v>
      </c>
      <c r="Z54" s="500">
        <f t="shared" si="150"/>
        <v>0</v>
      </c>
      <c r="AA54" s="500">
        <f t="shared" si="150"/>
        <v>219495</v>
      </c>
      <c r="AB54" s="500">
        <f t="shared" si="150"/>
        <v>74189</v>
      </c>
      <c r="AC54" s="500">
        <f t="shared" si="150"/>
        <v>2195</v>
      </c>
      <c r="AD54" s="500">
        <f t="shared" si="150"/>
        <v>0</v>
      </c>
      <c r="AE54" s="500">
        <f t="shared" si="150"/>
        <v>0</v>
      </c>
      <c r="AF54" s="500">
        <f t="shared" si="150"/>
        <v>0</v>
      </c>
      <c r="AG54" s="500">
        <f t="shared" si="150"/>
        <v>295879</v>
      </c>
      <c r="AH54" s="501">
        <f t="shared" si="150"/>
        <v>0</v>
      </c>
      <c r="AI54" s="501">
        <f t="shared" si="150"/>
        <v>0</v>
      </c>
      <c r="AJ54" s="501">
        <f t="shared" si="150"/>
        <v>0.6</v>
      </c>
      <c r="AK54" s="501">
        <f t="shared" si="150"/>
        <v>0</v>
      </c>
      <c r="AL54" s="501">
        <f t="shared" si="150"/>
        <v>0</v>
      </c>
      <c r="AM54" s="501">
        <f t="shared" si="150"/>
        <v>0</v>
      </c>
      <c r="AN54" s="501">
        <f t="shared" si="150"/>
        <v>0</v>
      </c>
      <c r="AO54" s="501">
        <f t="shared" si="150"/>
        <v>0</v>
      </c>
      <c r="AP54" s="501">
        <f t="shared" si="150"/>
        <v>0.6</v>
      </c>
      <c r="AQ54" s="501">
        <f t="shared" si="150"/>
        <v>0</v>
      </c>
      <c r="AR54" s="41">
        <f t="shared" si="150"/>
        <v>0.6</v>
      </c>
      <c r="AS54" s="508">
        <f t="shared" si="150"/>
        <v>12381789</v>
      </c>
      <c r="AT54" s="500">
        <f t="shared" si="150"/>
        <v>9071210</v>
      </c>
      <c r="AU54" s="500">
        <f t="shared" si="150"/>
        <v>0</v>
      </c>
      <c r="AV54" s="500">
        <f t="shared" si="150"/>
        <v>3066069</v>
      </c>
      <c r="AW54" s="500">
        <f t="shared" si="150"/>
        <v>90712</v>
      </c>
      <c r="AX54" s="500">
        <f t="shared" si="150"/>
        <v>153798</v>
      </c>
      <c r="AY54" s="501">
        <f t="shared" si="150"/>
        <v>17.7578</v>
      </c>
      <c r="AZ54" s="501">
        <f t="shared" si="150"/>
        <v>13.091099999999999</v>
      </c>
      <c r="BA54" s="41">
        <f t="shared" si="150"/>
        <v>4.6666999999999996</v>
      </c>
    </row>
    <row r="55" spans="1:53" x14ac:dyDescent="0.2">
      <c r="A55" s="211">
        <v>10</v>
      </c>
      <c r="B55" s="212">
        <v>3424</v>
      </c>
      <c r="C55" s="212">
        <v>650040384</v>
      </c>
      <c r="D55" s="212">
        <v>72744561</v>
      </c>
      <c r="E55" s="210" t="s">
        <v>103</v>
      </c>
      <c r="F55" s="212">
        <v>3111</v>
      </c>
      <c r="G55" s="213" t="s">
        <v>307</v>
      </c>
      <c r="H55" s="214" t="s">
        <v>277</v>
      </c>
      <c r="I55" s="462">
        <f t="shared" ref="I55:I60" si="151">SUM(J55:M55)</f>
        <v>1456321</v>
      </c>
      <c r="J55" s="457">
        <v>1074719</v>
      </c>
      <c r="K55" s="457">
        <f t="shared" ref="K55:K60" si="152">ROUND(J55*33.8%,0)</f>
        <v>363255</v>
      </c>
      <c r="L55" s="457">
        <f t="shared" ref="L55:L60" si="153">ROUND(J55*1%,0)</f>
        <v>10747</v>
      </c>
      <c r="M55" s="457">
        <v>7600</v>
      </c>
      <c r="N55" s="458">
        <f t="shared" ref="N55:N60" si="154">O55+P55</f>
        <v>2.36</v>
      </c>
      <c r="O55" s="459">
        <v>2</v>
      </c>
      <c r="P55" s="468">
        <v>0.36</v>
      </c>
      <c r="Q55" s="470">
        <f t="shared" ref="Q55:Q60" si="155">W55*-1</f>
        <v>0</v>
      </c>
      <c r="R55" s="460">
        <v>0</v>
      </c>
      <c r="S55" s="673">
        <v>0</v>
      </c>
      <c r="T55" s="460">
        <v>0</v>
      </c>
      <c r="U55" s="460">
        <v>0</v>
      </c>
      <c r="V55" s="460">
        <f t="shared" ref="V55:V60" si="156">SUM(Q55:U55)</f>
        <v>0</v>
      </c>
      <c r="W55" s="460">
        <v>0</v>
      </c>
      <c r="X55" s="460">
        <v>0</v>
      </c>
      <c r="Y55" s="460">
        <v>0</v>
      </c>
      <c r="Z55" s="460">
        <f t="shared" ref="Z55:Z60" si="157">SUM(W55:Y55)</f>
        <v>0</v>
      </c>
      <c r="AA55" s="460">
        <f t="shared" ref="AA55:AA60" si="158">V55+Z55</f>
        <v>0</v>
      </c>
      <c r="AB55" s="69">
        <f t="shared" ref="AB55:AB60" si="159">ROUND((V55+W55+X55)*33.8%,0)</f>
        <v>0</v>
      </c>
      <c r="AC55" s="69">
        <f t="shared" ref="AC55:AC60" si="160">ROUND(V55*1%,0)</f>
        <v>0</v>
      </c>
      <c r="AD55" s="460">
        <v>0</v>
      </c>
      <c r="AE55" s="460">
        <v>0</v>
      </c>
      <c r="AF55" s="460">
        <f t="shared" ref="AF55:AF60" si="161">SUM(AD55:AE55)</f>
        <v>0</v>
      </c>
      <c r="AG55" s="460">
        <f t="shared" ref="AG55:AG60" si="162">AA55+AB55+AC55+AF55</f>
        <v>0</v>
      </c>
      <c r="AH55" s="461">
        <v>0</v>
      </c>
      <c r="AI55" s="461">
        <v>0</v>
      </c>
      <c r="AJ55" s="461">
        <v>0</v>
      </c>
      <c r="AK55" s="461">
        <v>0</v>
      </c>
      <c r="AL55" s="674">
        <v>0</v>
      </c>
      <c r="AM55" s="461">
        <v>0</v>
      </c>
      <c r="AN55" s="461">
        <v>0</v>
      </c>
      <c r="AO55" s="461">
        <v>0</v>
      </c>
      <c r="AP55" s="461">
        <f t="shared" ref="AP55:AP60" si="163">AH55+AJ55+AK55+AM55+AN55</f>
        <v>0</v>
      </c>
      <c r="AQ55" s="461">
        <f t="shared" ref="AQ55:AQ60" si="164">AI55+AL55+AO55</f>
        <v>0</v>
      </c>
      <c r="AR55" s="463">
        <f t="shared" ref="AR55:AR60" si="165">SUM(AP55:AQ55)</f>
        <v>0</v>
      </c>
      <c r="AS55" s="469">
        <f t="shared" ref="AS55:AS60" si="166">I55+AG55</f>
        <v>1456321</v>
      </c>
      <c r="AT55" s="460">
        <f t="shared" ref="AT55:AT60" si="167">J55+V55</f>
        <v>1074719</v>
      </c>
      <c r="AU55" s="460">
        <f t="shared" ref="AU55:AU60" si="168">Z55</f>
        <v>0</v>
      </c>
      <c r="AV55" s="460">
        <f t="shared" ref="AV55:AW60" si="169">K55+AB55</f>
        <v>363255</v>
      </c>
      <c r="AW55" s="460">
        <f t="shared" si="169"/>
        <v>10747</v>
      </c>
      <c r="AX55" s="460">
        <f t="shared" ref="AX55:AX60" si="170">M55+AF55</f>
        <v>7600</v>
      </c>
      <c r="AY55" s="461">
        <f t="shared" ref="AY55:AY60" si="171">N55+AR55</f>
        <v>2.36</v>
      </c>
      <c r="AZ55" s="461">
        <f t="shared" ref="AZ55:BA60" si="172">O55+AP55</f>
        <v>2</v>
      </c>
      <c r="BA55" s="463">
        <f t="shared" si="172"/>
        <v>0.36</v>
      </c>
    </row>
    <row r="56" spans="1:53" x14ac:dyDescent="0.2">
      <c r="A56" s="211">
        <v>10</v>
      </c>
      <c r="B56" s="212">
        <v>3424</v>
      </c>
      <c r="C56" s="212">
        <v>650040384</v>
      </c>
      <c r="D56" s="212">
        <v>72744561</v>
      </c>
      <c r="E56" s="210" t="s">
        <v>103</v>
      </c>
      <c r="F56" s="212">
        <v>3117</v>
      </c>
      <c r="G56" s="213" t="s">
        <v>310</v>
      </c>
      <c r="H56" s="214" t="s">
        <v>277</v>
      </c>
      <c r="I56" s="462">
        <f t="shared" si="151"/>
        <v>2868938</v>
      </c>
      <c r="J56" s="457">
        <v>2097654</v>
      </c>
      <c r="K56" s="457">
        <f t="shared" si="152"/>
        <v>709007</v>
      </c>
      <c r="L56" s="457">
        <f t="shared" si="153"/>
        <v>20977</v>
      </c>
      <c r="M56" s="457">
        <v>41300</v>
      </c>
      <c r="N56" s="458">
        <f t="shared" si="154"/>
        <v>4.0273000000000003</v>
      </c>
      <c r="O56" s="459">
        <v>2.7273000000000001</v>
      </c>
      <c r="P56" s="468">
        <v>1.2999999999999998</v>
      </c>
      <c r="Q56" s="470">
        <f t="shared" si="155"/>
        <v>-29250</v>
      </c>
      <c r="R56" s="460">
        <v>0</v>
      </c>
      <c r="S56" s="673">
        <v>0</v>
      </c>
      <c r="T56" s="460">
        <v>0</v>
      </c>
      <c r="U56" s="460">
        <v>0</v>
      </c>
      <c r="V56" s="460">
        <f t="shared" si="156"/>
        <v>-29250</v>
      </c>
      <c r="W56" s="460">
        <v>29250</v>
      </c>
      <c r="X56" s="460">
        <v>0</v>
      </c>
      <c r="Y56" s="460">
        <v>0</v>
      </c>
      <c r="Z56" s="460">
        <f t="shared" si="157"/>
        <v>29250</v>
      </c>
      <c r="AA56" s="460">
        <f t="shared" si="158"/>
        <v>0</v>
      </c>
      <c r="AB56" s="69">
        <f t="shared" si="159"/>
        <v>0</v>
      </c>
      <c r="AC56" s="69">
        <f t="shared" si="160"/>
        <v>-293</v>
      </c>
      <c r="AD56" s="460">
        <v>0</v>
      </c>
      <c r="AE56" s="460">
        <v>0</v>
      </c>
      <c r="AF56" s="460">
        <f t="shared" si="161"/>
        <v>0</v>
      </c>
      <c r="AG56" s="460">
        <f t="shared" si="162"/>
        <v>-293</v>
      </c>
      <c r="AH56" s="461">
        <v>0</v>
      </c>
      <c r="AI56" s="461">
        <v>-0.11</v>
      </c>
      <c r="AJ56" s="461">
        <v>0</v>
      </c>
      <c r="AK56" s="461">
        <v>0</v>
      </c>
      <c r="AL56" s="674">
        <v>0</v>
      </c>
      <c r="AM56" s="461">
        <v>0</v>
      </c>
      <c r="AN56" s="461">
        <v>0</v>
      </c>
      <c r="AO56" s="461">
        <v>0</v>
      </c>
      <c r="AP56" s="461">
        <f t="shared" si="163"/>
        <v>0</v>
      </c>
      <c r="AQ56" s="461">
        <f t="shared" si="164"/>
        <v>-0.11</v>
      </c>
      <c r="AR56" s="463">
        <f t="shared" si="165"/>
        <v>-0.11</v>
      </c>
      <c r="AS56" s="469">
        <f t="shared" si="166"/>
        <v>2868645</v>
      </c>
      <c r="AT56" s="460">
        <f t="shared" si="167"/>
        <v>2068404</v>
      </c>
      <c r="AU56" s="460">
        <f t="shared" si="168"/>
        <v>29250</v>
      </c>
      <c r="AV56" s="460">
        <f t="shared" si="169"/>
        <v>709007</v>
      </c>
      <c r="AW56" s="460">
        <f t="shared" si="169"/>
        <v>20684</v>
      </c>
      <c r="AX56" s="460">
        <f t="shared" si="170"/>
        <v>41300</v>
      </c>
      <c r="AY56" s="461">
        <f t="shared" si="171"/>
        <v>3.9173000000000004</v>
      </c>
      <c r="AZ56" s="461">
        <f t="shared" si="172"/>
        <v>2.7273000000000001</v>
      </c>
      <c r="BA56" s="463">
        <f t="shared" si="172"/>
        <v>1.1899999999999997</v>
      </c>
    </row>
    <row r="57" spans="1:53" x14ac:dyDescent="0.2">
      <c r="A57" s="211">
        <v>10</v>
      </c>
      <c r="B57" s="212">
        <v>3424</v>
      </c>
      <c r="C57" s="212">
        <v>650040384</v>
      </c>
      <c r="D57" s="212">
        <v>72744561</v>
      </c>
      <c r="E57" s="210" t="s">
        <v>103</v>
      </c>
      <c r="F57" s="212">
        <v>3117</v>
      </c>
      <c r="G57" s="213" t="s">
        <v>308</v>
      </c>
      <c r="H57" s="214" t="s">
        <v>278</v>
      </c>
      <c r="I57" s="462">
        <f t="shared" si="151"/>
        <v>0</v>
      </c>
      <c r="J57" s="457">
        <v>0</v>
      </c>
      <c r="K57" s="457">
        <f t="shared" si="152"/>
        <v>0</v>
      </c>
      <c r="L57" s="457">
        <f t="shared" si="153"/>
        <v>0</v>
      </c>
      <c r="M57" s="457">
        <v>0</v>
      </c>
      <c r="N57" s="458">
        <f t="shared" si="154"/>
        <v>0</v>
      </c>
      <c r="O57" s="459">
        <v>0</v>
      </c>
      <c r="P57" s="468">
        <v>0</v>
      </c>
      <c r="Q57" s="470">
        <f t="shared" si="155"/>
        <v>0</v>
      </c>
      <c r="R57" s="460">
        <v>221345</v>
      </c>
      <c r="S57" s="673">
        <v>0</v>
      </c>
      <c r="T57" s="460">
        <v>0</v>
      </c>
      <c r="U57" s="460">
        <v>0</v>
      </c>
      <c r="V57" s="460">
        <f t="shared" si="156"/>
        <v>221345</v>
      </c>
      <c r="W57" s="460">
        <v>0</v>
      </c>
      <c r="X57" s="460">
        <v>0</v>
      </c>
      <c r="Y57" s="460">
        <v>0</v>
      </c>
      <c r="Z57" s="460">
        <f t="shared" si="157"/>
        <v>0</v>
      </c>
      <c r="AA57" s="460">
        <f t="shared" si="158"/>
        <v>221345</v>
      </c>
      <c r="AB57" s="69">
        <f t="shared" si="159"/>
        <v>74815</v>
      </c>
      <c r="AC57" s="69">
        <f t="shared" si="160"/>
        <v>2213</v>
      </c>
      <c r="AD57" s="460">
        <v>0</v>
      </c>
      <c r="AE57" s="460">
        <v>0</v>
      </c>
      <c r="AF57" s="460">
        <f t="shared" si="161"/>
        <v>0</v>
      </c>
      <c r="AG57" s="460">
        <f t="shared" si="162"/>
        <v>298373</v>
      </c>
      <c r="AH57" s="461">
        <v>0</v>
      </c>
      <c r="AI57" s="461">
        <v>0</v>
      </c>
      <c r="AJ57" s="461">
        <v>0.64</v>
      </c>
      <c r="AK57" s="461">
        <v>0</v>
      </c>
      <c r="AL57" s="674">
        <v>0</v>
      </c>
      <c r="AM57" s="461">
        <v>0</v>
      </c>
      <c r="AN57" s="461">
        <v>0</v>
      </c>
      <c r="AO57" s="461">
        <v>0</v>
      </c>
      <c r="AP57" s="461">
        <f t="shared" si="163"/>
        <v>0.64</v>
      </c>
      <c r="AQ57" s="461">
        <f t="shared" si="164"/>
        <v>0</v>
      </c>
      <c r="AR57" s="463">
        <f t="shared" si="165"/>
        <v>0.64</v>
      </c>
      <c r="AS57" s="469">
        <f t="shared" si="166"/>
        <v>298373</v>
      </c>
      <c r="AT57" s="460">
        <f t="shared" si="167"/>
        <v>221345</v>
      </c>
      <c r="AU57" s="460">
        <f t="shared" si="168"/>
        <v>0</v>
      </c>
      <c r="AV57" s="460">
        <f t="shared" si="169"/>
        <v>74815</v>
      </c>
      <c r="AW57" s="460">
        <f t="shared" si="169"/>
        <v>2213</v>
      </c>
      <c r="AX57" s="460">
        <f t="shared" si="170"/>
        <v>0</v>
      </c>
      <c r="AY57" s="461">
        <f t="shared" si="171"/>
        <v>0.64</v>
      </c>
      <c r="AZ57" s="461">
        <f t="shared" si="172"/>
        <v>0.64</v>
      </c>
      <c r="BA57" s="463">
        <f t="shared" si="172"/>
        <v>0</v>
      </c>
    </row>
    <row r="58" spans="1:53" x14ac:dyDescent="0.2">
      <c r="A58" s="211">
        <v>10</v>
      </c>
      <c r="B58" s="212">
        <v>3424</v>
      </c>
      <c r="C58" s="212">
        <v>650040384</v>
      </c>
      <c r="D58" s="212">
        <v>72744561</v>
      </c>
      <c r="E58" s="210" t="s">
        <v>103</v>
      </c>
      <c r="F58" s="212">
        <v>3141</v>
      </c>
      <c r="G58" s="213" t="s">
        <v>311</v>
      </c>
      <c r="H58" s="214" t="s">
        <v>278</v>
      </c>
      <c r="I58" s="462">
        <f t="shared" si="151"/>
        <v>652030</v>
      </c>
      <c r="J58" s="457">
        <v>481518</v>
      </c>
      <c r="K58" s="457">
        <f t="shared" si="152"/>
        <v>162753</v>
      </c>
      <c r="L58" s="457">
        <f t="shared" si="153"/>
        <v>4815</v>
      </c>
      <c r="M58" s="457">
        <v>2944</v>
      </c>
      <c r="N58" s="458">
        <f t="shared" si="154"/>
        <v>1.54</v>
      </c>
      <c r="O58" s="459">
        <v>0</v>
      </c>
      <c r="P58" s="468">
        <v>1.54</v>
      </c>
      <c r="Q58" s="470">
        <f t="shared" si="155"/>
        <v>0</v>
      </c>
      <c r="R58" s="460">
        <v>0</v>
      </c>
      <c r="S58" s="673">
        <v>0</v>
      </c>
      <c r="T58" s="460">
        <v>0</v>
      </c>
      <c r="U58" s="460">
        <v>0</v>
      </c>
      <c r="V58" s="460">
        <f t="shared" si="156"/>
        <v>0</v>
      </c>
      <c r="W58" s="460">
        <v>0</v>
      </c>
      <c r="X58" s="460">
        <v>0</v>
      </c>
      <c r="Y58" s="460">
        <v>0</v>
      </c>
      <c r="Z58" s="460">
        <f t="shared" si="157"/>
        <v>0</v>
      </c>
      <c r="AA58" s="460">
        <f t="shared" si="158"/>
        <v>0</v>
      </c>
      <c r="AB58" s="69">
        <f t="shared" si="159"/>
        <v>0</v>
      </c>
      <c r="AC58" s="69">
        <f t="shared" si="160"/>
        <v>0</v>
      </c>
      <c r="AD58" s="460">
        <v>0</v>
      </c>
      <c r="AE58" s="460">
        <v>0</v>
      </c>
      <c r="AF58" s="460">
        <f t="shared" si="161"/>
        <v>0</v>
      </c>
      <c r="AG58" s="460">
        <f t="shared" si="162"/>
        <v>0</v>
      </c>
      <c r="AH58" s="461">
        <v>0</v>
      </c>
      <c r="AI58" s="461">
        <v>0</v>
      </c>
      <c r="AJ58" s="461">
        <v>0</v>
      </c>
      <c r="AK58" s="461">
        <v>0</v>
      </c>
      <c r="AL58" s="674">
        <v>0</v>
      </c>
      <c r="AM58" s="461">
        <v>0</v>
      </c>
      <c r="AN58" s="461">
        <v>0</v>
      </c>
      <c r="AO58" s="461">
        <v>0</v>
      </c>
      <c r="AP58" s="461">
        <f t="shared" si="163"/>
        <v>0</v>
      </c>
      <c r="AQ58" s="461">
        <f t="shared" si="164"/>
        <v>0</v>
      </c>
      <c r="AR58" s="463">
        <f t="shared" si="165"/>
        <v>0</v>
      </c>
      <c r="AS58" s="469">
        <f t="shared" si="166"/>
        <v>652030</v>
      </c>
      <c r="AT58" s="460">
        <f t="shared" si="167"/>
        <v>481518</v>
      </c>
      <c r="AU58" s="460">
        <f t="shared" si="168"/>
        <v>0</v>
      </c>
      <c r="AV58" s="460">
        <f t="shared" si="169"/>
        <v>162753</v>
      </c>
      <c r="AW58" s="460">
        <f t="shared" si="169"/>
        <v>4815</v>
      </c>
      <c r="AX58" s="460">
        <f t="shared" si="170"/>
        <v>2944</v>
      </c>
      <c r="AY58" s="461">
        <f t="shared" si="171"/>
        <v>1.54</v>
      </c>
      <c r="AZ58" s="461">
        <f t="shared" si="172"/>
        <v>0</v>
      </c>
      <c r="BA58" s="463">
        <f t="shared" si="172"/>
        <v>1.54</v>
      </c>
    </row>
    <row r="59" spans="1:53" x14ac:dyDescent="0.2">
      <c r="A59" s="211">
        <v>10</v>
      </c>
      <c r="B59" s="212">
        <v>3424</v>
      </c>
      <c r="C59" s="212">
        <v>650040384</v>
      </c>
      <c r="D59" s="212">
        <v>72744561</v>
      </c>
      <c r="E59" s="210" t="s">
        <v>103</v>
      </c>
      <c r="F59" s="212">
        <v>3143</v>
      </c>
      <c r="G59" s="213" t="s">
        <v>616</v>
      </c>
      <c r="H59" s="234" t="s">
        <v>277</v>
      </c>
      <c r="I59" s="462">
        <f t="shared" si="151"/>
        <v>588179</v>
      </c>
      <c r="J59" s="457">
        <v>436335</v>
      </c>
      <c r="K59" s="457">
        <f t="shared" si="152"/>
        <v>147481</v>
      </c>
      <c r="L59" s="457">
        <f t="shared" si="153"/>
        <v>4363</v>
      </c>
      <c r="M59" s="457">
        <v>0</v>
      </c>
      <c r="N59" s="458">
        <f t="shared" si="154"/>
        <v>0.86199999999999999</v>
      </c>
      <c r="O59" s="459">
        <v>0.86199999999999999</v>
      </c>
      <c r="P59" s="468">
        <v>0</v>
      </c>
      <c r="Q59" s="470">
        <f t="shared" si="155"/>
        <v>0</v>
      </c>
      <c r="R59" s="460">
        <v>0</v>
      </c>
      <c r="S59" s="673">
        <v>0</v>
      </c>
      <c r="T59" s="460">
        <v>0</v>
      </c>
      <c r="U59" s="460">
        <v>0</v>
      </c>
      <c r="V59" s="460">
        <f t="shared" si="156"/>
        <v>0</v>
      </c>
      <c r="W59" s="460">
        <v>0</v>
      </c>
      <c r="X59" s="460">
        <v>0</v>
      </c>
      <c r="Y59" s="460">
        <v>0</v>
      </c>
      <c r="Z59" s="460">
        <f t="shared" si="157"/>
        <v>0</v>
      </c>
      <c r="AA59" s="460">
        <f t="shared" si="158"/>
        <v>0</v>
      </c>
      <c r="AB59" s="69">
        <f t="shared" si="159"/>
        <v>0</v>
      </c>
      <c r="AC59" s="69">
        <f t="shared" si="160"/>
        <v>0</v>
      </c>
      <c r="AD59" s="460">
        <v>0</v>
      </c>
      <c r="AE59" s="460">
        <v>0</v>
      </c>
      <c r="AF59" s="460">
        <f t="shared" si="161"/>
        <v>0</v>
      </c>
      <c r="AG59" s="460">
        <f t="shared" si="162"/>
        <v>0</v>
      </c>
      <c r="AH59" s="461">
        <v>0</v>
      </c>
      <c r="AI59" s="461">
        <v>0</v>
      </c>
      <c r="AJ59" s="461">
        <v>0</v>
      </c>
      <c r="AK59" s="461">
        <v>0</v>
      </c>
      <c r="AL59" s="674">
        <v>0</v>
      </c>
      <c r="AM59" s="461">
        <v>0</v>
      </c>
      <c r="AN59" s="461">
        <v>0</v>
      </c>
      <c r="AO59" s="461">
        <v>0</v>
      </c>
      <c r="AP59" s="461">
        <f t="shared" si="163"/>
        <v>0</v>
      </c>
      <c r="AQ59" s="461">
        <f t="shared" si="164"/>
        <v>0</v>
      </c>
      <c r="AR59" s="463">
        <f t="shared" si="165"/>
        <v>0</v>
      </c>
      <c r="AS59" s="469">
        <f t="shared" si="166"/>
        <v>588179</v>
      </c>
      <c r="AT59" s="460">
        <f t="shared" si="167"/>
        <v>436335</v>
      </c>
      <c r="AU59" s="460">
        <f t="shared" si="168"/>
        <v>0</v>
      </c>
      <c r="AV59" s="460">
        <f t="shared" si="169"/>
        <v>147481</v>
      </c>
      <c r="AW59" s="460">
        <f t="shared" si="169"/>
        <v>4363</v>
      </c>
      <c r="AX59" s="460">
        <f t="shared" si="170"/>
        <v>0</v>
      </c>
      <c r="AY59" s="461">
        <f t="shared" si="171"/>
        <v>0.86199999999999999</v>
      </c>
      <c r="AZ59" s="461">
        <f t="shared" si="172"/>
        <v>0.86199999999999999</v>
      </c>
      <c r="BA59" s="463">
        <f t="shared" si="172"/>
        <v>0</v>
      </c>
    </row>
    <row r="60" spans="1:53" x14ac:dyDescent="0.2">
      <c r="A60" s="211">
        <v>10</v>
      </c>
      <c r="B60" s="212">
        <v>3424</v>
      </c>
      <c r="C60" s="212">
        <v>650040384</v>
      </c>
      <c r="D60" s="212">
        <v>72744561</v>
      </c>
      <c r="E60" s="210" t="s">
        <v>103</v>
      </c>
      <c r="F60" s="212">
        <v>3143</v>
      </c>
      <c r="G60" s="213" t="s">
        <v>617</v>
      </c>
      <c r="H60" s="234" t="s">
        <v>278</v>
      </c>
      <c r="I60" s="462">
        <f t="shared" si="151"/>
        <v>18324</v>
      </c>
      <c r="J60" s="457">
        <v>13093</v>
      </c>
      <c r="K60" s="457">
        <f t="shared" si="152"/>
        <v>4425</v>
      </c>
      <c r="L60" s="457">
        <f t="shared" si="153"/>
        <v>131</v>
      </c>
      <c r="M60" s="457">
        <v>675</v>
      </c>
      <c r="N60" s="458">
        <f t="shared" si="154"/>
        <v>0.05</v>
      </c>
      <c r="O60" s="459">
        <v>0</v>
      </c>
      <c r="P60" s="468">
        <v>0.05</v>
      </c>
      <c r="Q60" s="470">
        <f t="shared" si="155"/>
        <v>0</v>
      </c>
      <c r="R60" s="460">
        <v>0</v>
      </c>
      <c r="S60" s="673">
        <v>0</v>
      </c>
      <c r="T60" s="460">
        <v>0</v>
      </c>
      <c r="U60" s="460">
        <v>0</v>
      </c>
      <c r="V60" s="460">
        <f t="shared" si="156"/>
        <v>0</v>
      </c>
      <c r="W60" s="460">
        <v>0</v>
      </c>
      <c r="X60" s="460">
        <v>0</v>
      </c>
      <c r="Y60" s="460">
        <v>0</v>
      </c>
      <c r="Z60" s="460">
        <f t="shared" si="157"/>
        <v>0</v>
      </c>
      <c r="AA60" s="460">
        <f t="shared" si="158"/>
        <v>0</v>
      </c>
      <c r="AB60" s="69">
        <f t="shared" si="159"/>
        <v>0</v>
      </c>
      <c r="AC60" s="69">
        <f t="shared" si="160"/>
        <v>0</v>
      </c>
      <c r="AD60" s="460">
        <v>0</v>
      </c>
      <c r="AE60" s="460">
        <v>0</v>
      </c>
      <c r="AF60" s="460">
        <f t="shared" si="161"/>
        <v>0</v>
      </c>
      <c r="AG60" s="460">
        <f t="shared" si="162"/>
        <v>0</v>
      </c>
      <c r="AH60" s="461">
        <v>0</v>
      </c>
      <c r="AI60" s="461">
        <v>0</v>
      </c>
      <c r="AJ60" s="461">
        <v>0</v>
      </c>
      <c r="AK60" s="461">
        <v>0</v>
      </c>
      <c r="AL60" s="674">
        <v>0</v>
      </c>
      <c r="AM60" s="461">
        <v>0</v>
      </c>
      <c r="AN60" s="461">
        <v>0</v>
      </c>
      <c r="AO60" s="461">
        <v>0</v>
      </c>
      <c r="AP60" s="461">
        <f t="shared" si="163"/>
        <v>0</v>
      </c>
      <c r="AQ60" s="461">
        <f t="shared" si="164"/>
        <v>0</v>
      </c>
      <c r="AR60" s="463">
        <f t="shared" si="165"/>
        <v>0</v>
      </c>
      <c r="AS60" s="469">
        <f t="shared" si="166"/>
        <v>18324</v>
      </c>
      <c r="AT60" s="460">
        <f t="shared" si="167"/>
        <v>13093</v>
      </c>
      <c r="AU60" s="460">
        <f t="shared" si="168"/>
        <v>0</v>
      </c>
      <c r="AV60" s="460">
        <f t="shared" si="169"/>
        <v>4425</v>
      </c>
      <c r="AW60" s="460">
        <f t="shared" si="169"/>
        <v>131</v>
      </c>
      <c r="AX60" s="460">
        <f t="shared" si="170"/>
        <v>675</v>
      </c>
      <c r="AY60" s="461">
        <f t="shared" si="171"/>
        <v>0.05</v>
      </c>
      <c r="AZ60" s="461">
        <f t="shared" si="172"/>
        <v>0</v>
      </c>
      <c r="BA60" s="463">
        <f t="shared" si="172"/>
        <v>0.05</v>
      </c>
    </row>
    <row r="61" spans="1:53" x14ac:dyDescent="0.2">
      <c r="A61" s="158">
        <v>10</v>
      </c>
      <c r="B61" s="18">
        <v>3424</v>
      </c>
      <c r="C61" s="18">
        <v>650040384</v>
      </c>
      <c r="D61" s="18">
        <v>72744561</v>
      </c>
      <c r="E61" s="167" t="s">
        <v>104</v>
      </c>
      <c r="F61" s="18"/>
      <c r="G61" s="157"/>
      <c r="H61" s="191"/>
      <c r="I61" s="504">
        <f t="shared" ref="I61:BA61" si="173">SUM(I55:I60)</f>
        <v>5583792</v>
      </c>
      <c r="J61" s="500">
        <f t="shared" si="173"/>
        <v>4103319</v>
      </c>
      <c r="K61" s="500">
        <f t="shared" si="173"/>
        <v>1386921</v>
      </c>
      <c r="L61" s="500">
        <f t="shared" si="173"/>
        <v>41033</v>
      </c>
      <c r="M61" s="500">
        <f t="shared" si="173"/>
        <v>52519</v>
      </c>
      <c r="N61" s="501">
        <f t="shared" si="173"/>
        <v>8.8392999999999997</v>
      </c>
      <c r="O61" s="501">
        <f t="shared" si="173"/>
        <v>5.5892999999999997</v>
      </c>
      <c r="P61" s="506">
        <f t="shared" si="173"/>
        <v>3.2499999999999996</v>
      </c>
      <c r="Q61" s="504">
        <f t="shared" si="173"/>
        <v>-29250</v>
      </c>
      <c r="R61" s="500">
        <f t="shared" si="173"/>
        <v>221345</v>
      </c>
      <c r="S61" s="500">
        <f t="shared" si="173"/>
        <v>0</v>
      </c>
      <c r="T61" s="500">
        <f t="shared" si="173"/>
        <v>0</v>
      </c>
      <c r="U61" s="500">
        <f t="shared" si="173"/>
        <v>0</v>
      </c>
      <c r="V61" s="500">
        <f t="shared" si="173"/>
        <v>192095</v>
      </c>
      <c r="W61" s="500">
        <f t="shared" si="173"/>
        <v>29250</v>
      </c>
      <c r="X61" s="500">
        <f t="shared" si="173"/>
        <v>0</v>
      </c>
      <c r="Y61" s="500">
        <f t="shared" si="173"/>
        <v>0</v>
      </c>
      <c r="Z61" s="500">
        <f t="shared" si="173"/>
        <v>29250</v>
      </c>
      <c r="AA61" s="500">
        <f t="shared" si="173"/>
        <v>221345</v>
      </c>
      <c r="AB61" s="500">
        <f t="shared" si="173"/>
        <v>74815</v>
      </c>
      <c r="AC61" s="500">
        <f t="shared" si="173"/>
        <v>1920</v>
      </c>
      <c r="AD61" s="500">
        <f t="shared" si="173"/>
        <v>0</v>
      </c>
      <c r="AE61" s="500">
        <f t="shared" si="173"/>
        <v>0</v>
      </c>
      <c r="AF61" s="500">
        <f t="shared" si="173"/>
        <v>0</v>
      </c>
      <c r="AG61" s="500">
        <f t="shared" si="173"/>
        <v>298080</v>
      </c>
      <c r="AH61" s="501">
        <f t="shared" si="173"/>
        <v>0</v>
      </c>
      <c r="AI61" s="501">
        <f t="shared" si="173"/>
        <v>-0.11</v>
      </c>
      <c r="AJ61" s="501">
        <f t="shared" si="173"/>
        <v>0.64</v>
      </c>
      <c r="AK61" s="501">
        <f t="shared" si="173"/>
        <v>0</v>
      </c>
      <c r="AL61" s="501">
        <f t="shared" si="173"/>
        <v>0</v>
      </c>
      <c r="AM61" s="501">
        <f t="shared" si="173"/>
        <v>0</v>
      </c>
      <c r="AN61" s="501">
        <f t="shared" si="173"/>
        <v>0</v>
      </c>
      <c r="AO61" s="501">
        <f t="shared" si="173"/>
        <v>0</v>
      </c>
      <c r="AP61" s="501">
        <f t="shared" si="173"/>
        <v>0.64</v>
      </c>
      <c r="AQ61" s="501">
        <f t="shared" si="173"/>
        <v>-0.11</v>
      </c>
      <c r="AR61" s="41">
        <f t="shared" si="173"/>
        <v>0.53</v>
      </c>
      <c r="AS61" s="508">
        <f t="shared" si="173"/>
        <v>5881872</v>
      </c>
      <c r="AT61" s="500">
        <f t="shared" si="173"/>
        <v>4295414</v>
      </c>
      <c r="AU61" s="500">
        <f t="shared" si="173"/>
        <v>29250</v>
      </c>
      <c r="AV61" s="500">
        <f t="shared" si="173"/>
        <v>1461736</v>
      </c>
      <c r="AW61" s="500">
        <f t="shared" si="173"/>
        <v>42953</v>
      </c>
      <c r="AX61" s="500">
        <f t="shared" si="173"/>
        <v>52519</v>
      </c>
      <c r="AY61" s="501">
        <f t="shared" si="173"/>
        <v>9.3693000000000008</v>
      </c>
      <c r="AZ61" s="501">
        <f t="shared" si="173"/>
        <v>6.2292999999999994</v>
      </c>
      <c r="BA61" s="41">
        <f t="shared" si="173"/>
        <v>3.1399999999999997</v>
      </c>
    </row>
    <row r="62" spans="1:53" x14ac:dyDescent="0.2">
      <c r="A62" s="211">
        <v>11</v>
      </c>
      <c r="B62" s="212">
        <v>3430</v>
      </c>
      <c r="C62" s="212">
        <v>600078183</v>
      </c>
      <c r="D62" s="212">
        <v>72744405</v>
      </c>
      <c r="E62" s="210" t="s">
        <v>105</v>
      </c>
      <c r="F62" s="212">
        <v>3111</v>
      </c>
      <c r="G62" s="213" t="s">
        <v>307</v>
      </c>
      <c r="H62" s="214" t="s">
        <v>277</v>
      </c>
      <c r="I62" s="462">
        <f t="shared" ref="I62:I64" si="174">SUM(J62:M62)</f>
        <v>3642852</v>
      </c>
      <c r="J62" s="457">
        <v>2688169</v>
      </c>
      <c r="K62" s="457">
        <f t="shared" ref="K62:K64" si="175">ROUND(J62*33.8%,0)</f>
        <v>908601</v>
      </c>
      <c r="L62" s="457">
        <f t="shared" ref="L62:L64" si="176">ROUND(J62*1%,0)</f>
        <v>26882</v>
      </c>
      <c r="M62" s="457">
        <v>19200</v>
      </c>
      <c r="N62" s="458">
        <f t="shared" ref="N62:N64" si="177">O62+P62</f>
        <v>5.2</v>
      </c>
      <c r="O62" s="459">
        <v>4</v>
      </c>
      <c r="P62" s="468">
        <v>1.2</v>
      </c>
      <c r="Q62" s="470">
        <f t="shared" ref="Q62:Q64" si="178">W62*-1</f>
        <v>-9750</v>
      </c>
      <c r="R62" s="460">
        <v>0</v>
      </c>
      <c r="S62" s="673">
        <v>0</v>
      </c>
      <c r="T62" s="460">
        <v>0</v>
      </c>
      <c r="U62" s="460">
        <v>0</v>
      </c>
      <c r="V62" s="460">
        <f>SUM(Q62:U62)</f>
        <v>-9750</v>
      </c>
      <c r="W62" s="460">
        <v>9750</v>
      </c>
      <c r="X62" s="460">
        <v>0</v>
      </c>
      <c r="Y62" s="460">
        <v>0</v>
      </c>
      <c r="Z62" s="460">
        <f t="shared" ref="Z62:Z64" si="179">SUM(W62:Y62)</f>
        <v>9750</v>
      </c>
      <c r="AA62" s="460">
        <f t="shared" ref="AA62:AA64" si="180">V62+Z62</f>
        <v>0</v>
      </c>
      <c r="AB62" s="69">
        <f t="shared" ref="AB62:AB64" si="181">ROUND((V62+W62+X62)*33.8%,0)</f>
        <v>0</v>
      </c>
      <c r="AC62" s="69">
        <f t="shared" ref="AC62:AC64" si="182">ROUND(V62*1%,0)</f>
        <v>-98</v>
      </c>
      <c r="AD62" s="460">
        <v>0</v>
      </c>
      <c r="AE62" s="460">
        <v>0</v>
      </c>
      <c r="AF62" s="460">
        <f t="shared" ref="AF62:AF64" si="183">SUM(AD62:AE62)</f>
        <v>0</v>
      </c>
      <c r="AG62" s="460">
        <f t="shared" ref="AG62:AG64" si="184">AA62+AB62+AC62+AF62</f>
        <v>-98</v>
      </c>
      <c r="AH62" s="461">
        <v>0</v>
      </c>
      <c r="AI62" s="461">
        <v>-0.04</v>
      </c>
      <c r="AJ62" s="461">
        <v>0</v>
      </c>
      <c r="AK62" s="461">
        <v>0</v>
      </c>
      <c r="AL62" s="674">
        <v>0</v>
      </c>
      <c r="AM62" s="461">
        <v>0</v>
      </c>
      <c r="AN62" s="461">
        <v>0</v>
      </c>
      <c r="AO62" s="461">
        <v>0</v>
      </c>
      <c r="AP62" s="461">
        <f>AH62+AJ62+AK62+AM62+AN62</f>
        <v>0</v>
      </c>
      <c r="AQ62" s="461">
        <f>AI62+AL62+AO62</f>
        <v>-0.04</v>
      </c>
      <c r="AR62" s="463">
        <f t="shared" ref="AR62:AR64" si="185">SUM(AP62:AQ62)</f>
        <v>-0.04</v>
      </c>
      <c r="AS62" s="469">
        <f>I62+AG62</f>
        <v>3642754</v>
      </c>
      <c r="AT62" s="460">
        <f>J62+V62</f>
        <v>2678419</v>
      </c>
      <c r="AU62" s="460">
        <f t="shared" ref="AU62:AU64" si="186">Z62</f>
        <v>9750</v>
      </c>
      <c r="AV62" s="460">
        <f t="shared" ref="AV62:AW64" si="187">K62+AB62</f>
        <v>908601</v>
      </c>
      <c r="AW62" s="460">
        <f t="shared" si="187"/>
        <v>26784</v>
      </c>
      <c r="AX62" s="460">
        <f>M62+AF62</f>
        <v>19200</v>
      </c>
      <c r="AY62" s="461">
        <f>N62+AR62</f>
        <v>5.16</v>
      </c>
      <c r="AZ62" s="461">
        <f t="shared" ref="AZ62:BA64" si="188">O62+AP62</f>
        <v>4</v>
      </c>
      <c r="BA62" s="463">
        <f t="shared" si="188"/>
        <v>1.1599999999999999</v>
      </c>
    </row>
    <row r="63" spans="1:53" x14ac:dyDescent="0.2">
      <c r="A63" s="211">
        <v>11</v>
      </c>
      <c r="B63" s="212">
        <v>3430</v>
      </c>
      <c r="C63" s="212">
        <v>600078183</v>
      </c>
      <c r="D63" s="212">
        <v>72744405</v>
      </c>
      <c r="E63" s="210" t="s">
        <v>105</v>
      </c>
      <c r="F63" s="212">
        <v>3111</v>
      </c>
      <c r="G63" s="213" t="s">
        <v>308</v>
      </c>
      <c r="H63" s="214" t="s">
        <v>278</v>
      </c>
      <c r="I63" s="462">
        <f t="shared" si="174"/>
        <v>0</v>
      </c>
      <c r="J63" s="457">
        <v>0</v>
      </c>
      <c r="K63" s="457">
        <f t="shared" si="175"/>
        <v>0</v>
      </c>
      <c r="L63" s="457">
        <f t="shared" si="176"/>
        <v>0</v>
      </c>
      <c r="M63" s="457">
        <v>0</v>
      </c>
      <c r="N63" s="458">
        <f t="shared" si="177"/>
        <v>0</v>
      </c>
      <c r="O63" s="459">
        <v>0</v>
      </c>
      <c r="P63" s="468">
        <v>0</v>
      </c>
      <c r="Q63" s="470">
        <f t="shared" si="178"/>
        <v>0</v>
      </c>
      <c r="R63" s="460">
        <f>386857+42416</f>
        <v>429273</v>
      </c>
      <c r="S63" s="673">
        <v>0</v>
      </c>
      <c r="T63" s="460">
        <v>0</v>
      </c>
      <c r="U63" s="460">
        <v>0</v>
      </c>
      <c r="V63" s="460">
        <f>SUM(Q63:U63)</f>
        <v>429273</v>
      </c>
      <c r="W63" s="460">
        <v>0</v>
      </c>
      <c r="X63" s="460">
        <v>0</v>
      </c>
      <c r="Y63" s="460">
        <v>0</v>
      </c>
      <c r="Z63" s="460">
        <f t="shared" si="179"/>
        <v>0</v>
      </c>
      <c r="AA63" s="460">
        <f t="shared" si="180"/>
        <v>429273</v>
      </c>
      <c r="AB63" s="69">
        <f t="shared" si="181"/>
        <v>145094</v>
      </c>
      <c r="AC63" s="69">
        <f t="shared" si="182"/>
        <v>4293</v>
      </c>
      <c r="AD63" s="460">
        <v>0</v>
      </c>
      <c r="AE63" s="460">
        <v>0</v>
      </c>
      <c r="AF63" s="460">
        <f t="shared" si="183"/>
        <v>0</v>
      </c>
      <c r="AG63" s="460">
        <f t="shared" si="184"/>
        <v>578660</v>
      </c>
      <c r="AH63" s="461">
        <v>0</v>
      </c>
      <c r="AI63" s="461">
        <v>0</v>
      </c>
      <c r="AJ63" s="461">
        <f>1.25+0.09</f>
        <v>1.34</v>
      </c>
      <c r="AK63" s="461">
        <v>0</v>
      </c>
      <c r="AL63" s="674">
        <v>0</v>
      </c>
      <c r="AM63" s="461">
        <v>0</v>
      </c>
      <c r="AN63" s="461">
        <v>0</v>
      </c>
      <c r="AO63" s="461">
        <v>0</v>
      </c>
      <c r="AP63" s="461">
        <f>AH63+AJ63+AK63+AM63+AN63</f>
        <v>1.34</v>
      </c>
      <c r="AQ63" s="461">
        <f>AI63+AL63+AO63</f>
        <v>0</v>
      </c>
      <c r="AR63" s="463">
        <f t="shared" si="185"/>
        <v>1.34</v>
      </c>
      <c r="AS63" s="469">
        <f>I63+AG63</f>
        <v>578660</v>
      </c>
      <c r="AT63" s="460">
        <f>J63+V63</f>
        <v>429273</v>
      </c>
      <c r="AU63" s="460">
        <f t="shared" si="186"/>
        <v>0</v>
      </c>
      <c r="AV63" s="460">
        <f t="shared" si="187"/>
        <v>145094</v>
      </c>
      <c r="AW63" s="460">
        <f t="shared" si="187"/>
        <v>4293</v>
      </c>
      <c r="AX63" s="460">
        <f>M63+AF63</f>
        <v>0</v>
      </c>
      <c r="AY63" s="461">
        <f>N63+AR63</f>
        <v>1.34</v>
      </c>
      <c r="AZ63" s="461">
        <f t="shared" si="188"/>
        <v>1.34</v>
      </c>
      <c r="BA63" s="463">
        <f t="shared" si="188"/>
        <v>0</v>
      </c>
    </row>
    <row r="64" spans="1:53" x14ac:dyDescent="0.2">
      <c r="A64" s="211">
        <v>11</v>
      </c>
      <c r="B64" s="212">
        <v>3430</v>
      </c>
      <c r="C64" s="212">
        <v>600078183</v>
      </c>
      <c r="D64" s="212">
        <v>72744405</v>
      </c>
      <c r="E64" s="210" t="s">
        <v>105</v>
      </c>
      <c r="F64" s="212">
        <v>3141</v>
      </c>
      <c r="G64" s="213" t="s">
        <v>311</v>
      </c>
      <c r="H64" s="214" t="s">
        <v>278</v>
      </c>
      <c r="I64" s="462">
        <f t="shared" si="174"/>
        <v>631479</v>
      </c>
      <c r="J64" s="457">
        <v>466605</v>
      </c>
      <c r="K64" s="457">
        <f t="shared" si="175"/>
        <v>157712</v>
      </c>
      <c r="L64" s="457">
        <f t="shared" si="176"/>
        <v>4666</v>
      </c>
      <c r="M64" s="457">
        <v>2496</v>
      </c>
      <c r="N64" s="458">
        <f t="shared" si="177"/>
        <v>1.5</v>
      </c>
      <c r="O64" s="459">
        <v>0</v>
      </c>
      <c r="P64" s="468">
        <v>1.5</v>
      </c>
      <c r="Q64" s="470">
        <f t="shared" si="178"/>
        <v>0</v>
      </c>
      <c r="R64" s="460">
        <v>0</v>
      </c>
      <c r="S64" s="673">
        <v>0</v>
      </c>
      <c r="T64" s="460">
        <v>0</v>
      </c>
      <c r="U64" s="460">
        <v>0</v>
      </c>
      <c r="V64" s="460">
        <f>SUM(Q64:U64)</f>
        <v>0</v>
      </c>
      <c r="W64" s="460">
        <v>0</v>
      </c>
      <c r="X64" s="460">
        <v>0</v>
      </c>
      <c r="Y64" s="460">
        <v>0</v>
      </c>
      <c r="Z64" s="460">
        <f t="shared" si="179"/>
        <v>0</v>
      </c>
      <c r="AA64" s="460">
        <f t="shared" si="180"/>
        <v>0</v>
      </c>
      <c r="AB64" s="69">
        <f t="shared" si="181"/>
        <v>0</v>
      </c>
      <c r="AC64" s="69">
        <f t="shared" si="182"/>
        <v>0</v>
      </c>
      <c r="AD64" s="460">
        <v>0</v>
      </c>
      <c r="AE64" s="460">
        <v>0</v>
      </c>
      <c r="AF64" s="460">
        <f t="shared" si="183"/>
        <v>0</v>
      </c>
      <c r="AG64" s="460">
        <f t="shared" si="184"/>
        <v>0</v>
      </c>
      <c r="AH64" s="461">
        <v>0</v>
      </c>
      <c r="AI64" s="461">
        <v>0</v>
      </c>
      <c r="AJ64" s="461">
        <v>0</v>
      </c>
      <c r="AK64" s="461">
        <v>0</v>
      </c>
      <c r="AL64" s="674">
        <v>0</v>
      </c>
      <c r="AM64" s="461">
        <v>0</v>
      </c>
      <c r="AN64" s="461">
        <v>0</v>
      </c>
      <c r="AO64" s="461">
        <v>0</v>
      </c>
      <c r="AP64" s="461">
        <f>AH64+AJ64+AK64+AM64+AN64</f>
        <v>0</v>
      </c>
      <c r="AQ64" s="461">
        <f>AI64+AL64+AO64</f>
        <v>0</v>
      </c>
      <c r="AR64" s="463">
        <f t="shared" si="185"/>
        <v>0</v>
      </c>
      <c r="AS64" s="469">
        <f>I64+AG64</f>
        <v>631479</v>
      </c>
      <c r="AT64" s="460">
        <f>J64+V64</f>
        <v>466605</v>
      </c>
      <c r="AU64" s="460">
        <f t="shared" si="186"/>
        <v>0</v>
      </c>
      <c r="AV64" s="460">
        <f t="shared" si="187"/>
        <v>157712</v>
      </c>
      <c r="AW64" s="460">
        <f t="shared" si="187"/>
        <v>4666</v>
      </c>
      <c r="AX64" s="460">
        <f>M64+AF64</f>
        <v>2496</v>
      </c>
      <c r="AY64" s="461">
        <f>N64+AR64</f>
        <v>1.5</v>
      </c>
      <c r="AZ64" s="461">
        <f t="shared" si="188"/>
        <v>0</v>
      </c>
      <c r="BA64" s="463">
        <f t="shared" si="188"/>
        <v>1.5</v>
      </c>
    </row>
    <row r="65" spans="1:53" x14ac:dyDescent="0.2">
      <c r="A65" s="158">
        <v>11</v>
      </c>
      <c r="B65" s="18">
        <v>3430</v>
      </c>
      <c r="C65" s="18">
        <v>600078183</v>
      </c>
      <c r="D65" s="18">
        <v>72744405</v>
      </c>
      <c r="E65" s="167" t="s">
        <v>106</v>
      </c>
      <c r="F65" s="18"/>
      <c r="G65" s="157"/>
      <c r="H65" s="191"/>
      <c r="I65" s="504">
        <f t="shared" ref="I65:P65" si="189">SUM(I62:I64)</f>
        <v>4274331</v>
      </c>
      <c r="J65" s="500">
        <f t="shared" si="189"/>
        <v>3154774</v>
      </c>
      <c r="K65" s="500">
        <f t="shared" si="189"/>
        <v>1066313</v>
      </c>
      <c r="L65" s="500">
        <f t="shared" si="189"/>
        <v>31548</v>
      </c>
      <c r="M65" s="500">
        <f t="shared" si="189"/>
        <v>21696</v>
      </c>
      <c r="N65" s="501">
        <f t="shared" si="189"/>
        <v>6.7</v>
      </c>
      <c r="O65" s="501">
        <f t="shared" si="189"/>
        <v>4</v>
      </c>
      <c r="P65" s="506">
        <f t="shared" si="189"/>
        <v>2.7</v>
      </c>
      <c r="Q65" s="504">
        <f t="shared" ref="Q65:BA65" si="190">SUM(Q62:Q64)</f>
        <v>-9750</v>
      </c>
      <c r="R65" s="500">
        <f t="shared" si="190"/>
        <v>429273</v>
      </c>
      <c r="S65" s="500">
        <f t="shared" si="190"/>
        <v>0</v>
      </c>
      <c r="T65" s="500">
        <f t="shared" si="190"/>
        <v>0</v>
      </c>
      <c r="U65" s="500">
        <f t="shared" si="190"/>
        <v>0</v>
      </c>
      <c r="V65" s="500">
        <f t="shared" si="190"/>
        <v>419523</v>
      </c>
      <c r="W65" s="500">
        <f t="shared" si="190"/>
        <v>9750</v>
      </c>
      <c r="X65" s="500">
        <f t="shared" si="190"/>
        <v>0</v>
      </c>
      <c r="Y65" s="500">
        <f t="shared" si="190"/>
        <v>0</v>
      </c>
      <c r="Z65" s="500">
        <f t="shared" si="190"/>
        <v>9750</v>
      </c>
      <c r="AA65" s="500">
        <f t="shared" si="190"/>
        <v>429273</v>
      </c>
      <c r="AB65" s="500">
        <f t="shared" si="190"/>
        <v>145094</v>
      </c>
      <c r="AC65" s="500">
        <f t="shared" si="190"/>
        <v>4195</v>
      </c>
      <c r="AD65" s="500">
        <f t="shared" si="190"/>
        <v>0</v>
      </c>
      <c r="AE65" s="500">
        <f t="shared" si="190"/>
        <v>0</v>
      </c>
      <c r="AF65" s="500">
        <f t="shared" si="190"/>
        <v>0</v>
      </c>
      <c r="AG65" s="500">
        <f t="shared" si="190"/>
        <v>578562</v>
      </c>
      <c r="AH65" s="501">
        <f t="shared" si="190"/>
        <v>0</v>
      </c>
      <c r="AI65" s="501">
        <f t="shared" si="190"/>
        <v>-0.04</v>
      </c>
      <c r="AJ65" s="501">
        <f t="shared" si="190"/>
        <v>1.34</v>
      </c>
      <c r="AK65" s="501">
        <f t="shared" si="190"/>
        <v>0</v>
      </c>
      <c r="AL65" s="501">
        <f t="shared" si="190"/>
        <v>0</v>
      </c>
      <c r="AM65" s="501">
        <f t="shared" si="190"/>
        <v>0</v>
      </c>
      <c r="AN65" s="501">
        <f t="shared" si="190"/>
        <v>0</v>
      </c>
      <c r="AO65" s="501">
        <f t="shared" si="190"/>
        <v>0</v>
      </c>
      <c r="AP65" s="501">
        <f t="shared" si="190"/>
        <v>1.34</v>
      </c>
      <c r="AQ65" s="501">
        <f t="shared" si="190"/>
        <v>-0.04</v>
      </c>
      <c r="AR65" s="41">
        <f t="shared" si="190"/>
        <v>1.3</v>
      </c>
      <c r="AS65" s="508">
        <f t="shared" si="190"/>
        <v>4852893</v>
      </c>
      <c r="AT65" s="500">
        <f t="shared" si="190"/>
        <v>3574297</v>
      </c>
      <c r="AU65" s="500">
        <f t="shared" si="190"/>
        <v>9750</v>
      </c>
      <c r="AV65" s="500">
        <f t="shared" si="190"/>
        <v>1211407</v>
      </c>
      <c r="AW65" s="500">
        <f t="shared" si="190"/>
        <v>35743</v>
      </c>
      <c r="AX65" s="500">
        <f t="shared" si="190"/>
        <v>21696</v>
      </c>
      <c r="AY65" s="501">
        <f t="shared" si="190"/>
        <v>8</v>
      </c>
      <c r="AZ65" s="501">
        <f t="shared" si="190"/>
        <v>5.34</v>
      </c>
      <c r="BA65" s="41">
        <f t="shared" si="190"/>
        <v>2.66</v>
      </c>
    </row>
    <row r="66" spans="1:53" x14ac:dyDescent="0.2">
      <c r="A66" s="211">
        <v>12</v>
      </c>
      <c r="B66" s="212">
        <v>3431</v>
      </c>
      <c r="C66" s="212">
        <v>600078370</v>
      </c>
      <c r="D66" s="212">
        <v>72744162</v>
      </c>
      <c r="E66" s="210" t="s">
        <v>107</v>
      </c>
      <c r="F66" s="212">
        <v>3117</v>
      </c>
      <c r="G66" s="213" t="s">
        <v>310</v>
      </c>
      <c r="H66" s="214" t="s">
        <v>277</v>
      </c>
      <c r="I66" s="462">
        <f t="shared" ref="I66:I70" si="191">SUM(J66:M66)</f>
        <v>3895189</v>
      </c>
      <c r="J66" s="457">
        <v>2838178</v>
      </c>
      <c r="K66" s="457">
        <f t="shared" ref="K66:K70" si="192">ROUND(J66*33.8%,0)</f>
        <v>959304</v>
      </c>
      <c r="L66" s="457">
        <f t="shared" ref="L66:L70" si="193">ROUND(J66*1%,0)</f>
        <v>28382</v>
      </c>
      <c r="M66" s="457">
        <v>69325</v>
      </c>
      <c r="N66" s="458">
        <f t="shared" ref="N66:N70" si="194">O66+P66</f>
        <v>5.0045000000000002</v>
      </c>
      <c r="O66" s="459">
        <v>3.9544999999999999</v>
      </c>
      <c r="P66" s="468">
        <v>1.05</v>
      </c>
      <c r="Q66" s="470">
        <f t="shared" ref="Q66:Q70" si="195">W66*-1</f>
        <v>-50050</v>
      </c>
      <c r="R66" s="460">
        <v>0</v>
      </c>
      <c r="S66" s="673">
        <v>0</v>
      </c>
      <c r="T66" s="460">
        <v>0</v>
      </c>
      <c r="U66" s="460">
        <v>0</v>
      </c>
      <c r="V66" s="460">
        <f>SUM(Q66:U66)</f>
        <v>-50050</v>
      </c>
      <c r="W66" s="460">
        <v>50050</v>
      </c>
      <c r="X66" s="460">
        <v>0</v>
      </c>
      <c r="Y66" s="460">
        <v>0</v>
      </c>
      <c r="Z66" s="460">
        <f t="shared" ref="Z66:Z70" si="196">SUM(W66:Y66)</f>
        <v>50050</v>
      </c>
      <c r="AA66" s="460">
        <f t="shared" ref="AA66:AA70" si="197">V66+Z66</f>
        <v>0</v>
      </c>
      <c r="AB66" s="69">
        <f t="shared" ref="AB66:AB70" si="198">ROUND((V66+W66+X66)*33.8%,0)</f>
        <v>0</v>
      </c>
      <c r="AC66" s="69">
        <f t="shared" ref="AC66:AC70" si="199">ROUND(V66*1%,0)</f>
        <v>-501</v>
      </c>
      <c r="AD66" s="460">
        <v>0</v>
      </c>
      <c r="AE66" s="460">
        <v>0</v>
      </c>
      <c r="AF66" s="460">
        <f t="shared" ref="AF66:AF70" si="200">SUM(AD66:AE66)</f>
        <v>0</v>
      </c>
      <c r="AG66" s="460">
        <f t="shared" ref="AG66:AG70" si="201">AA66+AB66+AC66+AF66</f>
        <v>-501</v>
      </c>
      <c r="AH66" s="461">
        <v>0</v>
      </c>
      <c r="AI66" s="461">
        <v>-0.19</v>
      </c>
      <c r="AJ66" s="461">
        <v>0</v>
      </c>
      <c r="AK66" s="461">
        <v>0</v>
      </c>
      <c r="AL66" s="674">
        <v>0</v>
      </c>
      <c r="AM66" s="461">
        <v>0</v>
      </c>
      <c r="AN66" s="461">
        <v>0</v>
      </c>
      <c r="AO66" s="461">
        <v>0</v>
      </c>
      <c r="AP66" s="461">
        <f>AH66+AJ66+AK66+AM66+AN66</f>
        <v>0</v>
      </c>
      <c r="AQ66" s="461">
        <f>AI66+AL66+AO66</f>
        <v>-0.19</v>
      </c>
      <c r="AR66" s="463">
        <f t="shared" ref="AR66:AR70" si="202">SUM(AP66:AQ66)</f>
        <v>-0.19</v>
      </c>
      <c r="AS66" s="469">
        <f>I66+AG66</f>
        <v>3894688</v>
      </c>
      <c r="AT66" s="460">
        <f>J66+V66</f>
        <v>2788128</v>
      </c>
      <c r="AU66" s="460">
        <f t="shared" ref="AU66:AU70" si="203">Z66</f>
        <v>50050</v>
      </c>
      <c r="AV66" s="460">
        <f t="shared" ref="AV66:AW70" si="204">K66+AB66</f>
        <v>959304</v>
      </c>
      <c r="AW66" s="460">
        <f t="shared" si="204"/>
        <v>27881</v>
      </c>
      <c r="AX66" s="460">
        <f>M66+AF66</f>
        <v>69325</v>
      </c>
      <c r="AY66" s="461">
        <f>N66+AR66</f>
        <v>4.8144999999999998</v>
      </c>
      <c r="AZ66" s="461">
        <f t="shared" ref="AZ66:BA70" si="205">O66+AP66</f>
        <v>3.9544999999999999</v>
      </c>
      <c r="BA66" s="463">
        <f t="shared" si="205"/>
        <v>0.8600000000000001</v>
      </c>
    </row>
    <row r="67" spans="1:53" x14ac:dyDescent="0.2">
      <c r="A67" s="211">
        <v>12</v>
      </c>
      <c r="B67" s="212">
        <v>3431</v>
      </c>
      <c r="C67" s="212">
        <v>600078370</v>
      </c>
      <c r="D67" s="212">
        <v>72744162</v>
      </c>
      <c r="E67" s="210" t="s">
        <v>107</v>
      </c>
      <c r="F67" s="212">
        <v>3117</v>
      </c>
      <c r="G67" s="213" t="s">
        <v>308</v>
      </c>
      <c r="H67" s="214" t="s">
        <v>278</v>
      </c>
      <c r="I67" s="462">
        <f t="shared" si="191"/>
        <v>0</v>
      </c>
      <c r="J67" s="457">
        <v>0</v>
      </c>
      <c r="K67" s="457">
        <f t="shared" si="192"/>
        <v>0</v>
      </c>
      <c r="L67" s="457">
        <f t="shared" si="193"/>
        <v>0</v>
      </c>
      <c r="M67" s="457">
        <v>0</v>
      </c>
      <c r="N67" s="458">
        <f t="shared" si="194"/>
        <v>0</v>
      </c>
      <c r="O67" s="459">
        <v>0</v>
      </c>
      <c r="P67" s="468">
        <v>0</v>
      </c>
      <c r="Q67" s="470">
        <f t="shared" si="195"/>
        <v>0</v>
      </c>
      <c r="R67" s="460">
        <v>866117</v>
      </c>
      <c r="S67" s="673">
        <v>0</v>
      </c>
      <c r="T67" s="460">
        <v>0</v>
      </c>
      <c r="U67" s="460">
        <v>0</v>
      </c>
      <c r="V67" s="460">
        <f>SUM(Q67:U67)</f>
        <v>866117</v>
      </c>
      <c r="W67" s="460">
        <v>0</v>
      </c>
      <c r="X67" s="460">
        <v>0</v>
      </c>
      <c r="Y67" s="460">
        <v>0</v>
      </c>
      <c r="Z67" s="460">
        <f t="shared" si="196"/>
        <v>0</v>
      </c>
      <c r="AA67" s="460">
        <f t="shared" si="197"/>
        <v>866117</v>
      </c>
      <c r="AB67" s="69">
        <f t="shared" si="198"/>
        <v>292748</v>
      </c>
      <c r="AC67" s="69">
        <f t="shared" si="199"/>
        <v>8661</v>
      </c>
      <c r="AD67" s="460">
        <v>2000</v>
      </c>
      <c r="AE67" s="460">
        <v>0</v>
      </c>
      <c r="AF67" s="460">
        <f t="shared" si="200"/>
        <v>2000</v>
      </c>
      <c r="AG67" s="460">
        <f t="shared" si="201"/>
        <v>1169526</v>
      </c>
      <c r="AH67" s="461">
        <v>0</v>
      </c>
      <c r="AI67" s="461">
        <v>0</v>
      </c>
      <c r="AJ67" s="461">
        <v>2.5</v>
      </c>
      <c r="AK67" s="461">
        <v>0</v>
      </c>
      <c r="AL67" s="674">
        <v>0</v>
      </c>
      <c r="AM67" s="461">
        <v>0</v>
      </c>
      <c r="AN67" s="461">
        <v>0</v>
      </c>
      <c r="AO67" s="461">
        <v>0</v>
      </c>
      <c r="AP67" s="461">
        <f>AH67+AJ67+AK67+AM67+AN67</f>
        <v>2.5</v>
      </c>
      <c r="AQ67" s="461">
        <f>AI67+AL67+AO67</f>
        <v>0</v>
      </c>
      <c r="AR67" s="463">
        <f t="shared" si="202"/>
        <v>2.5</v>
      </c>
      <c r="AS67" s="469">
        <f>I67+AG67</f>
        <v>1169526</v>
      </c>
      <c r="AT67" s="460">
        <f>J67+V67</f>
        <v>866117</v>
      </c>
      <c r="AU67" s="460">
        <f t="shared" si="203"/>
        <v>0</v>
      </c>
      <c r="AV67" s="460">
        <f t="shared" si="204"/>
        <v>292748</v>
      </c>
      <c r="AW67" s="460">
        <f t="shared" si="204"/>
        <v>8661</v>
      </c>
      <c r="AX67" s="460">
        <f>M67+AF67</f>
        <v>2000</v>
      </c>
      <c r="AY67" s="461">
        <f>N67+AR67</f>
        <v>2.5</v>
      </c>
      <c r="AZ67" s="461">
        <f t="shared" si="205"/>
        <v>2.5</v>
      </c>
      <c r="BA67" s="463">
        <f t="shared" si="205"/>
        <v>0</v>
      </c>
    </row>
    <row r="68" spans="1:53" x14ac:dyDescent="0.2">
      <c r="A68" s="211">
        <v>12</v>
      </c>
      <c r="B68" s="212">
        <v>3431</v>
      </c>
      <c r="C68" s="212">
        <v>600078370</v>
      </c>
      <c r="D68" s="212">
        <v>72744162</v>
      </c>
      <c r="E68" s="210" t="s">
        <v>107</v>
      </c>
      <c r="F68" s="212">
        <v>3141</v>
      </c>
      <c r="G68" s="213" t="s">
        <v>311</v>
      </c>
      <c r="H68" s="214" t="s">
        <v>278</v>
      </c>
      <c r="I68" s="462">
        <f t="shared" si="191"/>
        <v>453150</v>
      </c>
      <c r="J68" s="457">
        <v>334467</v>
      </c>
      <c r="K68" s="457">
        <f t="shared" si="192"/>
        <v>113050</v>
      </c>
      <c r="L68" s="457">
        <f t="shared" si="193"/>
        <v>3345</v>
      </c>
      <c r="M68" s="457">
        <v>2288</v>
      </c>
      <c r="N68" s="458">
        <f t="shared" si="194"/>
        <v>1.07</v>
      </c>
      <c r="O68" s="459">
        <v>0</v>
      </c>
      <c r="P68" s="468">
        <v>1.07</v>
      </c>
      <c r="Q68" s="470">
        <f t="shared" si="195"/>
        <v>0</v>
      </c>
      <c r="R68" s="460">
        <v>0</v>
      </c>
      <c r="S68" s="673">
        <v>0</v>
      </c>
      <c r="T68" s="460">
        <v>0</v>
      </c>
      <c r="U68" s="460">
        <v>0</v>
      </c>
      <c r="V68" s="460">
        <f>SUM(Q68:U68)</f>
        <v>0</v>
      </c>
      <c r="W68" s="460">
        <v>0</v>
      </c>
      <c r="X68" s="460">
        <v>0</v>
      </c>
      <c r="Y68" s="460">
        <v>0</v>
      </c>
      <c r="Z68" s="460">
        <f t="shared" si="196"/>
        <v>0</v>
      </c>
      <c r="AA68" s="460">
        <f t="shared" si="197"/>
        <v>0</v>
      </c>
      <c r="AB68" s="69">
        <f t="shared" si="198"/>
        <v>0</v>
      </c>
      <c r="AC68" s="69">
        <f t="shared" si="199"/>
        <v>0</v>
      </c>
      <c r="AD68" s="460">
        <v>0</v>
      </c>
      <c r="AE68" s="460">
        <v>0</v>
      </c>
      <c r="AF68" s="460">
        <f t="shared" si="200"/>
        <v>0</v>
      </c>
      <c r="AG68" s="460">
        <f t="shared" si="201"/>
        <v>0</v>
      </c>
      <c r="AH68" s="461">
        <v>0</v>
      </c>
      <c r="AI68" s="461">
        <v>0</v>
      </c>
      <c r="AJ68" s="461">
        <v>0</v>
      </c>
      <c r="AK68" s="461">
        <v>0</v>
      </c>
      <c r="AL68" s="674">
        <v>0</v>
      </c>
      <c r="AM68" s="461">
        <v>0</v>
      </c>
      <c r="AN68" s="461">
        <v>0</v>
      </c>
      <c r="AO68" s="461">
        <v>0</v>
      </c>
      <c r="AP68" s="461">
        <f>AH68+AJ68+AK68+AM68+AN68</f>
        <v>0</v>
      </c>
      <c r="AQ68" s="461">
        <f>AI68+AL68+AO68</f>
        <v>0</v>
      </c>
      <c r="AR68" s="463">
        <f t="shared" si="202"/>
        <v>0</v>
      </c>
      <c r="AS68" s="469">
        <f>I68+AG68</f>
        <v>453150</v>
      </c>
      <c r="AT68" s="460">
        <f>J68+V68</f>
        <v>334467</v>
      </c>
      <c r="AU68" s="460">
        <f t="shared" si="203"/>
        <v>0</v>
      </c>
      <c r="AV68" s="460">
        <f t="shared" si="204"/>
        <v>113050</v>
      </c>
      <c r="AW68" s="460">
        <f t="shared" si="204"/>
        <v>3345</v>
      </c>
      <c r="AX68" s="460">
        <f>M68+AF68</f>
        <v>2288</v>
      </c>
      <c r="AY68" s="461">
        <f>N68+AR68</f>
        <v>1.07</v>
      </c>
      <c r="AZ68" s="461">
        <f t="shared" si="205"/>
        <v>0</v>
      </c>
      <c r="BA68" s="463">
        <f t="shared" si="205"/>
        <v>1.07</v>
      </c>
    </row>
    <row r="69" spans="1:53" x14ac:dyDescent="0.2">
      <c r="A69" s="211">
        <v>12</v>
      </c>
      <c r="B69" s="212">
        <v>3431</v>
      </c>
      <c r="C69" s="212">
        <v>600078370</v>
      </c>
      <c r="D69" s="212">
        <v>72744162</v>
      </c>
      <c r="E69" s="210" t="s">
        <v>107</v>
      </c>
      <c r="F69" s="212">
        <v>3143</v>
      </c>
      <c r="G69" s="213" t="s">
        <v>616</v>
      </c>
      <c r="H69" s="234" t="s">
        <v>277</v>
      </c>
      <c r="I69" s="462">
        <f t="shared" si="191"/>
        <v>673425</v>
      </c>
      <c r="J69" s="457">
        <v>499573</v>
      </c>
      <c r="K69" s="457">
        <f t="shared" si="192"/>
        <v>168856</v>
      </c>
      <c r="L69" s="457">
        <f t="shared" si="193"/>
        <v>4996</v>
      </c>
      <c r="M69" s="457">
        <v>0</v>
      </c>
      <c r="N69" s="458">
        <f t="shared" si="194"/>
        <v>1</v>
      </c>
      <c r="O69" s="459">
        <v>1</v>
      </c>
      <c r="P69" s="468">
        <v>0</v>
      </c>
      <c r="Q69" s="470">
        <f t="shared" si="195"/>
        <v>0</v>
      </c>
      <c r="R69" s="460">
        <v>0</v>
      </c>
      <c r="S69" s="673">
        <v>0</v>
      </c>
      <c r="T69" s="460">
        <v>0</v>
      </c>
      <c r="U69" s="460">
        <v>0</v>
      </c>
      <c r="V69" s="460">
        <f>SUM(Q69:U69)</f>
        <v>0</v>
      </c>
      <c r="W69" s="460">
        <v>0</v>
      </c>
      <c r="X69" s="460">
        <v>0</v>
      </c>
      <c r="Y69" s="460">
        <v>0</v>
      </c>
      <c r="Z69" s="460">
        <f t="shared" si="196"/>
        <v>0</v>
      </c>
      <c r="AA69" s="460">
        <f t="shared" si="197"/>
        <v>0</v>
      </c>
      <c r="AB69" s="69">
        <f t="shared" si="198"/>
        <v>0</v>
      </c>
      <c r="AC69" s="69">
        <f t="shared" si="199"/>
        <v>0</v>
      </c>
      <c r="AD69" s="460">
        <v>0</v>
      </c>
      <c r="AE69" s="460">
        <v>0</v>
      </c>
      <c r="AF69" s="460">
        <f t="shared" si="200"/>
        <v>0</v>
      </c>
      <c r="AG69" s="460">
        <f t="shared" si="201"/>
        <v>0</v>
      </c>
      <c r="AH69" s="461">
        <v>0</v>
      </c>
      <c r="AI69" s="461">
        <v>0</v>
      </c>
      <c r="AJ69" s="461">
        <v>0</v>
      </c>
      <c r="AK69" s="461">
        <v>0</v>
      </c>
      <c r="AL69" s="674">
        <v>0</v>
      </c>
      <c r="AM69" s="461">
        <v>0</v>
      </c>
      <c r="AN69" s="461">
        <v>0</v>
      </c>
      <c r="AO69" s="461">
        <v>0</v>
      </c>
      <c r="AP69" s="461">
        <f>AH69+AJ69+AK69+AM69+AN69</f>
        <v>0</v>
      </c>
      <c r="AQ69" s="461">
        <f>AI69+AL69+AO69</f>
        <v>0</v>
      </c>
      <c r="AR69" s="463">
        <f t="shared" si="202"/>
        <v>0</v>
      </c>
      <c r="AS69" s="469">
        <f>I69+AG69</f>
        <v>673425</v>
      </c>
      <c r="AT69" s="460">
        <f>J69+V69</f>
        <v>499573</v>
      </c>
      <c r="AU69" s="460">
        <f t="shared" si="203"/>
        <v>0</v>
      </c>
      <c r="AV69" s="460">
        <f t="shared" si="204"/>
        <v>168856</v>
      </c>
      <c r="AW69" s="460">
        <f t="shared" si="204"/>
        <v>4996</v>
      </c>
      <c r="AX69" s="460">
        <f>M69+AF69</f>
        <v>0</v>
      </c>
      <c r="AY69" s="461">
        <f>N69+AR69</f>
        <v>1</v>
      </c>
      <c r="AZ69" s="461">
        <f t="shared" si="205"/>
        <v>1</v>
      </c>
      <c r="BA69" s="463">
        <f t="shared" si="205"/>
        <v>0</v>
      </c>
    </row>
    <row r="70" spans="1:53" x14ac:dyDescent="0.2">
      <c r="A70" s="211">
        <v>12</v>
      </c>
      <c r="B70" s="212">
        <v>3431</v>
      </c>
      <c r="C70" s="212">
        <v>600078370</v>
      </c>
      <c r="D70" s="212">
        <v>72744162</v>
      </c>
      <c r="E70" s="210" t="s">
        <v>107</v>
      </c>
      <c r="F70" s="212">
        <v>3143</v>
      </c>
      <c r="G70" s="213" t="s">
        <v>617</v>
      </c>
      <c r="H70" s="234" t="s">
        <v>278</v>
      </c>
      <c r="I70" s="462">
        <f t="shared" si="191"/>
        <v>21990</v>
      </c>
      <c r="J70" s="457">
        <v>15712</v>
      </c>
      <c r="K70" s="457">
        <f t="shared" si="192"/>
        <v>5311</v>
      </c>
      <c r="L70" s="457">
        <f t="shared" si="193"/>
        <v>157</v>
      </c>
      <c r="M70" s="457">
        <v>810</v>
      </c>
      <c r="N70" s="458">
        <f t="shared" si="194"/>
        <v>0.06</v>
      </c>
      <c r="O70" s="459">
        <v>0</v>
      </c>
      <c r="P70" s="468">
        <v>0.06</v>
      </c>
      <c r="Q70" s="470">
        <f t="shared" si="195"/>
        <v>0</v>
      </c>
      <c r="R70" s="460">
        <v>0</v>
      </c>
      <c r="S70" s="673">
        <v>0</v>
      </c>
      <c r="T70" s="460">
        <v>0</v>
      </c>
      <c r="U70" s="460">
        <v>0</v>
      </c>
      <c r="V70" s="460">
        <f>SUM(Q70:U70)</f>
        <v>0</v>
      </c>
      <c r="W70" s="460">
        <v>0</v>
      </c>
      <c r="X70" s="460">
        <v>0</v>
      </c>
      <c r="Y70" s="460">
        <v>0</v>
      </c>
      <c r="Z70" s="460">
        <f t="shared" si="196"/>
        <v>0</v>
      </c>
      <c r="AA70" s="460">
        <f t="shared" si="197"/>
        <v>0</v>
      </c>
      <c r="AB70" s="69">
        <f t="shared" si="198"/>
        <v>0</v>
      </c>
      <c r="AC70" s="69">
        <f t="shared" si="199"/>
        <v>0</v>
      </c>
      <c r="AD70" s="460">
        <v>0</v>
      </c>
      <c r="AE70" s="460">
        <v>0</v>
      </c>
      <c r="AF70" s="460">
        <f t="shared" si="200"/>
        <v>0</v>
      </c>
      <c r="AG70" s="460">
        <f t="shared" si="201"/>
        <v>0</v>
      </c>
      <c r="AH70" s="461">
        <v>0</v>
      </c>
      <c r="AI70" s="461">
        <v>0</v>
      </c>
      <c r="AJ70" s="461">
        <v>0</v>
      </c>
      <c r="AK70" s="461">
        <v>0</v>
      </c>
      <c r="AL70" s="674">
        <v>0</v>
      </c>
      <c r="AM70" s="461">
        <v>0</v>
      </c>
      <c r="AN70" s="461">
        <v>0</v>
      </c>
      <c r="AO70" s="461">
        <v>0</v>
      </c>
      <c r="AP70" s="461">
        <f>AH70+AJ70+AK70+AM70+AN70</f>
        <v>0</v>
      </c>
      <c r="AQ70" s="461">
        <f>AI70+AL70+AO70</f>
        <v>0</v>
      </c>
      <c r="AR70" s="463">
        <f t="shared" si="202"/>
        <v>0</v>
      </c>
      <c r="AS70" s="469">
        <f>I70+AG70</f>
        <v>21990</v>
      </c>
      <c r="AT70" s="460">
        <f>J70+V70</f>
        <v>15712</v>
      </c>
      <c r="AU70" s="460">
        <f t="shared" si="203"/>
        <v>0</v>
      </c>
      <c r="AV70" s="460">
        <f t="shared" si="204"/>
        <v>5311</v>
      </c>
      <c r="AW70" s="460">
        <f t="shared" si="204"/>
        <v>157</v>
      </c>
      <c r="AX70" s="460">
        <f>M70+AF70</f>
        <v>810</v>
      </c>
      <c r="AY70" s="461">
        <f>N70+AR70</f>
        <v>0.06</v>
      </c>
      <c r="AZ70" s="461">
        <f t="shared" si="205"/>
        <v>0</v>
      </c>
      <c r="BA70" s="463">
        <f t="shared" si="205"/>
        <v>0.06</v>
      </c>
    </row>
    <row r="71" spans="1:53" x14ac:dyDescent="0.2">
      <c r="A71" s="158">
        <v>12</v>
      </c>
      <c r="B71" s="18">
        <v>3431</v>
      </c>
      <c r="C71" s="18">
        <v>600078370</v>
      </c>
      <c r="D71" s="18">
        <v>72744162</v>
      </c>
      <c r="E71" s="167" t="s">
        <v>108</v>
      </c>
      <c r="F71" s="18"/>
      <c r="G71" s="157"/>
      <c r="H71" s="191"/>
      <c r="I71" s="504">
        <f t="shared" ref="I71:P71" si="206">SUM(I66:I70)</f>
        <v>5043754</v>
      </c>
      <c r="J71" s="500">
        <f t="shared" si="206"/>
        <v>3687930</v>
      </c>
      <c r="K71" s="500">
        <f t="shared" si="206"/>
        <v>1246521</v>
      </c>
      <c r="L71" s="500">
        <f t="shared" si="206"/>
        <v>36880</v>
      </c>
      <c r="M71" s="500">
        <f t="shared" si="206"/>
        <v>72423</v>
      </c>
      <c r="N71" s="501">
        <f t="shared" si="206"/>
        <v>7.1345000000000001</v>
      </c>
      <c r="O71" s="501">
        <f t="shared" si="206"/>
        <v>4.9544999999999995</v>
      </c>
      <c r="P71" s="506">
        <f t="shared" si="206"/>
        <v>2.1800000000000002</v>
      </c>
      <c r="Q71" s="504">
        <f t="shared" ref="Q71:BA71" si="207">SUM(Q66:Q70)</f>
        <v>-50050</v>
      </c>
      <c r="R71" s="500">
        <f t="shared" si="207"/>
        <v>866117</v>
      </c>
      <c r="S71" s="500">
        <f t="shared" si="207"/>
        <v>0</v>
      </c>
      <c r="T71" s="500">
        <f t="shared" si="207"/>
        <v>0</v>
      </c>
      <c r="U71" s="500">
        <f t="shared" si="207"/>
        <v>0</v>
      </c>
      <c r="V71" s="500">
        <f t="shared" si="207"/>
        <v>816067</v>
      </c>
      <c r="W71" s="500">
        <f t="shared" si="207"/>
        <v>50050</v>
      </c>
      <c r="X71" s="500">
        <f t="shared" si="207"/>
        <v>0</v>
      </c>
      <c r="Y71" s="500">
        <f t="shared" si="207"/>
        <v>0</v>
      </c>
      <c r="Z71" s="500">
        <f t="shared" si="207"/>
        <v>50050</v>
      </c>
      <c r="AA71" s="500">
        <f t="shared" si="207"/>
        <v>866117</v>
      </c>
      <c r="AB71" s="500">
        <f t="shared" si="207"/>
        <v>292748</v>
      </c>
      <c r="AC71" s="500">
        <f t="shared" si="207"/>
        <v>8160</v>
      </c>
      <c r="AD71" s="500">
        <f t="shared" si="207"/>
        <v>2000</v>
      </c>
      <c r="AE71" s="500">
        <f t="shared" si="207"/>
        <v>0</v>
      </c>
      <c r="AF71" s="500">
        <f t="shared" si="207"/>
        <v>2000</v>
      </c>
      <c r="AG71" s="500">
        <f t="shared" si="207"/>
        <v>1169025</v>
      </c>
      <c r="AH71" s="501">
        <f t="shared" si="207"/>
        <v>0</v>
      </c>
      <c r="AI71" s="501">
        <f t="shared" si="207"/>
        <v>-0.19</v>
      </c>
      <c r="AJ71" s="501">
        <f t="shared" si="207"/>
        <v>2.5</v>
      </c>
      <c r="AK71" s="501">
        <f t="shared" si="207"/>
        <v>0</v>
      </c>
      <c r="AL71" s="501">
        <f t="shared" si="207"/>
        <v>0</v>
      </c>
      <c r="AM71" s="501">
        <f t="shared" si="207"/>
        <v>0</v>
      </c>
      <c r="AN71" s="501">
        <f t="shared" si="207"/>
        <v>0</v>
      </c>
      <c r="AO71" s="501">
        <f t="shared" si="207"/>
        <v>0</v>
      </c>
      <c r="AP71" s="501">
        <f t="shared" si="207"/>
        <v>2.5</v>
      </c>
      <c r="AQ71" s="501">
        <f t="shared" si="207"/>
        <v>-0.19</v>
      </c>
      <c r="AR71" s="41">
        <f t="shared" si="207"/>
        <v>2.31</v>
      </c>
      <c r="AS71" s="508">
        <f t="shared" si="207"/>
        <v>6212779</v>
      </c>
      <c r="AT71" s="500">
        <f t="shared" si="207"/>
        <v>4503997</v>
      </c>
      <c r="AU71" s="500">
        <f t="shared" si="207"/>
        <v>50050</v>
      </c>
      <c r="AV71" s="500">
        <f t="shared" si="207"/>
        <v>1539269</v>
      </c>
      <c r="AW71" s="500">
        <f t="shared" si="207"/>
        <v>45040</v>
      </c>
      <c r="AX71" s="500">
        <f t="shared" si="207"/>
        <v>74423</v>
      </c>
      <c r="AY71" s="501">
        <f t="shared" si="207"/>
        <v>9.4444999999999997</v>
      </c>
      <c r="AZ71" s="501">
        <f t="shared" si="207"/>
        <v>7.4544999999999995</v>
      </c>
      <c r="BA71" s="41">
        <f t="shared" si="207"/>
        <v>1.9900000000000002</v>
      </c>
    </row>
    <row r="72" spans="1:53" x14ac:dyDescent="0.2">
      <c r="A72" s="211">
        <v>13</v>
      </c>
      <c r="B72" s="212">
        <v>3437</v>
      </c>
      <c r="C72" s="212">
        <v>600078051</v>
      </c>
      <c r="D72" s="212">
        <v>70695377</v>
      </c>
      <c r="E72" s="210" t="s">
        <v>109</v>
      </c>
      <c r="F72" s="212">
        <v>3111</v>
      </c>
      <c r="G72" s="213" t="s">
        <v>307</v>
      </c>
      <c r="H72" s="214" t="s">
        <v>277</v>
      </c>
      <c r="I72" s="462">
        <f t="shared" ref="I72:I74" si="208">SUM(J72:M72)</f>
        <v>10438071</v>
      </c>
      <c r="J72" s="457">
        <v>7704504</v>
      </c>
      <c r="K72" s="457">
        <f t="shared" ref="K72:K74" si="209">ROUND(J72*33.8%,0)</f>
        <v>2604122</v>
      </c>
      <c r="L72" s="457">
        <f t="shared" ref="L72:L74" si="210">ROUND(J72*1%,0)</f>
        <v>77045</v>
      </c>
      <c r="M72" s="457">
        <v>52400</v>
      </c>
      <c r="N72" s="458">
        <f t="shared" ref="N72:N74" si="211">O72+P72</f>
        <v>15.93</v>
      </c>
      <c r="O72" s="459">
        <v>12</v>
      </c>
      <c r="P72" s="468">
        <v>3.93</v>
      </c>
      <c r="Q72" s="470">
        <f t="shared" ref="Q72:Q74" si="212">W72*-1</f>
        <v>-19500</v>
      </c>
      <c r="R72" s="460">
        <v>0</v>
      </c>
      <c r="S72" s="673">
        <v>0</v>
      </c>
      <c r="T72" s="460">
        <v>0</v>
      </c>
      <c r="U72" s="460">
        <v>0</v>
      </c>
      <c r="V72" s="460">
        <f>SUM(Q72:U72)</f>
        <v>-19500</v>
      </c>
      <c r="W72" s="460">
        <v>19500</v>
      </c>
      <c r="X72" s="460">
        <v>0</v>
      </c>
      <c r="Y72" s="460">
        <v>0</v>
      </c>
      <c r="Z72" s="460">
        <f t="shared" ref="Z72:Z74" si="213">SUM(W72:Y72)</f>
        <v>19500</v>
      </c>
      <c r="AA72" s="460">
        <f t="shared" ref="AA72:AA74" si="214">V72+Z72</f>
        <v>0</v>
      </c>
      <c r="AB72" s="69">
        <f t="shared" ref="AB72:AB74" si="215">ROUND((V72+W72+X72)*33.8%,0)</f>
        <v>0</v>
      </c>
      <c r="AC72" s="69">
        <f t="shared" ref="AC72:AC74" si="216">ROUND(V72*1%,0)</f>
        <v>-195</v>
      </c>
      <c r="AD72" s="460">
        <v>0</v>
      </c>
      <c r="AE72" s="460">
        <v>0</v>
      </c>
      <c r="AF72" s="460">
        <f t="shared" ref="AF72:AF74" si="217">SUM(AD72:AE72)</f>
        <v>0</v>
      </c>
      <c r="AG72" s="460">
        <f t="shared" ref="AG72:AG74" si="218">AA72+AB72+AC72+AF72</f>
        <v>-195</v>
      </c>
      <c r="AH72" s="461">
        <v>0</v>
      </c>
      <c r="AI72" s="461">
        <v>0</v>
      </c>
      <c r="AJ72" s="461">
        <v>0</v>
      </c>
      <c r="AK72" s="461">
        <v>0</v>
      </c>
      <c r="AL72" s="674">
        <v>0</v>
      </c>
      <c r="AM72" s="461">
        <v>0</v>
      </c>
      <c r="AN72" s="461">
        <v>0</v>
      </c>
      <c r="AO72" s="461">
        <v>0</v>
      </c>
      <c r="AP72" s="461">
        <f>AH72+AJ72+AK72+AM72+AN72</f>
        <v>0</v>
      </c>
      <c r="AQ72" s="461">
        <f>AI72+AL72+AO72</f>
        <v>0</v>
      </c>
      <c r="AR72" s="463">
        <f t="shared" ref="AR72:AR74" si="219">SUM(AP72:AQ72)</f>
        <v>0</v>
      </c>
      <c r="AS72" s="469">
        <f>I72+AG72</f>
        <v>10437876</v>
      </c>
      <c r="AT72" s="460">
        <f>J72+V72</f>
        <v>7685004</v>
      </c>
      <c r="AU72" s="460">
        <f t="shared" ref="AU72:AU74" si="220">Z72</f>
        <v>19500</v>
      </c>
      <c r="AV72" s="460">
        <f t="shared" ref="AV72:AW74" si="221">K72+AB72</f>
        <v>2604122</v>
      </c>
      <c r="AW72" s="460">
        <f t="shared" si="221"/>
        <v>76850</v>
      </c>
      <c r="AX72" s="460">
        <f>M72+AF72</f>
        <v>52400</v>
      </c>
      <c r="AY72" s="461">
        <f>N72+AR72</f>
        <v>15.93</v>
      </c>
      <c r="AZ72" s="461">
        <f t="shared" ref="AZ72:BA74" si="222">O72+AP72</f>
        <v>12</v>
      </c>
      <c r="BA72" s="463">
        <f t="shared" si="222"/>
        <v>3.93</v>
      </c>
    </row>
    <row r="73" spans="1:53" x14ac:dyDescent="0.2">
      <c r="A73" s="211">
        <v>13</v>
      </c>
      <c r="B73" s="212">
        <v>3437</v>
      </c>
      <c r="C73" s="212">
        <v>600078051</v>
      </c>
      <c r="D73" s="212">
        <v>70695377</v>
      </c>
      <c r="E73" s="210" t="s">
        <v>109</v>
      </c>
      <c r="F73" s="212">
        <v>3111</v>
      </c>
      <c r="G73" s="213" t="s">
        <v>308</v>
      </c>
      <c r="H73" s="214" t="s">
        <v>278</v>
      </c>
      <c r="I73" s="462">
        <f t="shared" si="208"/>
        <v>0</v>
      </c>
      <c r="J73" s="457">
        <v>0</v>
      </c>
      <c r="K73" s="457">
        <f t="shared" si="209"/>
        <v>0</v>
      </c>
      <c r="L73" s="457">
        <f t="shared" si="210"/>
        <v>0</v>
      </c>
      <c r="M73" s="457">
        <v>0</v>
      </c>
      <c r="N73" s="458">
        <f t="shared" si="211"/>
        <v>0</v>
      </c>
      <c r="O73" s="459">
        <v>0</v>
      </c>
      <c r="P73" s="468">
        <v>0</v>
      </c>
      <c r="Q73" s="470">
        <f t="shared" si="212"/>
        <v>0</v>
      </c>
      <c r="R73" s="460">
        <v>399042</v>
      </c>
      <c r="S73" s="673">
        <v>0</v>
      </c>
      <c r="T73" s="460">
        <v>0</v>
      </c>
      <c r="U73" s="460">
        <v>0</v>
      </c>
      <c r="V73" s="460">
        <f>SUM(Q73:U73)</f>
        <v>399042</v>
      </c>
      <c r="W73" s="460">
        <v>0</v>
      </c>
      <c r="X73" s="460">
        <v>0</v>
      </c>
      <c r="Y73" s="460">
        <v>0</v>
      </c>
      <c r="Z73" s="460">
        <f t="shared" si="213"/>
        <v>0</v>
      </c>
      <c r="AA73" s="460">
        <f t="shared" si="214"/>
        <v>399042</v>
      </c>
      <c r="AB73" s="69">
        <f t="shared" si="215"/>
        <v>134876</v>
      </c>
      <c r="AC73" s="69">
        <f t="shared" si="216"/>
        <v>3990</v>
      </c>
      <c r="AD73" s="460">
        <v>0</v>
      </c>
      <c r="AE73" s="460">
        <v>0</v>
      </c>
      <c r="AF73" s="460">
        <f t="shared" si="217"/>
        <v>0</v>
      </c>
      <c r="AG73" s="460">
        <f t="shared" si="218"/>
        <v>537908</v>
      </c>
      <c r="AH73" s="461">
        <v>0</v>
      </c>
      <c r="AI73" s="461">
        <v>0</v>
      </c>
      <c r="AJ73" s="461">
        <v>1.39</v>
      </c>
      <c r="AK73" s="461">
        <v>0</v>
      </c>
      <c r="AL73" s="674">
        <v>0</v>
      </c>
      <c r="AM73" s="461">
        <v>0</v>
      </c>
      <c r="AN73" s="461">
        <v>0</v>
      </c>
      <c r="AO73" s="461">
        <v>0</v>
      </c>
      <c r="AP73" s="461">
        <f>AH73+AJ73+AK73+AM73+AN73</f>
        <v>1.39</v>
      </c>
      <c r="AQ73" s="461">
        <f>AI73+AL73+AO73</f>
        <v>0</v>
      </c>
      <c r="AR73" s="463">
        <f t="shared" si="219"/>
        <v>1.39</v>
      </c>
      <c r="AS73" s="469">
        <f>I73+AG73</f>
        <v>537908</v>
      </c>
      <c r="AT73" s="460">
        <f>J73+V73</f>
        <v>399042</v>
      </c>
      <c r="AU73" s="460">
        <f t="shared" si="220"/>
        <v>0</v>
      </c>
      <c r="AV73" s="460">
        <f t="shared" si="221"/>
        <v>134876</v>
      </c>
      <c r="AW73" s="460">
        <f t="shared" si="221"/>
        <v>3990</v>
      </c>
      <c r="AX73" s="460">
        <f>M73+AF73</f>
        <v>0</v>
      </c>
      <c r="AY73" s="461">
        <f>N73+AR73</f>
        <v>1.39</v>
      </c>
      <c r="AZ73" s="461">
        <f t="shared" si="222"/>
        <v>1.39</v>
      </c>
      <c r="BA73" s="463">
        <f t="shared" si="222"/>
        <v>0</v>
      </c>
    </row>
    <row r="74" spans="1:53" x14ac:dyDescent="0.2">
      <c r="A74" s="211">
        <v>13</v>
      </c>
      <c r="B74" s="212">
        <v>3437</v>
      </c>
      <c r="C74" s="212">
        <v>600078051</v>
      </c>
      <c r="D74" s="212">
        <v>70695377</v>
      </c>
      <c r="E74" s="210" t="s">
        <v>109</v>
      </c>
      <c r="F74" s="212">
        <v>3141</v>
      </c>
      <c r="G74" s="213" t="s">
        <v>311</v>
      </c>
      <c r="H74" s="214" t="s">
        <v>278</v>
      </c>
      <c r="I74" s="462">
        <f t="shared" si="208"/>
        <v>945965</v>
      </c>
      <c r="J74" s="457">
        <v>698398</v>
      </c>
      <c r="K74" s="457">
        <f t="shared" si="209"/>
        <v>236059</v>
      </c>
      <c r="L74" s="457">
        <f t="shared" si="210"/>
        <v>6984</v>
      </c>
      <c r="M74" s="457">
        <v>4524</v>
      </c>
      <c r="N74" s="458">
        <f t="shared" si="211"/>
        <v>2.2400000000000002</v>
      </c>
      <c r="O74" s="459">
        <v>0</v>
      </c>
      <c r="P74" s="468">
        <v>2.2400000000000002</v>
      </c>
      <c r="Q74" s="470">
        <f t="shared" si="212"/>
        <v>0</v>
      </c>
      <c r="R74" s="460">
        <v>0</v>
      </c>
      <c r="S74" s="673">
        <v>0</v>
      </c>
      <c r="T74" s="460">
        <v>0</v>
      </c>
      <c r="U74" s="460">
        <v>0</v>
      </c>
      <c r="V74" s="460">
        <f>SUM(Q74:U74)</f>
        <v>0</v>
      </c>
      <c r="W74" s="460">
        <v>0</v>
      </c>
      <c r="X74" s="460">
        <v>0</v>
      </c>
      <c r="Y74" s="460">
        <v>0</v>
      </c>
      <c r="Z74" s="460">
        <f t="shared" si="213"/>
        <v>0</v>
      </c>
      <c r="AA74" s="460">
        <f t="shared" si="214"/>
        <v>0</v>
      </c>
      <c r="AB74" s="69">
        <f t="shared" si="215"/>
        <v>0</v>
      </c>
      <c r="AC74" s="69">
        <f t="shared" si="216"/>
        <v>0</v>
      </c>
      <c r="AD74" s="460">
        <v>0</v>
      </c>
      <c r="AE74" s="460">
        <v>0</v>
      </c>
      <c r="AF74" s="460">
        <f t="shared" si="217"/>
        <v>0</v>
      </c>
      <c r="AG74" s="460">
        <f t="shared" si="218"/>
        <v>0</v>
      </c>
      <c r="AH74" s="461">
        <v>0</v>
      </c>
      <c r="AI74" s="461">
        <v>0</v>
      </c>
      <c r="AJ74" s="461">
        <v>0</v>
      </c>
      <c r="AK74" s="461">
        <v>0</v>
      </c>
      <c r="AL74" s="674">
        <v>0</v>
      </c>
      <c r="AM74" s="461">
        <v>0</v>
      </c>
      <c r="AN74" s="461">
        <v>0</v>
      </c>
      <c r="AO74" s="461">
        <v>0</v>
      </c>
      <c r="AP74" s="461">
        <f>AH74+AJ74+AK74+AM74+AN74</f>
        <v>0</v>
      </c>
      <c r="AQ74" s="461">
        <f>AI74+AL74+AO74</f>
        <v>0</v>
      </c>
      <c r="AR74" s="463">
        <f t="shared" si="219"/>
        <v>0</v>
      </c>
      <c r="AS74" s="469">
        <f>I74+AG74</f>
        <v>945965</v>
      </c>
      <c r="AT74" s="460">
        <f>J74+V74</f>
        <v>698398</v>
      </c>
      <c r="AU74" s="460">
        <f t="shared" si="220"/>
        <v>0</v>
      </c>
      <c r="AV74" s="460">
        <f t="shared" si="221"/>
        <v>236059</v>
      </c>
      <c r="AW74" s="460">
        <f t="shared" si="221"/>
        <v>6984</v>
      </c>
      <c r="AX74" s="460">
        <f>M74+AF74</f>
        <v>4524</v>
      </c>
      <c r="AY74" s="461">
        <f>N74+AR74</f>
        <v>2.2400000000000002</v>
      </c>
      <c r="AZ74" s="461">
        <f t="shared" si="222"/>
        <v>0</v>
      </c>
      <c r="BA74" s="463">
        <f t="shared" si="222"/>
        <v>2.2400000000000002</v>
      </c>
    </row>
    <row r="75" spans="1:53" x14ac:dyDescent="0.2">
      <c r="A75" s="158">
        <v>13</v>
      </c>
      <c r="B75" s="18">
        <v>3437</v>
      </c>
      <c r="C75" s="18">
        <v>600078051</v>
      </c>
      <c r="D75" s="18">
        <v>70695377</v>
      </c>
      <c r="E75" s="167" t="s">
        <v>110</v>
      </c>
      <c r="F75" s="18"/>
      <c r="G75" s="157"/>
      <c r="H75" s="191"/>
      <c r="I75" s="505">
        <f t="shared" ref="I75:P75" si="223">SUM(I72:I74)</f>
        <v>11384036</v>
      </c>
      <c r="J75" s="502">
        <f t="shared" si="223"/>
        <v>8402902</v>
      </c>
      <c r="K75" s="502">
        <f t="shared" si="223"/>
        <v>2840181</v>
      </c>
      <c r="L75" s="502">
        <f t="shared" si="223"/>
        <v>84029</v>
      </c>
      <c r="M75" s="502">
        <f t="shared" si="223"/>
        <v>56924</v>
      </c>
      <c r="N75" s="503">
        <f t="shared" si="223"/>
        <v>18.170000000000002</v>
      </c>
      <c r="O75" s="503">
        <f t="shared" si="223"/>
        <v>12</v>
      </c>
      <c r="P75" s="507">
        <f t="shared" si="223"/>
        <v>6.17</v>
      </c>
      <c r="Q75" s="505">
        <f t="shared" ref="Q75:BA75" si="224">SUM(Q72:Q74)</f>
        <v>-19500</v>
      </c>
      <c r="R75" s="502">
        <f t="shared" si="224"/>
        <v>399042</v>
      </c>
      <c r="S75" s="502">
        <f t="shared" si="224"/>
        <v>0</v>
      </c>
      <c r="T75" s="502">
        <f t="shared" si="224"/>
        <v>0</v>
      </c>
      <c r="U75" s="502">
        <f t="shared" si="224"/>
        <v>0</v>
      </c>
      <c r="V75" s="502">
        <f t="shared" si="224"/>
        <v>379542</v>
      </c>
      <c r="W75" s="502">
        <f t="shared" si="224"/>
        <v>19500</v>
      </c>
      <c r="X75" s="502">
        <f t="shared" si="224"/>
        <v>0</v>
      </c>
      <c r="Y75" s="502">
        <f t="shared" si="224"/>
        <v>0</v>
      </c>
      <c r="Z75" s="502">
        <f t="shared" si="224"/>
        <v>19500</v>
      </c>
      <c r="AA75" s="502">
        <f t="shared" si="224"/>
        <v>399042</v>
      </c>
      <c r="AB75" s="502">
        <f t="shared" si="224"/>
        <v>134876</v>
      </c>
      <c r="AC75" s="502">
        <f t="shared" si="224"/>
        <v>3795</v>
      </c>
      <c r="AD75" s="502">
        <f t="shared" si="224"/>
        <v>0</v>
      </c>
      <c r="AE75" s="502">
        <f t="shared" si="224"/>
        <v>0</v>
      </c>
      <c r="AF75" s="502">
        <f t="shared" si="224"/>
        <v>0</v>
      </c>
      <c r="AG75" s="502">
        <f t="shared" si="224"/>
        <v>537713</v>
      </c>
      <c r="AH75" s="503">
        <f t="shared" si="224"/>
        <v>0</v>
      </c>
      <c r="AI75" s="503">
        <f t="shared" si="224"/>
        <v>0</v>
      </c>
      <c r="AJ75" s="503">
        <f t="shared" si="224"/>
        <v>1.39</v>
      </c>
      <c r="AK75" s="503">
        <f t="shared" si="224"/>
        <v>0</v>
      </c>
      <c r="AL75" s="503">
        <f t="shared" si="224"/>
        <v>0</v>
      </c>
      <c r="AM75" s="503">
        <f t="shared" si="224"/>
        <v>0</v>
      </c>
      <c r="AN75" s="503">
        <f t="shared" si="224"/>
        <v>0</v>
      </c>
      <c r="AO75" s="503">
        <f t="shared" si="224"/>
        <v>0</v>
      </c>
      <c r="AP75" s="503">
        <f t="shared" si="224"/>
        <v>1.39</v>
      </c>
      <c r="AQ75" s="503">
        <f t="shared" si="224"/>
        <v>0</v>
      </c>
      <c r="AR75" s="40">
        <f t="shared" si="224"/>
        <v>1.39</v>
      </c>
      <c r="AS75" s="509">
        <f t="shared" si="224"/>
        <v>11921749</v>
      </c>
      <c r="AT75" s="502">
        <f t="shared" si="224"/>
        <v>8782444</v>
      </c>
      <c r="AU75" s="502">
        <f t="shared" si="224"/>
        <v>19500</v>
      </c>
      <c r="AV75" s="502">
        <f t="shared" si="224"/>
        <v>2975057</v>
      </c>
      <c r="AW75" s="502">
        <f t="shared" si="224"/>
        <v>87824</v>
      </c>
      <c r="AX75" s="502">
        <f t="shared" si="224"/>
        <v>56924</v>
      </c>
      <c r="AY75" s="503">
        <f t="shared" si="224"/>
        <v>19.560000000000002</v>
      </c>
      <c r="AZ75" s="503">
        <f t="shared" si="224"/>
        <v>13.39</v>
      </c>
      <c r="BA75" s="40">
        <f t="shared" si="224"/>
        <v>6.17</v>
      </c>
    </row>
    <row r="76" spans="1:53" x14ac:dyDescent="0.2">
      <c r="A76" s="211">
        <v>14</v>
      </c>
      <c r="B76" s="212">
        <v>3436</v>
      </c>
      <c r="C76" s="212">
        <v>600078485</v>
      </c>
      <c r="D76" s="212">
        <v>70695385</v>
      </c>
      <c r="E76" s="210" t="s">
        <v>111</v>
      </c>
      <c r="F76" s="212">
        <v>3113</v>
      </c>
      <c r="G76" s="213" t="s">
        <v>310</v>
      </c>
      <c r="H76" s="214" t="s">
        <v>277</v>
      </c>
      <c r="I76" s="462">
        <f t="shared" ref="I76:I80" si="225">SUM(J76:M76)</f>
        <v>23754826</v>
      </c>
      <c r="J76" s="457">
        <v>17260264</v>
      </c>
      <c r="K76" s="457">
        <f t="shared" ref="K76:K80" si="226">ROUND(J76*33.8%,0)</f>
        <v>5833969</v>
      </c>
      <c r="L76" s="457">
        <f t="shared" ref="L76:L80" si="227">ROUND(J76*1%,0)</f>
        <v>172603</v>
      </c>
      <c r="M76" s="457">
        <v>487990</v>
      </c>
      <c r="N76" s="458">
        <f t="shared" ref="N76:N80" si="228">O76+P76</f>
        <v>30.511800000000001</v>
      </c>
      <c r="O76" s="459">
        <v>24.181799999999999</v>
      </c>
      <c r="P76" s="468">
        <v>6.33</v>
      </c>
      <c r="Q76" s="470">
        <f t="shared" ref="Q76:Q80" si="229">W76*-1</f>
        <v>0</v>
      </c>
      <c r="R76" s="460">
        <v>0</v>
      </c>
      <c r="S76" s="673">
        <v>0</v>
      </c>
      <c r="T76" s="460">
        <v>0</v>
      </c>
      <c r="U76" s="460">
        <v>0</v>
      </c>
      <c r="V76" s="460">
        <f>SUM(Q76:U76)</f>
        <v>0</v>
      </c>
      <c r="W76" s="460">
        <v>0</v>
      </c>
      <c r="X76" s="460">
        <v>0</v>
      </c>
      <c r="Y76" s="460">
        <v>0</v>
      </c>
      <c r="Z76" s="460">
        <f t="shared" ref="Z76:Z80" si="230">SUM(W76:Y76)</f>
        <v>0</v>
      </c>
      <c r="AA76" s="460">
        <f t="shared" ref="AA76:AA80" si="231">V76+Z76</f>
        <v>0</v>
      </c>
      <c r="AB76" s="69">
        <f t="shared" ref="AB76:AB80" si="232">ROUND((V76+W76+X76)*33.8%,0)</f>
        <v>0</v>
      </c>
      <c r="AC76" s="69">
        <f t="shared" ref="AC76:AC80" si="233">ROUND(V76*1%,0)</f>
        <v>0</v>
      </c>
      <c r="AD76" s="460">
        <v>0</v>
      </c>
      <c r="AE76" s="460">
        <v>0</v>
      </c>
      <c r="AF76" s="460">
        <f t="shared" ref="AF76:AF80" si="234">SUM(AD76:AE76)</f>
        <v>0</v>
      </c>
      <c r="AG76" s="460">
        <f t="shared" ref="AG76:AG80" si="235">AA76+AB76+AC76+AF76</f>
        <v>0</v>
      </c>
      <c r="AH76" s="461">
        <v>0</v>
      </c>
      <c r="AI76" s="461">
        <v>0</v>
      </c>
      <c r="AJ76" s="461">
        <v>0</v>
      </c>
      <c r="AK76" s="461">
        <v>0</v>
      </c>
      <c r="AL76" s="674">
        <v>0</v>
      </c>
      <c r="AM76" s="461">
        <v>0</v>
      </c>
      <c r="AN76" s="461">
        <v>0</v>
      </c>
      <c r="AO76" s="461">
        <v>0</v>
      </c>
      <c r="AP76" s="461">
        <f>AH76+AJ76+AK76+AM76+AN76</f>
        <v>0</v>
      </c>
      <c r="AQ76" s="461">
        <f>AI76+AL76+AO76</f>
        <v>0</v>
      </c>
      <c r="AR76" s="463">
        <f t="shared" ref="AR76:AR80" si="236">SUM(AP76:AQ76)</f>
        <v>0</v>
      </c>
      <c r="AS76" s="469">
        <f>I76+AG76</f>
        <v>23754826</v>
      </c>
      <c r="AT76" s="460">
        <f>J76+V76</f>
        <v>17260264</v>
      </c>
      <c r="AU76" s="460">
        <f t="shared" ref="AU76:AU80" si="237">Z76</f>
        <v>0</v>
      </c>
      <c r="AV76" s="460">
        <f t="shared" ref="AV76:AW80" si="238">K76+AB76</f>
        <v>5833969</v>
      </c>
      <c r="AW76" s="460">
        <f t="shared" si="238"/>
        <v>172603</v>
      </c>
      <c r="AX76" s="460">
        <f>M76+AF76</f>
        <v>487990</v>
      </c>
      <c r="AY76" s="461">
        <f>N76+AR76</f>
        <v>30.511800000000001</v>
      </c>
      <c r="AZ76" s="461">
        <f t="shared" ref="AZ76:BA80" si="239">O76+AP76</f>
        <v>24.181799999999999</v>
      </c>
      <c r="BA76" s="463">
        <f t="shared" si="239"/>
        <v>6.33</v>
      </c>
    </row>
    <row r="77" spans="1:53" x14ac:dyDescent="0.2">
      <c r="A77" s="211">
        <v>14</v>
      </c>
      <c r="B77" s="212">
        <v>3436</v>
      </c>
      <c r="C77" s="212">
        <v>600078485</v>
      </c>
      <c r="D77" s="212">
        <v>70695385</v>
      </c>
      <c r="E77" s="210" t="s">
        <v>111</v>
      </c>
      <c r="F77" s="212">
        <v>3113</v>
      </c>
      <c r="G77" s="213" t="s">
        <v>308</v>
      </c>
      <c r="H77" s="214" t="s">
        <v>278</v>
      </c>
      <c r="I77" s="462">
        <f t="shared" si="225"/>
        <v>0</v>
      </c>
      <c r="J77" s="457">
        <v>0</v>
      </c>
      <c r="K77" s="457">
        <f t="shared" si="226"/>
        <v>0</v>
      </c>
      <c r="L77" s="457">
        <f t="shared" si="227"/>
        <v>0</v>
      </c>
      <c r="M77" s="457">
        <v>0</v>
      </c>
      <c r="N77" s="458">
        <f t="shared" si="228"/>
        <v>0</v>
      </c>
      <c r="O77" s="459">
        <v>0</v>
      </c>
      <c r="P77" s="468">
        <v>0</v>
      </c>
      <c r="Q77" s="470">
        <f t="shared" si="229"/>
        <v>0</v>
      </c>
      <c r="R77" s="460">
        <v>2088311</v>
      </c>
      <c r="S77" s="673">
        <v>0</v>
      </c>
      <c r="T77" s="460">
        <v>0</v>
      </c>
      <c r="U77" s="460">
        <v>0</v>
      </c>
      <c r="V77" s="460">
        <f>SUM(Q77:U77)</f>
        <v>2088311</v>
      </c>
      <c r="W77" s="460">
        <v>0</v>
      </c>
      <c r="X77" s="460">
        <v>0</v>
      </c>
      <c r="Y77" s="460">
        <v>0</v>
      </c>
      <c r="Z77" s="460">
        <f t="shared" si="230"/>
        <v>0</v>
      </c>
      <c r="AA77" s="460">
        <f t="shared" si="231"/>
        <v>2088311</v>
      </c>
      <c r="AB77" s="69">
        <f t="shared" si="232"/>
        <v>705849</v>
      </c>
      <c r="AC77" s="69">
        <f t="shared" si="233"/>
        <v>20883</v>
      </c>
      <c r="AD77" s="460">
        <v>1700</v>
      </c>
      <c r="AE77" s="460">
        <v>0</v>
      </c>
      <c r="AF77" s="460">
        <f t="shared" si="234"/>
        <v>1700</v>
      </c>
      <c r="AG77" s="460">
        <f t="shared" si="235"/>
        <v>2816743</v>
      </c>
      <c r="AH77" s="461">
        <v>0</v>
      </c>
      <c r="AI77" s="461">
        <v>0</v>
      </c>
      <c r="AJ77" s="461">
        <v>6.03</v>
      </c>
      <c r="AK77" s="461">
        <v>0</v>
      </c>
      <c r="AL77" s="674">
        <v>0</v>
      </c>
      <c r="AM77" s="461">
        <v>0</v>
      </c>
      <c r="AN77" s="461">
        <v>0</v>
      </c>
      <c r="AO77" s="461">
        <v>0</v>
      </c>
      <c r="AP77" s="461">
        <f>AH77+AJ77+AK77+AM77+AN77</f>
        <v>6.03</v>
      </c>
      <c r="AQ77" s="461">
        <f>AI77+AL77+AO77</f>
        <v>0</v>
      </c>
      <c r="AR77" s="463">
        <f t="shared" si="236"/>
        <v>6.03</v>
      </c>
      <c r="AS77" s="469">
        <f>I77+AG77</f>
        <v>2816743</v>
      </c>
      <c r="AT77" s="460">
        <f>J77+V77</f>
        <v>2088311</v>
      </c>
      <c r="AU77" s="460">
        <f t="shared" si="237"/>
        <v>0</v>
      </c>
      <c r="AV77" s="460">
        <f t="shared" si="238"/>
        <v>705849</v>
      </c>
      <c r="AW77" s="460">
        <f t="shared" si="238"/>
        <v>20883</v>
      </c>
      <c r="AX77" s="460">
        <f>M77+AF77</f>
        <v>1700</v>
      </c>
      <c r="AY77" s="461">
        <f>N77+AR77</f>
        <v>6.03</v>
      </c>
      <c r="AZ77" s="461">
        <f t="shared" si="239"/>
        <v>6.03</v>
      </c>
      <c r="BA77" s="463">
        <f t="shared" si="239"/>
        <v>0</v>
      </c>
    </row>
    <row r="78" spans="1:53" x14ac:dyDescent="0.2">
      <c r="A78" s="211">
        <v>14</v>
      </c>
      <c r="B78" s="212">
        <v>3436</v>
      </c>
      <c r="C78" s="212">
        <v>600078485</v>
      </c>
      <c r="D78" s="212">
        <v>70695385</v>
      </c>
      <c r="E78" s="210" t="s">
        <v>111</v>
      </c>
      <c r="F78" s="212">
        <v>3141</v>
      </c>
      <c r="G78" s="213" t="s">
        <v>311</v>
      </c>
      <c r="H78" s="214" t="s">
        <v>278</v>
      </c>
      <c r="I78" s="462">
        <f t="shared" si="225"/>
        <v>2735174</v>
      </c>
      <c r="J78" s="457">
        <v>2014556</v>
      </c>
      <c r="K78" s="457">
        <f t="shared" si="226"/>
        <v>680920</v>
      </c>
      <c r="L78" s="457">
        <f t="shared" si="227"/>
        <v>20146</v>
      </c>
      <c r="M78" s="457">
        <v>19552</v>
      </c>
      <c r="N78" s="458">
        <f t="shared" si="228"/>
        <v>6.47</v>
      </c>
      <c r="O78" s="459">
        <v>0</v>
      </c>
      <c r="P78" s="468">
        <v>6.47</v>
      </c>
      <c r="Q78" s="470">
        <f t="shared" si="229"/>
        <v>0</v>
      </c>
      <c r="R78" s="460">
        <v>0</v>
      </c>
      <c r="S78" s="673">
        <v>0</v>
      </c>
      <c r="T78" s="460">
        <v>0</v>
      </c>
      <c r="U78" s="460">
        <v>0</v>
      </c>
      <c r="V78" s="460">
        <f>SUM(Q78:U78)</f>
        <v>0</v>
      </c>
      <c r="W78" s="460">
        <v>0</v>
      </c>
      <c r="X78" s="460">
        <v>0</v>
      </c>
      <c r="Y78" s="460">
        <v>0</v>
      </c>
      <c r="Z78" s="460">
        <f t="shared" si="230"/>
        <v>0</v>
      </c>
      <c r="AA78" s="460">
        <f t="shared" si="231"/>
        <v>0</v>
      </c>
      <c r="AB78" s="69">
        <f t="shared" si="232"/>
        <v>0</v>
      </c>
      <c r="AC78" s="69">
        <f t="shared" si="233"/>
        <v>0</v>
      </c>
      <c r="AD78" s="460">
        <v>0</v>
      </c>
      <c r="AE78" s="460">
        <v>0</v>
      </c>
      <c r="AF78" s="460">
        <f t="shared" si="234"/>
        <v>0</v>
      </c>
      <c r="AG78" s="460">
        <f t="shared" si="235"/>
        <v>0</v>
      </c>
      <c r="AH78" s="461">
        <v>0</v>
      </c>
      <c r="AI78" s="461">
        <v>0</v>
      </c>
      <c r="AJ78" s="461">
        <v>0</v>
      </c>
      <c r="AK78" s="461">
        <v>0</v>
      </c>
      <c r="AL78" s="674">
        <v>0</v>
      </c>
      <c r="AM78" s="461">
        <v>0</v>
      </c>
      <c r="AN78" s="461">
        <v>0</v>
      </c>
      <c r="AO78" s="461">
        <v>0</v>
      </c>
      <c r="AP78" s="461">
        <f>AH78+AJ78+AK78+AM78+AN78</f>
        <v>0</v>
      </c>
      <c r="AQ78" s="461">
        <f>AI78+AL78+AO78</f>
        <v>0</v>
      </c>
      <c r="AR78" s="463">
        <f t="shared" si="236"/>
        <v>0</v>
      </c>
      <c r="AS78" s="469">
        <f>I78+AG78</f>
        <v>2735174</v>
      </c>
      <c r="AT78" s="460">
        <f>J78+V78</f>
        <v>2014556</v>
      </c>
      <c r="AU78" s="460">
        <f t="shared" si="237"/>
        <v>0</v>
      </c>
      <c r="AV78" s="460">
        <f t="shared" si="238"/>
        <v>680920</v>
      </c>
      <c r="AW78" s="460">
        <f t="shared" si="238"/>
        <v>20146</v>
      </c>
      <c r="AX78" s="460">
        <f>M78+AF78</f>
        <v>19552</v>
      </c>
      <c r="AY78" s="461">
        <f>N78+AR78</f>
        <v>6.47</v>
      </c>
      <c r="AZ78" s="461">
        <f t="shared" si="239"/>
        <v>0</v>
      </c>
      <c r="BA78" s="463">
        <f t="shared" si="239"/>
        <v>6.47</v>
      </c>
    </row>
    <row r="79" spans="1:53" x14ac:dyDescent="0.2">
      <c r="A79" s="211">
        <v>14</v>
      </c>
      <c r="B79" s="212">
        <v>3436</v>
      </c>
      <c r="C79" s="212">
        <v>600078485</v>
      </c>
      <c r="D79" s="212">
        <v>70695385</v>
      </c>
      <c r="E79" s="210" t="s">
        <v>111</v>
      </c>
      <c r="F79" s="212">
        <v>3143</v>
      </c>
      <c r="G79" s="213" t="s">
        <v>616</v>
      </c>
      <c r="H79" s="234" t="s">
        <v>277</v>
      </c>
      <c r="I79" s="462">
        <f t="shared" si="225"/>
        <v>2014486</v>
      </c>
      <c r="J79" s="457">
        <v>1494426</v>
      </c>
      <c r="K79" s="457">
        <f t="shared" si="226"/>
        <v>505116</v>
      </c>
      <c r="L79" s="457">
        <f t="shared" si="227"/>
        <v>14944</v>
      </c>
      <c r="M79" s="457">
        <v>0</v>
      </c>
      <c r="N79" s="458">
        <f t="shared" si="228"/>
        <v>2.9910999999999999</v>
      </c>
      <c r="O79" s="459">
        <v>2.9910999999999999</v>
      </c>
      <c r="P79" s="468">
        <v>0</v>
      </c>
      <c r="Q79" s="470">
        <f t="shared" si="229"/>
        <v>0</v>
      </c>
      <c r="R79" s="460">
        <v>0</v>
      </c>
      <c r="S79" s="673">
        <v>0</v>
      </c>
      <c r="T79" s="460">
        <v>0</v>
      </c>
      <c r="U79" s="460">
        <v>0</v>
      </c>
      <c r="V79" s="460">
        <f>SUM(Q79:U79)</f>
        <v>0</v>
      </c>
      <c r="W79" s="460">
        <v>0</v>
      </c>
      <c r="X79" s="460">
        <v>0</v>
      </c>
      <c r="Y79" s="460">
        <v>0</v>
      </c>
      <c r="Z79" s="460">
        <f t="shared" si="230"/>
        <v>0</v>
      </c>
      <c r="AA79" s="460">
        <f t="shared" si="231"/>
        <v>0</v>
      </c>
      <c r="AB79" s="69">
        <f t="shared" si="232"/>
        <v>0</v>
      </c>
      <c r="AC79" s="69">
        <f t="shared" si="233"/>
        <v>0</v>
      </c>
      <c r="AD79" s="460">
        <v>0</v>
      </c>
      <c r="AE79" s="460">
        <v>0</v>
      </c>
      <c r="AF79" s="460">
        <f t="shared" si="234"/>
        <v>0</v>
      </c>
      <c r="AG79" s="460">
        <f t="shared" si="235"/>
        <v>0</v>
      </c>
      <c r="AH79" s="461">
        <v>0</v>
      </c>
      <c r="AI79" s="461">
        <v>0</v>
      </c>
      <c r="AJ79" s="461">
        <v>0</v>
      </c>
      <c r="AK79" s="461">
        <v>0</v>
      </c>
      <c r="AL79" s="674">
        <v>0</v>
      </c>
      <c r="AM79" s="461">
        <v>0</v>
      </c>
      <c r="AN79" s="461">
        <v>0</v>
      </c>
      <c r="AO79" s="461">
        <v>0</v>
      </c>
      <c r="AP79" s="461">
        <f>AH79+AJ79+AK79+AM79+AN79</f>
        <v>0</v>
      </c>
      <c r="AQ79" s="461">
        <f>AI79+AL79+AO79</f>
        <v>0</v>
      </c>
      <c r="AR79" s="463">
        <f t="shared" si="236"/>
        <v>0</v>
      </c>
      <c r="AS79" s="469">
        <f>I79+AG79</f>
        <v>2014486</v>
      </c>
      <c r="AT79" s="460">
        <f>J79+V79</f>
        <v>1494426</v>
      </c>
      <c r="AU79" s="460">
        <f t="shared" si="237"/>
        <v>0</v>
      </c>
      <c r="AV79" s="460">
        <f t="shared" si="238"/>
        <v>505116</v>
      </c>
      <c r="AW79" s="460">
        <f t="shared" si="238"/>
        <v>14944</v>
      </c>
      <c r="AX79" s="460">
        <f>M79+AF79</f>
        <v>0</v>
      </c>
      <c r="AY79" s="461">
        <f>N79+AR79</f>
        <v>2.9910999999999999</v>
      </c>
      <c r="AZ79" s="461">
        <f t="shared" si="239"/>
        <v>2.9910999999999999</v>
      </c>
      <c r="BA79" s="463">
        <f t="shared" si="239"/>
        <v>0</v>
      </c>
    </row>
    <row r="80" spans="1:53" x14ac:dyDescent="0.2">
      <c r="A80" s="211">
        <v>14</v>
      </c>
      <c r="B80" s="212">
        <v>3436</v>
      </c>
      <c r="C80" s="212">
        <v>600078485</v>
      </c>
      <c r="D80" s="212">
        <v>70695385</v>
      </c>
      <c r="E80" s="210" t="s">
        <v>111</v>
      </c>
      <c r="F80" s="212">
        <v>3143</v>
      </c>
      <c r="G80" s="213" t="s">
        <v>617</v>
      </c>
      <c r="H80" s="234" t="s">
        <v>278</v>
      </c>
      <c r="I80" s="462">
        <f t="shared" si="225"/>
        <v>79165</v>
      </c>
      <c r="J80" s="457">
        <v>56564</v>
      </c>
      <c r="K80" s="457">
        <f t="shared" si="226"/>
        <v>19119</v>
      </c>
      <c r="L80" s="457">
        <f t="shared" si="227"/>
        <v>566</v>
      </c>
      <c r="M80" s="457">
        <v>2916</v>
      </c>
      <c r="N80" s="458">
        <f t="shared" si="228"/>
        <v>0.23</v>
      </c>
      <c r="O80" s="459">
        <v>0</v>
      </c>
      <c r="P80" s="468">
        <v>0.23</v>
      </c>
      <c r="Q80" s="470">
        <f t="shared" si="229"/>
        <v>0</v>
      </c>
      <c r="R80" s="460">
        <v>0</v>
      </c>
      <c r="S80" s="673">
        <v>0</v>
      </c>
      <c r="T80" s="460">
        <v>0</v>
      </c>
      <c r="U80" s="460">
        <v>0</v>
      </c>
      <c r="V80" s="460">
        <f>SUM(Q80:U80)</f>
        <v>0</v>
      </c>
      <c r="W80" s="460">
        <v>0</v>
      </c>
      <c r="X80" s="460">
        <v>0</v>
      </c>
      <c r="Y80" s="460">
        <v>0</v>
      </c>
      <c r="Z80" s="460">
        <f t="shared" si="230"/>
        <v>0</v>
      </c>
      <c r="AA80" s="460">
        <f t="shared" si="231"/>
        <v>0</v>
      </c>
      <c r="AB80" s="69">
        <f t="shared" si="232"/>
        <v>0</v>
      </c>
      <c r="AC80" s="69">
        <f t="shared" si="233"/>
        <v>0</v>
      </c>
      <c r="AD80" s="460">
        <v>0</v>
      </c>
      <c r="AE80" s="460">
        <v>0</v>
      </c>
      <c r="AF80" s="460">
        <f t="shared" si="234"/>
        <v>0</v>
      </c>
      <c r="AG80" s="460">
        <f t="shared" si="235"/>
        <v>0</v>
      </c>
      <c r="AH80" s="461">
        <v>0</v>
      </c>
      <c r="AI80" s="461">
        <v>0</v>
      </c>
      <c r="AJ80" s="461">
        <v>0</v>
      </c>
      <c r="AK80" s="461">
        <v>0</v>
      </c>
      <c r="AL80" s="674">
        <v>0</v>
      </c>
      <c r="AM80" s="461">
        <v>0</v>
      </c>
      <c r="AN80" s="461">
        <v>0</v>
      </c>
      <c r="AO80" s="461">
        <v>0</v>
      </c>
      <c r="AP80" s="461">
        <f>AH80+AJ80+AK80+AM80+AN80</f>
        <v>0</v>
      </c>
      <c r="AQ80" s="461">
        <f>AI80+AL80+AO80</f>
        <v>0</v>
      </c>
      <c r="AR80" s="463">
        <f t="shared" si="236"/>
        <v>0</v>
      </c>
      <c r="AS80" s="469">
        <f>I80+AG80</f>
        <v>79165</v>
      </c>
      <c r="AT80" s="460">
        <f>J80+V80</f>
        <v>56564</v>
      </c>
      <c r="AU80" s="460">
        <f t="shared" si="237"/>
        <v>0</v>
      </c>
      <c r="AV80" s="460">
        <f t="shared" si="238"/>
        <v>19119</v>
      </c>
      <c r="AW80" s="460">
        <f t="shared" si="238"/>
        <v>566</v>
      </c>
      <c r="AX80" s="460">
        <f>M80+AF80</f>
        <v>2916</v>
      </c>
      <c r="AY80" s="461">
        <f>N80+AR80</f>
        <v>0.23</v>
      </c>
      <c r="AZ80" s="461">
        <f t="shared" si="239"/>
        <v>0</v>
      </c>
      <c r="BA80" s="463">
        <f t="shared" si="239"/>
        <v>0.23</v>
      </c>
    </row>
    <row r="81" spans="1:53" x14ac:dyDescent="0.2">
      <c r="A81" s="158">
        <v>14</v>
      </c>
      <c r="B81" s="18">
        <v>3436</v>
      </c>
      <c r="C81" s="18">
        <v>600078485</v>
      </c>
      <c r="D81" s="18">
        <v>70695385</v>
      </c>
      <c r="E81" s="167" t="s">
        <v>112</v>
      </c>
      <c r="F81" s="18"/>
      <c r="G81" s="157"/>
      <c r="H81" s="191"/>
      <c r="I81" s="504">
        <f t="shared" ref="I81:P81" si="240">SUM(I76:I80)</f>
        <v>28583651</v>
      </c>
      <c r="J81" s="500">
        <f t="shared" si="240"/>
        <v>20825810</v>
      </c>
      <c r="K81" s="500">
        <f t="shared" si="240"/>
        <v>7039124</v>
      </c>
      <c r="L81" s="500">
        <f t="shared" si="240"/>
        <v>208259</v>
      </c>
      <c r="M81" s="500">
        <f t="shared" si="240"/>
        <v>510458</v>
      </c>
      <c r="N81" s="501">
        <f t="shared" si="240"/>
        <v>40.2029</v>
      </c>
      <c r="O81" s="501">
        <f t="shared" si="240"/>
        <v>27.172899999999998</v>
      </c>
      <c r="P81" s="506">
        <f t="shared" si="240"/>
        <v>13.030000000000001</v>
      </c>
      <c r="Q81" s="504">
        <f t="shared" ref="Q81:BA81" si="241">SUM(Q76:Q80)</f>
        <v>0</v>
      </c>
      <c r="R81" s="500">
        <f t="shared" si="241"/>
        <v>2088311</v>
      </c>
      <c r="S81" s="500">
        <f t="shared" si="241"/>
        <v>0</v>
      </c>
      <c r="T81" s="500">
        <f t="shared" si="241"/>
        <v>0</v>
      </c>
      <c r="U81" s="500">
        <f t="shared" si="241"/>
        <v>0</v>
      </c>
      <c r="V81" s="500">
        <f t="shared" si="241"/>
        <v>2088311</v>
      </c>
      <c r="W81" s="500">
        <f t="shared" si="241"/>
        <v>0</v>
      </c>
      <c r="X81" s="500">
        <f t="shared" si="241"/>
        <v>0</v>
      </c>
      <c r="Y81" s="500">
        <f t="shared" si="241"/>
        <v>0</v>
      </c>
      <c r="Z81" s="500">
        <f t="shared" si="241"/>
        <v>0</v>
      </c>
      <c r="AA81" s="500">
        <f t="shared" si="241"/>
        <v>2088311</v>
      </c>
      <c r="AB81" s="500">
        <f t="shared" si="241"/>
        <v>705849</v>
      </c>
      <c r="AC81" s="500">
        <f t="shared" si="241"/>
        <v>20883</v>
      </c>
      <c r="AD81" s="500">
        <f t="shared" si="241"/>
        <v>1700</v>
      </c>
      <c r="AE81" s="500">
        <f t="shared" si="241"/>
        <v>0</v>
      </c>
      <c r="AF81" s="500">
        <f t="shared" si="241"/>
        <v>1700</v>
      </c>
      <c r="AG81" s="500">
        <f t="shared" si="241"/>
        <v>2816743</v>
      </c>
      <c r="AH81" s="501">
        <f t="shared" si="241"/>
        <v>0</v>
      </c>
      <c r="AI81" s="501">
        <f t="shared" si="241"/>
        <v>0</v>
      </c>
      <c r="AJ81" s="501">
        <f t="shared" si="241"/>
        <v>6.03</v>
      </c>
      <c r="AK81" s="501">
        <f t="shared" si="241"/>
        <v>0</v>
      </c>
      <c r="AL81" s="501">
        <f t="shared" si="241"/>
        <v>0</v>
      </c>
      <c r="AM81" s="501">
        <f t="shared" si="241"/>
        <v>0</v>
      </c>
      <c r="AN81" s="501">
        <f t="shared" si="241"/>
        <v>0</v>
      </c>
      <c r="AO81" s="501">
        <f t="shared" si="241"/>
        <v>0</v>
      </c>
      <c r="AP81" s="501">
        <f t="shared" si="241"/>
        <v>6.03</v>
      </c>
      <c r="AQ81" s="501">
        <f t="shared" si="241"/>
        <v>0</v>
      </c>
      <c r="AR81" s="41">
        <f t="shared" si="241"/>
        <v>6.03</v>
      </c>
      <c r="AS81" s="508">
        <f t="shared" si="241"/>
        <v>31400394</v>
      </c>
      <c r="AT81" s="500">
        <f t="shared" si="241"/>
        <v>22914121</v>
      </c>
      <c r="AU81" s="500">
        <f t="shared" si="241"/>
        <v>0</v>
      </c>
      <c r="AV81" s="500">
        <f t="shared" si="241"/>
        <v>7744973</v>
      </c>
      <c r="AW81" s="500">
        <f t="shared" si="241"/>
        <v>229142</v>
      </c>
      <c r="AX81" s="500">
        <f t="shared" si="241"/>
        <v>512158</v>
      </c>
      <c r="AY81" s="501">
        <f t="shared" si="241"/>
        <v>46.232900000000001</v>
      </c>
      <c r="AZ81" s="501">
        <f t="shared" si="241"/>
        <v>33.2029</v>
      </c>
      <c r="BA81" s="41">
        <f t="shared" si="241"/>
        <v>13.030000000000001</v>
      </c>
    </row>
    <row r="82" spans="1:53" x14ac:dyDescent="0.2">
      <c r="A82" s="211">
        <v>15</v>
      </c>
      <c r="B82" s="212">
        <v>3442</v>
      </c>
      <c r="C82" s="212">
        <v>600078205</v>
      </c>
      <c r="D82" s="212">
        <v>72743638</v>
      </c>
      <c r="E82" s="210" t="s">
        <v>113</v>
      </c>
      <c r="F82" s="212">
        <v>3111</v>
      </c>
      <c r="G82" s="213" t="s">
        <v>307</v>
      </c>
      <c r="H82" s="214" t="s">
        <v>277</v>
      </c>
      <c r="I82" s="462">
        <f t="shared" ref="I82:I84" si="242">SUM(J82:M82)</f>
        <v>7143856</v>
      </c>
      <c r="J82" s="457">
        <v>5266807</v>
      </c>
      <c r="K82" s="457">
        <f t="shared" ref="K82:K84" si="243">ROUND(J82*33.8%,0)</f>
        <v>1780181</v>
      </c>
      <c r="L82" s="457">
        <f t="shared" ref="L82:L84" si="244">ROUND(J82*1%,0)</f>
        <v>52668</v>
      </c>
      <c r="M82" s="457">
        <v>44200</v>
      </c>
      <c r="N82" s="458">
        <f t="shared" ref="N82:N84" si="245">O82+P82</f>
        <v>10.7226</v>
      </c>
      <c r="O82" s="459">
        <v>8.3225999999999996</v>
      </c>
      <c r="P82" s="468">
        <v>2.4000000000000004</v>
      </c>
      <c r="Q82" s="470">
        <f t="shared" ref="Q82:Q84" si="246">W82*-1</f>
        <v>-78000</v>
      </c>
      <c r="R82" s="460">
        <v>0</v>
      </c>
      <c r="S82" s="673">
        <v>0</v>
      </c>
      <c r="T82" s="460">
        <v>0</v>
      </c>
      <c r="U82" s="460">
        <v>0</v>
      </c>
      <c r="V82" s="460">
        <f>SUM(Q82:U82)</f>
        <v>-78000</v>
      </c>
      <c r="W82" s="460">
        <v>78000</v>
      </c>
      <c r="X82" s="460">
        <v>0</v>
      </c>
      <c r="Y82" s="460">
        <v>0</v>
      </c>
      <c r="Z82" s="460">
        <f t="shared" ref="Z82:Z84" si="247">SUM(W82:Y82)</f>
        <v>78000</v>
      </c>
      <c r="AA82" s="460">
        <f t="shared" ref="AA82:AA84" si="248">V82+Z82</f>
        <v>0</v>
      </c>
      <c r="AB82" s="69">
        <f t="shared" ref="AB82:AB84" si="249">ROUND((V82+W82+X82)*33.8%,0)</f>
        <v>0</v>
      </c>
      <c r="AC82" s="69">
        <f t="shared" ref="AC82:AC84" si="250">ROUND(V82*1%,0)</f>
        <v>-780</v>
      </c>
      <c r="AD82" s="460">
        <v>0</v>
      </c>
      <c r="AE82" s="460">
        <v>0</v>
      </c>
      <c r="AF82" s="460">
        <f t="shared" ref="AF82:AF84" si="251">SUM(AD82:AE82)</f>
        <v>0</v>
      </c>
      <c r="AG82" s="460">
        <f t="shared" ref="AG82:AG84" si="252">AA82+AB82+AC82+AF82</f>
        <v>-780</v>
      </c>
      <c r="AH82" s="461">
        <v>0</v>
      </c>
      <c r="AI82" s="461">
        <v>-0.33</v>
      </c>
      <c r="AJ82" s="461">
        <v>0</v>
      </c>
      <c r="AK82" s="461">
        <v>0</v>
      </c>
      <c r="AL82" s="674">
        <v>0</v>
      </c>
      <c r="AM82" s="461">
        <v>0</v>
      </c>
      <c r="AN82" s="461">
        <v>0</v>
      </c>
      <c r="AO82" s="461">
        <v>0</v>
      </c>
      <c r="AP82" s="461">
        <f>AH82+AJ82+AK82+AM82+AN82</f>
        <v>0</v>
      </c>
      <c r="AQ82" s="461">
        <f>AI82+AL82+AO82</f>
        <v>-0.33</v>
      </c>
      <c r="AR82" s="463">
        <f t="shared" ref="AR82:AR84" si="253">SUM(AP82:AQ82)</f>
        <v>-0.33</v>
      </c>
      <c r="AS82" s="469">
        <f>I82+AG82</f>
        <v>7143076</v>
      </c>
      <c r="AT82" s="460">
        <f>J82+V82</f>
        <v>5188807</v>
      </c>
      <c r="AU82" s="460">
        <f t="shared" ref="AU82:AU84" si="254">Z82</f>
        <v>78000</v>
      </c>
      <c r="AV82" s="460">
        <f t="shared" ref="AV82:AW84" si="255">K82+AB82</f>
        <v>1780181</v>
      </c>
      <c r="AW82" s="460">
        <f t="shared" si="255"/>
        <v>51888</v>
      </c>
      <c r="AX82" s="460">
        <f>M82+AF82</f>
        <v>44200</v>
      </c>
      <c r="AY82" s="461">
        <f>N82+AR82</f>
        <v>10.3926</v>
      </c>
      <c r="AZ82" s="461">
        <f t="shared" ref="AZ82:BA84" si="256">O82+AP82</f>
        <v>8.3225999999999996</v>
      </c>
      <c r="BA82" s="463">
        <f t="shared" si="256"/>
        <v>2.0700000000000003</v>
      </c>
    </row>
    <row r="83" spans="1:53" x14ac:dyDescent="0.2">
      <c r="A83" s="211">
        <v>15</v>
      </c>
      <c r="B83" s="212">
        <v>3442</v>
      </c>
      <c r="C83" s="212">
        <v>600078205</v>
      </c>
      <c r="D83" s="212">
        <v>72743638</v>
      </c>
      <c r="E83" s="210" t="s">
        <v>113</v>
      </c>
      <c r="F83" s="212">
        <v>3111</v>
      </c>
      <c r="G83" s="213" t="s">
        <v>308</v>
      </c>
      <c r="H83" s="214" t="s">
        <v>278</v>
      </c>
      <c r="I83" s="462">
        <f t="shared" si="242"/>
        <v>0</v>
      </c>
      <c r="J83" s="457">
        <v>0</v>
      </c>
      <c r="K83" s="457">
        <f t="shared" si="243"/>
        <v>0</v>
      </c>
      <c r="L83" s="457">
        <f t="shared" si="244"/>
        <v>0</v>
      </c>
      <c r="M83" s="457">
        <v>0</v>
      </c>
      <c r="N83" s="458">
        <f t="shared" si="245"/>
        <v>0</v>
      </c>
      <c r="O83" s="459">
        <v>0</v>
      </c>
      <c r="P83" s="468">
        <v>0</v>
      </c>
      <c r="Q83" s="470">
        <f t="shared" si="246"/>
        <v>0</v>
      </c>
      <c r="R83" s="460">
        <f>727512+158788</f>
        <v>886300</v>
      </c>
      <c r="S83" s="673">
        <v>0</v>
      </c>
      <c r="T83" s="460">
        <v>0</v>
      </c>
      <c r="U83" s="460">
        <v>0</v>
      </c>
      <c r="V83" s="460">
        <f>SUM(Q83:U83)</f>
        <v>886300</v>
      </c>
      <c r="W83" s="460">
        <v>0</v>
      </c>
      <c r="X83" s="460">
        <v>0</v>
      </c>
      <c r="Y83" s="460">
        <v>0</v>
      </c>
      <c r="Z83" s="460">
        <f t="shared" si="247"/>
        <v>0</v>
      </c>
      <c r="AA83" s="460">
        <f t="shared" si="248"/>
        <v>886300</v>
      </c>
      <c r="AB83" s="69">
        <f t="shared" si="249"/>
        <v>299569</v>
      </c>
      <c r="AC83" s="69">
        <f t="shared" si="250"/>
        <v>8863</v>
      </c>
      <c r="AD83" s="460">
        <v>0</v>
      </c>
      <c r="AE83" s="460">
        <v>0</v>
      </c>
      <c r="AF83" s="460">
        <f t="shared" si="251"/>
        <v>0</v>
      </c>
      <c r="AG83" s="460">
        <f t="shared" si="252"/>
        <v>1194732</v>
      </c>
      <c r="AH83" s="461">
        <v>0</v>
      </c>
      <c r="AI83" s="461">
        <v>0</v>
      </c>
      <c r="AJ83" s="461">
        <f>2.5+0.46</f>
        <v>2.96</v>
      </c>
      <c r="AK83" s="461">
        <v>0</v>
      </c>
      <c r="AL83" s="674">
        <v>0</v>
      </c>
      <c r="AM83" s="461">
        <v>0</v>
      </c>
      <c r="AN83" s="461">
        <v>0</v>
      </c>
      <c r="AO83" s="461">
        <v>0</v>
      </c>
      <c r="AP83" s="461">
        <f>AH83+AJ83+AK83+AM83+AN83</f>
        <v>2.96</v>
      </c>
      <c r="AQ83" s="461">
        <f>AI83+AL83+AO83</f>
        <v>0</v>
      </c>
      <c r="AR83" s="463">
        <f t="shared" si="253"/>
        <v>2.96</v>
      </c>
      <c r="AS83" s="469">
        <f>I83+AG83</f>
        <v>1194732</v>
      </c>
      <c r="AT83" s="460">
        <f>J83+V83</f>
        <v>886300</v>
      </c>
      <c r="AU83" s="460">
        <f t="shared" si="254"/>
        <v>0</v>
      </c>
      <c r="AV83" s="460">
        <f t="shared" si="255"/>
        <v>299569</v>
      </c>
      <c r="AW83" s="460">
        <f t="shared" si="255"/>
        <v>8863</v>
      </c>
      <c r="AX83" s="460">
        <f>M83+AF83</f>
        <v>0</v>
      </c>
      <c r="AY83" s="461">
        <f>N83+AR83</f>
        <v>2.96</v>
      </c>
      <c r="AZ83" s="461">
        <f t="shared" si="256"/>
        <v>2.96</v>
      </c>
      <c r="BA83" s="463">
        <f t="shared" si="256"/>
        <v>0</v>
      </c>
    </row>
    <row r="84" spans="1:53" s="3" customFormat="1" x14ac:dyDescent="0.2">
      <c r="A84" s="211">
        <v>15</v>
      </c>
      <c r="B84" s="212">
        <v>3442</v>
      </c>
      <c r="C84" s="212">
        <v>600078205</v>
      </c>
      <c r="D84" s="212">
        <v>72743638</v>
      </c>
      <c r="E84" s="210" t="s">
        <v>114</v>
      </c>
      <c r="F84" s="212">
        <v>3141</v>
      </c>
      <c r="G84" s="213" t="s">
        <v>311</v>
      </c>
      <c r="H84" s="214" t="s">
        <v>278</v>
      </c>
      <c r="I84" s="462">
        <f t="shared" si="242"/>
        <v>953525</v>
      </c>
      <c r="J84" s="457">
        <v>703968</v>
      </c>
      <c r="K84" s="457">
        <f t="shared" si="243"/>
        <v>237941</v>
      </c>
      <c r="L84" s="457">
        <f t="shared" si="244"/>
        <v>7040</v>
      </c>
      <c r="M84" s="457">
        <v>4576</v>
      </c>
      <c r="N84" s="458">
        <f t="shared" si="245"/>
        <v>2.2599999999999998</v>
      </c>
      <c r="O84" s="459">
        <v>0</v>
      </c>
      <c r="P84" s="468">
        <v>2.2599999999999998</v>
      </c>
      <c r="Q84" s="470">
        <f t="shared" si="246"/>
        <v>0</v>
      </c>
      <c r="R84" s="460">
        <v>0</v>
      </c>
      <c r="S84" s="673">
        <v>0</v>
      </c>
      <c r="T84" s="460">
        <v>0</v>
      </c>
      <c r="U84" s="460">
        <v>0</v>
      </c>
      <c r="V84" s="460">
        <f>SUM(Q84:U84)</f>
        <v>0</v>
      </c>
      <c r="W84" s="460">
        <v>0</v>
      </c>
      <c r="X84" s="460">
        <v>0</v>
      </c>
      <c r="Y84" s="460">
        <v>0</v>
      </c>
      <c r="Z84" s="460">
        <f t="shared" si="247"/>
        <v>0</v>
      </c>
      <c r="AA84" s="460">
        <f t="shared" si="248"/>
        <v>0</v>
      </c>
      <c r="AB84" s="69">
        <f t="shared" si="249"/>
        <v>0</v>
      </c>
      <c r="AC84" s="69">
        <f t="shared" si="250"/>
        <v>0</v>
      </c>
      <c r="AD84" s="460">
        <v>0</v>
      </c>
      <c r="AE84" s="460">
        <v>0</v>
      </c>
      <c r="AF84" s="460">
        <f t="shared" si="251"/>
        <v>0</v>
      </c>
      <c r="AG84" s="460">
        <f t="shared" si="252"/>
        <v>0</v>
      </c>
      <c r="AH84" s="461">
        <v>0</v>
      </c>
      <c r="AI84" s="461">
        <v>0</v>
      </c>
      <c r="AJ84" s="461">
        <v>0</v>
      </c>
      <c r="AK84" s="461">
        <v>0</v>
      </c>
      <c r="AL84" s="674">
        <v>0</v>
      </c>
      <c r="AM84" s="461">
        <v>0</v>
      </c>
      <c r="AN84" s="461">
        <v>0</v>
      </c>
      <c r="AO84" s="461">
        <v>0</v>
      </c>
      <c r="AP84" s="461">
        <f>AH84+AJ84+AK84+AM84+AN84</f>
        <v>0</v>
      </c>
      <c r="AQ84" s="461">
        <f>AI84+AL84+AO84</f>
        <v>0</v>
      </c>
      <c r="AR84" s="463">
        <f t="shared" si="253"/>
        <v>0</v>
      </c>
      <c r="AS84" s="469">
        <f>I84+AG84</f>
        <v>953525</v>
      </c>
      <c r="AT84" s="460">
        <f>J84+V84</f>
        <v>703968</v>
      </c>
      <c r="AU84" s="460">
        <f t="shared" si="254"/>
        <v>0</v>
      </c>
      <c r="AV84" s="460">
        <f t="shared" si="255"/>
        <v>237941</v>
      </c>
      <c r="AW84" s="460">
        <f t="shared" si="255"/>
        <v>7040</v>
      </c>
      <c r="AX84" s="460">
        <f>M84+AF84</f>
        <v>4576</v>
      </c>
      <c r="AY84" s="461">
        <f>N84+AR84</f>
        <v>2.2599999999999998</v>
      </c>
      <c r="AZ84" s="461">
        <f t="shared" si="256"/>
        <v>0</v>
      </c>
      <c r="BA84" s="463">
        <f t="shared" si="256"/>
        <v>2.2599999999999998</v>
      </c>
    </row>
    <row r="85" spans="1:53" x14ac:dyDescent="0.2">
      <c r="A85" s="158">
        <v>15</v>
      </c>
      <c r="B85" s="18">
        <v>3442</v>
      </c>
      <c r="C85" s="18">
        <v>600078205</v>
      </c>
      <c r="D85" s="18">
        <v>72743638</v>
      </c>
      <c r="E85" s="167" t="s">
        <v>115</v>
      </c>
      <c r="F85" s="18"/>
      <c r="G85" s="157"/>
      <c r="H85" s="191"/>
      <c r="I85" s="505">
        <f t="shared" ref="I85:P85" si="257">SUM(I82:I84)</f>
        <v>8097381</v>
      </c>
      <c r="J85" s="502">
        <f t="shared" si="257"/>
        <v>5970775</v>
      </c>
      <c r="K85" s="502">
        <f t="shared" si="257"/>
        <v>2018122</v>
      </c>
      <c r="L85" s="502">
        <f t="shared" si="257"/>
        <v>59708</v>
      </c>
      <c r="M85" s="502">
        <f t="shared" si="257"/>
        <v>48776</v>
      </c>
      <c r="N85" s="503">
        <f t="shared" si="257"/>
        <v>12.9826</v>
      </c>
      <c r="O85" s="503">
        <f t="shared" si="257"/>
        <v>8.3225999999999996</v>
      </c>
      <c r="P85" s="507">
        <f t="shared" si="257"/>
        <v>4.66</v>
      </c>
      <c r="Q85" s="505">
        <f t="shared" ref="Q85:BA85" si="258">SUM(Q82:Q84)</f>
        <v>-78000</v>
      </c>
      <c r="R85" s="502">
        <f t="shared" si="258"/>
        <v>886300</v>
      </c>
      <c r="S85" s="502">
        <f t="shared" si="258"/>
        <v>0</v>
      </c>
      <c r="T85" s="502">
        <f t="shared" si="258"/>
        <v>0</v>
      </c>
      <c r="U85" s="502">
        <f t="shared" si="258"/>
        <v>0</v>
      </c>
      <c r="V85" s="502">
        <f t="shared" si="258"/>
        <v>808300</v>
      </c>
      <c r="W85" s="502">
        <f t="shared" si="258"/>
        <v>78000</v>
      </c>
      <c r="X85" s="502">
        <f t="shared" si="258"/>
        <v>0</v>
      </c>
      <c r="Y85" s="502">
        <f t="shared" si="258"/>
        <v>0</v>
      </c>
      <c r="Z85" s="502">
        <f t="shared" si="258"/>
        <v>78000</v>
      </c>
      <c r="AA85" s="502">
        <f t="shared" si="258"/>
        <v>886300</v>
      </c>
      <c r="AB85" s="502">
        <f t="shared" si="258"/>
        <v>299569</v>
      </c>
      <c r="AC85" s="502">
        <f t="shared" si="258"/>
        <v>8083</v>
      </c>
      <c r="AD85" s="502">
        <f t="shared" si="258"/>
        <v>0</v>
      </c>
      <c r="AE85" s="502">
        <f t="shared" si="258"/>
        <v>0</v>
      </c>
      <c r="AF85" s="502">
        <f t="shared" si="258"/>
        <v>0</v>
      </c>
      <c r="AG85" s="502">
        <f t="shared" si="258"/>
        <v>1193952</v>
      </c>
      <c r="AH85" s="503">
        <f t="shared" si="258"/>
        <v>0</v>
      </c>
      <c r="AI85" s="503">
        <f t="shared" si="258"/>
        <v>-0.33</v>
      </c>
      <c r="AJ85" s="503">
        <f t="shared" si="258"/>
        <v>2.96</v>
      </c>
      <c r="AK85" s="503">
        <f t="shared" si="258"/>
        <v>0</v>
      </c>
      <c r="AL85" s="503">
        <f t="shared" si="258"/>
        <v>0</v>
      </c>
      <c r="AM85" s="503">
        <f t="shared" si="258"/>
        <v>0</v>
      </c>
      <c r="AN85" s="503">
        <f t="shared" si="258"/>
        <v>0</v>
      </c>
      <c r="AO85" s="503">
        <f t="shared" si="258"/>
        <v>0</v>
      </c>
      <c r="AP85" s="503">
        <f t="shared" si="258"/>
        <v>2.96</v>
      </c>
      <c r="AQ85" s="503">
        <f t="shared" si="258"/>
        <v>-0.33</v>
      </c>
      <c r="AR85" s="40">
        <f t="shared" si="258"/>
        <v>2.63</v>
      </c>
      <c r="AS85" s="509">
        <f t="shared" si="258"/>
        <v>9291333</v>
      </c>
      <c r="AT85" s="502">
        <f t="shared" si="258"/>
        <v>6779075</v>
      </c>
      <c r="AU85" s="502">
        <f t="shared" si="258"/>
        <v>78000</v>
      </c>
      <c r="AV85" s="502">
        <f t="shared" si="258"/>
        <v>2317691</v>
      </c>
      <c r="AW85" s="502">
        <f t="shared" si="258"/>
        <v>67791</v>
      </c>
      <c r="AX85" s="502">
        <f t="shared" si="258"/>
        <v>48776</v>
      </c>
      <c r="AY85" s="503">
        <f t="shared" si="258"/>
        <v>15.612599999999999</v>
      </c>
      <c r="AZ85" s="503">
        <f t="shared" si="258"/>
        <v>11.282599999999999</v>
      </c>
      <c r="BA85" s="40">
        <f t="shared" si="258"/>
        <v>4.33</v>
      </c>
    </row>
    <row r="86" spans="1:53" s="3" customFormat="1" x14ac:dyDescent="0.2">
      <c r="A86" s="211">
        <v>16</v>
      </c>
      <c r="B86" s="212">
        <v>3452</v>
      </c>
      <c r="C86" s="212">
        <v>600078264</v>
      </c>
      <c r="D86" s="212">
        <v>72743557</v>
      </c>
      <c r="E86" s="210" t="s">
        <v>116</v>
      </c>
      <c r="F86" s="212">
        <v>3111</v>
      </c>
      <c r="G86" s="213" t="s">
        <v>307</v>
      </c>
      <c r="H86" s="214" t="s">
        <v>277</v>
      </c>
      <c r="I86" s="462">
        <f t="shared" ref="I86:I91" si="259">SUM(J86:M86)</f>
        <v>1463550</v>
      </c>
      <c r="J86" s="457">
        <v>1079488</v>
      </c>
      <c r="K86" s="457">
        <f t="shared" ref="K86:K91" si="260">ROUND(J86*33.8%,0)</f>
        <v>364867</v>
      </c>
      <c r="L86" s="457">
        <f t="shared" ref="L86:L91" si="261">ROUND(J86*1%,0)</f>
        <v>10795</v>
      </c>
      <c r="M86" s="457">
        <v>8400</v>
      </c>
      <c r="N86" s="458">
        <f t="shared" ref="N86:N91" si="262">O86+P86</f>
        <v>2.2871999999999999</v>
      </c>
      <c r="O86" s="459">
        <v>1.8872</v>
      </c>
      <c r="P86" s="468">
        <v>0.4</v>
      </c>
      <c r="Q86" s="470">
        <f t="shared" ref="Q86:Q91" si="263">W86*-1</f>
        <v>-6500</v>
      </c>
      <c r="R86" s="460">
        <v>0</v>
      </c>
      <c r="S86" s="673">
        <v>0</v>
      </c>
      <c r="T86" s="460">
        <v>0</v>
      </c>
      <c r="U86" s="460">
        <v>0</v>
      </c>
      <c r="V86" s="460">
        <f t="shared" ref="V86:V91" si="264">SUM(Q86:U86)</f>
        <v>-6500</v>
      </c>
      <c r="W86" s="460">
        <v>6500</v>
      </c>
      <c r="X86" s="460">
        <v>0</v>
      </c>
      <c r="Y86" s="460">
        <v>0</v>
      </c>
      <c r="Z86" s="460">
        <f t="shared" ref="Z86:Z91" si="265">SUM(W86:Y86)</f>
        <v>6500</v>
      </c>
      <c r="AA86" s="460">
        <f t="shared" ref="AA86:AA91" si="266">V86+Z86</f>
        <v>0</v>
      </c>
      <c r="AB86" s="69">
        <f t="shared" ref="AB86:AB91" si="267">ROUND((V86+W86+X86)*33.8%,0)</f>
        <v>0</v>
      </c>
      <c r="AC86" s="69">
        <f t="shared" ref="AC86:AC91" si="268">ROUND(V86*1%,0)</f>
        <v>-65</v>
      </c>
      <c r="AD86" s="460">
        <v>0</v>
      </c>
      <c r="AE86" s="460">
        <v>0</v>
      </c>
      <c r="AF86" s="460">
        <f t="shared" ref="AF86:AF91" si="269">SUM(AD86:AE86)</f>
        <v>0</v>
      </c>
      <c r="AG86" s="460">
        <f t="shared" ref="AG86:AG91" si="270">AA86+AB86+AC86+AF86</f>
        <v>-65</v>
      </c>
      <c r="AH86" s="461">
        <v>-0.01</v>
      </c>
      <c r="AI86" s="461">
        <v>0</v>
      </c>
      <c r="AJ86" s="461">
        <v>0</v>
      </c>
      <c r="AK86" s="461">
        <v>0</v>
      </c>
      <c r="AL86" s="674">
        <v>0</v>
      </c>
      <c r="AM86" s="461">
        <v>0</v>
      </c>
      <c r="AN86" s="461">
        <v>0</v>
      </c>
      <c r="AO86" s="461">
        <v>0</v>
      </c>
      <c r="AP86" s="461">
        <f t="shared" ref="AP86:AP91" si="271">AH86+AJ86+AK86+AM86+AN86</f>
        <v>-0.01</v>
      </c>
      <c r="AQ86" s="461">
        <f t="shared" ref="AQ86:AQ91" si="272">AI86+AL86+AO86</f>
        <v>0</v>
      </c>
      <c r="AR86" s="463">
        <f t="shared" ref="AR86:AR91" si="273">SUM(AP86:AQ86)</f>
        <v>-0.01</v>
      </c>
      <c r="AS86" s="469">
        <f t="shared" ref="AS86:AS91" si="274">I86+AG86</f>
        <v>1463485</v>
      </c>
      <c r="AT86" s="460">
        <f t="shared" ref="AT86:AT91" si="275">J86+V86</f>
        <v>1072988</v>
      </c>
      <c r="AU86" s="460">
        <f t="shared" ref="AU86:AU91" si="276">Z86</f>
        <v>6500</v>
      </c>
      <c r="AV86" s="460">
        <f t="shared" ref="AV86:AW91" si="277">K86+AB86</f>
        <v>364867</v>
      </c>
      <c r="AW86" s="460">
        <f t="shared" si="277"/>
        <v>10730</v>
      </c>
      <c r="AX86" s="460">
        <f t="shared" ref="AX86:AX91" si="278">M86+AF86</f>
        <v>8400</v>
      </c>
      <c r="AY86" s="461">
        <f t="shared" ref="AY86:AY91" si="279">N86+AR86</f>
        <v>2.2772000000000001</v>
      </c>
      <c r="AZ86" s="461">
        <f t="shared" ref="AZ86:BA91" si="280">O86+AP86</f>
        <v>1.8772</v>
      </c>
      <c r="BA86" s="463">
        <f t="shared" si="280"/>
        <v>0.4</v>
      </c>
    </row>
    <row r="87" spans="1:53" x14ac:dyDescent="0.2">
      <c r="A87" s="211">
        <v>16</v>
      </c>
      <c r="B87" s="212">
        <v>3452</v>
      </c>
      <c r="C87" s="212">
        <v>600078264</v>
      </c>
      <c r="D87" s="212">
        <v>72743557</v>
      </c>
      <c r="E87" s="210" t="s">
        <v>116</v>
      </c>
      <c r="F87" s="212">
        <v>3113</v>
      </c>
      <c r="G87" s="213" t="s">
        <v>310</v>
      </c>
      <c r="H87" s="214" t="s">
        <v>277</v>
      </c>
      <c r="I87" s="462">
        <f t="shared" si="259"/>
        <v>21370745</v>
      </c>
      <c r="J87" s="457">
        <v>15595861</v>
      </c>
      <c r="K87" s="457">
        <f t="shared" si="260"/>
        <v>5271401</v>
      </c>
      <c r="L87" s="457">
        <f>ROUND(J87*1%,0)-1</f>
        <v>155958</v>
      </c>
      <c r="M87" s="457">
        <v>347525</v>
      </c>
      <c r="N87" s="458">
        <f t="shared" si="262"/>
        <v>28.360999999999997</v>
      </c>
      <c r="O87" s="459">
        <v>22.390999999999998</v>
      </c>
      <c r="P87" s="468">
        <v>5.9700000000000006</v>
      </c>
      <c r="Q87" s="470">
        <f t="shared" si="263"/>
        <v>-52000</v>
      </c>
      <c r="R87" s="460">
        <v>0</v>
      </c>
      <c r="S87" s="673">
        <v>0</v>
      </c>
      <c r="T87" s="460">
        <v>71804</v>
      </c>
      <c r="U87" s="460">
        <v>0</v>
      </c>
      <c r="V87" s="460">
        <f t="shared" si="264"/>
        <v>19804</v>
      </c>
      <c r="W87" s="460">
        <v>52000</v>
      </c>
      <c r="X87" s="460">
        <v>0</v>
      </c>
      <c r="Y87" s="460">
        <v>0</v>
      </c>
      <c r="Z87" s="460">
        <f t="shared" si="265"/>
        <v>52000</v>
      </c>
      <c r="AA87" s="460">
        <f t="shared" si="266"/>
        <v>71804</v>
      </c>
      <c r="AB87" s="69">
        <f t="shared" si="267"/>
        <v>24270</v>
      </c>
      <c r="AC87" s="69">
        <f t="shared" si="268"/>
        <v>198</v>
      </c>
      <c r="AD87" s="460">
        <v>0</v>
      </c>
      <c r="AE87" s="460">
        <v>0</v>
      </c>
      <c r="AF87" s="460">
        <f t="shared" si="269"/>
        <v>0</v>
      </c>
      <c r="AG87" s="460">
        <f t="shared" si="270"/>
        <v>96272</v>
      </c>
      <c r="AH87" s="461">
        <v>-0.02</v>
      </c>
      <c r="AI87" s="461">
        <v>-0.15</v>
      </c>
      <c r="AJ87" s="461">
        <v>0</v>
      </c>
      <c r="AK87" s="461">
        <v>0</v>
      </c>
      <c r="AL87" s="674">
        <v>0</v>
      </c>
      <c r="AM87" s="461">
        <v>0.11</v>
      </c>
      <c r="AN87" s="461">
        <v>0</v>
      </c>
      <c r="AO87" s="461">
        <v>0</v>
      </c>
      <c r="AP87" s="461">
        <f t="shared" si="271"/>
        <v>0.09</v>
      </c>
      <c r="AQ87" s="461">
        <f t="shared" si="272"/>
        <v>-0.15</v>
      </c>
      <c r="AR87" s="463">
        <f t="shared" si="273"/>
        <v>-0.06</v>
      </c>
      <c r="AS87" s="469">
        <f t="shared" si="274"/>
        <v>21467017</v>
      </c>
      <c r="AT87" s="460">
        <f t="shared" si="275"/>
        <v>15615665</v>
      </c>
      <c r="AU87" s="460">
        <f t="shared" si="276"/>
        <v>52000</v>
      </c>
      <c r="AV87" s="460">
        <f t="shared" si="277"/>
        <v>5295671</v>
      </c>
      <c r="AW87" s="460">
        <f t="shared" si="277"/>
        <v>156156</v>
      </c>
      <c r="AX87" s="460">
        <f t="shared" si="278"/>
        <v>347525</v>
      </c>
      <c r="AY87" s="461">
        <f t="shared" si="279"/>
        <v>28.300999999999998</v>
      </c>
      <c r="AZ87" s="461">
        <f t="shared" si="280"/>
        <v>22.480999999999998</v>
      </c>
      <c r="BA87" s="463">
        <f t="shared" si="280"/>
        <v>5.82</v>
      </c>
    </row>
    <row r="88" spans="1:53" x14ac:dyDescent="0.2">
      <c r="A88" s="211">
        <v>16</v>
      </c>
      <c r="B88" s="212">
        <v>3452</v>
      </c>
      <c r="C88" s="212">
        <v>600078264</v>
      </c>
      <c r="D88" s="212">
        <v>72743557</v>
      </c>
      <c r="E88" s="210" t="s">
        <v>116</v>
      </c>
      <c r="F88" s="212">
        <v>3113</v>
      </c>
      <c r="G88" s="213" t="s">
        <v>308</v>
      </c>
      <c r="H88" s="214" t="s">
        <v>278</v>
      </c>
      <c r="I88" s="462">
        <f t="shared" si="259"/>
        <v>0</v>
      </c>
      <c r="J88" s="457">
        <v>0</v>
      </c>
      <c r="K88" s="457">
        <f t="shared" si="260"/>
        <v>0</v>
      </c>
      <c r="L88" s="457">
        <f t="shared" si="261"/>
        <v>0</v>
      </c>
      <c r="M88" s="457">
        <v>0</v>
      </c>
      <c r="N88" s="458">
        <f t="shared" si="262"/>
        <v>0</v>
      </c>
      <c r="O88" s="459">
        <v>0</v>
      </c>
      <c r="P88" s="468">
        <v>0</v>
      </c>
      <c r="Q88" s="470">
        <f t="shared" si="263"/>
        <v>0</v>
      </c>
      <c r="R88" s="460">
        <v>3159513</v>
      </c>
      <c r="S88" s="673">
        <v>0</v>
      </c>
      <c r="T88" s="460">
        <v>0</v>
      </c>
      <c r="U88" s="460">
        <v>0</v>
      </c>
      <c r="V88" s="460">
        <f t="shared" si="264"/>
        <v>3159513</v>
      </c>
      <c r="W88" s="460">
        <v>0</v>
      </c>
      <c r="X88" s="460">
        <v>0</v>
      </c>
      <c r="Y88" s="460">
        <v>0</v>
      </c>
      <c r="Z88" s="460">
        <f t="shared" si="265"/>
        <v>0</v>
      </c>
      <c r="AA88" s="460">
        <f t="shared" si="266"/>
        <v>3159513</v>
      </c>
      <c r="AB88" s="69">
        <f t="shared" si="267"/>
        <v>1067915</v>
      </c>
      <c r="AC88" s="69">
        <f t="shared" si="268"/>
        <v>31595</v>
      </c>
      <c r="AD88" s="460">
        <v>0</v>
      </c>
      <c r="AE88" s="460">
        <v>0</v>
      </c>
      <c r="AF88" s="460">
        <f t="shared" si="269"/>
        <v>0</v>
      </c>
      <c r="AG88" s="460">
        <f t="shared" si="270"/>
        <v>4259023</v>
      </c>
      <c r="AH88" s="461">
        <v>0</v>
      </c>
      <c r="AI88" s="461">
        <v>0</v>
      </c>
      <c r="AJ88" s="461">
        <v>8.89</v>
      </c>
      <c r="AK88" s="461">
        <v>0</v>
      </c>
      <c r="AL88" s="674">
        <v>0</v>
      </c>
      <c r="AM88" s="461">
        <v>0</v>
      </c>
      <c r="AN88" s="461">
        <v>0</v>
      </c>
      <c r="AO88" s="461">
        <v>0</v>
      </c>
      <c r="AP88" s="461">
        <f t="shared" si="271"/>
        <v>8.89</v>
      </c>
      <c r="AQ88" s="461">
        <f t="shared" si="272"/>
        <v>0</v>
      </c>
      <c r="AR88" s="463">
        <f t="shared" si="273"/>
        <v>8.89</v>
      </c>
      <c r="AS88" s="469">
        <f t="shared" si="274"/>
        <v>4259023</v>
      </c>
      <c r="AT88" s="460">
        <f t="shared" si="275"/>
        <v>3159513</v>
      </c>
      <c r="AU88" s="460">
        <f t="shared" si="276"/>
        <v>0</v>
      </c>
      <c r="AV88" s="460">
        <f t="shared" si="277"/>
        <v>1067915</v>
      </c>
      <c r="AW88" s="460">
        <f t="shared" si="277"/>
        <v>31595</v>
      </c>
      <c r="AX88" s="460">
        <f t="shared" si="278"/>
        <v>0</v>
      </c>
      <c r="AY88" s="461">
        <f t="shared" si="279"/>
        <v>8.89</v>
      </c>
      <c r="AZ88" s="461">
        <f t="shared" si="280"/>
        <v>8.89</v>
      </c>
      <c r="BA88" s="463">
        <f t="shared" si="280"/>
        <v>0</v>
      </c>
    </row>
    <row r="89" spans="1:53" x14ac:dyDescent="0.2">
      <c r="A89" s="211">
        <v>16</v>
      </c>
      <c r="B89" s="212">
        <v>3452</v>
      </c>
      <c r="C89" s="212">
        <v>600078264</v>
      </c>
      <c r="D89" s="212">
        <v>72743557</v>
      </c>
      <c r="E89" s="210" t="s">
        <v>116</v>
      </c>
      <c r="F89" s="212">
        <v>3141</v>
      </c>
      <c r="G89" s="213" t="s">
        <v>311</v>
      </c>
      <c r="H89" s="214" t="s">
        <v>278</v>
      </c>
      <c r="I89" s="462">
        <f t="shared" si="259"/>
        <v>2080945</v>
      </c>
      <c r="J89" s="457">
        <v>1533775</v>
      </c>
      <c r="K89" s="457">
        <f t="shared" si="260"/>
        <v>518416</v>
      </c>
      <c r="L89" s="457">
        <f t="shared" si="261"/>
        <v>15338</v>
      </c>
      <c r="M89" s="457">
        <v>13416</v>
      </c>
      <c r="N89" s="458">
        <f t="shared" si="262"/>
        <v>4.93</v>
      </c>
      <c r="O89" s="459">
        <v>0</v>
      </c>
      <c r="P89" s="468">
        <v>4.93</v>
      </c>
      <c r="Q89" s="470">
        <f t="shared" si="263"/>
        <v>-13000</v>
      </c>
      <c r="R89" s="460">
        <v>0</v>
      </c>
      <c r="S89" s="673">
        <v>0</v>
      </c>
      <c r="T89" s="460">
        <v>0</v>
      </c>
      <c r="U89" s="460">
        <v>0</v>
      </c>
      <c r="V89" s="460">
        <f t="shared" si="264"/>
        <v>-13000</v>
      </c>
      <c r="W89" s="460">
        <v>13000</v>
      </c>
      <c r="X89" s="460">
        <v>0</v>
      </c>
      <c r="Y89" s="460">
        <v>0</v>
      </c>
      <c r="Z89" s="460">
        <f t="shared" si="265"/>
        <v>13000</v>
      </c>
      <c r="AA89" s="460">
        <f t="shared" si="266"/>
        <v>0</v>
      </c>
      <c r="AB89" s="69">
        <f t="shared" si="267"/>
        <v>0</v>
      </c>
      <c r="AC89" s="69">
        <f t="shared" si="268"/>
        <v>-130</v>
      </c>
      <c r="AD89" s="460">
        <v>0</v>
      </c>
      <c r="AE89" s="460">
        <v>0</v>
      </c>
      <c r="AF89" s="460">
        <f t="shared" si="269"/>
        <v>0</v>
      </c>
      <c r="AG89" s="460">
        <f t="shared" si="270"/>
        <v>-130</v>
      </c>
      <c r="AH89" s="461">
        <v>0</v>
      </c>
      <c r="AI89" s="461">
        <v>-0.03</v>
      </c>
      <c r="AJ89" s="461">
        <v>0</v>
      </c>
      <c r="AK89" s="461">
        <v>0</v>
      </c>
      <c r="AL89" s="674">
        <v>0</v>
      </c>
      <c r="AM89" s="461">
        <v>0</v>
      </c>
      <c r="AN89" s="461">
        <v>0</v>
      </c>
      <c r="AO89" s="461">
        <v>0</v>
      </c>
      <c r="AP89" s="461">
        <f t="shared" si="271"/>
        <v>0</v>
      </c>
      <c r="AQ89" s="461">
        <f t="shared" si="272"/>
        <v>-0.03</v>
      </c>
      <c r="AR89" s="463">
        <f t="shared" si="273"/>
        <v>-0.03</v>
      </c>
      <c r="AS89" s="469">
        <f t="shared" si="274"/>
        <v>2080815</v>
      </c>
      <c r="AT89" s="460">
        <f t="shared" si="275"/>
        <v>1520775</v>
      </c>
      <c r="AU89" s="460">
        <f t="shared" si="276"/>
        <v>13000</v>
      </c>
      <c r="AV89" s="460">
        <f t="shared" si="277"/>
        <v>518416</v>
      </c>
      <c r="AW89" s="460">
        <f t="shared" si="277"/>
        <v>15208</v>
      </c>
      <c r="AX89" s="460">
        <f t="shared" si="278"/>
        <v>13416</v>
      </c>
      <c r="AY89" s="461">
        <f t="shared" si="279"/>
        <v>4.8999999999999995</v>
      </c>
      <c r="AZ89" s="461">
        <f t="shared" si="280"/>
        <v>0</v>
      </c>
      <c r="BA89" s="463">
        <f t="shared" si="280"/>
        <v>4.8999999999999995</v>
      </c>
    </row>
    <row r="90" spans="1:53" x14ac:dyDescent="0.2">
      <c r="A90" s="211">
        <v>16</v>
      </c>
      <c r="B90" s="212">
        <v>3452</v>
      </c>
      <c r="C90" s="212">
        <v>600078264</v>
      </c>
      <c r="D90" s="212">
        <v>72743557</v>
      </c>
      <c r="E90" s="210" t="s">
        <v>116</v>
      </c>
      <c r="F90" s="212">
        <v>3143</v>
      </c>
      <c r="G90" s="213" t="s">
        <v>616</v>
      </c>
      <c r="H90" s="234" t="s">
        <v>277</v>
      </c>
      <c r="I90" s="462">
        <f t="shared" si="259"/>
        <v>1846875</v>
      </c>
      <c r="J90" s="457">
        <v>1370085</v>
      </c>
      <c r="K90" s="457">
        <f t="shared" si="260"/>
        <v>463089</v>
      </c>
      <c r="L90" s="457">
        <f t="shared" si="261"/>
        <v>13701</v>
      </c>
      <c r="M90" s="457">
        <v>0</v>
      </c>
      <c r="N90" s="458">
        <f t="shared" si="262"/>
        <v>2.8035000000000001</v>
      </c>
      <c r="O90" s="459">
        <v>2.8035000000000001</v>
      </c>
      <c r="P90" s="468">
        <v>0</v>
      </c>
      <c r="Q90" s="470">
        <f t="shared" si="263"/>
        <v>-6500</v>
      </c>
      <c r="R90" s="460">
        <v>0</v>
      </c>
      <c r="S90" s="673">
        <v>0</v>
      </c>
      <c r="T90" s="460">
        <v>0</v>
      </c>
      <c r="U90" s="460">
        <v>0</v>
      </c>
      <c r="V90" s="460">
        <f t="shared" si="264"/>
        <v>-6500</v>
      </c>
      <c r="W90" s="460">
        <v>6500</v>
      </c>
      <c r="X90" s="460">
        <v>0</v>
      </c>
      <c r="Y90" s="460">
        <v>0</v>
      </c>
      <c r="Z90" s="460">
        <f t="shared" si="265"/>
        <v>6500</v>
      </c>
      <c r="AA90" s="460">
        <f t="shared" si="266"/>
        <v>0</v>
      </c>
      <c r="AB90" s="69">
        <f t="shared" si="267"/>
        <v>0</v>
      </c>
      <c r="AC90" s="69">
        <f t="shared" si="268"/>
        <v>-65</v>
      </c>
      <c r="AD90" s="460">
        <v>0</v>
      </c>
      <c r="AE90" s="460">
        <v>0</v>
      </c>
      <c r="AF90" s="460">
        <f t="shared" si="269"/>
        <v>0</v>
      </c>
      <c r="AG90" s="460">
        <f t="shared" si="270"/>
        <v>-65</v>
      </c>
      <c r="AH90" s="461">
        <v>-0.02</v>
      </c>
      <c r="AI90" s="461">
        <v>0</v>
      </c>
      <c r="AJ90" s="461">
        <v>0</v>
      </c>
      <c r="AK90" s="461">
        <v>0</v>
      </c>
      <c r="AL90" s="674">
        <v>0</v>
      </c>
      <c r="AM90" s="461">
        <v>0</v>
      </c>
      <c r="AN90" s="461">
        <v>0</v>
      </c>
      <c r="AO90" s="461">
        <v>0</v>
      </c>
      <c r="AP90" s="461">
        <f t="shared" si="271"/>
        <v>-0.02</v>
      </c>
      <c r="AQ90" s="461">
        <f t="shared" si="272"/>
        <v>0</v>
      </c>
      <c r="AR90" s="463">
        <f t="shared" si="273"/>
        <v>-0.02</v>
      </c>
      <c r="AS90" s="469">
        <f t="shared" si="274"/>
        <v>1846810</v>
      </c>
      <c r="AT90" s="460">
        <f t="shared" si="275"/>
        <v>1363585</v>
      </c>
      <c r="AU90" s="460">
        <f t="shared" si="276"/>
        <v>6500</v>
      </c>
      <c r="AV90" s="460">
        <f t="shared" si="277"/>
        <v>463089</v>
      </c>
      <c r="AW90" s="460">
        <f t="shared" si="277"/>
        <v>13636</v>
      </c>
      <c r="AX90" s="460">
        <f t="shared" si="278"/>
        <v>0</v>
      </c>
      <c r="AY90" s="461">
        <f t="shared" si="279"/>
        <v>2.7835000000000001</v>
      </c>
      <c r="AZ90" s="461">
        <f t="shared" si="280"/>
        <v>2.7835000000000001</v>
      </c>
      <c r="BA90" s="463">
        <f t="shared" si="280"/>
        <v>0</v>
      </c>
    </row>
    <row r="91" spans="1:53" x14ac:dyDescent="0.2">
      <c r="A91" s="211">
        <v>16</v>
      </c>
      <c r="B91" s="212">
        <v>3452</v>
      </c>
      <c r="C91" s="212">
        <v>600078264</v>
      </c>
      <c r="D91" s="212">
        <v>72743557</v>
      </c>
      <c r="E91" s="210" t="s">
        <v>116</v>
      </c>
      <c r="F91" s="212">
        <v>3143</v>
      </c>
      <c r="G91" s="213" t="s">
        <v>617</v>
      </c>
      <c r="H91" s="234" t="s">
        <v>278</v>
      </c>
      <c r="I91" s="462">
        <f t="shared" si="259"/>
        <v>51311</v>
      </c>
      <c r="J91" s="457">
        <v>36662</v>
      </c>
      <c r="K91" s="457">
        <f t="shared" si="260"/>
        <v>12392</v>
      </c>
      <c r="L91" s="457">
        <f t="shared" si="261"/>
        <v>367</v>
      </c>
      <c r="M91" s="457">
        <v>1890</v>
      </c>
      <c r="N91" s="458">
        <f t="shared" si="262"/>
        <v>0.15</v>
      </c>
      <c r="O91" s="459">
        <v>0</v>
      </c>
      <c r="P91" s="468">
        <v>0.15</v>
      </c>
      <c r="Q91" s="470">
        <f t="shared" si="263"/>
        <v>0</v>
      </c>
      <c r="R91" s="460">
        <v>0</v>
      </c>
      <c r="S91" s="673">
        <v>0</v>
      </c>
      <c r="T91" s="460">
        <v>0</v>
      </c>
      <c r="U91" s="460">
        <v>0</v>
      </c>
      <c r="V91" s="460">
        <f t="shared" si="264"/>
        <v>0</v>
      </c>
      <c r="W91" s="460">
        <v>0</v>
      </c>
      <c r="X91" s="460">
        <v>0</v>
      </c>
      <c r="Y91" s="460">
        <v>0</v>
      </c>
      <c r="Z91" s="460">
        <f t="shared" si="265"/>
        <v>0</v>
      </c>
      <c r="AA91" s="460">
        <f t="shared" si="266"/>
        <v>0</v>
      </c>
      <c r="AB91" s="69">
        <f t="shared" si="267"/>
        <v>0</v>
      </c>
      <c r="AC91" s="69">
        <f t="shared" si="268"/>
        <v>0</v>
      </c>
      <c r="AD91" s="460">
        <v>0</v>
      </c>
      <c r="AE91" s="460">
        <v>0</v>
      </c>
      <c r="AF91" s="460">
        <f t="shared" si="269"/>
        <v>0</v>
      </c>
      <c r="AG91" s="460">
        <f t="shared" si="270"/>
        <v>0</v>
      </c>
      <c r="AH91" s="461">
        <v>0</v>
      </c>
      <c r="AI91" s="461">
        <v>0</v>
      </c>
      <c r="AJ91" s="461">
        <v>0</v>
      </c>
      <c r="AK91" s="461">
        <v>0</v>
      </c>
      <c r="AL91" s="674">
        <v>0</v>
      </c>
      <c r="AM91" s="461">
        <v>0</v>
      </c>
      <c r="AN91" s="461">
        <v>0</v>
      </c>
      <c r="AO91" s="461">
        <v>0</v>
      </c>
      <c r="AP91" s="461">
        <f t="shared" si="271"/>
        <v>0</v>
      </c>
      <c r="AQ91" s="461">
        <f t="shared" si="272"/>
        <v>0</v>
      </c>
      <c r="AR91" s="463">
        <f t="shared" si="273"/>
        <v>0</v>
      </c>
      <c r="AS91" s="469">
        <f t="shared" si="274"/>
        <v>51311</v>
      </c>
      <c r="AT91" s="460">
        <f t="shared" si="275"/>
        <v>36662</v>
      </c>
      <c r="AU91" s="460">
        <f t="shared" si="276"/>
        <v>0</v>
      </c>
      <c r="AV91" s="460">
        <f t="shared" si="277"/>
        <v>12392</v>
      </c>
      <c r="AW91" s="460">
        <f t="shared" si="277"/>
        <v>367</v>
      </c>
      <c r="AX91" s="460">
        <f t="shared" si="278"/>
        <v>1890</v>
      </c>
      <c r="AY91" s="461">
        <f t="shared" si="279"/>
        <v>0.15</v>
      </c>
      <c r="AZ91" s="461">
        <f t="shared" si="280"/>
        <v>0</v>
      </c>
      <c r="BA91" s="463">
        <f t="shared" si="280"/>
        <v>0.15</v>
      </c>
    </row>
    <row r="92" spans="1:53" x14ac:dyDescent="0.2">
      <c r="A92" s="158">
        <v>16</v>
      </c>
      <c r="B92" s="18">
        <v>3452</v>
      </c>
      <c r="C92" s="18">
        <v>600078264</v>
      </c>
      <c r="D92" s="18">
        <v>72743557</v>
      </c>
      <c r="E92" s="167" t="s">
        <v>117</v>
      </c>
      <c r="F92" s="18"/>
      <c r="G92" s="157"/>
      <c r="H92" s="191"/>
      <c r="I92" s="505">
        <f t="shared" ref="I92:P92" si="281">SUM(I86:I91)</f>
        <v>26813426</v>
      </c>
      <c r="J92" s="502">
        <f t="shared" si="281"/>
        <v>19615871</v>
      </c>
      <c r="K92" s="502">
        <f t="shared" si="281"/>
        <v>6630165</v>
      </c>
      <c r="L92" s="502">
        <f t="shared" si="281"/>
        <v>196159</v>
      </c>
      <c r="M92" s="502">
        <f t="shared" si="281"/>
        <v>371231</v>
      </c>
      <c r="N92" s="503">
        <f t="shared" si="281"/>
        <v>38.531699999999994</v>
      </c>
      <c r="O92" s="503">
        <f t="shared" si="281"/>
        <v>27.081699999999998</v>
      </c>
      <c r="P92" s="507">
        <f t="shared" si="281"/>
        <v>11.450000000000001</v>
      </c>
      <c r="Q92" s="505">
        <f t="shared" ref="Q92:BA92" si="282">SUM(Q86:Q91)</f>
        <v>-78000</v>
      </c>
      <c r="R92" s="502">
        <f t="shared" si="282"/>
        <v>3159513</v>
      </c>
      <c r="S92" s="502">
        <f t="shared" si="282"/>
        <v>0</v>
      </c>
      <c r="T92" s="502">
        <f t="shared" si="282"/>
        <v>71804</v>
      </c>
      <c r="U92" s="502">
        <f t="shared" si="282"/>
        <v>0</v>
      </c>
      <c r="V92" s="502">
        <f t="shared" si="282"/>
        <v>3153317</v>
      </c>
      <c r="W92" s="502">
        <f t="shared" si="282"/>
        <v>78000</v>
      </c>
      <c r="X92" s="502">
        <f t="shared" si="282"/>
        <v>0</v>
      </c>
      <c r="Y92" s="502">
        <f t="shared" si="282"/>
        <v>0</v>
      </c>
      <c r="Z92" s="502">
        <f t="shared" si="282"/>
        <v>78000</v>
      </c>
      <c r="AA92" s="502">
        <f t="shared" si="282"/>
        <v>3231317</v>
      </c>
      <c r="AB92" s="502">
        <f t="shared" si="282"/>
        <v>1092185</v>
      </c>
      <c r="AC92" s="502">
        <f t="shared" si="282"/>
        <v>31533</v>
      </c>
      <c r="AD92" s="502">
        <f t="shared" si="282"/>
        <v>0</v>
      </c>
      <c r="AE92" s="502">
        <f t="shared" si="282"/>
        <v>0</v>
      </c>
      <c r="AF92" s="502">
        <f t="shared" si="282"/>
        <v>0</v>
      </c>
      <c r="AG92" s="502">
        <f t="shared" si="282"/>
        <v>4355035</v>
      </c>
      <c r="AH92" s="503">
        <f t="shared" si="282"/>
        <v>-0.05</v>
      </c>
      <c r="AI92" s="503">
        <f t="shared" si="282"/>
        <v>-0.18</v>
      </c>
      <c r="AJ92" s="503">
        <f t="shared" si="282"/>
        <v>8.89</v>
      </c>
      <c r="AK92" s="503">
        <f t="shared" si="282"/>
        <v>0</v>
      </c>
      <c r="AL92" s="503">
        <f t="shared" si="282"/>
        <v>0</v>
      </c>
      <c r="AM92" s="503">
        <f t="shared" si="282"/>
        <v>0.11</v>
      </c>
      <c r="AN92" s="503">
        <f t="shared" si="282"/>
        <v>0</v>
      </c>
      <c r="AO92" s="503">
        <f t="shared" si="282"/>
        <v>0</v>
      </c>
      <c r="AP92" s="503">
        <f t="shared" si="282"/>
        <v>8.9500000000000011</v>
      </c>
      <c r="AQ92" s="503">
        <f t="shared" si="282"/>
        <v>-0.18</v>
      </c>
      <c r="AR92" s="40">
        <f t="shared" si="282"/>
        <v>8.7700000000000014</v>
      </c>
      <c r="AS92" s="509">
        <f t="shared" si="282"/>
        <v>31168461</v>
      </c>
      <c r="AT92" s="502">
        <f t="shared" si="282"/>
        <v>22769188</v>
      </c>
      <c r="AU92" s="502">
        <f t="shared" si="282"/>
        <v>78000</v>
      </c>
      <c r="AV92" s="502">
        <f t="shared" si="282"/>
        <v>7722350</v>
      </c>
      <c r="AW92" s="502">
        <f t="shared" si="282"/>
        <v>227692</v>
      </c>
      <c r="AX92" s="502">
        <f t="shared" si="282"/>
        <v>371231</v>
      </c>
      <c r="AY92" s="503">
        <f t="shared" si="282"/>
        <v>47.30169999999999</v>
      </c>
      <c r="AZ92" s="503">
        <f t="shared" si="282"/>
        <v>36.031700000000001</v>
      </c>
      <c r="BA92" s="40">
        <f t="shared" si="282"/>
        <v>11.270000000000001</v>
      </c>
    </row>
    <row r="93" spans="1:53" x14ac:dyDescent="0.2">
      <c r="A93" s="211">
        <v>17</v>
      </c>
      <c r="B93" s="212">
        <v>3445</v>
      </c>
      <c r="C93" s="212">
        <v>600078604</v>
      </c>
      <c r="D93" s="212">
        <v>70695849</v>
      </c>
      <c r="E93" s="210" t="s">
        <v>118</v>
      </c>
      <c r="F93" s="212">
        <v>3111</v>
      </c>
      <c r="G93" s="213" t="s">
        <v>307</v>
      </c>
      <c r="H93" s="214" t="s">
        <v>277</v>
      </c>
      <c r="I93" s="462">
        <f t="shared" ref="I93:I98" si="283">SUM(J93:M93)</f>
        <v>1648232</v>
      </c>
      <c r="J93" s="457">
        <v>1214712</v>
      </c>
      <c r="K93" s="457">
        <f t="shared" ref="K93:K98" si="284">ROUND(J93*33.8%,0)</f>
        <v>410573</v>
      </c>
      <c r="L93" s="457">
        <f t="shared" ref="L93:L98" si="285">ROUND(J93*1%,0)</f>
        <v>12147</v>
      </c>
      <c r="M93" s="457">
        <v>10800</v>
      </c>
      <c r="N93" s="458">
        <f t="shared" ref="N93:N98" si="286">O93+P93</f>
        <v>2.4</v>
      </c>
      <c r="O93" s="459">
        <v>2</v>
      </c>
      <c r="P93" s="468">
        <v>0.4</v>
      </c>
      <c r="Q93" s="470">
        <f t="shared" ref="Q93:Q98" si="287">W93*-1</f>
        <v>-45500</v>
      </c>
      <c r="R93" s="460">
        <v>0</v>
      </c>
      <c r="S93" s="673">
        <v>0</v>
      </c>
      <c r="T93" s="460">
        <v>0</v>
      </c>
      <c r="U93" s="460">
        <v>0</v>
      </c>
      <c r="V93" s="460">
        <f t="shared" ref="V93:V98" si="288">SUM(Q93:U93)</f>
        <v>-45500</v>
      </c>
      <c r="W93" s="460">
        <v>45500</v>
      </c>
      <c r="X93" s="460">
        <v>0</v>
      </c>
      <c r="Y93" s="460">
        <v>0</v>
      </c>
      <c r="Z93" s="460">
        <f t="shared" ref="Z93:Z98" si="289">SUM(W93:Y93)</f>
        <v>45500</v>
      </c>
      <c r="AA93" s="460">
        <f t="shared" ref="AA93:AA98" si="290">V93+Z93</f>
        <v>0</v>
      </c>
      <c r="AB93" s="69">
        <f t="shared" ref="AB93:AB98" si="291">ROUND((V93+W93+X93)*33.8%,0)</f>
        <v>0</v>
      </c>
      <c r="AC93" s="69">
        <f t="shared" ref="AC93:AC98" si="292">ROUND(V93*1%,0)</f>
        <v>-455</v>
      </c>
      <c r="AD93" s="460">
        <v>0</v>
      </c>
      <c r="AE93" s="460">
        <v>0</v>
      </c>
      <c r="AF93" s="460">
        <f t="shared" ref="AF93:AF98" si="293">SUM(AD93:AE93)</f>
        <v>0</v>
      </c>
      <c r="AG93" s="460">
        <f t="shared" ref="AG93:AG98" si="294">AA93+AB93+AC93+AF93</f>
        <v>-455</v>
      </c>
      <c r="AH93" s="461">
        <v>-0.04</v>
      </c>
      <c r="AI93" s="461">
        <v>-0.11</v>
      </c>
      <c r="AJ93" s="461">
        <v>0</v>
      </c>
      <c r="AK93" s="461">
        <v>0</v>
      </c>
      <c r="AL93" s="674">
        <v>0</v>
      </c>
      <c r="AM93" s="461">
        <v>0</v>
      </c>
      <c r="AN93" s="461">
        <v>0</v>
      </c>
      <c r="AO93" s="461">
        <v>0</v>
      </c>
      <c r="AP93" s="461">
        <f t="shared" ref="AP93:AP98" si="295">AH93+AJ93+AK93+AM93+AN93</f>
        <v>-0.04</v>
      </c>
      <c r="AQ93" s="461">
        <f t="shared" ref="AQ93:AQ98" si="296">AI93+AL93+AO93</f>
        <v>-0.11</v>
      </c>
      <c r="AR93" s="463">
        <f t="shared" ref="AR93:AR98" si="297">SUM(AP93:AQ93)</f>
        <v>-0.15</v>
      </c>
      <c r="AS93" s="469">
        <f t="shared" ref="AS93:AS98" si="298">I93+AG93</f>
        <v>1647777</v>
      </c>
      <c r="AT93" s="460">
        <f t="shared" ref="AT93:AT98" si="299">J93+V93</f>
        <v>1169212</v>
      </c>
      <c r="AU93" s="460">
        <f t="shared" ref="AU93:AU98" si="300">Z93</f>
        <v>45500</v>
      </c>
      <c r="AV93" s="460">
        <f t="shared" ref="AV93:AW98" si="301">K93+AB93</f>
        <v>410573</v>
      </c>
      <c r="AW93" s="460">
        <f t="shared" si="301"/>
        <v>11692</v>
      </c>
      <c r="AX93" s="460">
        <f t="shared" ref="AX93:AX98" si="302">M93+AF93</f>
        <v>10800</v>
      </c>
      <c r="AY93" s="461">
        <f t="shared" ref="AY93:AY98" si="303">N93+AR93</f>
        <v>2.25</v>
      </c>
      <c r="AZ93" s="461">
        <f t="shared" ref="AZ93:BA98" si="304">O93+AP93</f>
        <v>1.96</v>
      </c>
      <c r="BA93" s="463">
        <f t="shared" si="304"/>
        <v>0.29000000000000004</v>
      </c>
    </row>
    <row r="94" spans="1:53" x14ac:dyDescent="0.2">
      <c r="A94" s="211">
        <v>17</v>
      </c>
      <c r="B94" s="212">
        <v>3445</v>
      </c>
      <c r="C94" s="212">
        <v>600078604</v>
      </c>
      <c r="D94" s="212">
        <v>70695849</v>
      </c>
      <c r="E94" s="210" t="s">
        <v>118</v>
      </c>
      <c r="F94" s="212">
        <v>3117</v>
      </c>
      <c r="G94" s="213" t="s">
        <v>310</v>
      </c>
      <c r="H94" s="214" t="s">
        <v>277</v>
      </c>
      <c r="I94" s="462">
        <f t="shared" si="283"/>
        <v>2240317</v>
      </c>
      <c r="J94" s="457">
        <v>1643354</v>
      </c>
      <c r="K94" s="457">
        <f t="shared" si="284"/>
        <v>555454</v>
      </c>
      <c r="L94" s="457">
        <f t="shared" si="285"/>
        <v>16434</v>
      </c>
      <c r="M94" s="457">
        <v>25075</v>
      </c>
      <c r="N94" s="458">
        <f t="shared" si="286"/>
        <v>3.0890999999999997</v>
      </c>
      <c r="O94" s="459">
        <v>2.3182999999999998</v>
      </c>
      <c r="P94" s="468">
        <v>0.77079999999999993</v>
      </c>
      <c r="Q94" s="470">
        <f t="shared" si="287"/>
        <v>-27950</v>
      </c>
      <c r="R94" s="460">
        <v>0</v>
      </c>
      <c r="S94" s="673">
        <v>0</v>
      </c>
      <c r="T94" s="460">
        <v>0</v>
      </c>
      <c r="U94" s="460">
        <v>0</v>
      </c>
      <c r="V94" s="460">
        <f t="shared" si="288"/>
        <v>-27950</v>
      </c>
      <c r="W94" s="460">
        <v>27950</v>
      </c>
      <c r="X94" s="460">
        <v>0</v>
      </c>
      <c r="Y94" s="460">
        <v>0</v>
      </c>
      <c r="Z94" s="460">
        <f t="shared" si="289"/>
        <v>27950</v>
      </c>
      <c r="AA94" s="460">
        <f t="shared" si="290"/>
        <v>0</v>
      </c>
      <c r="AB94" s="69">
        <f t="shared" si="291"/>
        <v>0</v>
      </c>
      <c r="AC94" s="69">
        <f t="shared" si="292"/>
        <v>-280</v>
      </c>
      <c r="AD94" s="460">
        <v>0</v>
      </c>
      <c r="AE94" s="460">
        <v>0</v>
      </c>
      <c r="AF94" s="460">
        <f t="shared" si="293"/>
        <v>0</v>
      </c>
      <c r="AG94" s="460">
        <f t="shared" si="294"/>
        <v>-280</v>
      </c>
      <c r="AH94" s="461">
        <v>0</v>
      </c>
      <c r="AI94" s="461">
        <v>-0.1</v>
      </c>
      <c r="AJ94" s="461">
        <v>0</v>
      </c>
      <c r="AK94" s="461">
        <v>0</v>
      </c>
      <c r="AL94" s="674">
        <v>0</v>
      </c>
      <c r="AM94" s="461">
        <v>0</v>
      </c>
      <c r="AN94" s="461">
        <v>0</v>
      </c>
      <c r="AO94" s="461">
        <v>0</v>
      </c>
      <c r="AP94" s="461">
        <f t="shared" si="295"/>
        <v>0</v>
      </c>
      <c r="AQ94" s="461">
        <f t="shared" si="296"/>
        <v>-0.1</v>
      </c>
      <c r="AR94" s="463">
        <f t="shared" si="297"/>
        <v>-0.1</v>
      </c>
      <c r="AS94" s="469">
        <f t="shared" si="298"/>
        <v>2240037</v>
      </c>
      <c r="AT94" s="460">
        <f t="shared" si="299"/>
        <v>1615404</v>
      </c>
      <c r="AU94" s="460">
        <f t="shared" si="300"/>
        <v>27950</v>
      </c>
      <c r="AV94" s="460">
        <f t="shared" si="301"/>
        <v>555454</v>
      </c>
      <c r="AW94" s="460">
        <f t="shared" si="301"/>
        <v>16154</v>
      </c>
      <c r="AX94" s="460">
        <f t="shared" si="302"/>
        <v>25075</v>
      </c>
      <c r="AY94" s="461">
        <f t="shared" si="303"/>
        <v>2.9890999999999996</v>
      </c>
      <c r="AZ94" s="461">
        <f t="shared" si="304"/>
        <v>2.3182999999999998</v>
      </c>
      <c r="BA94" s="463">
        <f t="shared" si="304"/>
        <v>0.67079999999999995</v>
      </c>
    </row>
    <row r="95" spans="1:53" x14ac:dyDescent="0.2">
      <c r="A95" s="211">
        <v>17</v>
      </c>
      <c r="B95" s="212">
        <v>3445</v>
      </c>
      <c r="C95" s="212">
        <v>600078604</v>
      </c>
      <c r="D95" s="212">
        <v>70695849</v>
      </c>
      <c r="E95" s="210" t="s">
        <v>118</v>
      </c>
      <c r="F95" s="212">
        <v>3117</v>
      </c>
      <c r="G95" s="213" t="s">
        <v>308</v>
      </c>
      <c r="H95" s="214" t="s">
        <v>278</v>
      </c>
      <c r="I95" s="462">
        <f t="shared" si="283"/>
        <v>0</v>
      </c>
      <c r="J95" s="457">
        <v>0</v>
      </c>
      <c r="K95" s="457">
        <f t="shared" si="284"/>
        <v>0</v>
      </c>
      <c r="L95" s="457">
        <f t="shared" si="285"/>
        <v>0</v>
      </c>
      <c r="M95" s="457">
        <v>0</v>
      </c>
      <c r="N95" s="458">
        <f t="shared" si="286"/>
        <v>0</v>
      </c>
      <c r="O95" s="459">
        <v>0</v>
      </c>
      <c r="P95" s="468">
        <v>0</v>
      </c>
      <c r="Q95" s="470">
        <f t="shared" si="287"/>
        <v>0</v>
      </c>
      <c r="R95" s="460">
        <v>0</v>
      </c>
      <c r="S95" s="673">
        <v>0</v>
      </c>
      <c r="T95" s="460">
        <v>0</v>
      </c>
      <c r="U95" s="460">
        <v>0</v>
      </c>
      <c r="V95" s="460">
        <f t="shared" si="288"/>
        <v>0</v>
      </c>
      <c r="W95" s="460">
        <v>0</v>
      </c>
      <c r="X95" s="460">
        <v>0</v>
      </c>
      <c r="Y95" s="460">
        <v>0</v>
      </c>
      <c r="Z95" s="460">
        <f t="shared" si="289"/>
        <v>0</v>
      </c>
      <c r="AA95" s="460">
        <f t="shared" si="290"/>
        <v>0</v>
      </c>
      <c r="AB95" s="69">
        <f t="shared" si="291"/>
        <v>0</v>
      </c>
      <c r="AC95" s="69">
        <f t="shared" si="292"/>
        <v>0</v>
      </c>
      <c r="AD95" s="460">
        <v>0</v>
      </c>
      <c r="AE95" s="460">
        <v>0</v>
      </c>
      <c r="AF95" s="460">
        <f t="shared" si="293"/>
        <v>0</v>
      </c>
      <c r="AG95" s="460">
        <f t="shared" si="294"/>
        <v>0</v>
      </c>
      <c r="AH95" s="461">
        <v>0</v>
      </c>
      <c r="AI95" s="461">
        <v>0</v>
      </c>
      <c r="AJ95" s="461">
        <v>0</v>
      </c>
      <c r="AK95" s="461">
        <v>0</v>
      </c>
      <c r="AL95" s="674">
        <v>0</v>
      </c>
      <c r="AM95" s="461">
        <v>0</v>
      </c>
      <c r="AN95" s="461">
        <v>0</v>
      </c>
      <c r="AO95" s="461">
        <v>0</v>
      </c>
      <c r="AP95" s="461">
        <f t="shared" si="295"/>
        <v>0</v>
      </c>
      <c r="AQ95" s="461">
        <f t="shared" si="296"/>
        <v>0</v>
      </c>
      <c r="AR95" s="463">
        <f t="shared" si="297"/>
        <v>0</v>
      </c>
      <c r="AS95" s="469">
        <f t="shared" si="298"/>
        <v>0</v>
      </c>
      <c r="AT95" s="460">
        <f t="shared" si="299"/>
        <v>0</v>
      </c>
      <c r="AU95" s="460">
        <f t="shared" si="300"/>
        <v>0</v>
      </c>
      <c r="AV95" s="460">
        <f t="shared" si="301"/>
        <v>0</v>
      </c>
      <c r="AW95" s="460">
        <f t="shared" si="301"/>
        <v>0</v>
      </c>
      <c r="AX95" s="460">
        <f t="shared" si="302"/>
        <v>0</v>
      </c>
      <c r="AY95" s="461">
        <f t="shared" si="303"/>
        <v>0</v>
      </c>
      <c r="AZ95" s="461">
        <f t="shared" si="304"/>
        <v>0</v>
      </c>
      <c r="BA95" s="463">
        <f t="shared" si="304"/>
        <v>0</v>
      </c>
    </row>
    <row r="96" spans="1:53" x14ac:dyDescent="0.2">
      <c r="A96" s="211">
        <v>17</v>
      </c>
      <c r="B96" s="212">
        <v>3445</v>
      </c>
      <c r="C96" s="212">
        <v>600078604</v>
      </c>
      <c r="D96" s="212">
        <v>70695849</v>
      </c>
      <c r="E96" s="210" t="s">
        <v>118</v>
      </c>
      <c r="F96" s="212">
        <v>3141</v>
      </c>
      <c r="G96" s="213" t="s">
        <v>311</v>
      </c>
      <c r="H96" s="214" t="s">
        <v>278</v>
      </c>
      <c r="I96" s="462">
        <f t="shared" si="283"/>
        <v>612391</v>
      </c>
      <c r="J96" s="457">
        <v>452599</v>
      </c>
      <c r="K96" s="457">
        <f t="shared" si="284"/>
        <v>152978</v>
      </c>
      <c r="L96" s="457">
        <f t="shared" si="285"/>
        <v>4526</v>
      </c>
      <c r="M96" s="457">
        <v>2288</v>
      </c>
      <c r="N96" s="458">
        <f t="shared" si="286"/>
        <v>1.45</v>
      </c>
      <c r="O96" s="459">
        <v>0</v>
      </c>
      <c r="P96" s="468">
        <v>1.45</v>
      </c>
      <c r="Q96" s="470">
        <f t="shared" si="287"/>
        <v>0</v>
      </c>
      <c r="R96" s="460">
        <v>0</v>
      </c>
      <c r="S96" s="673">
        <v>0</v>
      </c>
      <c r="T96" s="460">
        <v>0</v>
      </c>
      <c r="U96" s="460">
        <v>0</v>
      </c>
      <c r="V96" s="460">
        <f t="shared" si="288"/>
        <v>0</v>
      </c>
      <c r="W96" s="460">
        <v>0</v>
      </c>
      <c r="X96" s="460">
        <v>0</v>
      </c>
      <c r="Y96" s="460">
        <v>0</v>
      </c>
      <c r="Z96" s="460">
        <f t="shared" si="289"/>
        <v>0</v>
      </c>
      <c r="AA96" s="460">
        <f t="shared" si="290"/>
        <v>0</v>
      </c>
      <c r="AB96" s="69">
        <f t="shared" si="291"/>
        <v>0</v>
      </c>
      <c r="AC96" s="69">
        <f t="shared" si="292"/>
        <v>0</v>
      </c>
      <c r="AD96" s="460">
        <v>0</v>
      </c>
      <c r="AE96" s="460">
        <v>0</v>
      </c>
      <c r="AF96" s="460">
        <f t="shared" si="293"/>
        <v>0</v>
      </c>
      <c r="AG96" s="460">
        <f t="shared" si="294"/>
        <v>0</v>
      </c>
      <c r="AH96" s="461">
        <v>0</v>
      </c>
      <c r="AI96" s="461">
        <v>0</v>
      </c>
      <c r="AJ96" s="461">
        <v>0</v>
      </c>
      <c r="AK96" s="461">
        <v>0</v>
      </c>
      <c r="AL96" s="674">
        <v>0</v>
      </c>
      <c r="AM96" s="461">
        <v>0</v>
      </c>
      <c r="AN96" s="461">
        <v>0</v>
      </c>
      <c r="AO96" s="461">
        <v>0</v>
      </c>
      <c r="AP96" s="461">
        <f t="shared" si="295"/>
        <v>0</v>
      </c>
      <c r="AQ96" s="461">
        <f t="shared" si="296"/>
        <v>0</v>
      </c>
      <c r="AR96" s="463">
        <f t="shared" si="297"/>
        <v>0</v>
      </c>
      <c r="AS96" s="469">
        <f t="shared" si="298"/>
        <v>612391</v>
      </c>
      <c r="AT96" s="460">
        <f t="shared" si="299"/>
        <v>452599</v>
      </c>
      <c r="AU96" s="460">
        <f t="shared" si="300"/>
        <v>0</v>
      </c>
      <c r="AV96" s="460">
        <f t="shared" si="301"/>
        <v>152978</v>
      </c>
      <c r="AW96" s="460">
        <f t="shared" si="301"/>
        <v>4526</v>
      </c>
      <c r="AX96" s="460">
        <f t="shared" si="302"/>
        <v>2288</v>
      </c>
      <c r="AY96" s="461">
        <f t="shared" si="303"/>
        <v>1.45</v>
      </c>
      <c r="AZ96" s="461">
        <f t="shared" si="304"/>
        <v>0</v>
      </c>
      <c r="BA96" s="463">
        <f t="shared" si="304"/>
        <v>1.45</v>
      </c>
    </row>
    <row r="97" spans="1:53" s="3" customFormat="1" x14ac:dyDescent="0.2">
      <c r="A97" s="211">
        <v>17</v>
      </c>
      <c r="B97" s="212">
        <v>3445</v>
      </c>
      <c r="C97" s="212">
        <v>600078604</v>
      </c>
      <c r="D97" s="212">
        <v>70695849</v>
      </c>
      <c r="E97" s="210" t="s">
        <v>118</v>
      </c>
      <c r="F97" s="212">
        <v>3143</v>
      </c>
      <c r="G97" s="213" t="s">
        <v>616</v>
      </c>
      <c r="H97" s="234" t="s">
        <v>277</v>
      </c>
      <c r="I97" s="462">
        <f t="shared" si="283"/>
        <v>514709</v>
      </c>
      <c r="J97" s="457">
        <v>381832</v>
      </c>
      <c r="K97" s="457">
        <f t="shared" si="284"/>
        <v>129059</v>
      </c>
      <c r="L97" s="457">
        <f t="shared" si="285"/>
        <v>3818</v>
      </c>
      <c r="M97" s="457">
        <v>0</v>
      </c>
      <c r="N97" s="458">
        <f t="shared" si="286"/>
        <v>0.88329999999999997</v>
      </c>
      <c r="O97" s="459">
        <v>0.88329999999999997</v>
      </c>
      <c r="P97" s="468">
        <v>0</v>
      </c>
      <c r="Q97" s="470">
        <f t="shared" si="287"/>
        <v>-16900</v>
      </c>
      <c r="R97" s="460">
        <v>0</v>
      </c>
      <c r="S97" s="673">
        <v>0</v>
      </c>
      <c r="T97" s="460">
        <v>0</v>
      </c>
      <c r="U97" s="460">
        <v>0</v>
      </c>
      <c r="V97" s="460">
        <f t="shared" si="288"/>
        <v>-16900</v>
      </c>
      <c r="W97" s="460">
        <v>16900</v>
      </c>
      <c r="X97" s="460">
        <v>0</v>
      </c>
      <c r="Y97" s="460">
        <v>0</v>
      </c>
      <c r="Z97" s="460">
        <f t="shared" si="289"/>
        <v>16900</v>
      </c>
      <c r="AA97" s="460">
        <f t="shared" si="290"/>
        <v>0</v>
      </c>
      <c r="AB97" s="69">
        <f t="shared" si="291"/>
        <v>0</v>
      </c>
      <c r="AC97" s="69">
        <f t="shared" si="292"/>
        <v>-169</v>
      </c>
      <c r="AD97" s="460">
        <v>0</v>
      </c>
      <c r="AE97" s="460">
        <v>0</v>
      </c>
      <c r="AF97" s="460">
        <f t="shared" si="293"/>
        <v>0</v>
      </c>
      <c r="AG97" s="460">
        <f t="shared" si="294"/>
        <v>-169</v>
      </c>
      <c r="AH97" s="461">
        <v>0</v>
      </c>
      <c r="AI97" s="461">
        <v>-0.06</v>
      </c>
      <c r="AJ97" s="461">
        <v>0</v>
      </c>
      <c r="AK97" s="461">
        <v>0</v>
      </c>
      <c r="AL97" s="674">
        <v>0</v>
      </c>
      <c r="AM97" s="461">
        <v>0</v>
      </c>
      <c r="AN97" s="461">
        <v>0</v>
      </c>
      <c r="AO97" s="461">
        <v>0</v>
      </c>
      <c r="AP97" s="461">
        <f t="shared" si="295"/>
        <v>0</v>
      </c>
      <c r="AQ97" s="461">
        <f t="shared" si="296"/>
        <v>-0.06</v>
      </c>
      <c r="AR97" s="463">
        <f t="shared" si="297"/>
        <v>-0.06</v>
      </c>
      <c r="AS97" s="469">
        <f t="shared" si="298"/>
        <v>514540</v>
      </c>
      <c r="AT97" s="460">
        <f t="shared" si="299"/>
        <v>364932</v>
      </c>
      <c r="AU97" s="460">
        <f t="shared" si="300"/>
        <v>16900</v>
      </c>
      <c r="AV97" s="460">
        <f t="shared" si="301"/>
        <v>129059</v>
      </c>
      <c r="AW97" s="460">
        <f t="shared" si="301"/>
        <v>3649</v>
      </c>
      <c r="AX97" s="460">
        <f t="shared" si="302"/>
        <v>0</v>
      </c>
      <c r="AY97" s="461">
        <f t="shared" si="303"/>
        <v>0.82329999999999992</v>
      </c>
      <c r="AZ97" s="461">
        <f t="shared" si="304"/>
        <v>0.88329999999999997</v>
      </c>
      <c r="BA97" s="463">
        <f t="shared" si="304"/>
        <v>-0.06</v>
      </c>
    </row>
    <row r="98" spans="1:53" s="3" customFormat="1" x14ac:dyDescent="0.2">
      <c r="A98" s="211">
        <v>17</v>
      </c>
      <c r="B98" s="212">
        <v>3445</v>
      </c>
      <c r="C98" s="212">
        <v>600078604</v>
      </c>
      <c r="D98" s="212">
        <v>70695849</v>
      </c>
      <c r="E98" s="210" t="s">
        <v>118</v>
      </c>
      <c r="F98" s="212">
        <v>3143</v>
      </c>
      <c r="G98" s="213" t="s">
        <v>617</v>
      </c>
      <c r="H98" s="234" t="s">
        <v>278</v>
      </c>
      <c r="I98" s="462">
        <f t="shared" si="283"/>
        <v>12462</v>
      </c>
      <c r="J98" s="457">
        <v>8904</v>
      </c>
      <c r="K98" s="457">
        <f t="shared" si="284"/>
        <v>3010</v>
      </c>
      <c r="L98" s="457">
        <f t="shared" si="285"/>
        <v>89</v>
      </c>
      <c r="M98" s="457">
        <v>459</v>
      </c>
      <c r="N98" s="458">
        <f t="shared" si="286"/>
        <v>0.04</v>
      </c>
      <c r="O98" s="459">
        <v>0</v>
      </c>
      <c r="P98" s="468">
        <v>0.04</v>
      </c>
      <c r="Q98" s="470">
        <f t="shared" si="287"/>
        <v>0</v>
      </c>
      <c r="R98" s="460">
        <v>0</v>
      </c>
      <c r="S98" s="673">
        <v>0</v>
      </c>
      <c r="T98" s="460">
        <v>0</v>
      </c>
      <c r="U98" s="460">
        <v>0</v>
      </c>
      <c r="V98" s="460">
        <f t="shared" si="288"/>
        <v>0</v>
      </c>
      <c r="W98" s="460">
        <v>0</v>
      </c>
      <c r="X98" s="460">
        <v>0</v>
      </c>
      <c r="Y98" s="460">
        <v>0</v>
      </c>
      <c r="Z98" s="460">
        <f t="shared" si="289"/>
        <v>0</v>
      </c>
      <c r="AA98" s="460">
        <f t="shared" si="290"/>
        <v>0</v>
      </c>
      <c r="AB98" s="69">
        <f t="shared" si="291"/>
        <v>0</v>
      </c>
      <c r="AC98" s="69">
        <f t="shared" si="292"/>
        <v>0</v>
      </c>
      <c r="AD98" s="460">
        <v>0</v>
      </c>
      <c r="AE98" s="460">
        <v>0</v>
      </c>
      <c r="AF98" s="460">
        <f t="shared" si="293"/>
        <v>0</v>
      </c>
      <c r="AG98" s="460">
        <f t="shared" si="294"/>
        <v>0</v>
      </c>
      <c r="AH98" s="461">
        <v>0</v>
      </c>
      <c r="AI98" s="461">
        <v>0</v>
      </c>
      <c r="AJ98" s="461">
        <v>0</v>
      </c>
      <c r="AK98" s="461">
        <v>0</v>
      </c>
      <c r="AL98" s="674">
        <v>0</v>
      </c>
      <c r="AM98" s="461">
        <v>0</v>
      </c>
      <c r="AN98" s="461">
        <v>0</v>
      </c>
      <c r="AO98" s="461">
        <v>0</v>
      </c>
      <c r="AP98" s="461">
        <f t="shared" si="295"/>
        <v>0</v>
      </c>
      <c r="AQ98" s="461">
        <f t="shared" si="296"/>
        <v>0</v>
      </c>
      <c r="AR98" s="463">
        <f t="shared" si="297"/>
        <v>0</v>
      </c>
      <c r="AS98" s="469">
        <f t="shared" si="298"/>
        <v>12462</v>
      </c>
      <c r="AT98" s="460">
        <f t="shared" si="299"/>
        <v>8904</v>
      </c>
      <c r="AU98" s="460">
        <f t="shared" si="300"/>
        <v>0</v>
      </c>
      <c r="AV98" s="460">
        <f t="shared" si="301"/>
        <v>3010</v>
      </c>
      <c r="AW98" s="460">
        <f t="shared" si="301"/>
        <v>89</v>
      </c>
      <c r="AX98" s="460">
        <f t="shared" si="302"/>
        <v>459</v>
      </c>
      <c r="AY98" s="461">
        <f t="shared" si="303"/>
        <v>0.04</v>
      </c>
      <c r="AZ98" s="461">
        <f t="shared" si="304"/>
        <v>0</v>
      </c>
      <c r="BA98" s="463">
        <f t="shared" si="304"/>
        <v>0.04</v>
      </c>
    </row>
    <row r="99" spans="1:53" ht="13.5" thickBot="1" x14ac:dyDescent="0.25">
      <c r="A99" s="162">
        <v>17</v>
      </c>
      <c r="B99" s="33">
        <v>3445</v>
      </c>
      <c r="C99" s="33">
        <v>600078604</v>
      </c>
      <c r="D99" s="33">
        <v>70695849</v>
      </c>
      <c r="E99" s="243" t="s">
        <v>119</v>
      </c>
      <c r="F99" s="33"/>
      <c r="G99" s="163"/>
      <c r="H99" s="244"/>
      <c r="I99" s="510">
        <f t="shared" ref="I99:BA99" si="305">SUM(I93:I98)</f>
        <v>5028111</v>
      </c>
      <c r="J99" s="511">
        <f t="shared" si="305"/>
        <v>3701401</v>
      </c>
      <c r="K99" s="511">
        <f t="shared" si="305"/>
        <v>1251074</v>
      </c>
      <c r="L99" s="511">
        <f t="shared" si="305"/>
        <v>37014</v>
      </c>
      <c r="M99" s="511">
        <f t="shared" si="305"/>
        <v>38622</v>
      </c>
      <c r="N99" s="512">
        <f t="shared" si="305"/>
        <v>7.8624000000000001</v>
      </c>
      <c r="O99" s="512">
        <f t="shared" si="305"/>
        <v>5.2016</v>
      </c>
      <c r="P99" s="513">
        <f t="shared" si="305"/>
        <v>2.6608000000000001</v>
      </c>
      <c r="Q99" s="652">
        <f t="shared" si="305"/>
        <v>-90350</v>
      </c>
      <c r="R99" s="653">
        <f t="shared" si="305"/>
        <v>0</v>
      </c>
      <c r="S99" s="653">
        <f t="shared" si="305"/>
        <v>0</v>
      </c>
      <c r="T99" s="653">
        <f t="shared" si="305"/>
        <v>0</v>
      </c>
      <c r="U99" s="653">
        <f t="shared" si="305"/>
        <v>0</v>
      </c>
      <c r="V99" s="653">
        <f t="shared" si="305"/>
        <v>-90350</v>
      </c>
      <c r="W99" s="653">
        <f t="shared" si="305"/>
        <v>90350</v>
      </c>
      <c r="X99" s="653">
        <f t="shared" si="305"/>
        <v>0</v>
      </c>
      <c r="Y99" s="653">
        <f t="shared" si="305"/>
        <v>0</v>
      </c>
      <c r="Z99" s="653">
        <f t="shared" si="305"/>
        <v>90350</v>
      </c>
      <c r="AA99" s="653">
        <f t="shared" si="305"/>
        <v>0</v>
      </c>
      <c r="AB99" s="653">
        <f t="shared" si="305"/>
        <v>0</v>
      </c>
      <c r="AC99" s="653">
        <f t="shared" si="305"/>
        <v>-904</v>
      </c>
      <c r="AD99" s="653">
        <f t="shared" si="305"/>
        <v>0</v>
      </c>
      <c r="AE99" s="653">
        <f t="shared" si="305"/>
        <v>0</v>
      </c>
      <c r="AF99" s="653">
        <f t="shared" si="305"/>
        <v>0</v>
      </c>
      <c r="AG99" s="653">
        <f t="shared" si="305"/>
        <v>-904</v>
      </c>
      <c r="AH99" s="654">
        <f t="shared" si="305"/>
        <v>-0.04</v>
      </c>
      <c r="AI99" s="654">
        <f t="shared" si="305"/>
        <v>-0.27</v>
      </c>
      <c r="AJ99" s="654">
        <f t="shared" si="305"/>
        <v>0</v>
      </c>
      <c r="AK99" s="654">
        <f t="shared" si="305"/>
        <v>0</v>
      </c>
      <c r="AL99" s="654">
        <f t="shared" si="305"/>
        <v>0</v>
      </c>
      <c r="AM99" s="654">
        <f t="shared" si="305"/>
        <v>0</v>
      </c>
      <c r="AN99" s="654">
        <f t="shared" si="305"/>
        <v>0</v>
      </c>
      <c r="AO99" s="654">
        <f t="shared" si="305"/>
        <v>0</v>
      </c>
      <c r="AP99" s="654">
        <f t="shared" si="305"/>
        <v>-0.04</v>
      </c>
      <c r="AQ99" s="654">
        <f t="shared" si="305"/>
        <v>-0.27</v>
      </c>
      <c r="AR99" s="655">
        <f t="shared" si="305"/>
        <v>-0.31</v>
      </c>
      <c r="AS99" s="515">
        <f t="shared" si="305"/>
        <v>5027207</v>
      </c>
      <c r="AT99" s="511">
        <f t="shared" si="305"/>
        <v>3611051</v>
      </c>
      <c r="AU99" s="511">
        <f t="shared" si="305"/>
        <v>90350</v>
      </c>
      <c r="AV99" s="511">
        <f t="shared" si="305"/>
        <v>1251074</v>
      </c>
      <c r="AW99" s="511">
        <f t="shared" si="305"/>
        <v>36110</v>
      </c>
      <c r="AX99" s="511">
        <f t="shared" si="305"/>
        <v>38622</v>
      </c>
      <c r="AY99" s="512">
        <f t="shared" si="305"/>
        <v>7.5523999999999996</v>
      </c>
      <c r="AZ99" s="512">
        <f t="shared" si="305"/>
        <v>5.1616</v>
      </c>
      <c r="BA99" s="514">
        <f t="shared" si="305"/>
        <v>2.3908</v>
      </c>
    </row>
    <row r="100" spans="1:53" ht="13.5" thickBot="1" x14ac:dyDescent="0.25">
      <c r="A100" s="164"/>
      <c r="B100" s="30"/>
      <c r="C100" s="30"/>
      <c r="D100" s="30"/>
      <c r="E100" s="86" t="s">
        <v>774</v>
      </c>
      <c r="F100" s="30"/>
      <c r="G100" s="165"/>
      <c r="H100" s="192"/>
      <c r="I100" s="516">
        <f t="shared" ref="I100:BA100" si="306">I15+I17+I23+I28+I30+I37+I44+I48+I54+I61+I65+I71+I75+I81+I85+I92+I99</f>
        <v>238524540</v>
      </c>
      <c r="J100" s="517">
        <f t="shared" si="306"/>
        <v>174661282</v>
      </c>
      <c r="K100" s="517">
        <f t="shared" si="306"/>
        <v>59035515</v>
      </c>
      <c r="L100" s="517">
        <f t="shared" si="306"/>
        <v>1746616</v>
      </c>
      <c r="M100" s="517">
        <f t="shared" si="306"/>
        <v>3081127</v>
      </c>
      <c r="N100" s="518">
        <f t="shared" si="306"/>
        <v>343.83929999999998</v>
      </c>
      <c r="O100" s="518">
        <f t="shared" si="306"/>
        <v>247.51449999999997</v>
      </c>
      <c r="P100" s="519">
        <f t="shared" si="306"/>
        <v>96.324799999999996</v>
      </c>
      <c r="Q100" s="648">
        <f t="shared" si="306"/>
        <v>-840294</v>
      </c>
      <c r="R100" s="649">
        <f t="shared" si="306"/>
        <v>20131414</v>
      </c>
      <c r="S100" s="649">
        <f t="shared" si="306"/>
        <v>0</v>
      </c>
      <c r="T100" s="649">
        <f t="shared" si="306"/>
        <v>111420</v>
      </c>
      <c r="U100" s="649">
        <f t="shared" si="306"/>
        <v>109519</v>
      </c>
      <c r="V100" s="649">
        <f t="shared" si="306"/>
        <v>19512059</v>
      </c>
      <c r="W100" s="649">
        <f t="shared" si="306"/>
        <v>840294</v>
      </c>
      <c r="X100" s="649">
        <f t="shared" si="306"/>
        <v>434160</v>
      </c>
      <c r="Y100" s="649">
        <f t="shared" si="306"/>
        <v>0</v>
      </c>
      <c r="Z100" s="649">
        <f t="shared" si="306"/>
        <v>1274454</v>
      </c>
      <c r="AA100" s="649">
        <f t="shared" si="306"/>
        <v>20786513</v>
      </c>
      <c r="AB100" s="649">
        <f t="shared" si="306"/>
        <v>7025840</v>
      </c>
      <c r="AC100" s="649">
        <f t="shared" si="306"/>
        <v>195117</v>
      </c>
      <c r="AD100" s="649">
        <f t="shared" si="306"/>
        <v>8200</v>
      </c>
      <c r="AE100" s="649">
        <f t="shared" si="306"/>
        <v>0</v>
      </c>
      <c r="AF100" s="649">
        <f t="shared" si="306"/>
        <v>8200</v>
      </c>
      <c r="AG100" s="649">
        <f t="shared" si="306"/>
        <v>28015670</v>
      </c>
      <c r="AH100" s="650">
        <f t="shared" si="306"/>
        <v>-0.35999999999999993</v>
      </c>
      <c r="AI100" s="650">
        <f t="shared" si="306"/>
        <v>-1.6800000000000002</v>
      </c>
      <c r="AJ100" s="650">
        <f t="shared" si="306"/>
        <v>58.100000000000009</v>
      </c>
      <c r="AK100" s="650">
        <f t="shared" si="306"/>
        <v>0</v>
      </c>
      <c r="AL100" s="650">
        <f t="shared" si="306"/>
        <v>0</v>
      </c>
      <c r="AM100" s="650">
        <f t="shared" si="306"/>
        <v>0.16999999999999998</v>
      </c>
      <c r="AN100" s="650">
        <f t="shared" si="306"/>
        <v>0.2273</v>
      </c>
      <c r="AO100" s="650">
        <f t="shared" si="306"/>
        <v>0</v>
      </c>
      <c r="AP100" s="650">
        <f t="shared" si="306"/>
        <v>58.13730000000001</v>
      </c>
      <c r="AQ100" s="650">
        <f t="shared" si="306"/>
        <v>-1.6800000000000002</v>
      </c>
      <c r="AR100" s="651">
        <f t="shared" si="306"/>
        <v>56.457300000000011</v>
      </c>
      <c r="AS100" s="521">
        <f t="shared" si="306"/>
        <v>266540210</v>
      </c>
      <c r="AT100" s="517">
        <f t="shared" si="306"/>
        <v>194173341</v>
      </c>
      <c r="AU100" s="517">
        <f t="shared" si="306"/>
        <v>1274454</v>
      </c>
      <c r="AV100" s="517">
        <f t="shared" si="306"/>
        <v>66061355</v>
      </c>
      <c r="AW100" s="517">
        <f t="shared" si="306"/>
        <v>1941733</v>
      </c>
      <c r="AX100" s="517">
        <f t="shared" si="306"/>
        <v>3089327</v>
      </c>
      <c r="AY100" s="518">
        <f t="shared" si="306"/>
        <v>400.2965999999999</v>
      </c>
      <c r="AZ100" s="518">
        <f t="shared" si="306"/>
        <v>305.65180000000004</v>
      </c>
      <c r="BA100" s="520">
        <f t="shared" si="306"/>
        <v>94.644799999999989</v>
      </c>
    </row>
    <row r="101" spans="1:53" x14ac:dyDescent="0.2">
      <c r="D101" s="9"/>
      <c r="E101" s="5"/>
      <c r="F101" s="9"/>
      <c r="G101" s="20"/>
      <c r="H101" s="5"/>
      <c r="I101" s="474">
        <f>SUM(J100:M100)</f>
        <v>238524540</v>
      </c>
      <c r="J101" s="474"/>
      <c r="K101" s="474"/>
      <c r="L101" s="474"/>
      <c r="M101" s="474"/>
      <c r="N101" s="475">
        <f>SUM(O100:P100)</f>
        <v>343.83929999999998</v>
      </c>
      <c r="O101" s="475"/>
      <c r="P101" s="475"/>
      <c r="Q101" s="474">
        <f>W100</f>
        <v>840294</v>
      </c>
      <c r="R101" s="475"/>
      <c r="S101" s="475"/>
      <c r="T101" s="475"/>
      <c r="U101" s="475"/>
      <c r="V101" s="481">
        <f>SUM(Q100:U100)</f>
        <v>19512059</v>
      </c>
      <c r="W101" s="481">
        <f>Q100</f>
        <v>-840294</v>
      </c>
      <c r="X101" s="482"/>
      <c r="Y101" s="482"/>
      <c r="Z101" s="481">
        <f>SUM(W100:Y100)</f>
        <v>1274454</v>
      </c>
      <c r="AA101" s="481">
        <f>V100+Z100</f>
        <v>20786513</v>
      </c>
      <c r="AB101" s="483"/>
      <c r="AC101" s="483"/>
      <c r="AD101" s="482"/>
      <c r="AE101" s="482"/>
      <c r="AF101" s="481">
        <f>SUM(AD100:AE100)</f>
        <v>8200</v>
      </c>
      <c r="AG101" s="481">
        <f>AA100+AB100+AC100+AF100</f>
        <v>28015670</v>
      </c>
      <c r="AH101" s="484"/>
      <c r="AI101" s="484"/>
      <c r="AJ101" s="484"/>
      <c r="AK101" s="484"/>
      <c r="AL101" s="484"/>
      <c r="AM101" s="484"/>
      <c r="AN101" s="484"/>
      <c r="AO101" s="484"/>
      <c r="AP101" s="636">
        <f>AH100+AJ100+AK100+AM100+AN100</f>
        <v>58.13730000000001</v>
      </c>
      <c r="AQ101" s="636">
        <f>AI100+AL100+AO100</f>
        <v>-1.6800000000000002</v>
      </c>
      <c r="AR101" s="636">
        <f>SUM(AP100:AQ100)</f>
        <v>56.457300000000011</v>
      </c>
      <c r="AS101" s="474">
        <f>SUM(AT100:AX100)</f>
        <v>266540210</v>
      </c>
      <c r="AT101" s="54"/>
      <c r="AU101" s="54"/>
      <c r="AV101" s="54"/>
      <c r="AW101" s="54"/>
      <c r="AX101" s="54"/>
      <c r="AY101" s="475">
        <f>SUM(AZ100:BA100)</f>
        <v>400.29660000000001</v>
      </c>
      <c r="AZ101" s="89"/>
      <c r="BA101" s="89"/>
    </row>
    <row r="102" spans="1:53" ht="13.5" thickBot="1" x14ac:dyDescent="0.25">
      <c r="D102" s="9"/>
      <c r="E102" s="5"/>
      <c r="F102" s="9"/>
      <c r="G102" s="20"/>
      <c r="H102" s="5"/>
      <c r="I102" s="87">
        <f>SUM(J103:M103)</f>
        <v>238524540</v>
      </c>
      <c r="J102" s="52"/>
      <c r="K102" s="480"/>
      <c r="L102" s="480"/>
      <c r="M102" s="52"/>
      <c r="N102" s="88">
        <f>SUM(O103:P103)</f>
        <v>343.83929999999998</v>
      </c>
      <c r="O102" s="179"/>
      <c r="P102" s="179"/>
      <c r="Q102" s="475"/>
      <c r="R102" s="475"/>
      <c r="S102" s="475"/>
      <c r="T102" s="475"/>
      <c r="U102" s="475"/>
      <c r="V102" s="481">
        <f>SUM(Q103:U103)</f>
        <v>19512059</v>
      </c>
      <c r="W102" s="482"/>
      <c r="X102" s="482"/>
      <c r="Y102" s="482"/>
      <c r="Z102" s="481">
        <f>SUM(W103:Y103)</f>
        <v>1274454</v>
      </c>
      <c r="AA102" s="481">
        <f>V103+Z103</f>
        <v>20786513</v>
      </c>
      <c r="AB102" s="483"/>
      <c r="AC102" s="483"/>
      <c r="AD102" s="482"/>
      <c r="AE102" s="482"/>
      <c r="AF102" s="481">
        <f>SUM(AD103:AE103)</f>
        <v>8200</v>
      </c>
      <c r="AG102" s="481">
        <f>AA103+AB103+AC103+AF103</f>
        <v>28015670</v>
      </c>
      <c r="AH102" s="484"/>
      <c r="AI102" s="484"/>
      <c r="AJ102" s="484"/>
      <c r="AK102" s="484"/>
      <c r="AL102" s="484"/>
      <c r="AM102" s="484"/>
      <c r="AN102" s="484"/>
      <c r="AO102" s="484"/>
      <c r="AP102" s="606">
        <f>AH103+AJ103+AK103+AM103+AN103</f>
        <v>58.137300000000003</v>
      </c>
      <c r="AQ102" s="606">
        <f>AI103+AL103+AO103</f>
        <v>-1.6800000000000002</v>
      </c>
      <c r="AR102" s="606">
        <f>SUM(AP103:AQ103)</f>
        <v>56.457300000000011</v>
      </c>
      <c r="AS102" s="474">
        <f>SUM(AT103:AX103)</f>
        <v>266540210</v>
      </c>
      <c r="AT102" s="54"/>
      <c r="AU102" s="54"/>
      <c r="AV102" s="54"/>
      <c r="AW102" s="54"/>
      <c r="AX102" s="54"/>
      <c r="AY102" s="475">
        <f>SUM(AZ103:BA103)</f>
        <v>400.29660000000007</v>
      </c>
      <c r="AZ102" s="89"/>
      <c r="BA102" s="89"/>
    </row>
    <row r="103" spans="1:53" ht="13.5" thickBot="1" x14ac:dyDescent="0.25">
      <c r="D103" s="9"/>
      <c r="E103" s="5"/>
      <c r="F103" s="9"/>
      <c r="G103" s="20"/>
      <c r="H103" s="493" t="s">
        <v>0</v>
      </c>
      <c r="I103" s="142">
        <f t="shared" ref="I103:BA103" si="307">SUM(I104:I113)</f>
        <v>238524540</v>
      </c>
      <c r="J103" s="34">
        <f t="shared" si="307"/>
        <v>174661282</v>
      </c>
      <c r="K103" s="34">
        <f t="shared" si="307"/>
        <v>59035515</v>
      </c>
      <c r="L103" s="34">
        <f t="shared" si="307"/>
        <v>1746616</v>
      </c>
      <c r="M103" s="34">
        <f t="shared" si="307"/>
        <v>3081127</v>
      </c>
      <c r="N103" s="35">
        <f t="shared" si="307"/>
        <v>343.83929999999998</v>
      </c>
      <c r="O103" s="35">
        <f t="shared" si="307"/>
        <v>247.51449999999997</v>
      </c>
      <c r="P103" s="151">
        <f t="shared" si="307"/>
        <v>96.324799999999982</v>
      </c>
      <c r="Q103" s="142">
        <f t="shared" si="307"/>
        <v>-840294</v>
      </c>
      <c r="R103" s="34">
        <f t="shared" si="307"/>
        <v>20131414</v>
      </c>
      <c r="S103" s="34">
        <f t="shared" si="307"/>
        <v>0</v>
      </c>
      <c r="T103" s="34">
        <f t="shared" si="307"/>
        <v>111420</v>
      </c>
      <c r="U103" s="34">
        <f t="shared" si="307"/>
        <v>109519</v>
      </c>
      <c r="V103" s="34">
        <f t="shared" si="307"/>
        <v>19512059</v>
      </c>
      <c r="W103" s="34">
        <f t="shared" si="307"/>
        <v>840294</v>
      </c>
      <c r="X103" s="34">
        <f t="shared" si="307"/>
        <v>434160</v>
      </c>
      <c r="Y103" s="34">
        <f t="shared" si="307"/>
        <v>0</v>
      </c>
      <c r="Z103" s="34">
        <f t="shared" si="307"/>
        <v>1274454</v>
      </c>
      <c r="AA103" s="34">
        <f t="shared" si="307"/>
        <v>20786513</v>
      </c>
      <c r="AB103" s="34">
        <f t="shared" si="307"/>
        <v>7025840</v>
      </c>
      <c r="AC103" s="34">
        <f t="shared" si="307"/>
        <v>195117</v>
      </c>
      <c r="AD103" s="34">
        <f t="shared" si="307"/>
        <v>8200</v>
      </c>
      <c r="AE103" s="34">
        <f t="shared" si="307"/>
        <v>0</v>
      </c>
      <c r="AF103" s="34">
        <f t="shared" si="307"/>
        <v>8200</v>
      </c>
      <c r="AG103" s="34">
        <f t="shared" si="307"/>
        <v>28015670</v>
      </c>
      <c r="AH103" s="35">
        <f t="shared" si="307"/>
        <v>-0.36</v>
      </c>
      <c r="AI103" s="35">
        <f t="shared" si="307"/>
        <v>-1.6800000000000002</v>
      </c>
      <c r="AJ103" s="35">
        <f t="shared" si="307"/>
        <v>58.1</v>
      </c>
      <c r="AK103" s="35">
        <f t="shared" si="307"/>
        <v>0</v>
      </c>
      <c r="AL103" s="35">
        <f t="shared" si="307"/>
        <v>0</v>
      </c>
      <c r="AM103" s="35">
        <f t="shared" si="307"/>
        <v>0.16999999999999998</v>
      </c>
      <c r="AN103" s="35">
        <f t="shared" si="307"/>
        <v>0.2273</v>
      </c>
      <c r="AO103" s="35">
        <f t="shared" si="307"/>
        <v>0</v>
      </c>
      <c r="AP103" s="35">
        <f t="shared" si="307"/>
        <v>58.13730000000001</v>
      </c>
      <c r="AQ103" s="35">
        <f t="shared" si="307"/>
        <v>-1.6800000000000002</v>
      </c>
      <c r="AR103" s="151">
        <f t="shared" si="307"/>
        <v>56.457299999999996</v>
      </c>
      <c r="AS103" s="142">
        <f t="shared" si="307"/>
        <v>266540210</v>
      </c>
      <c r="AT103" s="34">
        <f t="shared" si="307"/>
        <v>194173341</v>
      </c>
      <c r="AU103" s="34">
        <f t="shared" si="307"/>
        <v>1274454</v>
      </c>
      <c r="AV103" s="34">
        <f t="shared" si="307"/>
        <v>66061355</v>
      </c>
      <c r="AW103" s="34">
        <f t="shared" si="307"/>
        <v>1941733</v>
      </c>
      <c r="AX103" s="34">
        <f t="shared" si="307"/>
        <v>3089327</v>
      </c>
      <c r="AY103" s="35">
        <f t="shared" si="307"/>
        <v>400.2965999999999</v>
      </c>
      <c r="AZ103" s="35">
        <f t="shared" si="307"/>
        <v>305.65180000000004</v>
      </c>
      <c r="BA103" s="36">
        <f t="shared" si="307"/>
        <v>94.644800000000018</v>
      </c>
    </row>
    <row r="104" spans="1:53" x14ac:dyDescent="0.2">
      <c r="D104" s="9"/>
      <c r="E104" s="5"/>
      <c r="F104" s="9"/>
      <c r="G104" s="20"/>
      <c r="H104" s="494">
        <v>3111</v>
      </c>
      <c r="I104" s="580">
        <f t="shared" ref="I104:BA104" si="308">SUMIF($F$12:$F$463,"=3111",I$12:I$463)</f>
        <v>49036731</v>
      </c>
      <c r="J104" s="581">
        <f t="shared" si="308"/>
        <v>36183406</v>
      </c>
      <c r="K104" s="581">
        <f t="shared" si="308"/>
        <v>12229991</v>
      </c>
      <c r="L104" s="581">
        <f t="shared" si="308"/>
        <v>361834</v>
      </c>
      <c r="M104" s="581">
        <f t="shared" si="308"/>
        <v>261500</v>
      </c>
      <c r="N104" s="584">
        <f t="shared" si="308"/>
        <v>74.214299999999994</v>
      </c>
      <c r="O104" s="584">
        <f t="shared" si="308"/>
        <v>57.674300000000002</v>
      </c>
      <c r="P104" s="585">
        <f t="shared" si="308"/>
        <v>16.539999999999996</v>
      </c>
      <c r="Q104" s="580">
        <f t="shared" si="308"/>
        <v>-279500</v>
      </c>
      <c r="R104" s="581">
        <f t="shared" si="308"/>
        <v>3031100</v>
      </c>
      <c r="S104" s="581">
        <f t="shared" si="308"/>
        <v>0</v>
      </c>
      <c r="T104" s="581">
        <f t="shared" si="308"/>
        <v>0</v>
      </c>
      <c r="U104" s="581">
        <f t="shared" si="308"/>
        <v>0</v>
      </c>
      <c r="V104" s="581">
        <f t="shared" si="308"/>
        <v>2751600</v>
      </c>
      <c r="W104" s="581">
        <f t="shared" si="308"/>
        <v>279500</v>
      </c>
      <c r="X104" s="581">
        <f t="shared" si="308"/>
        <v>0</v>
      </c>
      <c r="Y104" s="581">
        <f t="shared" si="308"/>
        <v>0</v>
      </c>
      <c r="Z104" s="581">
        <f t="shared" si="308"/>
        <v>279500</v>
      </c>
      <c r="AA104" s="581">
        <f t="shared" si="308"/>
        <v>3031100</v>
      </c>
      <c r="AB104" s="581">
        <f t="shared" si="308"/>
        <v>1024511</v>
      </c>
      <c r="AC104" s="581">
        <f t="shared" si="308"/>
        <v>27514</v>
      </c>
      <c r="AD104" s="581">
        <f t="shared" si="308"/>
        <v>0</v>
      </c>
      <c r="AE104" s="581">
        <f t="shared" si="308"/>
        <v>0</v>
      </c>
      <c r="AF104" s="581">
        <f t="shared" si="308"/>
        <v>0</v>
      </c>
      <c r="AG104" s="581">
        <f t="shared" si="308"/>
        <v>4083125</v>
      </c>
      <c r="AH104" s="584">
        <f t="shared" si="308"/>
        <v>-7.0000000000000007E-2</v>
      </c>
      <c r="AI104" s="584">
        <f t="shared" si="308"/>
        <v>-0.70000000000000007</v>
      </c>
      <c r="AJ104" s="584">
        <f t="shared" si="308"/>
        <v>9.69</v>
      </c>
      <c r="AK104" s="584">
        <f t="shared" si="308"/>
        <v>0</v>
      </c>
      <c r="AL104" s="584">
        <f t="shared" si="308"/>
        <v>0</v>
      </c>
      <c r="AM104" s="584">
        <f t="shared" si="308"/>
        <v>0</v>
      </c>
      <c r="AN104" s="584">
        <f t="shared" si="308"/>
        <v>0</v>
      </c>
      <c r="AO104" s="584">
        <f t="shared" si="308"/>
        <v>0</v>
      </c>
      <c r="AP104" s="584">
        <f t="shared" si="308"/>
        <v>9.620000000000001</v>
      </c>
      <c r="AQ104" s="584">
        <f t="shared" si="308"/>
        <v>-0.70000000000000007</v>
      </c>
      <c r="AR104" s="585">
        <f t="shared" si="308"/>
        <v>8.9199999999999982</v>
      </c>
      <c r="AS104" s="580">
        <f t="shared" si="308"/>
        <v>53119856</v>
      </c>
      <c r="AT104" s="581">
        <f t="shared" si="308"/>
        <v>38935006</v>
      </c>
      <c r="AU104" s="581">
        <f t="shared" si="308"/>
        <v>279500</v>
      </c>
      <c r="AV104" s="581">
        <f t="shared" si="308"/>
        <v>13254502</v>
      </c>
      <c r="AW104" s="581">
        <f t="shared" si="308"/>
        <v>389348</v>
      </c>
      <c r="AX104" s="581">
        <f t="shared" si="308"/>
        <v>261500</v>
      </c>
      <c r="AY104" s="584">
        <f t="shared" si="308"/>
        <v>83.134299999999982</v>
      </c>
      <c r="AZ104" s="584">
        <f t="shared" si="308"/>
        <v>67.294299999999993</v>
      </c>
      <c r="BA104" s="587">
        <f t="shared" si="308"/>
        <v>15.84</v>
      </c>
    </row>
    <row r="105" spans="1:53" x14ac:dyDescent="0.2">
      <c r="D105" s="9"/>
      <c r="E105" s="5"/>
      <c r="F105" s="9"/>
      <c r="G105" s="20"/>
      <c r="H105" s="2">
        <v>3113</v>
      </c>
      <c r="I105" s="170">
        <f t="shared" ref="I105:BA105" si="309">SUMIF($F$12:$F$463,"=3113",I$12:I$463)</f>
        <v>129787190</v>
      </c>
      <c r="J105" s="16">
        <f t="shared" si="309"/>
        <v>94433976</v>
      </c>
      <c r="K105" s="16">
        <f t="shared" si="309"/>
        <v>31918685</v>
      </c>
      <c r="L105" s="16">
        <f t="shared" si="309"/>
        <v>944339</v>
      </c>
      <c r="M105" s="16">
        <f t="shared" si="309"/>
        <v>2490190</v>
      </c>
      <c r="N105" s="13">
        <f t="shared" si="309"/>
        <v>169.86759999999998</v>
      </c>
      <c r="O105" s="13">
        <f t="shared" si="309"/>
        <v>136.09209999999999</v>
      </c>
      <c r="P105" s="172">
        <f t="shared" si="309"/>
        <v>33.775500000000001</v>
      </c>
      <c r="Q105" s="170">
        <f t="shared" si="309"/>
        <v>-136500</v>
      </c>
      <c r="R105" s="16">
        <f t="shared" si="309"/>
        <v>15706745</v>
      </c>
      <c r="S105" s="16">
        <f t="shared" si="309"/>
        <v>0</v>
      </c>
      <c r="T105" s="16">
        <f t="shared" si="309"/>
        <v>111420</v>
      </c>
      <c r="U105" s="16">
        <f t="shared" si="309"/>
        <v>135605</v>
      </c>
      <c r="V105" s="16">
        <f t="shared" si="309"/>
        <v>15817270</v>
      </c>
      <c r="W105" s="16">
        <f t="shared" si="309"/>
        <v>136500</v>
      </c>
      <c r="X105" s="16">
        <f t="shared" si="309"/>
        <v>420920</v>
      </c>
      <c r="Y105" s="16">
        <f t="shared" si="309"/>
        <v>0</v>
      </c>
      <c r="Z105" s="16">
        <f t="shared" si="309"/>
        <v>557420</v>
      </c>
      <c r="AA105" s="16">
        <f t="shared" si="309"/>
        <v>16374690</v>
      </c>
      <c r="AB105" s="16">
        <f t="shared" si="309"/>
        <v>5534644</v>
      </c>
      <c r="AC105" s="16">
        <f t="shared" si="309"/>
        <v>158173</v>
      </c>
      <c r="AD105" s="16">
        <f t="shared" si="309"/>
        <v>6200</v>
      </c>
      <c r="AE105" s="16">
        <f t="shared" si="309"/>
        <v>0</v>
      </c>
      <c r="AF105" s="16">
        <f t="shared" si="309"/>
        <v>6200</v>
      </c>
      <c r="AG105" s="16">
        <f t="shared" si="309"/>
        <v>22073707</v>
      </c>
      <c r="AH105" s="13">
        <f t="shared" si="309"/>
        <v>-0.02</v>
      </c>
      <c r="AI105" s="13">
        <f t="shared" si="309"/>
        <v>-0.2</v>
      </c>
      <c r="AJ105" s="13">
        <f t="shared" si="309"/>
        <v>44.42</v>
      </c>
      <c r="AK105" s="13">
        <f t="shared" si="309"/>
        <v>0</v>
      </c>
      <c r="AL105" s="13">
        <f t="shared" si="309"/>
        <v>0</v>
      </c>
      <c r="AM105" s="13">
        <f t="shared" si="309"/>
        <v>0.16999999999999998</v>
      </c>
      <c r="AN105" s="13">
        <f t="shared" si="309"/>
        <v>0.2273</v>
      </c>
      <c r="AO105" s="13">
        <f t="shared" si="309"/>
        <v>0</v>
      </c>
      <c r="AP105" s="13">
        <f t="shared" si="309"/>
        <v>44.797300000000007</v>
      </c>
      <c r="AQ105" s="13">
        <f t="shared" si="309"/>
        <v>-0.2</v>
      </c>
      <c r="AR105" s="172">
        <f t="shared" si="309"/>
        <v>44.597299999999997</v>
      </c>
      <c r="AS105" s="170">
        <f t="shared" si="309"/>
        <v>151860897</v>
      </c>
      <c r="AT105" s="16">
        <f t="shared" si="309"/>
        <v>110251246</v>
      </c>
      <c r="AU105" s="16">
        <f t="shared" si="309"/>
        <v>557420</v>
      </c>
      <c r="AV105" s="16">
        <f t="shared" si="309"/>
        <v>37453329</v>
      </c>
      <c r="AW105" s="16">
        <f t="shared" si="309"/>
        <v>1102512</v>
      </c>
      <c r="AX105" s="16">
        <f t="shared" si="309"/>
        <v>2496390</v>
      </c>
      <c r="AY105" s="13">
        <f t="shared" si="309"/>
        <v>214.46489999999994</v>
      </c>
      <c r="AZ105" s="13">
        <f t="shared" si="309"/>
        <v>180.88940000000002</v>
      </c>
      <c r="BA105" s="17">
        <f t="shared" si="309"/>
        <v>33.575500000000005</v>
      </c>
    </row>
    <row r="106" spans="1:53" x14ac:dyDescent="0.2">
      <c r="D106" s="9"/>
      <c r="E106" s="5"/>
      <c r="F106" s="9"/>
      <c r="G106" s="20"/>
      <c r="H106" s="2">
        <v>3114</v>
      </c>
      <c r="I106" s="170">
        <f t="shared" ref="I106:BA106" si="310">SUMIF($F$12:$F$463,"=3114",I$12:I$463)</f>
        <v>0</v>
      </c>
      <c r="J106" s="16">
        <f t="shared" si="310"/>
        <v>0</v>
      </c>
      <c r="K106" s="16">
        <f t="shared" si="310"/>
        <v>0</v>
      </c>
      <c r="L106" s="16">
        <f t="shared" si="310"/>
        <v>0</v>
      </c>
      <c r="M106" s="16">
        <f t="shared" si="310"/>
        <v>0</v>
      </c>
      <c r="N106" s="13">
        <f t="shared" si="310"/>
        <v>0</v>
      </c>
      <c r="O106" s="13">
        <f t="shared" si="310"/>
        <v>0</v>
      </c>
      <c r="P106" s="172">
        <f t="shared" si="310"/>
        <v>0</v>
      </c>
      <c r="Q106" s="170">
        <f t="shared" si="310"/>
        <v>0</v>
      </c>
      <c r="R106" s="16">
        <f t="shared" si="310"/>
        <v>0</v>
      </c>
      <c r="S106" s="16">
        <f t="shared" si="310"/>
        <v>0</v>
      </c>
      <c r="T106" s="16">
        <f t="shared" si="310"/>
        <v>0</v>
      </c>
      <c r="U106" s="16">
        <f t="shared" si="310"/>
        <v>0</v>
      </c>
      <c r="V106" s="16">
        <f t="shared" si="310"/>
        <v>0</v>
      </c>
      <c r="W106" s="16">
        <f t="shared" si="310"/>
        <v>0</v>
      </c>
      <c r="X106" s="16">
        <f t="shared" si="310"/>
        <v>0</v>
      </c>
      <c r="Y106" s="16">
        <f t="shared" si="310"/>
        <v>0</v>
      </c>
      <c r="Z106" s="16">
        <f t="shared" si="310"/>
        <v>0</v>
      </c>
      <c r="AA106" s="16">
        <f t="shared" si="310"/>
        <v>0</v>
      </c>
      <c r="AB106" s="16">
        <f t="shared" si="310"/>
        <v>0</v>
      </c>
      <c r="AC106" s="16">
        <f t="shared" si="310"/>
        <v>0</v>
      </c>
      <c r="AD106" s="16">
        <f t="shared" si="310"/>
        <v>0</v>
      </c>
      <c r="AE106" s="16">
        <f t="shared" si="310"/>
        <v>0</v>
      </c>
      <c r="AF106" s="16">
        <f t="shared" si="310"/>
        <v>0</v>
      </c>
      <c r="AG106" s="16">
        <f t="shared" si="310"/>
        <v>0</v>
      </c>
      <c r="AH106" s="13">
        <f t="shared" si="310"/>
        <v>0</v>
      </c>
      <c r="AI106" s="13">
        <f t="shared" si="310"/>
        <v>0</v>
      </c>
      <c r="AJ106" s="13">
        <f t="shared" si="310"/>
        <v>0</v>
      </c>
      <c r="AK106" s="13">
        <f t="shared" si="310"/>
        <v>0</v>
      </c>
      <c r="AL106" s="13">
        <f t="shared" si="310"/>
        <v>0</v>
      </c>
      <c r="AM106" s="13">
        <f t="shared" si="310"/>
        <v>0</v>
      </c>
      <c r="AN106" s="13">
        <f t="shared" si="310"/>
        <v>0</v>
      </c>
      <c r="AO106" s="13">
        <f t="shared" si="310"/>
        <v>0</v>
      </c>
      <c r="AP106" s="13">
        <f t="shared" si="310"/>
        <v>0</v>
      </c>
      <c r="AQ106" s="13">
        <f t="shared" si="310"/>
        <v>0</v>
      </c>
      <c r="AR106" s="172">
        <f t="shared" si="310"/>
        <v>0</v>
      </c>
      <c r="AS106" s="170">
        <f t="shared" si="310"/>
        <v>0</v>
      </c>
      <c r="AT106" s="16">
        <f t="shared" si="310"/>
        <v>0</v>
      </c>
      <c r="AU106" s="16">
        <f t="shared" si="310"/>
        <v>0</v>
      </c>
      <c r="AV106" s="16">
        <f t="shared" si="310"/>
        <v>0</v>
      </c>
      <c r="AW106" s="16">
        <f t="shared" si="310"/>
        <v>0</v>
      </c>
      <c r="AX106" s="16">
        <f t="shared" si="310"/>
        <v>0</v>
      </c>
      <c r="AY106" s="13">
        <f t="shared" si="310"/>
        <v>0</v>
      </c>
      <c r="AZ106" s="13">
        <f t="shared" si="310"/>
        <v>0</v>
      </c>
      <c r="BA106" s="17">
        <f t="shared" si="310"/>
        <v>0</v>
      </c>
    </row>
    <row r="107" spans="1:53" x14ac:dyDescent="0.2">
      <c r="D107" s="9"/>
      <c r="E107" s="5"/>
      <c r="F107" s="9"/>
      <c r="G107" s="20"/>
      <c r="H107" s="2">
        <v>3117</v>
      </c>
      <c r="I107" s="170">
        <f t="shared" ref="I107:BA107" si="311">SUMIF($F$12:$F$463,"=3117",I$12:I$463)</f>
        <v>12423235</v>
      </c>
      <c r="J107" s="16">
        <f t="shared" si="311"/>
        <v>9072651</v>
      </c>
      <c r="K107" s="16">
        <f t="shared" si="311"/>
        <v>3066556</v>
      </c>
      <c r="L107" s="16">
        <f t="shared" si="311"/>
        <v>90728</v>
      </c>
      <c r="M107" s="16">
        <f t="shared" si="311"/>
        <v>193300</v>
      </c>
      <c r="N107" s="13">
        <f t="shared" si="311"/>
        <v>17.183900000000001</v>
      </c>
      <c r="O107" s="13">
        <f t="shared" si="311"/>
        <v>12.584499999999998</v>
      </c>
      <c r="P107" s="172">
        <f t="shared" si="311"/>
        <v>4.5993999999999993</v>
      </c>
      <c r="Q107" s="170">
        <f t="shared" si="311"/>
        <v>-133250</v>
      </c>
      <c r="R107" s="16">
        <f t="shared" si="311"/>
        <v>1393569</v>
      </c>
      <c r="S107" s="16">
        <f t="shared" si="311"/>
        <v>0</v>
      </c>
      <c r="T107" s="16">
        <f t="shared" si="311"/>
        <v>0</v>
      </c>
      <c r="U107" s="16">
        <f t="shared" si="311"/>
        <v>0</v>
      </c>
      <c r="V107" s="16">
        <f t="shared" si="311"/>
        <v>1260319</v>
      </c>
      <c r="W107" s="16">
        <f t="shared" si="311"/>
        <v>133250</v>
      </c>
      <c r="X107" s="16">
        <f t="shared" si="311"/>
        <v>0</v>
      </c>
      <c r="Y107" s="16">
        <f t="shared" si="311"/>
        <v>0</v>
      </c>
      <c r="Z107" s="16">
        <f t="shared" si="311"/>
        <v>133250</v>
      </c>
      <c r="AA107" s="16">
        <f t="shared" si="311"/>
        <v>1393569</v>
      </c>
      <c r="AB107" s="16">
        <f t="shared" si="311"/>
        <v>471027</v>
      </c>
      <c r="AC107" s="16">
        <f t="shared" si="311"/>
        <v>12601</v>
      </c>
      <c r="AD107" s="16">
        <f t="shared" si="311"/>
        <v>2000</v>
      </c>
      <c r="AE107" s="16">
        <f t="shared" si="311"/>
        <v>0</v>
      </c>
      <c r="AF107" s="16">
        <f t="shared" si="311"/>
        <v>2000</v>
      </c>
      <c r="AG107" s="16">
        <f t="shared" si="311"/>
        <v>1879197</v>
      </c>
      <c r="AH107" s="13">
        <f t="shared" si="311"/>
        <v>-0.02</v>
      </c>
      <c r="AI107" s="13">
        <f t="shared" si="311"/>
        <v>-0.44999999999999996</v>
      </c>
      <c r="AJ107" s="13">
        <f t="shared" si="311"/>
        <v>3.99</v>
      </c>
      <c r="AK107" s="13">
        <f t="shared" si="311"/>
        <v>0</v>
      </c>
      <c r="AL107" s="13">
        <f t="shared" si="311"/>
        <v>0</v>
      </c>
      <c r="AM107" s="13">
        <f t="shared" si="311"/>
        <v>0</v>
      </c>
      <c r="AN107" s="13">
        <f t="shared" si="311"/>
        <v>0</v>
      </c>
      <c r="AO107" s="13">
        <f t="shared" si="311"/>
        <v>0</v>
      </c>
      <c r="AP107" s="13">
        <f t="shared" si="311"/>
        <v>3.9699999999999998</v>
      </c>
      <c r="AQ107" s="13">
        <f t="shared" si="311"/>
        <v>-0.44999999999999996</v>
      </c>
      <c r="AR107" s="172">
        <f t="shared" si="311"/>
        <v>3.52</v>
      </c>
      <c r="AS107" s="170">
        <f t="shared" si="311"/>
        <v>14302432</v>
      </c>
      <c r="AT107" s="16">
        <f t="shared" si="311"/>
        <v>10332970</v>
      </c>
      <c r="AU107" s="16">
        <f t="shared" si="311"/>
        <v>133250</v>
      </c>
      <c r="AV107" s="16">
        <f t="shared" si="311"/>
        <v>3537583</v>
      </c>
      <c r="AW107" s="16">
        <f t="shared" si="311"/>
        <v>103329</v>
      </c>
      <c r="AX107" s="16">
        <f t="shared" si="311"/>
        <v>195300</v>
      </c>
      <c r="AY107" s="13">
        <f t="shared" si="311"/>
        <v>20.703900000000001</v>
      </c>
      <c r="AZ107" s="13">
        <f t="shared" si="311"/>
        <v>16.554500000000001</v>
      </c>
      <c r="BA107" s="17">
        <f t="shared" si="311"/>
        <v>4.1494</v>
      </c>
    </row>
    <row r="108" spans="1:53" x14ac:dyDescent="0.2">
      <c r="D108" s="9"/>
      <c r="E108" s="5"/>
      <c r="F108" s="9"/>
      <c r="G108" s="20"/>
      <c r="H108" s="2">
        <v>3122</v>
      </c>
      <c r="I108" s="170">
        <f t="shared" ref="I108:BA108" si="312">SUMIF($F$12:$F$463,"=3122",I$12:I$463)</f>
        <v>0</v>
      </c>
      <c r="J108" s="16">
        <f t="shared" si="312"/>
        <v>0</v>
      </c>
      <c r="K108" s="16">
        <f t="shared" si="312"/>
        <v>0</v>
      </c>
      <c r="L108" s="16">
        <f t="shared" si="312"/>
        <v>0</v>
      </c>
      <c r="M108" s="16">
        <f t="shared" si="312"/>
        <v>0</v>
      </c>
      <c r="N108" s="13">
        <f t="shared" si="312"/>
        <v>0</v>
      </c>
      <c r="O108" s="13">
        <f t="shared" si="312"/>
        <v>0</v>
      </c>
      <c r="P108" s="172">
        <f t="shared" si="312"/>
        <v>0</v>
      </c>
      <c r="Q108" s="170">
        <f t="shared" si="312"/>
        <v>0</v>
      </c>
      <c r="R108" s="16">
        <f t="shared" si="312"/>
        <v>0</v>
      </c>
      <c r="S108" s="16">
        <f t="shared" si="312"/>
        <v>0</v>
      </c>
      <c r="T108" s="16">
        <f t="shared" si="312"/>
        <v>0</v>
      </c>
      <c r="U108" s="16">
        <f t="shared" si="312"/>
        <v>0</v>
      </c>
      <c r="V108" s="16">
        <f t="shared" si="312"/>
        <v>0</v>
      </c>
      <c r="W108" s="16">
        <f t="shared" si="312"/>
        <v>0</v>
      </c>
      <c r="X108" s="16">
        <f t="shared" si="312"/>
        <v>0</v>
      </c>
      <c r="Y108" s="16">
        <f t="shared" si="312"/>
        <v>0</v>
      </c>
      <c r="Z108" s="16">
        <f t="shared" si="312"/>
        <v>0</v>
      </c>
      <c r="AA108" s="16">
        <f t="shared" si="312"/>
        <v>0</v>
      </c>
      <c r="AB108" s="16">
        <f t="shared" si="312"/>
        <v>0</v>
      </c>
      <c r="AC108" s="16">
        <f t="shared" si="312"/>
        <v>0</v>
      </c>
      <c r="AD108" s="16">
        <f t="shared" si="312"/>
        <v>0</v>
      </c>
      <c r="AE108" s="16">
        <f t="shared" si="312"/>
        <v>0</v>
      </c>
      <c r="AF108" s="16">
        <f t="shared" si="312"/>
        <v>0</v>
      </c>
      <c r="AG108" s="16">
        <f t="shared" si="312"/>
        <v>0</v>
      </c>
      <c r="AH108" s="13">
        <f t="shared" si="312"/>
        <v>0</v>
      </c>
      <c r="AI108" s="13">
        <f t="shared" si="312"/>
        <v>0</v>
      </c>
      <c r="AJ108" s="13">
        <f t="shared" si="312"/>
        <v>0</v>
      </c>
      <c r="AK108" s="13">
        <f t="shared" si="312"/>
        <v>0</v>
      </c>
      <c r="AL108" s="13">
        <f t="shared" si="312"/>
        <v>0</v>
      </c>
      <c r="AM108" s="13">
        <f t="shared" si="312"/>
        <v>0</v>
      </c>
      <c r="AN108" s="13">
        <f t="shared" si="312"/>
        <v>0</v>
      </c>
      <c r="AO108" s="13">
        <f t="shared" si="312"/>
        <v>0</v>
      </c>
      <c r="AP108" s="13">
        <f t="shared" si="312"/>
        <v>0</v>
      </c>
      <c r="AQ108" s="13">
        <f t="shared" si="312"/>
        <v>0</v>
      </c>
      <c r="AR108" s="172">
        <f t="shared" si="312"/>
        <v>0</v>
      </c>
      <c r="AS108" s="170">
        <f t="shared" si="312"/>
        <v>0</v>
      </c>
      <c r="AT108" s="16">
        <f t="shared" si="312"/>
        <v>0</v>
      </c>
      <c r="AU108" s="16">
        <f t="shared" si="312"/>
        <v>0</v>
      </c>
      <c r="AV108" s="16">
        <f t="shared" si="312"/>
        <v>0</v>
      </c>
      <c r="AW108" s="16">
        <f t="shared" si="312"/>
        <v>0</v>
      </c>
      <c r="AX108" s="16">
        <f t="shared" si="312"/>
        <v>0</v>
      </c>
      <c r="AY108" s="13">
        <f t="shared" si="312"/>
        <v>0</v>
      </c>
      <c r="AZ108" s="13">
        <f t="shared" si="312"/>
        <v>0</v>
      </c>
      <c r="BA108" s="17">
        <f t="shared" si="312"/>
        <v>0</v>
      </c>
    </row>
    <row r="109" spans="1:53" x14ac:dyDescent="0.2">
      <c r="D109" s="9"/>
      <c r="E109" s="5"/>
      <c r="F109" s="9"/>
      <c r="G109" s="20"/>
      <c r="H109" s="2">
        <v>3124</v>
      </c>
      <c r="I109" s="170">
        <f t="shared" ref="I109:BA109" si="313">SUMIF($F$12:$F$463,"=3124",I$12:I$463)</f>
        <v>0</v>
      </c>
      <c r="J109" s="16">
        <f t="shared" si="313"/>
        <v>0</v>
      </c>
      <c r="K109" s="16">
        <f t="shared" si="313"/>
        <v>0</v>
      </c>
      <c r="L109" s="16">
        <f t="shared" si="313"/>
        <v>0</v>
      </c>
      <c r="M109" s="16">
        <f t="shared" si="313"/>
        <v>0</v>
      </c>
      <c r="N109" s="13">
        <f t="shared" si="313"/>
        <v>0</v>
      </c>
      <c r="O109" s="13">
        <f t="shared" si="313"/>
        <v>0</v>
      </c>
      <c r="P109" s="172">
        <f t="shared" si="313"/>
        <v>0</v>
      </c>
      <c r="Q109" s="170">
        <f t="shared" si="313"/>
        <v>0</v>
      </c>
      <c r="R109" s="16">
        <f t="shared" si="313"/>
        <v>0</v>
      </c>
      <c r="S109" s="16">
        <f t="shared" si="313"/>
        <v>0</v>
      </c>
      <c r="T109" s="16">
        <f t="shared" si="313"/>
        <v>0</v>
      </c>
      <c r="U109" s="16">
        <f t="shared" si="313"/>
        <v>0</v>
      </c>
      <c r="V109" s="16">
        <f t="shared" si="313"/>
        <v>0</v>
      </c>
      <c r="W109" s="16">
        <f t="shared" si="313"/>
        <v>0</v>
      </c>
      <c r="X109" s="16">
        <f t="shared" si="313"/>
        <v>0</v>
      </c>
      <c r="Y109" s="16">
        <f t="shared" si="313"/>
        <v>0</v>
      </c>
      <c r="Z109" s="16">
        <f t="shared" si="313"/>
        <v>0</v>
      </c>
      <c r="AA109" s="16">
        <f t="shared" si="313"/>
        <v>0</v>
      </c>
      <c r="AB109" s="16">
        <f t="shared" si="313"/>
        <v>0</v>
      </c>
      <c r="AC109" s="16">
        <f t="shared" si="313"/>
        <v>0</v>
      </c>
      <c r="AD109" s="16">
        <f t="shared" si="313"/>
        <v>0</v>
      </c>
      <c r="AE109" s="16">
        <f t="shared" si="313"/>
        <v>0</v>
      </c>
      <c r="AF109" s="16">
        <f t="shared" si="313"/>
        <v>0</v>
      </c>
      <c r="AG109" s="16">
        <f t="shared" si="313"/>
        <v>0</v>
      </c>
      <c r="AH109" s="13">
        <f t="shared" si="313"/>
        <v>0</v>
      </c>
      <c r="AI109" s="13">
        <f t="shared" si="313"/>
        <v>0</v>
      </c>
      <c r="AJ109" s="13">
        <f t="shared" si="313"/>
        <v>0</v>
      </c>
      <c r="AK109" s="13">
        <f t="shared" si="313"/>
        <v>0</v>
      </c>
      <c r="AL109" s="13">
        <f t="shared" si="313"/>
        <v>0</v>
      </c>
      <c r="AM109" s="13">
        <f t="shared" si="313"/>
        <v>0</v>
      </c>
      <c r="AN109" s="13">
        <f t="shared" si="313"/>
        <v>0</v>
      </c>
      <c r="AO109" s="13">
        <f t="shared" si="313"/>
        <v>0</v>
      </c>
      <c r="AP109" s="13">
        <f t="shared" si="313"/>
        <v>0</v>
      </c>
      <c r="AQ109" s="13">
        <f t="shared" si="313"/>
        <v>0</v>
      </c>
      <c r="AR109" s="172">
        <f t="shared" si="313"/>
        <v>0</v>
      </c>
      <c r="AS109" s="170">
        <f t="shared" si="313"/>
        <v>0</v>
      </c>
      <c r="AT109" s="16">
        <f t="shared" si="313"/>
        <v>0</v>
      </c>
      <c r="AU109" s="16">
        <f t="shared" si="313"/>
        <v>0</v>
      </c>
      <c r="AV109" s="16">
        <f t="shared" si="313"/>
        <v>0</v>
      </c>
      <c r="AW109" s="16">
        <f t="shared" si="313"/>
        <v>0</v>
      </c>
      <c r="AX109" s="16">
        <f t="shared" si="313"/>
        <v>0</v>
      </c>
      <c r="AY109" s="13">
        <f t="shared" si="313"/>
        <v>0</v>
      </c>
      <c r="AZ109" s="13">
        <f t="shared" si="313"/>
        <v>0</v>
      </c>
      <c r="BA109" s="17">
        <f t="shared" si="313"/>
        <v>0</v>
      </c>
    </row>
    <row r="110" spans="1:53" x14ac:dyDescent="0.2">
      <c r="D110" s="9"/>
      <c r="E110" s="5"/>
      <c r="F110" s="9"/>
      <c r="G110" s="20"/>
      <c r="H110" s="2">
        <v>3141</v>
      </c>
      <c r="I110" s="170">
        <f t="shared" ref="I110:BA110" si="314">SUMIF($F$12:$F$463,"=3141",I$12:I$463)</f>
        <v>15496078</v>
      </c>
      <c r="J110" s="16">
        <f t="shared" si="314"/>
        <v>11431008</v>
      </c>
      <c r="K110" s="16">
        <f t="shared" si="314"/>
        <v>3863679</v>
      </c>
      <c r="L110" s="16">
        <f t="shared" si="314"/>
        <v>114311</v>
      </c>
      <c r="M110" s="16">
        <f t="shared" si="314"/>
        <v>87080</v>
      </c>
      <c r="N110" s="13">
        <f t="shared" si="314"/>
        <v>36.71</v>
      </c>
      <c r="O110" s="13">
        <f t="shared" si="314"/>
        <v>0</v>
      </c>
      <c r="P110" s="172">
        <f t="shared" si="314"/>
        <v>36.71</v>
      </c>
      <c r="Q110" s="170">
        <f t="shared" si="314"/>
        <v>-71500</v>
      </c>
      <c r="R110" s="16">
        <f t="shared" si="314"/>
        <v>0</v>
      </c>
      <c r="S110" s="16">
        <f t="shared" si="314"/>
        <v>0</v>
      </c>
      <c r="T110" s="16">
        <f t="shared" si="314"/>
        <v>0</v>
      </c>
      <c r="U110" s="16">
        <f t="shared" si="314"/>
        <v>0</v>
      </c>
      <c r="V110" s="16">
        <f t="shared" si="314"/>
        <v>-71500</v>
      </c>
      <c r="W110" s="16">
        <f t="shared" si="314"/>
        <v>71500</v>
      </c>
      <c r="X110" s="16">
        <f t="shared" si="314"/>
        <v>0</v>
      </c>
      <c r="Y110" s="16">
        <f t="shared" si="314"/>
        <v>0</v>
      </c>
      <c r="Z110" s="16">
        <f t="shared" si="314"/>
        <v>71500</v>
      </c>
      <c r="AA110" s="16">
        <f t="shared" si="314"/>
        <v>0</v>
      </c>
      <c r="AB110" s="16">
        <f t="shared" si="314"/>
        <v>0</v>
      </c>
      <c r="AC110" s="16">
        <f t="shared" si="314"/>
        <v>-715</v>
      </c>
      <c r="AD110" s="16">
        <f t="shared" si="314"/>
        <v>0</v>
      </c>
      <c r="AE110" s="16">
        <f t="shared" si="314"/>
        <v>0</v>
      </c>
      <c r="AF110" s="16">
        <f t="shared" si="314"/>
        <v>0</v>
      </c>
      <c r="AG110" s="16">
        <f t="shared" si="314"/>
        <v>-715</v>
      </c>
      <c r="AH110" s="13">
        <f t="shared" si="314"/>
        <v>0</v>
      </c>
      <c r="AI110" s="13">
        <f t="shared" si="314"/>
        <v>-0.13</v>
      </c>
      <c r="AJ110" s="13">
        <f t="shared" si="314"/>
        <v>0</v>
      </c>
      <c r="AK110" s="13">
        <f t="shared" si="314"/>
        <v>0</v>
      </c>
      <c r="AL110" s="13">
        <f t="shared" si="314"/>
        <v>0</v>
      </c>
      <c r="AM110" s="13">
        <f t="shared" si="314"/>
        <v>0</v>
      </c>
      <c r="AN110" s="13">
        <f t="shared" si="314"/>
        <v>0</v>
      </c>
      <c r="AO110" s="13">
        <f t="shared" si="314"/>
        <v>0</v>
      </c>
      <c r="AP110" s="13">
        <f t="shared" si="314"/>
        <v>0</v>
      </c>
      <c r="AQ110" s="13">
        <f t="shared" si="314"/>
        <v>-0.13</v>
      </c>
      <c r="AR110" s="172">
        <f t="shared" si="314"/>
        <v>-0.13</v>
      </c>
      <c r="AS110" s="170">
        <f t="shared" si="314"/>
        <v>15495363</v>
      </c>
      <c r="AT110" s="16">
        <f t="shared" si="314"/>
        <v>11359508</v>
      </c>
      <c r="AU110" s="16">
        <f t="shared" si="314"/>
        <v>71500</v>
      </c>
      <c r="AV110" s="16">
        <f t="shared" si="314"/>
        <v>3863679</v>
      </c>
      <c r="AW110" s="16">
        <f t="shared" si="314"/>
        <v>113596</v>
      </c>
      <c r="AX110" s="16">
        <f t="shared" si="314"/>
        <v>87080</v>
      </c>
      <c r="AY110" s="13">
        <f t="shared" si="314"/>
        <v>36.58</v>
      </c>
      <c r="AZ110" s="13">
        <f t="shared" si="314"/>
        <v>0</v>
      </c>
      <c r="BA110" s="17">
        <f t="shared" si="314"/>
        <v>36.58</v>
      </c>
    </row>
    <row r="111" spans="1:53" x14ac:dyDescent="0.2">
      <c r="D111" s="9"/>
      <c r="E111" s="5"/>
      <c r="F111" s="9"/>
      <c r="G111" s="20"/>
      <c r="H111" s="2">
        <v>3143</v>
      </c>
      <c r="I111" s="170">
        <f t="shared" ref="I111:BA111" si="315">SUMIF($F$12:$F$463,"=3143",I$12:I$463)</f>
        <v>13354666</v>
      </c>
      <c r="J111" s="16">
        <f t="shared" si="315"/>
        <v>9895395</v>
      </c>
      <c r="K111" s="16">
        <f t="shared" si="315"/>
        <v>3344646</v>
      </c>
      <c r="L111" s="16">
        <f t="shared" si="315"/>
        <v>98956</v>
      </c>
      <c r="M111" s="16">
        <f t="shared" si="315"/>
        <v>15669</v>
      </c>
      <c r="N111" s="13">
        <f t="shared" si="315"/>
        <v>20.867699999999999</v>
      </c>
      <c r="O111" s="13">
        <f t="shared" si="315"/>
        <v>19.627699999999997</v>
      </c>
      <c r="P111" s="172">
        <f t="shared" si="315"/>
        <v>1.24</v>
      </c>
      <c r="Q111" s="170">
        <f t="shared" si="315"/>
        <v>-102544</v>
      </c>
      <c r="R111" s="16">
        <f t="shared" si="315"/>
        <v>0</v>
      </c>
      <c r="S111" s="16">
        <f t="shared" si="315"/>
        <v>0</v>
      </c>
      <c r="T111" s="16">
        <f t="shared" si="315"/>
        <v>0</v>
      </c>
      <c r="U111" s="16">
        <f t="shared" si="315"/>
        <v>-26086</v>
      </c>
      <c r="V111" s="16">
        <f t="shared" si="315"/>
        <v>-128630</v>
      </c>
      <c r="W111" s="16">
        <f t="shared" si="315"/>
        <v>102544</v>
      </c>
      <c r="X111" s="16">
        <f t="shared" si="315"/>
        <v>13240</v>
      </c>
      <c r="Y111" s="16">
        <f t="shared" si="315"/>
        <v>0</v>
      </c>
      <c r="Z111" s="16">
        <f t="shared" si="315"/>
        <v>115784</v>
      </c>
      <c r="AA111" s="16">
        <f t="shared" si="315"/>
        <v>-12846</v>
      </c>
      <c r="AB111" s="16">
        <f t="shared" si="315"/>
        <v>-4342</v>
      </c>
      <c r="AC111" s="16">
        <f t="shared" si="315"/>
        <v>-1286</v>
      </c>
      <c r="AD111" s="16">
        <f t="shared" si="315"/>
        <v>0</v>
      </c>
      <c r="AE111" s="16">
        <f t="shared" si="315"/>
        <v>0</v>
      </c>
      <c r="AF111" s="16">
        <f t="shared" si="315"/>
        <v>0</v>
      </c>
      <c r="AG111" s="16">
        <f t="shared" si="315"/>
        <v>-18474</v>
      </c>
      <c r="AH111" s="13">
        <f t="shared" si="315"/>
        <v>-0.13</v>
      </c>
      <c r="AI111" s="13">
        <f t="shared" si="315"/>
        <v>-0.06</v>
      </c>
      <c r="AJ111" s="13">
        <f t="shared" si="315"/>
        <v>0</v>
      </c>
      <c r="AK111" s="13">
        <f t="shared" si="315"/>
        <v>0</v>
      </c>
      <c r="AL111" s="13">
        <f t="shared" si="315"/>
        <v>0</v>
      </c>
      <c r="AM111" s="13">
        <f t="shared" si="315"/>
        <v>0</v>
      </c>
      <c r="AN111" s="13">
        <f t="shared" si="315"/>
        <v>0</v>
      </c>
      <c r="AO111" s="13">
        <f t="shared" si="315"/>
        <v>0</v>
      </c>
      <c r="AP111" s="13">
        <f t="shared" si="315"/>
        <v>-0.13</v>
      </c>
      <c r="AQ111" s="13">
        <f t="shared" si="315"/>
        <v>-0.06</v>
      </c>
      <c r="AR111" s="172">
        <f t="shared" si="315"/>
        <v>-0.19</v>
      </c>
      <c r="AS111" s="170">
        <f t="shared" si="315"/>
        <v>13336192</v>
      </c>
      <c r="AT111" s="16">
        <f t="shared" si="315"/>
        <v>9766765</v>
      </c>
      <c r="AU111" s="16">
        <f t="shared" si="315"/>
        <v>115784</v>
      </c>
      <c r="AV111" s="16">
        <f t="shared" si="315"/>
        <v>3340304</v>
      </c>
      <c r="AW111" s="16">
        <f t="shared" si="315"/>
        <v>97670</v>
      </c>
      <c r="AX111" s="16">
        <f t="shared" si="315"/>
        <v>15669</v>
      </c>
      <c r="AY111" s="13">
        <f t="shared" si="315"/>
        <v>20.677699999999998</v>
      </c>
      <c r="AZ111" s="13">
        <f t="shared" si="315"/>
        <v>19.497699999999998</v>
      </c>
      <c r="BA111" s="17">
        <f t="shared" si="315"/>
        <v>1.18</v>
      </c>
    </row>
    <row r="112" spans="1:53" x14ac:dyDescent="0.2">
      <c r="D112" s="9"/>
      <c r="E112" s="5"/>
      <c r="F112" s="9"/>
      <c r="G112" s="20"/>
      <c r="H112" s="2">
        <v>3231</v>
      </c>
      <c r="I112" s="170">
        <f t="shared" ref="I112:BA112" si="316">SUMIF($F$12:$F$463,"=3231",I$12:I$463)</f>
        <v>15716066</v>
      </c>
      <c r="J112" s="16">
        <f t="shared" si="316"/>
        <v>11636345</v>
      </c>
      <c r="K112" s="16">
        <f t="shared" si="316"/>
        <v>3933085</v>
      </c>
      <c r="L112" s="16">
        <f t="shared" si="316"/>
        <v>116363</v>
      </c>
      <c r="M112" s="16">
        <f t="shared" si="316"/>
        <v>30273</v>
      </c>
      <c r="N112" s="13">
        <f t="shared" si="316"/>
        <v>20.505800000000001</v>
      </c>
      <c r="O112" s="13">
        <f t="shared" si="316"/>
        <v>18.5959</v>
      </c>
      <c r="P112" s="172">
        <f t="shared" si="316"/>
        <v>1.9098999999999999</v>
      </c>
      <c r="Q112" s="170">
        <f t="shared" si="316"/>
        <v>-52000</v>
      </c>
      <c r="R112" s="16">
        <f t="shared" si="316"/>
        <v>0</v>
      </c>
      <c r="S112" s="16">
        <f t="shared" si="316"/>
        <v>0</v>
      </c>
      <c r="T112" s="16">
        <f t="shared" si="316"/>
        <v>0</v>
      </c>
      <c r="U112" s="16">
        <f t="shared" si="316"/>
        <v>0</v>
      </c>
      <c r="V112" s="16">
        <f t="shared" si="316"/>
        <v>-52000</v>
      </c>
      <c r="W112" s="16">
        <f t="shared" si="316"/>
        <v>52000</v>
      </c>
      <c r="X112" s="16">
        <f t="shared" si="316"/>
        <v>0</v>
      </c>
      <c r="Y112" s="16">
        <f t="shared" si="316"/>
        <v>0</v>
      </c>
      <c r="Z112" s="16">
        <f t="shared" si="316"/>
        <v>52000</v>
      </c>
      <c r="AA112" s="16">
        <f t="shared" si="316"/>
        <v>0</v>
      </c>
      <c r="AB112" s="16">
        <f t="shared" si="316"/>
        <v>0</v>
      </c>
      <c r="AC112" s="16">
        <f t="shared" si="316"/>
        <v>-520</v>
      </c>
      <c r="AD112" s="16">
        <f t="shared" si="316"/>
        <v>0</v>
      </c>
      <c r="AE112" s="16">
        <f t="shared" si="316"/>
        <v>0</v>
      </c>
      <c r="AF112" s="16">
        <f t="shared" si="316"/>
        <v>0</v>
      </c>
      <c r="AG112" s="16">
        <f t="shared" si="316"/>
        <v>-520</v>
      </c>
      <c r="AH112" s="13">
        <f t="shared" si="316"/>
        <v>0</v>
      </c>
      <c r="AI112" s="13">
        <f t="shared" si="316"/>
        <v>-0.14000000000000001</v>
      </c>
      <c r="AJ112" s="13">
        <f t="shared" si="316"/>
        <v>0</v>
      </c>
      <c r="AK112" s="13">
        <f t="shared" si="316"/>
        <v>0</v>
      </c>
      <c r="AL112" s="13">
        <f t="shared" si="316"/>
        <v>0</v>
      </c>
      <c r="AM112" s="13">
        <f t="shared" si="316"/>
        <v>0</v>
      </c>
      <c r="AN112" s="13">
        <f t="shared" si="316"/>
        <v>0</v>
      </c>
      <c r="AO112" s="13">
        <f t="shared" si="316"/>
        <v>0</v>
      </c>
      <c r="AP112" s="13">
        <f t="shared" si="316"/>
        <v>0</v>
      </c>
      <c r="AQ112" s="13">
        <f t="shared" si="316"/>
        <v>-0.14000000000000001</v>
      </c>
      <c r="AR112" s="172">
        <f t="shared" si="316"/>
        <v>-0.14000000000000001</v>
      </c>
      <c r="AS112" s="170">
        <f t="shared" si="316"/>
        <v>15715546</v>
      </c>
      <c r="AT112" s="16">
        <f t="shared" si="316"/>
        <v>11584345</v>
      </c>
      <c r="AU112" s="16">
        <f t="shared" si="316"/>
        <v>52000</v>
      </c>
      <c r="AV112" s="16">
        <f t="shared" si="316"/>
        <v>3933085</v>
      </c>
      <c r="AW112" s="16">
        <f t="shared" si="316"/>
        <v>115843</v>
      </c>
      <c r="AX112" s="16">
        <f t="shared" si="316"/>
        <v>30273</v>
      </c>
      <c r="AY112" s="13">
        <f t="shared" si="316"/>
        <v>20.3658</v>
      </c>
      <c r="AZ112" s="13">
        <f t="shared" si="316"/>
        <v>18.5959</v>
      </c>
      <c r="BA112" s="17">
        <f t="shared" si="316"/>
        <v>1.7698999999999998</v>
      </c>
    </row>
    <row r="113" spans="4:53" ht="13.5" thickBot="1" x14ac:dyDescent="0.25">
      <c r="D113" s="9"/>
      <c r="E113" s="5"/>
      <c r="F113" s="9"/>
      <c r="G113" s="20"/>
      <c r="H113" s="154">
        <v>3233</v>
      </c>
      <c r="I113" s="173">
        <f t="shared" ref="I113:BA113" si="317">SUMIF($F$12:$F$463,"=3233",I$12:I$463)</f>
        <v>2710574</v>
      </c>
      <c r="J113" s="174">
        <f t="shared" si="317"/>
        <v>2008501</v>
      </c>
      <c r="K113" s="174">
        <f t="shared" si="317"/>
        <v>678873</v>
      </c>
      <c r="L113" s="174">
        <f t="shared" si="317"/>
        <v>20085</v>
      </c>
      <c r="M113" s="174">
        <f t="shared" si="317"/>
        <v>3115</v>
      </c>
      <c r="N113" s="175">
        <f t="shared" si="317"/>
        <v>4.49</v>
      </c>
      <c r="O113" s="175">
        <f t="shared" si="317"/>
        <v>2.94</v>
      </c>
      <c r="P113" s="178">
        <f t="shared" si="317"/>
        <v>1.55</v>
      </c>
      <c r="Q113" s="173">
        <f t="shared" si="317"/>
        <v>-65000</v>
      </c>
      <c r="R113" s="174">
        <f t="shared" si="317"/>
        <v>0</v>
      </c>
      <c r="S113" s="174">
        <f t="shared" si="317"/>
        <v>0</v>
      </c>
      <c r="T113" s="174">
        <f t="shared" si="317"/>
        <v>0</v>
      </c>
      <c r="U113" s="174">
        <f t="shared" si="317"/>
        <v>0</v>
      </c>
      <c r="V113" s="174">
        <f t="shared" si="317"/>
        <v>-65000</v>
      </c>
      <c r="W113" s="174">
        <f t="shared" si="317"/>
        <v>65000</v>
      </c>
      <c r="X113" s="174">
        <f t="shared" si="317"/>
        <v>0</v>
      </c>
      <c r="Y113" s="174">
        <f t="shared" si="317"/>
        <v>0</v>
      </c>
      <c r="Z113" s="174">
        <f t="shared" si="317"/>
        <v>65000</v>
      </c>
      <c r="AA113" s="174">
        <f t="shared" si="317"/>
        <v>0</v>
      </c>
      <c r="AB113" s="174">
        <f t="shared" si="317"/>
        <v>0</v>
      </c>
      <c r="AC113" s="174">
        <f t="shared" si="317"/>
        <v>-650</v>
      </c>
      <c r="AD113" s="174">
        <f t="shared" si="317"/>
        <v>0</v>
      </c>
      <c r="AE113" s="174">
        <f t="shared" si="317"/>
        <v>0</v>
      </c>
      <c r="AF113" s="174">
        <f t="shared" si="317"/>
        <v>0</v>
      </c>
      <c r="AG113" s="174">
        <f t="shared" si="317"/>
        <v>-650</v>
      </c>
      <c r="AH113" s="175">
        <f t="shared" si="317"/>
        <v>-0.12</v>
      </c>
      <c r="AI113" s="175">
        <f t="shared" si="317"/>
        <v>0</v>
      </c>
      <c r="AJ113" s="175">
        <f t="shared" si="317"/>
        <v>0</v>
      </c>
      <c r="AK113" s="175">
        <f t="shared" si="317"/>
        <v>0</v>
      </c>
      <c r="AL113" s="175">
        <f t="shared" si="317"/>
        <v>0</v>
      </c>
      <c r="AM113" s="175">
        <f t="shared" si="317"/>
        <v>0</v>
      </c>
      <c r="AN113" s="175">
        <f t="shared" si="317"/>
        <v>0</v>
      </c>
      <c r="AO113" s="175">
        <f t="shared" si="317"/>
        <v>0</v>
      </c>
      <c r="AP113" s="175">
        <f t="shared" si="317"/>
        <v>-0.12</v>
      </c>
      <c r="AQ113" s="175">
        <f t="shared" si="317"/>
        <v>0</v>
      </c>
      <c r="AR113" s="178">
        <f t="shared" si="317"/>
        <v>-0.12</v>
      </c>
      <c r="AS113" s="173">
        <f t="shared" si="317"/>
        <v>2709924</v>
      </c>
      <c r="AT113" s="174">
        <f t="shared" si="317"/>
        <v>1943501</v>
      </c>
      <c r="AU113" s="174">
        <f t="shared" si="317"/>
        <v>65000</v>
      </c>
      <c r="AV113" s="174">
        <f t="shared" si="317"/>
        <v>678873</v>
      </c>
      <c r="AW113" s="174">
        <f t="shared" si="317"/>
        <v>19435</v>
      </c>
      <c r="AX113" s="174">
        <f t="shared" si="317"/>
        <v>3115</v>
      </c>
      <c r="AY113" s="175">
        <f t="shared" si="317"/>
        <v>4.37</v>
      </c>
      <c r="AZ113" s="175">
        <f t="shared" si="317"/>
        <v>2.82</v>
      </c>
      <c r="BA113" s="176">
        <f t="shared" si="317"/>
        <v>1.55</v>
      </c>
    </row>
    <row r="114" spans="4:53" x14ac:dyDescent="0.2">
      <c r="D114" s="5"/>
      <c r="E114" s="5"/>
      <c r="F114" s="5"/>
      <c r="G114" s="20"/>
      <c r="H114" s="5"/>
    </row>
    <row r="132" spans="42:44" x14ac:dyDescent="0.2">
      <c r="AP132" s="636">
        <f>AH131+AJ131+AK131+AM131+AN131</f>
        <v>0</v>
      </c>
      <c r="AQ132" s="636">
        <f>AI131+AL131+AO131</f>
        <v>0</v>
      </c>
      <c r="AR132" s="636">
        <f>SUM(AP131:AQ131)</f>
        <v>0</v>
      </c>
    </row>
    <row r="133" spans="42:44" ht="13.5" thickBot="1" x14ac:dyDescent="0.25">
      <c r="AP133" s="606">
        <f>AH134+AJ134+AK134+AM134+AN134</f>
        <v>0</v>
      </c>
      <c r="AQ133" s="606">
        <f>AI134+AL134+AO134</f>
        <v>0</v>
      </c>
      <c r="AR133" s="606">
        <f>SUM(AP134:AQ134)</f>
        <v>0</v>
      </c>
    </row>
  </sheetData>
  <mergeCells count="26">
    <mergeCell ref="A3:E3"/>
    <mergeCell ref="I6:P7"/>
    <mergeCell ref="AH8:AI9"/>
    <mergeCell ref="AJ8:AJ9"/>
    <mergeCell ref="Q6:AR6"/>
    <mergeCell ref="AD7:AF9"/>
    <mergeCell ref="AG7:AG10"/>
    <mergeCell ref="AC7:AC10"/>
    <mergeCell ref="Q7:V9"/>
    <mergeCell ref="W7:Z9"/>
    <mergeCell ref="AA7:AA10"/>
    <mergeCell ref="AB7:AB10"/>
    <mergeCell ref="I8:I10"/>
    <mergeCell ref="J8:M9"/>
    <mergeCell ref="N8:N10"/>
    <mergeCell ref="O8:P9"/>
    <mergeCell ref="AS6:BA7"/>
    <mergeCell ref="AH7:AR7"/>
    <mergeCell ref="AN8:AO9"/>
    <mergeCell ref="AP8:AR9"/>
    <mergeCell ref="AS8:AS10"/>
    <mergeCell ref="AT8:AX9"/>
    <mergeCell ref="AY8:AY10"/>
    <mergeCell ref="AZ8:BA9"/>
    <mergeCell ref="AK8:AL8"/>
    <mergeCell ref="AM8:AM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6"/>
  <dimension ref="A1:BA133"/>
  <sheetViews>
    <sheetView workbookViewId="0">
      <pane xSplit="8" ySplit="11" topLeftCell="AI62" activePane="bottomRight" state="frozen"/>
      <selection activeCell="AQ11" sqref="AQ11"/>
      <selection pane="topRight" activeCell="AQ11" sqref="AQ11"/>
      <selection pane="bottomLeft" activeCell="AQ11" sqref="AQ11"/>
      <selection pane="bottomRight" activeCell="AS6" sqref="AS6:BA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5703125" customWidth="1"/>
    <col min="6" max="6" width="4.42578125" customWidth="1"/>
    <col min="7" max="7" width="10.28515625" style="43" customWidth="1"/>
    <col min="8" max="8" width="8" customWidth="1"/>
    <col min="9" max="9" width="10.85546875" style="8" customWidth="1"/>
    <col min="10" max="10" width="10" style="8" customWidth="1"/>
    <col min="11" max="11" width="10.5703125" style="8" customWidth="1"/>
    <col min="12" max="13" width="9.28515625" style="8" customWidth="1"/>
    <col min="14" max="14" width="11.42578125" style="7" customWidth="1"/>
    <col min="15" max="16" width="9.28515625" style="7" customWidth="1"/>
    <col min="17" max="17" width="9.140625" style="8" customWidth="1"/>
    <col min="18" max="18" width="9.7109375" style="8" customWidth="1"/>
    <col min="19" max="20" width="9.140625" style="8" customWidth="1"/>
    <col min="21" max="21" width="9.7109375" style="8" customWidth="1"/>
    <col min="22" max="26" width="9.140625" style="8" customWidth="1"/>
    <col min="27" max="27" width="10.140625" style="8" customWidth="1"/>
    <col min="28" max="33" width="9.28515625" style="8" customWidth="1"/>
    <col min="34" max="44" width="9.28515625" style="7" customWidth="1"/>
    <col min="45" max="45" width="9.42578125" style="8" customWidth="1"/>
    <col min="46" max="46" width="9.85546875" style="8" customWidth="1"/>
    <col min="47" max="50" width="9.140625" style="8"/>
    <col min="51" max="51" width="11.42578125" style="7" customWidth="1"/>
    <col min="52" max="53" width="9.28515625" style="7" customWidth="1"/>
    <col min="185" max="185" width="7" customWidth="1"/>
    <col min="186" max="186" width="33.140625" customWidth="1"/>
    <col min="187" max="187" width="6.42578125" customWidth="1"/>
    <col min="188" max="188" width="29" customWidth="1"/>
    <col min="189" max="189" width="11.42578125" customWidth="1"/>
    <col min="190" max="190" width="10.7109375" customWidth="1"/>
    <col min="191" max="191" width="10.85546875" customWidth="1"/>
    <col min="192" max="192" width="11.28515625" customWidth="1"/>
    <col min="194" max="194" width="9.7109375" customWidth="1"/>
    <col min="197" max="197" width="10.42578125" customWidth="1"/>
    <col min="441" max="441" width="7" customWidth="1"/>
    <col min="442" max="442" width="33.140625" customWidth="1"/>
    <col min="443" max="443" width="6.42578125" customWidth="1"/>
    <col min="444" max="444" width="29" customWidth="1"/>
    <col min="445" max="445" width="11.42578125" customWidth="1"/>
    <col min="446" max="446" width="10.7109375" customWidth="1"/>
    <col min="447" max="447" width="10.85546875" customWidth="1"/>
    <col min="448" max="448" width="11.28515625" customWidth="1"/>
    <col min="450" max="450" width="9.7109375" customWidth="1"/>
    <col min="453" max="453" width="10.42578125" customWidth="1"/>
    <col min="697" max="697" width="7" customWidth="1"/>
    <col min="698" max="698" width="33.140625" customWidth="1"/>
    <col min="699" max="699" width="6.42578125" customWidth="1"/>
    <col min="700" max="700" width="29" customWidth="1"/>
    <col min="701" max="701" width="11.42578125" customWidth="1"/>
    <col min="702" max="702" width="10.7109375" customWidth="1"/>
    <col min="703" max="703" width="10.85546875" customWidth="1"/>
    <col min="704" max="704" width="11.28515625" customWidth="1"/>
    <col min="706" max="706" width="9.7109375" customWidth="1"/>
    <col min="709" max="709" width="10.42578125" customWidth="1"/>
    <col min="953" max="953" width="7" customWidth="1"/>
    <col min="954" max="954" width="33.140625" customWidth="1"/>
    <col min="955" max="955" width="6.42578125" customWidth="1"/>
    <col min="956" max="956" width="29" customWidth="1"/>
    <col min="957" max="957" width="11.42578125" customWidth="1"/>
    <col min="958" max="958" width="10.7109375" customWidth="1"/>
    <col min="959" max="959" width="10.85546875" customWidth="1"/>
    <col min="960" max="960" width="11.28515625" customWidth="1"/>
    <col min="962" max="962" width="9.7109375" customWidth="1"/>
    <col min="965" max="965" width="10.42578125" customWidth="1"/>
    <col min="1209" max="1209" width="7" customWidth="1"/>
    <col min="1210" max="1210" width="33.140625" customWidth="1"/>
    <col min="1211" max="1211" width="6.42578125" customWidth="1"/>
    <col min="1212" max="1212" width="29" customWidth="1"/>
    <col min="1213" max="1213" width="11.42578125" customWidth="1"/>
    <col min="1214" max="1214" width="10.7109375" customWidth="1"/>
    <col min="1215" max="1215" width="10.85546875" customWidth="1"/>
    <col min="1216" max="1216" width="11.28515625" customWidth="1"/>
    <col min="1218" max="1218" width="9.7109375" customWidth="1"/>
    <col min="1221" max="1221" width="10.42578125" customWidth="1"/>
    <col min="1465" max="1465" width="7" customWidth="1"/>
    <col min="1466" max="1466" width="33.140625" customWidth="1"/>
    <col min="1467" max="1467" width="6.42578125" customWidth="1"/>
    <col min="1468" max="1468" width="29" customWidth="1"/>
    <col min="1469" max="1469" width="11.42578125" customWidth="1"/>
    <col min="1470" max="1470" width="10.7109375" customWidth="1"/>
    <col min="1471" max="1471" width="10.85546875" customWidth="1"/>
    <col min="1472" max="1472" width="11.28515625" customWidth="1"/>
    <col min="1474" max="1474" width="9.7109375" customWidth="1"/>
    <col min="1477" max="1477" width="10.42578125" customWidth="1"/>
    <col min="1721" max="1721" width="7" customWidth="1"/>
    <col min="1722" max="1722" width="33.140625" customWidth="1"/>
    <col min="1723" max="1723" width="6.42578125" customWidth="1"/>
    <col min="1724" max="1724" width="29" customWidth="1"/>
    <col min="1725" max="1725" width="11.42578125" customWidth="1"/>
    <col min="1726" max="1726" width="10.7109375" customWidth="1"/>
    <col min="1727" max="1727" width="10.85546875" customWidth="1"/>
    <col min="1728" max="1728" width="11.28515625" customWidth="1"/>
    <col min="1730" max="1730" width="9.7109375" customWidth="1"/>
    <col min="1733" max="1733" width="10.42578125" customWidth="1"/>
    <col min="1977" max="1977" width="7" customWidth="1"/>
    <col min="1978" max="1978" width="33.140625" customWidth="1"/>
    <col min="1979" max="1979" width="6.42578125" customWidth="1"/>
    <col min="1980" max="1980" width="29" customWidth="1"/>
    <col min="1981" max="1981" width="11.42578125" customWidth="1"/>
    <col min="1982" max="1982" width="10.7109375" customWidth="1"/>
    <col min="1983" max="1983" width="10.85546875" customWidth="1"/>
    <col min="1984" max="1984" width="11.28515625" customWidth="1"/>
    <col min="1986" max="1986" width="9.7109375" customWidth="1"/>
    <col min="1989" max="1989" width="10.42578125" customWidth="1"/>
    <col min="2233" max="2233" width="7" customWidth="1"/>
    <col min="2234" max="2234" width="33.140625" customWidth="1"/>
    <col min="2235" max="2235" width="6.42578125" customWidth="1"/>
    <col min="2236" max="2236" width="29" customWidth="1"/>
    <col min="2237" max="2237" width="11.42578125" customWidth="1"/>
    <col min="2238" max="2238" width="10.7109375" customWidth="1"/>
    <col min="2239" max="2239" width="10.85546875" customWidth="1"/>
    <col min="2240" max="2240" width="11.28515625" customWidth="1"/>
    <col min="2242" max="2242" width="9.7109375" customWidth="1"/>
    <col min="2245" max="2245" width="10.42578125" customWidth="1"/>
    <col min="2489" max="2489" width="7" customWidth="1"/>
    <col min="2490" max="2490" width="33.140625" customWidth="1"/>
    <col min="2491" max="2491" width="6.42578125" customWidth="1"/>
    <col min="2492" max="2492" width="29" customWidth="1"/>
    <col min="2493" max="2493" width="11.42578125" customWidth="1"/>
    <col min="2494" max="2494" width="10.7109375" customWidth="1"/>
    <col min="2495" max="2495" width="10.85546875" customWidth="1"/>
    <col min="2496" max="2496" width="11.28515625" customWidth="1"/>
    <col min="2498" max="2498" width="9.7109375" customWidth="1"/>
    <col min="2501" max="2501" width="10.42578125" customWidth="1"/>
    <col min="2745" max="2745" width="7" customWidth="1"/>
    <col min="2746" max="2746" width="33.140625" customWidth="1"/>
    <col min="2747" max="2747" width="6.42578125" customWidth="1"/>
    <col min="2748" max="2748" width="29" customWidth="1"/>
    <col min="2749" max="2749" width="11.42578125" customWidth="1"/>
    <col min="2750" max="2750" width="10.7109375" customWidth="1"/>
    <col min="2751" max="2751" width="10.85546875" customWidth="1"/>
    <col min="2752" max="2752" width="11.28515625" customWidth="1"/>
    <col min="2754" max="2754" width="9.7109375" customWidth="1"/>
    <col min="2757" max="2757" width="10.42578125" customWidth="1"/>
    <col min="3001" max="3001" width="7" customWidth="1"/>
    <col min="3002" max="3002" width="33.140625" customWidth="1"/>
    <col min="3003" max="3003" width="6.42578125" customWidth="1"/>
    <col min="3004" max="3004" width="29" customWidth="1"/>
    <col min="3005" max="3005" width="11.42578125" customWidth="1"/>
    <col min="3006" max="3006" width="10.7109375" customWidth="1"/>
    <col min="3007" max="3007" width="10.85546875" customWidth="1"/>
    <col min="3008" max="3008" width="11.28515625" customWidth="1"/>
    <col min="3010" max="3010" width="9.7109375" customWidth="1"/>
    <col min="3013" max="3013" width="10.42578125" customWidth="1"/>
    <col min="3257" max="3257" width="7" customWidth="1"/>
    <col min="3258" max="3258" width="33.140625" customWidth="1"/>
    <col min="3259" max="3259" width="6.42578125" customWidth="1"/>
    <col min="3260" max="3260" width="29" customWidth="1"/>
    <col min="3261" max="3261" width="11.42578125" customWidth="1"/>
    <col min="3262" max="3262" width="10.7109375" customWidth="1"/>
    <col min="3263" max="3263" width="10.85546875" customWidth="1"/>
    <col min="3264" max="3264" width="11.28515625" customWidth="1"/>
    <col min="3266" max="3266" width="9.7109375" customWidth="1"/>
    <col min="3269" max="3269" width="10.42578125" customWidth="1"/>
    <col min="3513" max="3513" width="7" customWidth="1"/>
    <col min="3514" max="3514" width="33.140625" customWidth="1"/>
    <col min="3515" max="3515" width="6.42578125" customWidth="1"/>
    <col min="3516" max="3516" width="29" customWidth="1"/>
    <col min="3517" max="3517" width="11.42578125" customWidth="1"/>
    <col min="3518" max="3518" width="10.7109375" customWidth="1"/>
    <col min="3519" max="3519" width="10.85546875" customWidth="1"/>
    <col min="3520" max="3520" width="11.28515625" customWidth="1"/>
    <col min="3522" max="3522" width="9.7109375" customWidth="1"/>
    <col min="3525" max="3525" width="10.42578125" customWidth="1"/>
    <col min="3769" max="3769" width="7" customWidth="1"/>
    <col min="3770" max="3770" width="33.140625" customWidth="1"/>
    <col min="3771" max="3771" width="6.42578125" customWidth="1"/>
    <col min="3772" max="3772" width="29" customWidth="1"/>
    <col min="3773" max="3773" width="11.42578125" customWidth="1"/>
    <col min="3774" max="3774" width="10.7109375" customWidth="1"/>
    <col min="3775" max="3775" width="10.85546875" customWidth="1"/>
    <col min="3776" max="3776" width="11.28515625" customWidth="1"/>
    <col min="3778" max="3778" width="9.7109375" customWidth="1"/>
    <col min="3781" max="3781" width="10.42578125" customWidth="1"/>
    <col min="4025" max="4025" width="7" customWidth="1"/>
    <col min="4026" max="4026" width="33.140625" customWidth="1"/>
    <col min="4027" max="4027" width="6.42578125" customWidth="1"/>
    <col min="4028" max="4028" width="29" customWidth="1"/>
    <col min="4029" max="4029" width="11.42578125" customWidth="1"/>
    <col min="4030" max="4030" width="10.7109375" customWidth="1"/>
    <col min="4031" max="4031" width="10.85546875" customWidth="1"/>
    <col min="4032" max="4032" width="11.28515625" customWidth="1"/>
    <col min="4034" max="4034" width="9.7109375" customWidth="1"/>
    <col min="4037" max="4037" width="10.42578125" customWidth="1"/>
    <col min="4281" max="4281" width="7" customWidth="1"/>
    <col min="4282" max="4282" width="33.140625" customWidth="1"/>
    <col min="4283" max="4283" width="6.42578125" customWidth="1"/>
    <col min="4284" max="4284" width="29" customWidth="1"/>
    <col min="4285" max="4285" width="11.42578125" customWidth="1"/>
    <col min="4286" max="4286" width="10.7109375" customWidth="1"/>
    <col min="4287" max="4287" width="10.85546875" customWidth="1"/>
    <col min="4288" max="4288" width="11.28515625" customWidth="1"/>
    <col min="4290" max="4290" width="9.7109375" customWidth="1"/>
    <col min="4293" max="4293" width="10.42578125" customWidth="1"/>
    <col min="4537" max="4537" width="7" customWidth="1"/>
    <col min="4538" max="4538" width="33.140625" customWidth="1"/>
    <col min="4539" max="4539" width="6.42578125" customWidth="1"/>
    <col min="4540" max="4540" width="29" customWidth="1"/>
    <col min="4541" max="4541" width="11.42578125" customWidth="1"/>
    <col min="4542" max="4542" width="10.7109375" customWidth="1"/>
    <col min="4543" max="4543" width="10.85546875" customWidth="1"/>
    <col min="4544" max="4544" width="11.28515625" customWidth="1"/>
    <col min="4546" max="4546" width="9.7109375" customWidth="1"/>
    <col min="4549" max="4549" width="10.42578125" customWidth="1"/>
    <col min="4793" max="4793" width="7" customWidth="1"/>
    <col min="4794" max="4794" width="33.140625" customWidth="1"/>
    <col min="4795" max="4795" width="6.42578125" customWidth="1"/>
    <col min="4796" max="4796" width="29" customWidth="1"/>
    <col min="4797" max="4797" width="11.42578125" customWidth="1"/>
    <col min="4798" max="4798" width="10.7109375" customWidth="1"/>
    <col min="4799" max="4799" width="10.85546875" customWidth="1"/>
    <col min="4800" max="4800" width="11.28515625" customWidth="1"/>
    <col min="4802" max="4802" width="9.7109375" customWidth="1"/>
    <col min="4805" max="4805" width="10.42578125" customWidth="1"/>
    <col min="5049" max="5049" width="7" customWidth="1"/>
    <col min="5050" max="5050" width="33.140625" customWidth="1"/>
    <col min="5051" max="5051" width="6.42578125" customWidth="1"/>
    <col min="5052" max="5052" width="29" customWidth="1"/>
    <col min="5053" max="5053" width="11.42578125" customWidth="1"/>
    <col min="5054" max="5054" width="10.7109375" customWidth="1"/>
    <col min="5055" max="5055" width="10.85546875" customWidth="1"/>
    <col min="5056" max="5056" width="11.28515625" customWidth="1"/>
    <col min="5058" max="5058" width="9.7109375" customWidth="1"/>
    <col min="5061" max="5061" width="10.42578125" customWidth="1"/>
    <col min="5305" max="5305" width="7" customWidth="1"/>
    <col min="5306" max="5306" width="33.140625" customWidth="1"/>
    <col min="5307" max="5307" width="6.42578125" customWidth="1"/>
    <col min="5308" max="5308" width="29" customWidth="1"/>
    <col min="5309" max="5309" width="11.42578125" customWidth="1"/>
    <col min="5310" max="5310" width="10.7109375" customWidth="1"/>
    <col min="5311" max="5311" width="10.85546875" customWidth="1"/>
    <col min="5312" max="5312" width="11.28515625" customWidth="1"/>
    <col min="5314" max="5314" width="9.7109375" customWidth="1"/>
    <col min="5317" max="5317" width="10.42578125" customWidth="1"/>
    <col min="5561" max="5561" width="7" customWidth="1"/>
    <col min="5562" max="5562" width="33.140625" customWidth="1"/>
    <col min="5563" max="5563" width="6.42578125" customWidth="1"/>
    <col min="5564" max="5564" width="29" customWidth="1"/>
    <col min="5565" max="5565" width="11.42578125" customWidth="1"/>
    <col min="5566" max="5566" width="10.7109375" customWidth="1"/>
    <col min="5567" max="5567" width="10.85546875" customWidth="1"/>
    <col min="5568" max="5568" width="11.28515625" customWidth="1"/>
    <col min="5570" max="5570" width="9.7109375" customWidth="1"/>
    <col min="5573" max="5573" width="10.42578125" customWidth="1"/>
    <col min="5817" max="5817" width="7" customWidth="1"/>
    <col min="5818" max="5818" width="33.140625" customWidth="1"/>
    <col min="5819" max="5819" width="6.42578125" customWidth="1"/>
    <col min="5820" max="5820" width="29" customWidth="1"/>
    <col min="5821" max="5821" width="11.42578125" customWidth="1"/>
    <col min="5822" max="5822" width="10.7109375" customWidth="1"/>
    <col min="5823" max="5823" width="10.85546875" customWidth="1"/>
    <col min="5824" max="5824" width="11.28515625" customWidth="1"/>
    <col min="5826" max="5826" width="9.7109375" customWidth="1"/>
    <col min="5829" max="5829" width="10.42578125" customWidth="1"/>
    <col min="6073" max="6073" width="7" customWidth="1"/>
    <col min="6074" max="6074" width="33.140625" customWidth="1"/>
    <col min="6075" max="6075" width="6.42578125" customWidth="1"/>
    <col min="6076" max="6076" width="29" customWidth="1"/>
    <col min="6077" max="6077" width="11.42578125" customWidth="1"/>
    <col min="6078" max="6078" width="10.7109375" customWidth="1"/>
    <col min="6079" max="6079" width="10.85546875" customWidth="1"/>
    <col min="6080" max="6080" width="11.28515625" customWidth="1"/>
    <col min="6082" max="6082" width="9.7109375" customWidth="1"/>
    <col min="6085" max="6085" width="10.42578125" customWidth="1"/>
    <col min="6329" max="6329" width="7" customWidth="1"/>
    <col min="6330" max="6330" width="33.140625" customWidth="1"/>
    <col min="6331" max="6331" width="6.42578125" customWidth="1"/>
    <col min="6332" max="6332" width="29" customWidth="1"/>
    <col min="6333" max="6333" width="11.42578125" customWidth="1"/>
    <col min="6334" max="6334" width="10.7109375" customWidth="1"/>
    <col min="6335" max="6335" width="10.85546875" customWidth="1"/>
    <col min="6336" max="6336" width="11.28515625" customWidth="1"/>
    <col min="6338" max="6338" width="9.7109375" customWidth="1"/>
    <col min="6341" max="6341" width="10.42578125" customWidth="1"/>
    <col min="6585" max="6585" width="7" customWidth="1"/>
    <col min="6586" max="6586" width="33.140625" customWidth="1"/>
    <col min="6587" max="6587" width="6.42578125" customWidth="1"/>
    <col min="6588" max="6588" width="29" customWidth="1"/>
    <col min="6589" max="6589" width="11.42578125" customWidth="1"/>
    <col min="6590" max="6590" width="10.7109375" customWidth="1"/>
    <col min="6591" max="6591" width="10.85546875" customWidth="1"/>
    <col min="6592" max="6592" width="11.28515625" customWidth="1"/>
    <col min="6594" max="6594" width="9.7109375" customWidth="1"/>
    <col min="6597" max="6597" width="10.42578125" customWidth="1"/>
    <col min="6841" max="6841" width="7" customWidth="1"/>
    <col min="6842" max="6842" width="33.140625" customWidth="1"/>
    <col min="6843" max="6843" width="6.42578125" customWidth="1"/>
    <col min="6844" max="6844" width="29" customWidth="1"/>
    <col min="6845" max="6845" width="11.42578125" customWidth="1"/>
    <col min="6846" max="6846" width="10.7109375" customWidth="1"/>
    <col min="6847" max="6847" width="10.85546875" customWidth="1"/>
    <col min="6848" max="6848" width="11.28515625" customWidth="1"/>
    <col min="6850" max="6850" width="9.7109375" customWidth="1"/>
    <col min="6853" max="6853" width="10.42578125" customWidth="1"/>
    <col min="7097" max="7097" width="7" customWidth="1"/>
    <col min="7098" max="7098" width="33.140625" customWidth="1"/>
    <col min="7099" max="7099" width="6.42578125" customWidth="1"/>
    <col min="7100" max="7100" width="29" customWidth="1"/>
    <col min="7101" max="7101" width="11.42578125" customWidth="1"/>
    <col min="7102" max="7102" width="10.7109375" customWidth="1"/>
    <col min="7103" max="7103" width="10.85546875" customWidth="1"/>
    <col min="7104" max="7104" width="11.28515625" customWidth="1"/>
    <col min="7106" max="7106" width="9.7109375" customWidth="1"/>
    <col min="7109" max="7109" width="10.42578125" customWidth="1"/>
    <col min="7353" max="7353" width="7" customWidth="1"/>
    <col min="7354" max="7354" width="33.140625" customWidth="1"/>
    <col min="7355" max="7355" width="6.42578125" customWidth="1"/>
    <col min="7356" max="7356" width="29" customWidth="1"/>
    <col min="7357" max="7357" width="11.42578125" customWidth="1"/>
    <col min="7358" max="7358" width="10.7109375" customWidth="1"/>
    <col min="7359" max="7359" width="10.85546875" customWidth="1"/>
    <col min="7360" max="7360" width="11.28515625" customWidth="1"/>
    <col min="7362" max="7362" width="9.7109375" customWidth="1"/>
    <col min="7365" max="7365" width="10.42578125" customWidth="1"/>
    <col min="7609" max="7609" width="7" customWidth="1"/>
    <col min="7610" max="7610" width="33.140625" customWidth="1"/>
    <col min="7611" max="7611" width="6.42578125" customWidth="1"/>
    <col min="7612" max="7612" width="29" customWidth="1"/>
    <col min="7613" max="7613" width="11.42578125" customWidth="1"/>
    <col min="7614" max="7614" width="10.7109375" customWidth="1"/>
    <col min="7615" max="7615" width="10.85546875" customWidth="1"/>
    <col min="7616" max="7616" width="11.28515625" customWidth="1"/>
    <col min="7618" max="7618" width="9.7109375" customWidth="1"/>
    <col min="7621" max="7621" width="10.42578125" customWidth="1"/>
    <col min="7865" max="7865" width="7" customWidth="1"/>
    <col min="7866" max="7866" width="33.140625" customWidth="1"/>
    <col min="7867" max="7867" width="6.42578125" customWidth="1"/>
    <col min="7868" max="7868" width="29" customWidth="1"/>
    <col min="7869" max="7869" width="11.42578125" customWidth="1"/>
    <col min="7870" max="7870" width="10.7109375" customWidth="1"/>
    <col min="7871" max="7871" width="10.85546875" customWidth="1"/>
    <col min="7872" max="7872" width="11.28515625" customWidth="1"/>
    <col min="7874" max="7874" width="9.7109375" customWidth="1"/>
    <col min="7877" max="7877" width="10.42578125" customWidth="1"/>
    <col min="8121" max="8121" width="7" customWidth="1"/>
    <col min="8122" max="8122" width="33.140625" customWidth="1"/>
    <col min="8123" max="8123" width="6.42578125" customWidth="1"/>
    <col min="8124" max="8124" width="29" customWidth="1"/>
    <col min="8125" max="8125" width="11.42578125" customWidth="1"/>
    <col min="8126" max="8126" width="10.7109375" customWidth="1"/>
    <col min="8127" max="8127" width="10.85546875" customWidth="1"/>
    <col min="8128" max="8128" width="11.28515625" customWidth="1"/>
    <col min="8130" max="8130" width="9.7109375" customWidth="1"/>
    <col min="8133" max="8133" width="10.42578125" customWidth="1"/>
    <col min="8377" max="8377" width="7" customWidth="1"/>
    <col min="8378" max="8378" width="33.140625" customWidth="1"/>
    <col min="8379" max="8379" width="6.42578125" customWidth="1"/>
    <col min="8380" max="8380" width="29" customWidth="1"/>
    <col min="8381" max="8381" width="11.42578125" customWidth="1"/>
    <col min="8382" max="8382" width="10.7109375" customWidth="1"/>
    <col min="8383" max="8383" width="10.85546875" customWidth="1"/>
    <col min="8384" max="8384" width="11.28515625" customWidth="1"/>
    <col min="8386" max="8386" width="9.7109375" customWidth="1"/>
    <col min="8389" max="8389" width="10.42578125" customWidth="1"/>
    <col min="8633" max="8633" width="7" customWidth="1"/>
    <col min="8634" max="8634" width="33.140625" customWidth="1"/>
    <col min="8635" max="8635" width="6.42578125" customWidth="1"/>
    <col min="8636" max="8636" width="29" customWidth="1"/>
    <col min="8637" max="8637" width="11.42578125" customWidth="1"/>
    <col min="8638" max="8638" width="10.7109375" customWidth="1"/>
    <col min="8639" max="8639" width="10.85546875" customWidth="1"/>
    <col min="8640" max="8640" width="11.28515625" customWidth="1"/>
    <col min="8642" max="8642" width="9.7109375" customWidth="1"/>
    <col min="8645" max="8645" width="10.42578125" customWidth="1"/>
    <col min="8889" max="8889" width="7" customWidth="1"/>
    <col min="8890" max="8890" width="33.140625" customWidth="1"/>
    <col min="8891" max="8891" width="6.42578125" customWidth="1"/>
    <col min="8892" max="8892" width="29" customWidth="1"/>
    <col min="8893" max="8893" width="11.42578125" customWidth="1"/>
    <col min="8894" max="8894" width="10.7109375" customWidth="1"/>
    <col min="8895" max="8895" width="10.85546875" customWidth="1"/>
    <col min="8896" max="8896" width="11.28515625" customWidth="1"/>
    <col min="8898" max="8898" width="9.7109375" customWidth="1"/>
    <col min="8901" max="8901" width="10.42578125" customWidth="1"/>
    <col min="9145" max="9145" width="7" customWidth="1"/>
    <col min="9146" max="9146" width="33.140625" customWidth="1"/>
    <col min="9147" max="9147" width="6.42578125" customWidth="1"/>
    <col min="9148" max="9148" width="29" customWidth="1"/>
    <col min="9149" max="9149" width="11.42578125" customWidth="1"/>
    <col min="9150" max="9150" width="10.7109375" customWidth="1"/>
    <col min="9151" max="9151" width="10.85546875" customWidth="1"/>
    <col min="9152" max="9152" width="11.28515625" customWidth="1"/>
    <col min="9154" max="9154" width="9.7109375" customWidth="1"/>
    <col min="9157" max="9157" width="10.42578125" customWidth="1"/>
    <col min="9401" max="9401" width="7" customWidth="1"/>
    <col min="9402" max="9402" width="33.140625" customWidth="1"/>
    <col min="9403" max="9403" width="6.42578125" customWidth="1"/>
    <col min="9404" max="9404" width="29" customWidth="1"/>
    <col min="9405" max="9405" width="11.42578125" customWidth="1"/>
    <col min="9406" max="9406" width="10.7109375" customWidth="1"/>
    <col min="9407" max="9407" width="10.85546875" customWidth="1"/>
    <col min="9408" max="9408" width="11.28515625" customWidth="1"/>
    <col min="9410" max="9410" width="9.7109375" customWidth="1"/>
    <col min="9413" max="9413" width="10.42578125" customWidth="1"/>
    <col min="9657" max="9657" width="7" customWidth="1"/>
    <col min="9658" max="9658" width="33.140625" customWidth="1"/>
    <col min="9659" max="9659" width="6.42578125" customWidth="1"/>
    <col min="9660" max="9660" width="29" customWidth="1"/>
    <col min="9661" max="9661" width="11.42578125" customWidth="1"/>
    <col min="9662" max="9662" width="10.7109375" customWidth="1"/>
    <col min="9663" max="9663" width="10.85546875" customWidth="1"/>
    <col min="9664" max="9664" width="11.28515625" customWidth="1"/>
    <col min="9666" max="9666" width="9.7109375" customWidth="1"/>
    <col min="9669" max="9669" width="10.42578125" customWidth="1"/>
    <col min="9913" max="9913" width="7" customWidth="1"/>
    <col min="9914" max="9914" width="33.140625" customWidth="1"/>
    <col min="9915" max="9915" width="6.42578125" customWidth="1"/>
    <col min="9916" max="9916" width="29" customWidth="1"/>
    <col min="9917" max="9917" width="11.42578125" customWidth="1"/>
    <col min="9918" max="9918" width="10.7109375" customWidth="1"/>
    <col min="9919" max="9919" width="10.85546875" customWidth="1"/>
    <col min="9920" max="9920" width="11.28515625" customWidth="1"/>
    <col min="9922" max="9922" width="9.7109375" customWidth="1"/>
    <col min="9925" max="9925" width="10.42578125" customWidth="1"/>
    <col min="10169" max="10169" width="7" customWidth="1"/>
    <col min="10170" max="10170" width="33.140625" customWidth="1"/>
    <col min="10171" max="10171" width="6.42578125" customWidth="1"/>
    <col min="10172" max="10172" width="29" customWidth="1"/>
    <col min="10173" max="10173" width="11.42578125" customWidth="1"/>
    <col min="10174" max="10174" width="10.7109375" customWidth="1"/>
    <col min="10175" max="10175" width="10.85546875" customWidth="1"/>
    <col min="10176" max="10176" width="11.28515625" customWidth="1"/>
    <col min="10178" max="10178" width="9.7109375" customWidth="1"/>
    <col min="10181" max="10181" width="10.42578125" customWidth="1"/>
    <col min="10425" max="10425" width="7" customWidth="1"/>
    <col min="10426" max="10426" width="33.140625" customWidth="1"/>
    <col min="10427" max="10427" width="6.42578125" customWidth="1"/>
    <col min="10428" max="10428" width="29" customWidth="1"/>
    <col min="10429" max="10429" width="11.42578125" customWidth="1"/>
    <col min="10430" max="10430" width="10.7109375" customWidth="1"/>
    <col min="10431" max="10431" width="10.85546875" customWidth="1"/>
    <col min="10432" max="10432" width="11.28515625" customWidth="1"/>
    <col min="10434" max="10434" width="9.7109375" customWidth="1"/>
    <col min="10437" max="10437" width="10.42578125" customWidth="1"/>
    <col min="10681" max="10681" width="7" customWidth="1"/>
    <col min="10682" max="10682" width="33.140625" customWidth="1"/>
    <col min="10683" max="10683" width="6.42578125" customWidth="1"/>
    <col min="10684" max="10684" width="29" customWidth="1"/>
    <col min="10685" max="10685" width="11.42578125" customWidth="1"/>
    <col min="10686" max="10686" width="10.7109375" customWidth="1"/>
    <col min="10687" max="10687" width="10.85546875" customWidth="1"/>
    <col min="10688" max="10688" width="11.28515625" customWidth="1"/>
    <col min="10690" max="10690" width="9.7109375" customWidth="1"/>
    <col min="10693" max="10693" width="10.42578125" customWidth="1"/>
    <col min="10937" max="10937" width="7" customWidth="1"/>
    <col min="10938" max="10938" width="33.140625" customWidth="1"/>
    <col min="10939" max="10939" width="6.42578125" customWidth="1"/>
    <col min="10940" max="10940" width="29" customWidth="1"/>
    <col min="10941" max="10941" width="11.42578125" customWidth="1"/>
    <col min="10942" max="10942" width="10.7109375" customWidth="1"/>
    <col min="10943" max="10943" width="10.85546875" customWidth="1"/>
    <col min="10944" max="10944" width="11.28515625" customWidth="1"/>
    <col min="10946" max="10946" width="9.7109375" customWidth="1"/>
    <col min="10949" max="10949" width="10.42578125" customWidth="1"/>
    <col min="11193" max="11193" width="7" customWidth="1"/>
    <col min="11194" max="11194" width="33.140625" customWidth="1"/>
    <col min="11195" max="11195" width="6.42578125" customWidth="1"/>
    <col min="11196" max="11196" width="29" customWidth="1"/>
    <col min="11197" max="11197" width="11.42578125" customWidth="1"/>
    <col min="11198" max="11198" width="10.7109375" customWidth="1"/>
    <col min="11199" max="11199" width="10.85546875" customWidth="1"/>
    <col min="11200" max="11200" width="11.28515625" customWidth="1"/>
    <col min="11202" max="11202" width="9.7109375" customWidth="1"/>
    <col min="11205" max="11205" width="10.42578125" customWidth="1"/>
    <col min="11449" max="11449" width="7" customWidth="1"/>
    <col min="11450" max="11450" width="33.140625" customWidth="1"/>
    <col min="11451" max="11451" width="6.42578125" customWidth="1"/>
    <col min="11452" max="11452" width="29" customWidth="1"/>
    <col min="11453" max="11453" width="11.42578125" customWidth="1"/>
    <col min="11454" max="11454" width="10.7109375" customWidth="1"/>
    <col min="11455" max="11455" width="10.85546875" customWidth="1"/>
    <col min="11456" max="11456" width="11.28515625" customWidth="1"/>
    <col min="11458" max="11458" width="9.7109375" customWidth="1"/>
    <col min="11461" max="11461" width="10.42578125" customWidth="1"/>
    <col min="11705" max="11705" width="7" customWidth="1"/>
    <col min="11706" max="11706" width="33.140625" customWidth="1"/>
    <col min="11707" max="11707" width="6.42578125" customWidth="1"/>
    <col min="11708" max="11708" width="29" customWidth="1"/>
    <col min="11709" max="11709" width="11.42578125" customWidth="1"/>
    <col min="11710" max="11710" width="10.7109375" customWidth="1"/>
    <col min="11711" max="11711" width="10.85546875" customWidth="1"/>
    <col min="11712" max="11712" width="11.28515625" customWidth="1"/>
    <col min="11714" max="11714" width="9.7109375" customWidth="1"/>
    <col min="11717" max="11717" width="10.42578125" customWidth="1"/>
    <col min="11961" max="11961" width="7" customWidth="1"/>
    <col min="11962" max="11962" width="33.140625" customWidth="1"/>
    <col min="11963" max="11963" width="6.42578125" customWidth="1"/>
    <col min="11964" max="11964" width="29" customWidth="1"/>
    <col min="11965" max="11965" width="11.42578125" customWidth="1"/>
    <col min="11966" max="11966" width="10.7109375" customWidth="1"/>
    <col min="11967" max="11967" width="10.85546875" customWidth="1"/>
    <col min="11968" max="11968" width="11.28515625" customWidth="1"/>
    <col min="11970" max="11970" width="9.7109375" customWidth="1"/>
    <col min="11973" max="11973" width="10.42578125" customWidth="1"/>
    <col min="12217" max="12217" width="7" customWidth="1"/>
    <col min="12218" max="12218" width="33.140625" customWidth="1"/>
    <col min="12219" max="12219" width="6.42578125" customWidth="1"/>
    <col min="12220" max="12220" width="29" customWidth="1"/>
    <col min="12221" max="12221" width="11.42578125" customWidth="1"/>
    <col min="12222" max="12222" width="10.7109375" customWidth="1"/>
    <col min="12223" max="12223" width="10.85546875" customWidth="1"/>
    <col min="12224" max="12224" width="11.28515625" customWidth="1"/>
    <col min="12226" max="12226" width="9.7109375" customWidth="1"/>
    <col min="12229" max="12229" width="10.42578125" customWidth="1"/>
    <col min="12473" max="12473" width="7" customWidth="1"/>
    <col min="12474" max="12474" width="33.140625" customWidth="1"/>
    <col min="12475" max="12475" width="6.42578125" customWidth="1"/>
    <col min="12476" max="12476" width="29" customWidth="1"/>
    <col min="12477" max="12477" width="11.42578125" customWidth="1"/>
    <col min="12478" max="12478" width="10.7109375" customWidth="1"/>
    <col min="12479" max="12479" width="10.85546875" customWidth="1"/>
    <col min="12480" max="12480" width="11.28515625" customWidth="1"/>
    <col min="12482" max="12482" width="9.7109375" customWidth="1"/>
    <col min="12485" max="12485" width="10.42578125" customWidth="1"/>
    <col min="12729" max="12729" width="7" customWidth="1"/>
    <col min="12730" max="12730" width="33.140625" customWidth="1"/>
    <col min="12731" max="12731" width="6.42578125" customWidth="1"/>
    <col min="12732" max="12732" width="29" customWidth="1"/>
    <col min="12733" max="12733" width="11.42578125" customWidth="1"/>
    <col min="12734" max="12734" width="10.7109375" customWidth="1"/>
    <col min="12735" max="12735" width="10.85546875" customWidth="1"/>
    <col min="12736" max="12736" width="11.28515625" customWidth="1"/>
    <col min="12738" max="12738" width="9.7109375" customWidth="1"/>
    <col min="12741" max="12741" width="10.42578125" customWidth="1"/>
    <col min="12985" max="12985" width="7" customWidth="1"/>
    <col min="12986" max="12986" width="33.140625" customWidth="1"/>
    <col min="12987" max="12987" width="6.42578125" customWidth="1"/>
    <col min="12988" max="12988" width="29" customWidth="1"/>
    <col min="12989" max="12989" width="11.42578125" customWidth="1"/>
    <col min="12990" max="12990" width="10.7109375" customWidth="1"/>
    <col min="12991" max="12991" width="10.85546875" customWidth="1"/>
    <col min="12992" max="12992" width="11.28515625" customWidth="1"/>
    <col min="12994" max="12994" width="9.7109375" customWidth="1"/>
    <col min="12997" max="12997" width="10.42578125" customWidth="1"/>
    <col min="13241" max="13241" width="7" customWidth="1"/>
    <col min="13242" max="13242" width="33.140625" customWidth="1"/>
    <col min="13243" max="13243" width="6.42578125" customWidth="1"/>
    <col min="13244" max="13244" width="29" customWidth="1"/>
    <col min="13245" max="13245" width="11.42578125" customWidth="1"/>
    <col min="13246" max="13246" width="10.7109375" customWidth="1"/>
    <col min="13247" max="13247" width="10.85546875" customWidth="1"/>
    <col min="13248" max="13248" width="11.28515625" customWidth="1"/>
    <col min="13250" max="13250" width="9.7109375" customWidth="1"/>
    <col min="13253" max="13253" width="10.42578125" customWidth="1"/>
    <col min="13497" max="13497" width="7" customWidth="1"/>
    <col min="13498" max="13498" width="33.140625" customWidth="1"/>
    <col min="13499" max="13499" width="6.42578125" customWidth="1"/>
    <col min="13500" max="13500" width="29" customWidth="1"/>
    <col min="13501" max="13501" width="11.42578125" customWidth="1"/>
    <col min="13502" max="13502" width="10.7109375" customWidth="1"/>
    <col min="13503" max="13503" width="10.85546875" customWidth="1"/>
    <col min="13504" max="13504" width="11.28515625" customWidth="1"/>
    <col min="13506" max="13506" width="9.7109375" customWidth="1"/>
    <col min="13509" max="13509" width="10.42578125" customWidth="1"/>
    <col min="13753" max="13753" width="7" customWidth="1"/>
    <col min="13754" max="13754" width="33.140625" customWidth="1"/>
    <col min="13755" max="13755" width="6.42578125" customWidth="1"/>
    <col min="13756" max="13756" width="29" customWidth="1"/>
    <col min="13757" max="13757" width="11.42578125" customWidth="1"/>
    <col min="13758" max="13758" width="10.7109375" customWidth="1"/>
    <col min="13759" max="13759" width="10.85546875" customWidth="1"/>
    <col min="13760" max="13760" width="11.28515625" customWidth="1"/>
    <col min="13762" max="13762" width="9.7109375" customWidth="1"/>
    <col min="13765" max="13765" width="10.42578125" customWidth="1"/>
    <col min="14009" max="14009" width="7" customWidth="1"/>
    <col min="14010" max="14010" width="33.140625" customWidth="1"/>
    <col min="14011" max="14011" width="6.42578125" customWidth="1"/>
    <col min="14012" max="14012" width="29" customWidth="1"/>
    <col min="14013" max="14013" width="11.42578125" customWidth="1"/>
    <col min="14014" max="14014" width="10.7109375" customWidth="1"/>
    <col min="14015" max="14015" width="10.85546875" customWidth="1"/>
    <col min="14016" max="14016" width="11.28515625" customWidth="1"/>
    <col min="14018" max="14018" width="9.7109375" customWidth="1"/>
    <col min="14021" max="14021" width="10.42578125" customWidth="1"/>
    <col min="14265" max="14265" width="7" customWidth="1"/>
    <col min="14266" max="14266" width="33.140625" customWidth="1"/>
    <col min="14267" max="14267" width="6.42578125" customWidth="1"/>
    <col min="14268" max="14268" width="29" customWidth="1"/>
    <col min="14269" max="14269" width="11.42578125" customWidth="1"/>
    <col min="14270" max="14270" width="10.7109375" customWidth="1"/>
    <col min="14271" max="14271" width="10.85546875" customWidth="1"/>
    <col min="14272" max="14272" width="11.28515625" customWidth="1"/>
    <col min="14274" max="14274" width="9.7109375" customWidth="1"/>
    <col min="14277" max="14277" width="10.42578125" customWidth="1"/>
    <col min="14521" max="14521" width="7" customWidth="1"/>
    <col min="14522" max="14522" width="33.140625" customWidth="1"/>
    <col min="14523" max="14523" width="6.42578125" customWidth="1"/>
    <col min="14524" max="14524" width="29" customWidth="1"/>
    <col min="14525" max="14525" width="11.42578125" customWidth="1"/>
    <col min="14526" max="14526" width="10.7109375" customWidth="1"/>
    <col min="14527" max="14527" width="10.85546875" customWidth="1"/>
    <col min="14528" max="14528" width="11.28515625" customWidth="1"/>
    <col min="14530" max="14530" width="9.7109375" customWidth="1"/>
    <col min="14533" max="14533" width="10.42578125" customWidth="1"/>
    <col min="14777" max="14777" width="7" customWidth="1"/>
    <col min="14778" max="14778" width="33.140625" customWidth="1"/>
    <col min="14779" max="14779" width="6.42578125" customWidth="1"/>
    <col min="14780" max="14780" width="29" customWidth="1"/>
    <col min="14781" max="14781" width="11.42578125" customWidth="1"/>
    <col min="14782" max="14782" width="10.7109375" customWidth="1"/>
    <col min="14783" max="14783" width="10.85546875" customWidth="1"/>
    <col min="14784" max="14784" width="11.28515625" customWidth="1"/>
    <col min="14786" max="14786" width="9.7109375" customWidth="1"/>
    <col min="14789" max="14789" width="10.42578125" customWidth="1"/>
    <col min="15033" max="15033" width="7" customWidth="1"/>
    <col min="15034" max="15034" width="33.140625" customWidth="1"/>
    <col min="15035" max="15035" width="6.42578125" customWidth="1"/>
    <col min="15036" max="15036" width="29" customWidth="1"/>
    <col min="15037" max="15037" width="11.42578125" customWidth="1"/>
    <col min="15038" max="15038" width="10.7109375" customWidth="1"/>
    <col min="15039" max="15039" width="10.85546875" customWidth="1"/>
    <col min="15040" max="15040" width="11.28515625" customWidth="1"/>
    <col min="15042" max="15042" width="9.7109375" customWidth="1"/>
    <col min="15045" max="15045" width="10.42578125" customWidth="1"/>
    <col min="15289" max="15289" width="7" customWidth="1"/>
    <col min="15290" max="15290" width="33.140625" customWidth="1"/>
    <col min="15291" max="15291" width="6.42578125" customWidth="1"/>
    <col min="15292" max="15292" width="29" customWidth="1"/>
    <col min="15293" max="15293" width="11.42578125" customWidth="1"/>
    <col min="15294" max="15294" width="10.7109375" customWidth="1"/>
    <col min="15295" max="15295" width="10.85546875" customWidth="1"/>
    <col min="15296" max="15296" width="11.28515625" customWidth="1"/>
    <col min="15298" max="15298" width="9.7109375" customWidth="1"/>
    <col min="15301" max="15301" width="10.42578125" customWidth="1"/>
    <col min="15545" max="15545" width="7" customWidth="1"/>
    <col min="15546" max="15546" width="33.140625" customWidth="1"/>
    <col min="15547" max="15547" width="6.42578125" customWidth="1"/>
    <col min="15548" max="15548" width="29" customWidth="1"/>
    <col min="15549" max="15549" width="11.42578125" customWidth="1"/>
    <col min="15550" max="15550" width="10.7109375" customWidth="1"/>
    <col min="15551" max="15551" width="10.85546875" customWidth="1"/>
    <col min="15552" max="15552" width="11.28515625" customWidth="1"/>
    <col min="15554" max="15554" width="9.7109375" customWidth="1"/>
    <col min="15557" max="15557" width="10.42578125" customWidth="1"/>
    <col min="15801" max="15801" width="7" customWidth="1"/>
    <col min="15802" max="15802" width="33.140625" customWidth="1"/>
    <col min="15803" max="15803" width="6.42578125" customWidth="1"/>
    <col min="15804" max="15804" width="29" customWidth="1"/>
    <col min="15805" max="15805" width="11.42578125" customWidth="1"/>
    <col min="15806" max="15806" width="10.7109375" customWidth="1"/>
    <col min="15807" max="15807" width="10.85546875" customWidth="1"/>
    <col min="15808" max="15808" width="11.28515625" customWidth="1"/>
    <col min="15810" max="15810" width="9.7109375" customWidth="1"/>
    <col min="15813" max="15813" width="10.42578125" customWidth="1"/>
    <col min="16057" max="16057" width="7" customWidth="1"/>
    <col min="16058" max="16058" width="33.140625" customWidth="1"/>
    <col min="16059" max="16059" width="6.42578125" customWidth="1"/>
    <col min="16060" max="16060" width="29" customWidth="1"/>
    <col min="16061" max="16061" width="11.42578125" customWidth="1"/>
    <col min="16062" max="16062" width="10.7109375" customWidth="1"/>
    <col min="16063" max="16063" width="10.85546875" customWidth="1"/>
    <col min="16064" max="16064" width="11.28515625" customWidth="1"/>
    <col min="16066" max="16066" width="9.7109375" customWidth="1"/>
    <col min="16069" max="16069" width="10.42578125" customWidth="1"/>
  </cols>
  <sheetData>
    <row r="1" spans="1:53" ht="15" x14ac:dyDescent="0.25">
      <c r="A1" s="51" t="s">
        <v>2</v>
      </c>
      <c r="B1" s="51"/>
      <c r="C1" s="43"/>
      <c r="D1" s="51"/>
      <c r="E1" s="51"/>
      <c r="F1" s="92"/>
      <c r="G1" s="92"/>
      <c r="H1" s="92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89"/>
      <c r="AK1" s="89"/>
      <c r="AL1" s="89"/>
      <c r="AM1" s="89"/>
      <c r="AN1" s="89"/>
      <c r="AO1" s="89"/>
      <c r="AP1" s="89"/>
      <c r="AQ1" s="89"/>
      <c r="AR1" s="89"/>
      <c r="AS1" s="89"/>
    </row>
    <row r="2" spans="1:53" ht="15" x14ac:dyDescent="0.25">
      <c r="A2" s="51" t="s">
        <v>3</v>
      </c>
      <c r="B2" s="51"/>
      <c r="C2" s="43"/>
      <c r="D2" s="51"/>
      <c r="E2" s="51"/>
      <c r="F2" s="92"/>
      <c r="G2" s="92"/>
      <c r="H2" s="92"/>
    </row>
    <row r="3" spans="1:53" ht="12.75" customHeight="1" x14ac:dyDescent="0.25">
      <c r="A3" s="784" t="s">
        <v>4</v>
      </c>
      <c r="B3" s="784"/>
      <c r="C3" s="784"/>
      <c r="D3" s="784"/>
      <c r="E3" s="784"/>
      <c r="F3" s="92"/>
      <c r="G3" s="92"/>
      <c r="H3" s="92"/>
      <c r="S3" s="631"/>
      <c r="T3" s="631"/>
    </row>
    <row r="4" spans="1:53" ht="15" x14ac:dyDescent="0.25">
      <c r="A4" s="91"/>
      <c r="B4" s="51"/>
      <c r="C4" s="51"/>
      <c r="D4" s="51"/>
      <c r="E4" s="51"/>
      <c r="F4" s="92"/>
      <c r="G4" s="92"/>
      <c r="H4" s="92"/>
      <c r="R4" s="712" t="s">
        <v>839</v>
      </c>
      <c r="S4" s="630"/>
      <c r="T4" s="630"/>
    </row>
    <row r="5" spans="1:53" ht="23.25" customHeight="1" thickBot="1" x14ac:dyDescent="0.3">
      <c r="A5" s="185" t="s">
        <v>827</v>
      </c>
      <c r="B5" s="52"/>
      <c r="C5" s="52"/>
      <c r="D5" s="52"/>
      <c r="E5" s="53"/>
      <c r="F5" s="271"/>
      <c r="G5" s="271"/>
      <c r="H5" s="53"/>
      <c r="R5" s="713" t="s">
        <v>840</v>
      </c>
      <c r="S5" s="630"/>
      <c r="T5" s="630"/>
    </row>
    <row r="6" spans="1:53" ht="15" x14ac:dyDescent="0.25">
      <c r="A6" s="766" t="s">
        <v>859</v>
      </c>
      <c r="B6" s="767"/>
      <c r="C6" s="768"/>
      <c r="D6" s="768"/>
      <c r="E6" s="767"/>
      <c r="F6" s="767"/>
      <c r="G6" s="53"/>
      <c r="H6" s="92"/>
      <c r="I6" s="803" t="s">
        <v>828</v>
      </c>
      <c r="J6" s="804"/>
      <c r="K6" s="804"/>
      <c r="L6" s="804"/>
      <c r="M6" s="804"/>
      <c r="N6" s="804"/>
      <c r="O6" s="804"/>
      <c r="P6" s="805"/>
      <c r="Q6" s="809" t="s">
        <v>841</v>
      </c>
      <c r="R6" s="809"/>
      <c r="S6" s="809"/>
      <c r="T6" s="809"/>
      <c r="U6" s="809"/>
      <c r="V6" s="809"/>
      <c r="W6" s="809"/>
      <c r="X6" s="809"/>
      <c r="Y6" s="809"/>
      <c r="Z6" s="809"/>
      <c r="AA6" s="809"/>
      <c r="AB6" s="809"/>
      <c r="AC6" s="809"/>
      <c r="AD6" s="809"/>
      <c r="AE6" s="809"/>
      <c r="AF6" s="809"/>
      <c r="AG6" s="809"/>
      <c r="AH6" s="809"/>
      <c r="AI6" s="809"/>
      <c r="AJ6" s="809"/>
      <c r="AK6" s="809"/>
      <c r="AL6" s="809"/>
      <c r="AM6" s="809"/>
      <c r="AN6" s="809"/>
      <c r="AO6" s="809"/>
      <c r="AP6" s="809"/>
      <c r="AQ6" s="809"/>
      <c r="AR6" s="810"/>
      <c r="AS6" s="811" t="s">
        <v>865</v>
      </c>
      <c r="AT6" s="812"/>
      <c r="AU6" s="812"/>
      <c r="AV6" s="812"/>
      <c r="AW6" s="812"/>
      <c r="AX6" s="812"/>
      <c r="AY6" s="812"/>
      <c r="AZ6" s="812"/>
      <c r="BA6" s="813"/>
    </row>
    <row r="7" spans="1:53" ht="16.5" customHeight="1" thickBot="1" x14ac:dyDescent="0.3">
      <c r="A7" s="91"/>
      <c r="B7" s="6"/>
      <c r="D7" s="10"/>
      <c r="E7" s="6"/>
      <c r="F7" s="92"/>
      <c r="G7" s="92"/>
      <c r="H7" s="92"/>
      <c r="I7" s="806"/>
      <c r="J7" s="807"/>
      <c r="K7" s="807"/>
      <c r="L7" s="807"/>
      <c r="M7" s="807"/>
      <c r="N7" s="807"/>
      <c r="O7" s="807"/>
      <c r="P7" s="808"/>
      <c r="Q7" s="817" t="s">
        <v>282</v>
      </c>
      <c r="R7" s="817"/>
      <c r="S7" s="817"/>
      <c r="T7" s="817"/>
      <c r="U7" s="817"/>
      <c r="V7" s="818"/>
      <c r="W7" s="823" t="s">
        <v>283</v>
      </c>
      <c r="X7" s="817"/>
      <c r="Y7" s="817"/>
      <c r="Z7" s="818"/>
      <c r="AA7" s="785" t="s">
        <v>284</v>
      </c>
      <c r="AB7" s="785" t="s">
        <v>5</v>
      </c>
      <c r="AC7" s="785" t="s">
        <v>285</v>
      </c>
      <c r="AD7" s="826"/>
      <c r="AE7" s="826"/>
      <c r="AF7" s="827"/>
      <c r="AG7" s="785" t="s">
        <v>305</v>
      </c>
      <c r="AH7" s="832" t="s">
        <v>850</v>
      </c>
      <c r="AI7" s="833"/>
      <c r="AJ7" s="833"/>
      <c r="AK7" s="833"/>
      <c r="AL7" s="833"/>
      <c r="AM7" s="833"/>
      <c r="AN7" s="833"/>
      <c r="AO7" s="833"/>
      <c r="AP7" s="833"/>
      <c r="AQ7" s="833"/>
      <c r="AR7" s="834"/>
      <c r="AS7" s="814"/>
      <c r="AT7" s="815"/>
      <c r="AU7" s="815"/>
      <c r="AV7" s="815"/>
      <c r="AW7" s="815"/>
      <c r="AX7" s="815"/>
      <c r="AY7" s="815"/>
      <c r="AZ7" s="815"/>
      <c r="BA7" s="816"/>
    </row>
    <row r="8" spans="1:53" ht="15" customHeight="1" x14ac:dyDescent="0.25">
      <c r="A8" s="120"/>
      <c r="B8" s="93"/>
      <c r="C8" s="93"/>
      <c r="D8" s="93"/>
      <c r="E8" s="93"/>
      <c r="F8" s="93"/>
      <c r="G8" s="93"/>
      <c r="H8" s="93"/>
      <c r="I8" s="794" t="s">
        <v>6</v>
      </c>
      <c r="J8" s="797" t="s">
        <v>802</v>
      </c>
      <c r="K8" s="798"/>
      <c r="L8" s="798"/>
      <c r="M8" s="799"/>
      <c r="N8" s="773" t="s">
        <v>849</v>
      </c>
      <c r="O8" s="776" t="s">
        <v>803</v>
      </c>
      <c r="P8" s="777"/>
      <c r="Q8" s="819"/>
      <c r="R8" s="819"/>
      <c r="S8" s="819"/>
      <c r="T8" s="819"/>
      <c r="U8" s="819"/>
      <c r="V8" s="820"/>
      <c r="W8" s="824"/>
      <c r="X8" s="819"/>
      <c r="Y8" s="819"/>
      <c r="Z8" s="820"/>
      <c r="AA8" s="786"/>
      <c r="AB8" s="786"/>
      <c r="AC8" s="786"/>
      <c r="AD8" s="828"/>
      <c r="AE8" s="828"/>
      <c r="AF8" s="829"/>
      <c r="AG8" s="786"/>
      <c r="AH8" s="780" t="s">
        <v>286</v>
      </c>
      <c r="AI8" s="781"/>
      <c r="AJ8" s="837" t="s">
        <v>287</v>
      </c>
      <c r="AK8" s="835" t="s">
        <v>842</v>
      </c>
      <c r="AL8" s="836"/>
      <c r="AM8" s="837" t="s">
        <v>820</v>
      </c>
      <c r="AN8" s="780" t="s">
        <v>288</v>
      </c>
      <c r="AO8" s="781"/>
      <c r="AP8" s="788" t="s">
        <v>851</v>
      </c>
      <c r="AQ8" s="789"/>
      <c r="AR8" s="790"/>
      <c r="AS8" s="794" t="s">
        <v>6</v>
      </c>
      <c r="AT8" s="797" t="s">
        <v>802</v>
      </c>
      <c r="AU8" s="798"/>
      <c r="AV8" s="798"/>
      <c r="AW8" s="798"/>
      <c r="AX8" s="799"/>
      <c r="AY8" s="773" t="s">
        <v>849</v>
      </c>
      <c r="AZ8" s="776" t="s">
        <v>804</v>
      </c>
      <c r="BA8" s="777"/>
    </row>
    <row r="9" spans="1:53" ht="13.5" customHeight="1" thickBot="1" x14ac:dyDescent="0.25">
      <c r="A9" s="12" t="s">
        <v>795</v>
      </c>
      <c r="D9" s="12"/>
      <c r="F9" s="60"/>
      <c r="G9" s="61"/>
      <c r="H9" s="61"/>
      <c r="I9" s="795"/>
      <c r="J9" s="800"/>
      <c r="K9" s="801"/>
      <c r="L9" s="801"/>
      <c r="M9" s="802"/>
      <c r="N9" s="774"/>
      <c r="O9" s="778"/>
      <c r="P9" s="779"/>
      <c r="Q9" s="821"/>
      <c r="R9" s="821"/>
      <c r="S9" s="821"/>
      <c r="T9" s="821"/>
      <c r="U9" s="821"/>
      <c r="V9" s="822"/>
      <c r="W9" s="825"/>
      <c r="X9" s="821"/>
      <c r="Y9" s="821"/>
      <c r="Z9" s="822"/>
      <c r="AA9" s="786"/>
      <c r="AB9" s="786"/>
      <c r="AC9" s="786"/>
      <c r="AD9" s="830"/>
      <c r="AE9" s="830"/>
      <c r="AF9" s="831"/>
      <c r="AG9" s="786"/>
      <c r="AH9" s="782"/>
      <c r="AI9" s="783"/>
      <c r="AJ9" s="838"/>
      <c r="AK9" s="634" t="s">
        <v>817</v>
      </c>
      <c r="AL9" s="634" t="s">
        <v>818</v>
      </c>
      <c r="AM9" s="838"/>
      <c r="AN9" s="782"/>
      <c r="AO9" s="783"/>
      <c r="AP9" s="791"/>
      <c r="AQ9" s="792"/>
      <c r="AR9" s="793"/>
      <c r="AS9" s="795"/>
      <c r="AT9" s="800"/>
      <c r="AU9" s="801"/>
      <c r="AV9" s="801"/>
      <c r="AW9" s="801"/>
      <c r="AX9" s="802"/>
      <c r="AY9" s="774"/>
      <c r="AZ9" s="778"/>
      <c r="BA9" s="779"/>
    </row>
    <row r="10" spans="1:53" ht="34.5" thickBot="1" x14ac:dyDescent="0.25">
      <c r="A10" s="62" t="s">
        <v>776</v>
      </c>
      <c r="B10" s="63" t="s">
        <v>547</v>
      </c>
      <c r="C10" s="63" t="s">
        <v>548</v>
      </c>
      <c r="D10" s="63" t="s">
        <v>264</v>
      </c>
      <c r="E10" s="166" t="s">
        <v>778</v>
      </c>
      <c r="F10" s="63" t="s">
        <v>0</v>
      </c>
      <c r="G10" s="124" t="s">
        <v>265</v>
      </c>
      <c r="H10" s="37" t="s">
        <v>276</v>
      </c>
      <c r="I10" s="796"/>
      <c r="J10" s="439" t="s">
        <v>274</v>
      </c>
      <c r="K10" s="431" t="s">
        <v>5</v>
      </c>
      <c r="L10" s="431" t="s">
        <v>1</v>
      </c>
      <c r="M10" s="431" t="s">
        <v>7</v>
      </c>
      <c r="N10" s="775"/>
      <c r="O10" s="434" t="s">
        <v>280</v>
      </c>
      <c r="P10" s="435" t="s">
        <v>281</v>
      </c>
      <c r="Q10" s="642" t="s">
        <v>289</v>
      </c>
      <c r="R10" s="433" t="s">
        <v>287</v>
      </c>
      <c r="S10" s="433" t="s">
        <v>819</v>
      </c>
      <c r="T10" s="433" t="s">
        <v>820</v>
      </c>
      <c r="U10" s="433" t="s">
        <v>288</v>
      </c>
      <c r="V10" s="433" t="s">
        <v>821</v>
      </c>
      <c r="W10" s="432" t="s">
        <v>290</v>
      </c>
      <c r="X10" s="433" t="s">
        <v>801</v>
      </c>
      <c r="Y10" s="432" t="s">
        <v>291</v>
      </c>
      <c r="Z10" s="433" t="s">
        <v>768</v>
      </c>
      <c r="AA10" s="787"/>
      <c r="AB10" s="787"/>
      <c r="AC10" s="787"/>
      <c r="AD10" s="433" t="s">
        <v>287</v>
      </c>
      <c r="AE10" s="433" t="s">
        <v>292</v>
      </c>
      <c r="AF10" s="433" t="s">
        <v>769</v>
      </c>
      <c r="AG10" s="787"/>
      <c r="AH10" s="436" t="s">
        <v>280</v>
      </c>
      <c r="AI10" s="437" t="s">
        <v>281</v>
      </c>
      <c r="AJ10" s="436" t="s">
        <v>280</v>
      </c>
      <c r="AK10" s="436" t="s">
        <v>280</v>
      </c>
      <c r="AL10" s="437" t="s">
        <v>281</v>
      </c>
      <c r="AM10" s="436" t="s">
        <v>280</v>
      </c>
      <c r="AN10" s="436" t="s">
        <v>280</v>
      </c>
      <c r="AO10" s="437" t="s">
        <v>281</v>
      </c>
      <c r="AP10" s="436" t="s">
        <v>280</v>
      </c>
      <c r="AQ10" s="437" t="s">
        <v>281</v>
      </c>
      <c r="AR10" s="438" t="s">
        <v>301</v>
      </c>
      <c r="AS10" s="796"/>
      <c r="AT10" s="38" t="s">
        <v>274</v>
      </c>
      <c r="AU10" s="439" t="s">
        <v>283</v>
      </c>
      <c r="AV10" s="431" t="s">
        <v>5</v>
      </c>
      <c r="AW10" s="431" t="s">
        <v>1</v>
      </c>
      <c r="AX10" s="431" t="s">
        <v>7</v>
      </c>
      <c r="AY10" s="775"/>
      <c r="AZ10" s="434" t="s">
        <v>280</v>
      </c>
      <c r="BA10" s="435" t="s">
        <v>281</v>
      </c>
    </row>
    <row r="11" spans="1:53" s="125" customFormat="1" ht="11.25" customHeight="1" thickBot="1" x14ac:dyDescent="0.25">
      <c r="A11" s="136" t="s">
        <v>549</v>
      </c>
      <c r="B11" s="137" t="s">
        <v>550</v>
      </c>
      <c r="C11" s="137" t="s">
        <v>266</v>
      </c>
      <c r="D11" s="137" t="s">
        <v>267</v>
      </c>
      <c r="E11" s="137" t="s">
        <v>551</v>
      </c>
      <c r="F11" s="137" t="s">
        <v>0</v>
      </c>
      <c r="G11" s="137" t="s">
        <v>552</v>
      </c>
      <c r="H11" s="138" t="s">
        <v>772</v>
      </c>
      <c r="I11" s="143" t="s">
        <v>268</v>
      </c>
      <c r="J11" s="144" t="s">
        <v>269</v>
      </c>
      <c r="K11" s="144" t="s">
        <v>270</v>
      </c>
      <c r="L11" s="144" t="s">
        <v>271</v>
      </c>
      <c r="M11" s="144" t="s">
        <v>272</v>
      </c>
      <c r="N11" s="429" t="s">
        <v>273</v>
      </c>
      <c r="O11" s="145" t="s">
        <v>553</v>
      </c>
      <c r="P11" s="146" t="s">
        <v>554</v>
      </c>
      <c r="Q11" s="139" t="s">
        <v>293</v>
      </c>
      <c r="R11" s="140" t="s">
        <v>293</v>
      </c>
      <c r="S11" s="140" t="s">
        <v>293</v>
      </c>
      <c r="T11" s="140" t="s">
        <v>293</v>
      </c>
      <c r="U11" s="140" t="s">
        <v>293</v>
      </c>
      <c r="V11" s="140" t="s">
        <v>293</v>
      </c>
      <c r="W11" s="140" t="s">
        <v>294</v>
      </c>
      <c r="X11" s="140" t="s">
        <v>294</v>
      </c>
      <c r="Y11" s="140" t="s">
        <v>295</v>
      </c>
      <c r="Z11" s="140" t="s">
        <v>294</v>
      </c>
      <c r="AA11" s="140" t="s">
        <v>296</v>
      </c>
      <c r="AB11" s="140" t="s">
        <v>297</v>
      </c>
      <c r="AC11" s="140" t="s">
        <v>298</v>
      </c>
      <c r="AD11" s="140" t="s">
        <v>300</v>
      </c>
      <c r="AE11" s="140" t="s">
        <v>299</v>
      </c>
      <c r="AF11" s="140" t="s">
        <v>299</v>
      </c>
      <c r="AG11" s="140" t="s">
        <v>306</v>
      </c>
      <c r="AH11" s="193" t="s">
        <v>302</v>
      </c>
      <c r="AI11" s="193" t="s">
        <v>303</v>
      </c>
      <c r="AJ11" s="193" t="s">
        <v>302</v>
      </c>
      <c r="AK11" s="193" t="s">
        <v>302</v>
      </c>
      <c r="AL11" s="193" t="s">
        <v>303</v>
      </c>
      <c r="AM11" s="193" t="s">
        <v>302</v>
      </c>
      <c r="AN11" s="193" t="s">
        <v>302</v>
      </c>
      <c r="AO11" s="193" t="s">
        <v>303</v>
      </c>
      <c r="AP11" s="193" t="s">
        <v>302</v>
      </c>
      <c r="AQ11" s="193" t="s">
        <v>303</v>
      </c>
      <c r="AR11" s="194" t="s">
        <v>304</v>
      </c>
      <c r="AS11" s="629" t="s">
        <v>268</v>
      </c>
      <c r="AT11" s="140" t="s">
        <v>269</v>
      </c>
      <c r="AU11" s="140" t="s">
        <v>275</v>
      </c>
      <c r="AV11" s="140" t="s">
        <v>270</v>
      </c>
      <c r="AW11" s="140" t="s">
        <v>271</v>
      </c>
      <c r="AX11" s="140" t="s">
        <v>272</v>
      </c>
      <c r="AY11" s="193" t="s">
        <v>273</v>
      </c>
      <c r="AZ11" s="193" t="s">
        <v>553</v>
      </c>
      <c r="BA11" s="194" t="s">
        <v>554</v>
      </c>
    </row>
    <row r="12" spans="1:53" ht="13.5" customHeight="1" x14ac:dyDescent="0.2">
      <c r="A12" s="238">
        <v>1</v>
      </c>
      <c r="B12" s="239">
        <v>3475</v>
      </c>
      <c r="C12" s="239">
        <v>691008604</v>
      </c>
      <c r="D12" s="239">
        <v>4624548</v>
      </c>
      <c r="E12" s="240" t="s">
        <v>120</v>
      </c>
      <c r="F12" s="239">
        <v>3111</v>
      </c>
      <c r="G12" s="241" t="s">
        <v>307</v>
      </c>
      <c r="H12" s="242" t="s">
        <v>277</v>
      </c>
      <c r="I12" s="440">
        <f>SUM(J12:M12)</f>
        <v>3490732</v>
      </c>
      <c r="J12" s="441">
        <v>2576211</v>
      </c>
      <c r="K12" s="441">
        <f t="shared" ref="K12:K14" si="0">ROUND(J12*33.8%,0)</f>
        <v>870759</v>
      </c>
      <c r="L12" s="441">
        <f>ROUND(J12*1%,0)</f>
        <v>25762</v>
      </c>
      <c r="M12" s="441">
        <v>18000</v>
      </c>
      <c r="N12" s="458">
        <f t="shared" ref="N12:N14" si="1">O12+P12</f>
        <v>5.2645</v>
      </c>
      <c r="O12" s="443">
        <v>4.0644999999999998</v>
      </c>
      <c r="P12" s="467">
        <v>1.2</v>
      </c>
      <c r="Q12" s="447">
        <f t="shared" ref="Q12:Q14" si="2">W12*-1</f>
        <v>-6500</v>
      </c>
      <c r="R12" s="445">
        <v>0</v>
      </c>
      <c r="S12" s="675">
        <v>0</v>
      </c>
      <c r="T12" s="445">
        <v>0</v>
      </c>
      <c r="U12" s="445">
        <v>0</v>
      </c>
      <c r="V12" s="445">
        <f>SUM(Q12:U12)</f>
        <v>-6500</v>
      </c>
      <c r="W12" s="445">
        <v>6500</v>
      </c>
      <c r="X12" s="445">
        <v>0</v>
      </c>
      <c r="Y12" s="445">
        <v>0</v>
      </c>
      <c r="Z12" s="445">
        <f t="shared" ref="Z12:Z14" si="3">SUM(W12:Y12)</f>
        <v>6500</v>
      </c>
      <c r="AA12" s="445">
        <f t="shared" ref="AA12:AA14" si="4">V12+Z12</f>
        <v>0</v>
      </c>
      <c r="AB12" s="147">
        <f t="shared" ref="AB12:AB14" si="5">ROUND((V12+W12+X12)*33.8%,0)</f>
        <v>0</v>
      </c>
      <c r="AC12" s="147">
        <f>ROUND(V12*1%,0)</f>
        <v>-65</v>
      </c>
      <c r="AD12" s="445">
        <v>0</v>
      </c>
      <c r="AE12" s="445">
        <v>0</v>
      </c>
      <c r="AF12" s="445">
        <f t="shared" ref="AF12:AF14" si="6">SUM(AD12:AE12)</f>
        <v>0</v>
      </c>
      <c r="AG12" s="445">
        <f t="shared" ref="AG12:AG14" si="7">AA12+AB12+AC12+AF12</f>
        <v>-65</v>
      </c>
      <c r="AH12" s="446">
        <v>0</v>
      </c>
      <c r="AI12" s="446">
        <v>0</v>
      </c>
      <c r="AJ12" s="446">
        <v>0</v>
      </c>
      <c r="AK12" s="446">
        <v>0</v>
      </c>
      <c r="AL12" s="676">
        <v>0</v>
      </c>
      <c r="AM12" s="446">
        <v>0</v>
      </c>
      <c r="AN12" s="446">
        <v>0</v>
      </c>
      <c r="AO12" s="446">
        <v>0</v>
      </c>
      <c r="AP12" s="446">
        <f>AH12+AJ12+AK12+AM12+AN12</f>
        <v>0</v>
      </c>
      <c r="AQ12" s="446">
        <f>AI12+AL12+AO12</f>
        <v>0</v>
      </c>
      <c r="AR12" s="448">
        <f t="shared" ref="AR12:AR14" si="8">SUM(AP12:AQ12)</f>
        <v>0</v>
      </c>
      <c r="AS12" s="444">
        <f>I12+AG12</f>
        <v>3490667</v>
      </c>
      <c r="AT12" s="445">
        <f>J12+V12</f>
        <v>2569711</v>
      </c>
      <c r="AU12" s="445">
        <f>Z12</f>
        <v>6500</v>
      </c>
      <c r="AV12" s="445">
        <f t="shared" ref="AV12:AW14" si="9">K12+AB12</f>
        <v>870759</v>
      </c>
      <c r="AW12" s="445">
        <f t="shared" si="9"/>
        <v>25697</v>
      </c>
      <c r="AX12" s="445">
        <f>M12+AF12</f>
        <v>18000</v>
      </c>
      <c r="AY12" s="446">
        <f>N12+AR12</f>
        <v>5.2645</v>
      </c>
      <c r="AZ12" s="446">
        <f t="shared" ref="AZ12:BA14" si="10">O12+AP12</f>
        <v>4.0644999999999998</v>
      </c>
      <c r="BA12" s="448">
        <f t="shared" si="10"/>
        <v>1.2</v>
      </c>
    </row>
    <row r="13" spans="1:53" ht="13.5" customHeight="1" x14ac:dyDescent="0.2">
      <c r="A13" s="211">
        <v>1</v>
      </c>
      <c r="B13" s="212">
        <v>3475</v>
      </c>
      <c r="C13" s="212">
        <v>691008604</v>
      </c>
      <c r="D13" s="212">
        <v>4624548</v>
      </c>
      <c r="E13" s="210" t="s">
        <v>121</v>
      </c>
      <c r="F13" s="212">
        <v>3111</v>
      </c>
      <c r="G13" s="213" t="s">
        <v>308</v>
      </c>
      <c r="H13" s="214" t="s">
        <v>278</v>
      </c>
      <c r="I13" s="462">
        <f t="shared" ref="I13" si="11">SUM(J13:M13)</f>
        <v>0</v>
      </c>
      <c r="J13" s="457">
        <v>0</v>
      </c>
      <c r="K13" s="457">
        <f t="shared" si="0"/>
        <v>0</v>
      </c>
      <c r="L13" s="457">
        <f>ROUND(J13*1%,0)</f>
        <v>0</v>
      </c>
      <c r="M13" s="457">
        <v>0</v>
      </c>
      <c r="N13" s="458">
        <f t="shared" si="1"/>
        <v>0</v>
      </c>
      <c r="O13" s="459">
        <v>0</v>
      </c>
      <c r="P13" s="468">
        <v>0</v>
      </c>
      <c r="Q13" s="470">
        <f t="shared" si="2"/>
        <v>0</v>
      </c>
      <c r="R13" s="460">
        <v>259835</v>
      </c>
      <c r="S13" s="673">
        <v>0</v>
      </c>
      <c r="T13" s="460">
        <v>0</v>
      </c>
      <c r="U13" s="460">
        <v>0</v>
      </c>
      <c r="V13" s="460">
        <f>SUM(Q13:U13)</f>
        <v>259835</v>
      </c>
      <c r="W13" s="460">
        <v>0</v>
      </c>
      <c r="X13" s="460">
        <v>0</v>
      </c>
      <c r="Y13" s="460">
        <v>0</v>
      </c>
      <c r="Z13" s="460">
        <f t="shared" si="3"/>
        <v>0</v>
      </c>
      <c r="AA13" s="460">
        <f t="shared" si="4"/>
        <v>259835</v>
      </c>
      <c r="AB13" s="69">
        <f t="shared" si="5"/>
        <v>87824</v>
      </c>
      <c r="AC13" s="69">
        <f>ROUND(V13*1%,0)</f>
        <v>2598</v>
      </c>
      <c r="AD13" s="460">
        <v>0</v>
      </c>
      <c r="AE13" s="460">
        <v>0</v>
      </c>
      <c r="AF13" s="460">
        <f t="shared" si="6"/>
        <v>0</v>
      </c>
      <c r="AG13" s="460">
        <f t="shared" si="7"/>
        <v>350257</v>
      </c>
      <c r="AH13" s="461">
        <v>0</v>
      </c>
      <c r="AI13" s="461">
        <v>0</v>
      </c>
      <c r="AJ13" s="461">
        <v>0.75</v>
      </c>
      <c r="AK13" s="461">
        <v>0</v>
      </c>
      <c r="AL13" s="674">
        <v>0</v>
      </c>
      <c r="AM13" s="461">
        <v>0</v>
      </c>
      <c r="AN13" s="461">
        <v>0</v>
      </c>
      <c r="AO13" s="461">
        <v>0</v>
      </c>
      <c r="AP13" s="461">
        <f>AH13+AJ13+AK13+AM13+AN13</f>
        <v>0.75</v>
      </c>
      <c r="AQ13" s="461">
        <f>AI13+AL13+AO13</f>
        <v>0</v>
      </c>
      <c r="AR13" s="463">
        <f t="shared" si="8"/>
        <v>0.75</v>
      </c>
      <c r="AS13" s="469">
        <f>I13+AG13</f>
        <v>350257</v>
      </c>
      <c r="AT13" s="460">
        <f>J13+V13</f>
        <v>259835</v>
      </c>
      <c r="AU13" s="460">
        <f>Z13</f>
        <v>0</v>
      </c>
      <c r="AV13" s="460">
        <f t="shared" si="9"/>
        <v>87824</v>
      </c>
      <c r="AW13" s="460">
        <f t="shared" si="9"/>
        <v>2598</v>
      </c>
      <c r="AX13" s="460">
        <f>M13+AF13</f>
        <v>0</v>
      </c>
      <c r="AY13" s="461">
        <f>N13+AR13</f>
        <v>0.75</v>
      </c>
      <c r="AZ13" s="461">
        <f t="shared" si="10"/>
        <v>0.75</v>
      </c>
      <c r="BA13" s="463">
        <f t="shared" si="10"/>
        <v>0</v>
      </c>
    </row>
    <row r="14" spans="1:53" ht="13.5" customHeight="1" x14ac:dyDescent="0.2">
      <c r="A14" s="211">
        <v>1</v>
      </c>
      <c r="B14" s="212">
        <v>3475</v>
      </c>
      <c r="C14" s="212">
        <v>691008604</v>
      </c>
      <c r="D14" s="212">
        <v>4624548</v>
      </c>
      <c r="E14" s="210" t="s">
        <v>121</v>
      </c>
      <c r="F14" s="212">
        <v>3141</v>
      </c>
      <c r="G14" s="213" t="s">
        <v>311</v>
      </c>
      <c r="H14" s="214" t="s">
        <v>278</v>
      </c>
      <c r="I14" s="462">
        <f t="shared" ref="I14" si="12">SUM(J14:M14)</f>
        <v>594682</v>
      </c>
      <c r="J14" s="457">
        <v>439461</v>
      </c>
      <c r="K14" s="457">
        <f t="shared" si="0"/>
        <v>148538</v>
      </c>
      <c r="L14" s="457">
        <f>ROUND(J14*1%,0)</f>
        <v>4395</v>
      </c>
      <c r="M14" s="457">
        <v>2288</v>
      </c>
      <c r="N14" s="458">
        <f t="shared" si="1"/>
        <v>1.41</v>
      </c>
      <c r="O14" s="459">
        <v>0</v>
      </c>
      <c r="P14" s="468">
        <v>1.41</v>
      </c>
      <c r="Q14" s="470">
        <f t="shared" si="2"/>
        <v>-9750</v>
      </c>
      <c r="R14" s="460">
        <v>0</v>
      </c>
      <c r="S14" s="673">
        <v>0</v>
      </c>
      <c r="T14" s="460">
        <v>0</v>
      </c>
      <c r="U14" s="460">
        <v>0</v>
      </c>
      <c r="V14" s="460">
        <f>SUM(Q14:U14)</f>
        <v>-9750</v>
      </c>
      <c r="W14" s="460">
        <v>9750</v>
      </c>
      <c r="X14" s="460">
        <v>0</v>
      </c>
      <c r="Y14" s="460">
        <v>0</v>
      </c>
      <c r="Z14" s="460">
        <f t="shared" si="3"/>
        <v>9750</v>
      </c>
      <c r="AA14" s="460">
        <f t="shared" si="4"/>
        <v>0</v>
      </c>
      <c r="AB14" s="69">
        <f t="shared" si="5"/>
        <v>0</v>
      </c>
      <c r="AC14" s="69">
        <f>ROUND(V14*1%,0)</f>
        <v>-98</v>
      </c>
      <c r="AD14" s="460">
        <v>0</v>
      </c>
      <c r="AE14" s="460">
        <v>0</v>
      </c>
      <c r="AF14" s="460">
        <f t="shared" si="6"/>
        <v>0</v>
      </c>
      <c r="AG14" s="460">
        <f t="shared" si="7"/>
        <v>-98</v>
      </c>
      <c r="AH14" s="461">
        <v>0</v>
      </c>
      <c r="AI14" s="461">
        <v>0</v>
      </c>
      <c r="AJ14" s="461">
        <v>0</v>
      </c>
      <c r="AK14" s="461">
        <v>0</v>
      </c>
      <c r="AL14" s="674">
        <v>0</v>
      </c>
      <c r="AM14" s="461">
        <v>0</v>
      </c>
      <c r="AN14" s="461">
        <v>0</v>
      </c>
      <c r="AO14" s="461">
        <v>0</v>
      </c>
      <c r="AP14" s="461">
        <f>AH14+AJ14+AK14+AM14+AN14</f>
        <v>0</v>
      </c>
      <c r="AQ14" s="461">
        <f>AI14+AL14+AO14</f>
        <v>0</v>
      </c>
      <c r="AR14" s="463">
        <f t="shared" si="8"/>
        <v>0</v>
      </c>
      <c r="AS14" s="469">
        <f>I14+AG14</f>
        <v>594584</v>
      </c>
      <c r="AT14" s="460">
        <f>J14+V14</f>
        <v>429711</v>
      </c>
      <c r="AU14" s="460">
        <f>Z14</f>
        <v>9750</v>
      </c>
      <c r="AV14" s="460">
        <f t="shared" si="9"/>
        <v>148538</v>
      </c>
      <c r="AW14" s="460">
        <f t="shared" si="9"/>
        <v>4297</v>
      </c>
      <c r="AX14" s="460">
        <f>M14+AF14</f>
        <v>2288</v>
      </c>
      <c r="AY14" s="461">
        <f>N14+AR14</f>
        <v>1.41</v>
      </c>
      <c r="AZ14" s="461">
        <f t="shared" si="10"/>
        <v>0</v>
      </c>
      <c r="BA14" s="463">
        <f t="shared" si="10"/>
        <v>1.41</v>
      </c>
    </row>
    <row r="15" spans="1:53" ht="13.5" customHeight="1" x14ac:dyDescent="0.2">
      <c r="A15" s="158">
        <v>1</v>
      </c>
      <c r="B15" s="18">
        <v>3475</v>
      </c>
      <c r="C15" s="18">
        <v>691008604</v>
      </c>
      <c r="D15" s="18">
        <v>4624548</v>
      </c>
      <c r="E15" s="167" t="s">
        <v>122</v>
      </c>
      <c r="F15" s="18"/>
      <c r="G15" s="157"/>
      <c r="H15" s="191"/>
      <c r="I15" s="505">
        <f t="shared" ref="I15:P15" si="13">SUM(I12:I14)</f>
        <v>4085414</v>
      </c>
      <c r="J15" s="502">
        <f t="shared" si="13"/>
        <v>3015672</v>
      </c>
      <c r="K15" s="502">
        <f t="shared" si="13"/>
        <v>1019297</v>
      </c>
      <c r="L15" s="502">
        <f t="shared" si="13"/>
        <v>30157</v>
      </c>
      <c r="M15" s="502">
        <f t="shared" si="13"/>
        <v>20288</v>
      </c>
      <c r="N15" s="503">
        <f t="shared" si="13"/>
        <v>6.6745000000000001</v>
      </c>
      <c r="O15" s="503">
        <f t="shared" si="13"/>
        <v>4.0644999999999998</v>
      </c>
      <c r="P15" s="507">
        <f t="shared" si="13"/>
        <v>2.61</v>
      </c>
      <c r="Q15" s="505">
        <f t="shared" ref="Q15:BA15" si="14">SUM(Q12:Q14)</f>
        <v>-16250</v>
      </c>
      <c r="R15" s="502">
        <f t="shared" si="14"/>
        <v>259835</v>
      </c>
      <c r="S15" s="502">
        <f t="shared" si="14"/>
        <v>0</v>
      </c>
      <c r="T15" s="502">
        <f t="shared" si="14"/>
        <v>0</v>
      </c>
      <c r="U15" s="502">
        <f t="shared" si="14"/>
        <v>0</v>
      </c>
      <c r="V15" s="502">
        <f t="shared" si="14"/>
        <v>243585</v>
      </c>
      <c r="W15" s="502">
        <f t="shared" si="14"/>
        <v>16250</v>
      </c>
      <c r="X15" s="502">
        <f t="shared" si="14"/>
        <v>0</v>
      </c>
      <c r="Y15" s="502">
        <f t="shared" si="14"/>
        <v>0</v>
      </c>
      <c r="Z15" s="502">
        <f t="shared" si="14"/>
        <v>16250</v>
      </c>
      <c r="AA15" s="502">
        <f t="shared" si="14"/>
        <v>259835</v>
      </c>
      <c r="AB15" s="502">
        <f t="shared" si="14"/>
        <v>87824</v>
      </c>
      <c r="AC15" s="502">
        <f t="shared" si="14"/>
        <v>2435</v>
      </c>
      <c r="AD15" s="502">
        <f t="shared" si="14"/>
        <v>0</v>
      </c>
      <c r="AE15" s="502">
        <f t="shared" si="14"/>
        <v>0</v>
      </c>
      <c r="AF15" s="502">
        <f t="shared" si="14"/>
        <v>0</v>
      </c>
      <c r="AG15" s="502">
        <f t="shared" si="14"/>
        <v>350094</v>
      </c>
      <c r="AH15" s="503">
        <f t="shared" si="14"/>
        <v>0</v>
      </c>
      <c r="AI15" s="503">
        <f t="shared" si="14"/>
        <v>0</v>
      </c>
      <c r="AJ15" s="503">
        <f t="shared" si="14"/>
        <v>0.75</v>
      </c>
      <c r="AK15" s="503">
        <f t="shared" si="14"/>
        <v>0</v>
      </c>
      <c r="AL15" s="503">
        <f t="shared" si="14"/>
        <v>0</v>
      </c>
      <c r="AM15" s="503">
        <f t="shared" si="14"/>
        <v>0</v>
      </c>
      <c r="AN15" s="503">
        <f t="shared" si="14"/>
        <v>0</v>
      </c>
      <c r="AO15" s="503">
        <f t="shared" si="14"/>
        <v>0</v>
      </c>
      <c r="AP15" s="503">
        <f t="shared" si="14"/>
        <v>0.75</v>
      </c>
      <c r="AQ15" s="503">
        <f t="shared" si="14"/>
        <v>0</v>
      </c>
      <c r="AR15" s="40">
        <f t="shared" si="14"/>
        <v>0.75</v>
      </c>
      <c r="AS15" s="509">
        <f t="shared" si="14"/>
        <v>4435508</v>
      </c>
      <c r="AT15" s="502">
        <f t="shared" si="14"/>
        <v>3259257</v>
      </c>
      <c r="AU15" s="502">
        <f t="shared" si="14"/>
        <v>16250</v>
      </c>
      <c r="AV15" s="502">
        <f t="shared" si="14"/>
        <v>1107121</v>
      </c>
      <c r="AW15" s="502">
        <f t="shared" si="14"/>
        <v>32592</v>
      </c>
      <c r="AX15" s="502">
        <f t="shared" si="14"/>
        <v>20288</v>
      </c>
      <c r="AY15" s="503">
        <f t="shared" si="14"/>
        <v>7.4245000000000001</v>
      </c>
      <c r="AZ15" s="503">
        <f t="shared" si="14"/>
        <v>4.8144999999999998</v>
      </c>
      <c r="BA15" s="40">
        <f t="shared" si="14"/>
        <v>2.61</v>
      </c>
    </row>
    <row r="16" spans="1:53" ht="13.5" customHeight="1" x14ac:dyDescent="0.2">
      <c r="A16" s="211">
        <v>2</v>
      </c>
      <c r="B16" s="212">
        <v>3449</v>
      </c>
      <c r="C16" s="212">
        <v>600078116</v>
      </c>
      <c r="D16" s="212">
        <v>70695016</v>
      </c>
      <c r="E16" s="210" t="s">
        <v>123</v>
      </c>
      <c r="F16" s="212">
        <v>3111</v>
      </c>
      <c r="G16" s="213" t="s">
        <v>307</v>
      </c>
      <c r="H16" s="214" t="s">
        <v>277</v>
      </c>
      <c r="I16" s="462">
        <f t="shared" ref="I16:I18" si="15">SUM(J16:M16)</f>
        <v>5018628</v>
      </c>
      <c r="J16" s="457">
        <v>3704620</v>
      </c>
      <c r="K16" s="457">
        <f t="shared" ref="K16:K18" si="16">ROUND(J16*33.8%,0)</f>
        <v>1252162</v>
      </c>
      <c r="L16" s="457">
        <f t="shared" ref="L16:L18" si="17">ROUND(J16*1%,0)</f>
        <v>37046</v>
      </c>
      <c r="M16" s="457">
        <v>24800</v>
      </c>
      <c r="N16" s="458">
        <f t="shared" ref="N16:N18" si="18">O16+P16</f>
        <v>7.68</v>
      </c>
      <c r="O16" s="459">
        <v>6</v>
      </c>
      <c r="P16" s="468">
        <v>1.68</v>
      </c>
      <c r="Q16" s="470">
        <f t="shared" ref="Q16:Q18" si="19">W16*-1</f>
        <v>0</v>
      </c>
      <c r="R16" s="460">
        <v>0</v>
      </c>
      <c r="S16" s="673">
        <v>0</v>
      </c>
      <c r="T16" s="460">
        <v>0</v>
      </c>
      <c r="U16" s="460">
        <v>0</v>
      </c>
      <c r="V16" s="460">
        <f>SUM(Q16:U16)</f>
        <v>0</v>
      </c>
      <c r="W16" s="460">
        <v>0</v>
      </c>
      <c r="X16" s="460">
        <v>0</v>
      </c>
      <c r="Y16" s="460">
        <v>0</v>
      </c>
      <c r="Z16" s="460">
        <f t="shared" ref="Z16:Z18" si="20">SUM(W16:Y16)</f>
        <v>0</v>
      </c>
      <c r="AA16" s="460">
        <f t="shared" ref="AA16:AA18" si="21">V16+Z16</f>
        <v>0</v>
      </c>
      <c r="AB16" s="69">
        <f t="shared" ref="AB16:AB18" si="22">ROUND((V16+W16+X16)*33.8%,0)</f>
        <v>0</v>
      </c>
      <c r="AC16" s="69">
        <f t="shared" ref="AC16:AC18" si="23">ROUND(V16*1%,0)</f>
        <v>0</v>
      </c>
      <c r="AD16" s="460">
        <v>0</v>
      </c>
      <c r="AE16" s="460">
        <v>0</v>
      </c>
      <c r="AF16" s="460">
        <f t="shared" ref="AF16:AF18" si="24">SUM(AD16:AE16)</f>
        <v>0</v>
      </c>
      <c r="AG16" s="460">
        <f t="shared" ref="AG16:AG18" si="25">AA16+AB16+AC16+AF16</f>
        <v>0</v>
      </c>
      <c r="AH16" s="461">
        <v>0</v>
      </c>
      <c r="AI16" s="461">
        <v>0</v>
      </c>
      <c r="AJ16" s="461">
        <v>0</v>
      </c>
      <c r="AK16" s="461">
        <v>0</v>
      </c>
      <c r="AL16" s="674">
        <v>0</v>
      </c>
      <c r="AM16" s="461">
        <v>0</v>
      </c>
      <c r="AN16" s="461">
        <v>0</v>
      </c>
      <c r="AO16" s="461">
        <v>0</v>
      </c>
      <c r="AP16" s="461">
        <f>AH16+AJ16+AK16+AM16+AN16</f>
        <v>0</v>
      </c>
      <c r="AQ16" s="461">
        <f>AI16+AL16+AO16</f>
        <v>0</v>
      </c>
      <c r="AR16" s="463">
        <f t="shared" ref="AR16:AR18" si="26">SUM(AP16:AQ16)</f>
        <v>0</v>
      </c>
      <c r="AS16" s="469">
        <f>I16+AG16</f>
        <v>5018628</v>
      </c>
      <c r="AT16" s="460">
        <f>J16+V16</f>
        <v>3704620</v>
      </c>
      <c r="AU16" s="460">
        <f t="shared" ref="AU16:AU18" si="27">Z16</f>
        <v>0</v>
      </c>
      <c r="AV16" s="460">
        <f t="shared" ref="AV16:AW18" si="28">K16+AB16</f>
        <v>1252162</v>
      </c>
      <c r="AW16" s="460">
        <f t="shared" si="28"/>
        <v>37046</v>
      </c>
      <c r="AX16" s="460">
        <f>M16+AF16</f>
        <v>24800</v>
      </c>
      <c r="AY16" s="461">
        <f>N16+AR16</f>
        <v>7.68</v>
      </c>
      <c r="AZ16" s="461">
        <f t="shared" ref="AZ16:BA18" si="29">O16+AP16</f>
        <v>6</v>
      </c>
      <c r="BA16" s="463">
        <f t="shared" si="29"/>
        <v>1.68</v>
      </c>
    </row>
    <row r="17" spans="1:53" ht="13.5" customHeight="1" x14ac:dyDescent="0.2">
      <c r="A17" s="211">
        <v>2</v>
      </c>
      <c r="B17" s="212">
        <v>3449</v>
      </c>
      <c r="C17" s="212">
        <v>600078116</v>
      </c>
      <c r="D17" s="212">
        <v>70695016</v>
      </c>
      <c r="E17" s="210" t="s">
        <v>123</v>
      </c>
      <c r="F17" s="212">
        <v>3111</v>
      </c>
      <c r="G17" s="213" t="s">
        <v>308</v>
      </c>
      <c r="H17" s="214" t="s">
        <v>278</v>
      </c>
      <c r="I17" s="462">
        <f t="shared" si="15"/>
        <v>0</v>
      </c>
      <c r="J17" s="457">
        <v>0</v>
      </c>
      <c r="K17" s="457">
        <f t="shared" si="16"/>
        <v>0</v>
      </c>
      <c r="L17" s="457">
        <f t="shared" si="17"/>
        <v>0</v>
      </c>
      <c r="M17" s="457">
        <v>0</v>
      </c>
      <c r="N17" s="458">
        <f t="shared" si="18"/>
        <v>0</v>
      </c>
      <c r="O17" s="459">
        <v>0</v>
      </c>
      <c r="P17" s="468">
        <v>0</v>
      </c>
      <c r="Q17" s="470">
        <f t="shared" si="19"/>
        <v>0</v>
      </c>
      <c r="R17" s="460">
        <v>0</v>
      </c>
      <c r="S17" s="673">
        <v>0</v>
      </c>
      <c r="T17" s="460">
        <v>0</v>
      </c>
      <c r="U17" s="460">
        <v>0</v>
      </c>
      <c r="V17" s="460">
        <f>SUM(Q17:U17)</f>
        <v>0</v>
      </c>
      <c r="W17" s="460">
        <v>0</v>
      </c>
      <c r="X17" s="460">
        <v>0</v>
      </c>
      <c r="Y17" s="460">
        <v>0</v>
      </c>
      <c r="Z17" s="460">
        <f t="shared" si="20"/>
        <v>0</v>
      </c>
      <c r="AA17" s="460">
        <f t="shared" si="21"/>
        <v>0</v>
      </c>
      <c r="AB17" s="69">
        <f t="shared" si="22"/>
        <v>0</v>
      </c>
      <c r="AC17" s="69">
        <f t="shared" si="23"/>
        <v>0</v>
      </c>
      <c r="AD17" s="460">
        <v>0</v>
      </c>
      <c r="AE17" s="460">
        <v>0</v>
      </c>
      <c r="AF17" s="460">
        <f t="shared" si="24"/>
        <v>0</v>
      </c>
      <c r="AG17" s="460">
        <f t="shared" si="25"/>
        <v>0</v>
      </c>
      <c r="AH17" s="461">
        <v>0</v>
      </c>
      <c r="AI17" s="461">
        <v>0</v>
      </c>
      <c r="AJ17" s="461">
        <v>0</v>
      </c>
      <c r="AK17" s="461">
        <v>0</v>
      </c>
      <c r="AL17" s="674">
        <v>0</v>
      </c>
      <c r="AM17" s="461">
        <v>0</v>
      </c>
      <c r="AN17" s="461">
        <v>0</v>
      </c>
      <c r="AO17" s="461">
        <v>0</v>
      </c>
      <c r="AP17" s="461">
        <f>AH17+AJ17+AK17+AM17+AN17</f>
        <v>0</v>
      </c>
      <c r="AQ17" s="461">
        <f>AI17+AL17+AO17</f>
        <v>0</v>
      </c>
      <c r="AR17" s="463">
        <f t="shared" si="26"/>
        <v>0</v>
      </c>
      <c r="AS17" s="469">
        <f>I17+AG17</f>
        <v>0</v>
      </c>
      <c r="AT17" s="460">
        <f>J17+V17</f>
        <v>0</v>
      </c>
      <c r="AU17" s="460">
        <f t="shared" si="27"/>
        <v>0</v>
      </c>
      <c r="AV17" s="460">
        <f t="shared" si="28"/>
        <v>0</v>
      </c>
      <c r="AW17" s="460">
        <f t="shared" si="28"/>
        <v>0</v>
      </c>
      <c r="AX17" s="460">
        <f>M17+AF17</f>
        <v>0</v>
      </c>
      <c r="AY17" s="461">
        <f>N17+AR17</f>
        <v>0</v>
      </c>
      <c r="AZ17" s="461">
        <f t="shared" si="29"/>
        <v>0</v>
      </c>
      <c r="BA17" s="463">
        <f t="shared" si="29"/>
        <v>0</v>
      </c>
    </row>
    <row r="18" spans="1:53" ht="13.5" customHeight="1" x14ac:dyDescent="0.2">
      <c r="A18" s="211">
        <v>2</v>
      </c>
      <c r="B18" s="212">
        <v>3449</v>
      </c>
      <c r="C18" s="212">
        <v>600078116</v>
      </c>
      <c r="D18" s="212">
        <v>70695016</v>
      </c>
      <c r="E18" s="210" t="s">
        <v>123</v>
      </c>
      <c r="F18" s="212">
        <v>3141</v>
      </c>
      <c r="G18" s="213" t="s">
        <v>311</v>
      </c>
      <c r="H18" s="214" t="s">
        <v>278</v>
      </c>
      <c r="I18" s="462">
        <f t="shared" si="15"/>
        <v>751280</v>
      </c>
      <c r="J18" s="457">
        <v>554938</v>
      </c>
      <c r="K18" s="457">
        <f t="shared" si="16"/>
        <v>187569</v>
      </c>
      <c r="L18" s="457">
        <f t="shared" si="17"/>
        <v>5549</v>
      </c>
      <c r="M18" s="457">
        <v>3224</v>
      </c>
      <c r="N18" s="458">
        <f t="shared" si="18"/>
        <v>1.78</v>
      </c>
      <c r="O18" s="459">
        <v>0</v>
      </c>
      <c r="P18" s="468">
        <v>1.78</v>
      </c>
      <c r="Q18" s="470">
        <f t="shared" si="19"/>
        <v>0</v>
      </c>
      <c r="R18" s="460">
        <v>0</v>
      </c>
      <c r="S18" s="673">
        <v>0</v>
      </c>
      <c r="T18" s="460">
        <v>0</v>
      </c>
      <c r="U18" s="460">
        <v>0</v>
      </c>
      <c r="V18" s="460">
        <f>SUM(Q18:U18)</f>
        <v>0</v>
      </c>
      <c r="W18" s="460">
        <v>0</v>
      </c>
      <c r="X18" s="460">
        <v>0</v>
      </c>
      <c r="Y18" s="460">
        <v>0</v>
      </c>
      <c r="Z18" s="460">
        <f t="shared" si="20"/>
        <v>0</v>
      </c>
      <c r="AA18" s="460">
        <f t="shared" si="21"/>
        <v>0</v>
      </c>
      <c r="AB18" s="69">
        <f t="shared" si="22"/>
        <v>0</v>
      </c>
      <c r="AC18" s="69">
        <f t="shared" si="23"/>
        <v>0</v>
      </c>
      <c r="AD18" s="460">
        <v>0</v>
      </c>
      <c r="AE18" s="460">
        <v>0</v>
      </c>
      <c r="AF18" s="460">
        <f t="shared" si="24"/>
        <v>0</v>
      </c>
      <c r="AG18" s="460">
        <f t="shared" si="25"/>
        <v>0</v>
      </c>
      <c r="AH18" s="461">
        <v>0</v>
      </c>
      <c r="AI18" s="461">
        <v>0</v>
      </c>
      <c r="AJ18" s="461">
        <v>0</v>
      </c>
      <c r="AK18" s="461">
        <v>0</v>
      </c>
      <c r="AL18" s="674">
        <v>0</v>
      </c>
      <c r="AM18" s="461">
        <v>0</v>
      </c>
      <c r="AN18" s="461">
        <v>0</v>
      </c>
      <c r="AO18" s="461">
        <v>0</v>
      </c>
      <c r="AP18" s="461">
        <f>AH18+AJ18+AK18+AM18+AN18</f>
        <v>0</v>
      </c>
      <c r="AQ18" s="461">
        <f>AI18+AL18+AO18</f>
        <v>0</v>
      </c>
      <c r="AR18" s="463">
        <f t="shared" si="26"/>
        <v>0</v>
      </c>
      <c r="AS18" s="469">
        <f>I18+AG18</f>
        <v>751280</v>
      </c>
      <c r="AT18" s="460">
        <f>J18+V18</f>
        <v>554938</v>
      </c>
      <c r="AU18" s="460">
        <f t="shared" si="27"/>
        <v>0</v>
      </c>
      <c r="AV18" s="460">
        <f t="shared" si="28"/>
        <v>187569</v>
      </c>
      <c r="AW18" s="460">
        <f t="shared" si="28"/>
        <v>5549</v>
      </c>
      <c r="AX18" s="460">
        <f>M18+AF18</f>
        <v>3224</v>
      </c>
      <c r="AY18" s="461">
        <f>N18+AR18</f>
        <v>1.78</v>
      </c>
      <c r="AZ18" s="461">
        <f t="shared" si="29"/>
        <v>0</v>
      </c>
      <c r="BA18" s="463">
        <f t="shared" si="29"/>
        <v>1.78</v>
      </c>
    </row>
    <row r="19" spans="1:53" ht="13.5" customHeight="1" x14ac:dyDescent="0.2">
      <c r="A19" s="158">
        <v>2</v>
      </c>
      <c r="B19" s="18">
        <v>3449</v>
      </c>
      <c r="C19" s="18">
        <v>600078116</v>
      </c>
      <c r="D19" s="18">
        <v>70695016</v>
      </c>
      <c r="E19" s="167" t="s">
        <v>124</v>
      </c>
      <c r="F19" s="18"/>
      <c r="G19" s="157"/>
      <c r="H19" s="191"/>
      <c r="I19" s="505">
        <f t="shared" ref="I19:P19" si="30">SUM(I16:I18)</f>
        <v>5769908</v>
      </c>
      <c r="J19" s="502">
        <f t="shared" si="30"/>
        <v>4259558</v>
      </c>
      <c r="K19" s="502">
        <f t="shared" si="30"/>
        <v>1439731</v>
      </c>
      <c r="L19" s="502">
        <f t="shared" si="30"/>
        <v>42595</v>
      </c>
      <c r="M19" s="502">
        <f t="shared" si="30"/>
        <v>28024</v>
      </c>
      <c r="N19" s="503">
        <f t="shared" si="30"/>
        <v>9.4599999999999991</v>
      </c>
      <c r="O19" s="503">
        <f t="shared" si="30"/>
        <v>6</v>
      </c>
      <c r="P19" s="507">
        <f t="shared" si="30"/>
        <v>3.46</v>
      </c>
      <c r="Q19" s="505">
        <f t="shared" ref="Q19:BA19" si="31">SUM(Q16:Q18)</f>
        <v>0</v>
      </c>
      <c r="R19" s="502">
        <f t="shared" si="31"/>
        <v>0</v>
      </c>
      <c r="S19" s="502">
        <f t="shared" si="31"/>
        <v>0</v>
      </c>
      <c r="T19" s="502">
        <f t="shared" si="31"/>
        <v>0</v>
      </c>
      <c r="U19" s="502">
        <f t="shared" si="31"/>
        <v>0</v>
      </c>
      <c r="V19" s="502">
        <f t="shared" si="31"/>
        <v>0</v>
      </c>
      <c r="W19" s="502">
        <f t="shared" si="31"/>
        <v>0</v>
      </c>
      <c r="X19" s="502">
        <f t="shared" si="31"/>
        <v>0</v>
      </c>
      <c r="Y19" s="502">
        <f t="shared" si="31"/>
        <v>0</v>
      </c>
      <c r="Z19" s="502">
        <f t="shared" si="31"/>
        <v>0</v>
      </c>
      <c r="AA19" s="502">
        <f t="shared" si="31"/>
        <v>0</v>
      </c>
      <c r="AB19" s="502">
        <f t="shared" si="31"/>
        <v>0</v>
      </c>
      <c r="AC19" s="502">
        <f t="shared" si="31"/>
        <v>0</v>
      </c>
      <c r="AD19" s="502">
        <f t="shared" si="31"/>
        <v>0</v>
      </c>
      <c r="AE19" s="502">
        <f t="shared" si="31"/>
        <v>0</v>
      </c>
      <c r="AF19" s="502">
        <f t="shared" si="31"/>
        <v>0</v>
      </c>
      <c r="AG19" s="502">
        <f t="shared" si="31"/>
        <v>0</v>
      </c>
      <c r="AH19" s="503">
        <f t="shared" si="31"/>
        <v>0</v>
      </c>
      <c r="AI19" s="503">
        <f t="shared" si="31"/>
        <v>0</v>
      </c>
      <c r="AJ19" s="503">
        <f t="shared" si="31"/>
        <v>0</v>
      </c>
      <c r="AK19" s="503">
        <f t="shared" si="31"/>
        <v>0</v>
      </c>
      <c r="AL19" s="503">
        <f t="shared" si="31"/>
        <v>0</v>
      </c>
      <c r="AM19" s="503">
        <f t="shared" si="31"/>
        <v>0</v>
      </c>
      <c r="AN19" s="503">
        <f t="shared" si="31"/>
        <v>0</v>
      </c>
      <c r="AO19" s="503">
        <f t="shared" si="31"/>
        <v>0</v>
      </c>
      <c r="AP19" s="503">
        <f t="shared" si="31"/>
        <v>0</v>
      </c>
      <c r="AQ19" s="503">
        <f t="shared" si="31"/>
        <v>0</v>
      </c>
      <c r="AR19" s="40">
        <f t="shared" si="31"/>
        <v>0</v>
      </c>
      <c r="AS19" s="509">
        <f t="shared" si="31"/>
        <v>5769908</v>
      </c>
      <c r="AT19" s="502">
        <f t="shared" si="31"/>
        <v>4259558</v>
      </c>
      <c r="AU19" s="502">
        <f t="shared" si="31"/>
        <v>0</v>
      </c>
      <c r="AV19" s="502">
        <f t="shared" si="31"/>
        <v>1439731</v>
      </c>
      <c r="AW19" s="502">
        <f t="shared" si="31"/>
        <v>42595</v>
      </c>
      <c r="AX19" s="502">
        <f t="shared" si="31"/>
        <v>28024</v>
      </c>
      <c r="AY19" s="503">
        <f t="shared" si="31"/>
        <v>9.4599999999999991</v>
      </c>
      <c r="AZ19" s="503">
        <f t="shared" si="31"/>
        <v>6</v>
      </c>
      <c r="BA19" s="40">
        <f t="shared" si="31"/>
        <v>3.46</v>
      </c>
    </row>
    <row r="20" spans="1:53" ht="13.5" customHeight="1" x14ac:dyDescent="0.2">
      <c r="A20" s="211">
        <v>3</v>
      </c>
      <c r="B20" s="212">
        <v>3451</v>
      </c>
      <c r="C20" s="212">
        <v>600078621</v>
      </c>
      <c r="D20" s="212">
        <v>70694991</v>
      </c>
      <c r="E20" s="210" t="s">
        <v>125</v>
      </c>
      <c r="F20" s="212">
        <v>3111</v>
      </c>
      <c r="G20" s="213" t="s">
        <v>307</v>
      </c>
      <c r="H20" s="214" t="s">
        <v>277</v>
      </c>
      <c r="I20" s="462">
        <f t="shared" ref="I20:I22" si="32">SUM(J20:M20)</f>
        <v>5282305</v>
      </c>
      <c r="J20" s="457">
        <v>3894395</v>
      </c>
      <c r="K20" s="457">
        <f t="shared" ref="K20:K22" si="33">ROUND(J20*33.8%,0)</f>
        <v>1316306</v>
      </c>
      <c r="L20" s="457">
        <f t="shared" ref="L20:L22" si="34">ROUND(J20*1%,0)</f>
        <v>38944</v>
      </c>
      <c r="M20" s="457">
        <v>32660</v>
      </c>
      <c r="N20" s="458">
        <f t="shared" ref="N20:N22" si="35">O20+P20</f>
        <v>7.88</v>
      </c>
      <c r="O20" s="459">
        <v>6</v>
      </c>
      <c r="P20" s="468">
        <v>1.88</v>
      </c>
      <c r="Q20" s="470">
        <f t="shared" ref="Q20:Q22" si="36">W20*-1</f>
        <v>-13000</v>
      </c>
      <c r="R20" s="460">
        <v>0</v>
      </c>
      <c r="S20" s="673">
        <v>0</v>
      </c>
      <c r="T20" s="460">
        <v>0</v>
      </c>
      <c r="U20" s="460">
        <v>0</v>
      </c>
      <c r="V20" s="460">
        <f>SUM(Q20:U20)</f>
        <v>-13000</v>
      </c>
      <c r="W20" s="460">
        <v>13000</v>
      </c>
      <c r="X20" s="460">
        <v>0</v>
      </c>
      <c r="Y20" s="460">
        <v>0</v>
      </c>
      <c r="Z20" s="460">
        <f t="shared" ref="Z20:Z22" si="37">SUM(W20:Y20)</f>
        <v>13000</v>
      </c>
      <c r="AA20" s="460">
        <f t="shared" ref="AA20:AA22" si="38">V20+Z20</f>
        <v>0</v>
      </c>
      <c r="AB20" s="69">
        <f t="shared" ref="AB20:AB22" si="39">ROUND((V20+W20+X20)*33.8%,0)</f>
        <v>0</v>
      </c>
      <c r="AC20" s="69">
        <f t="shared" ref="AC20:AC22" si="40">ROUND(V20*1%,0)</f>
        <v>-130</v>
      </c>
      <c r="AD20" s="460">
        <v>0</v>
      </c>
      <c r="AE20" s="460">
        <v>0</v>
      </c>
      <c r="AF20" s="460">
        <f t="shared" ref="AF20:AF22" si="41">SUM(AD20:AE20)</f>
        <v>0</v>
      </c>
      <c r="AG20" s="460">
        <f t="shared" ref="AG20:AG22" si="42">AA20+AB20+AC20+AF20</f>
        <v>-130</v>
      </c>
      <c r="AH20" s="461">
        <v>0</v>
      </c>
      <c r="AI20" s="461">
        <v>0</v>
      </c>
      <c r="AJ20" s="461">
        <v>0</v>
      </c>
      <c r="AK20" s="461">
        <v>0</v>
      </c>
      <c r="AL20" s="674">
        <v>0</v>
      </c>
      <c r="AM20" s="461">
        <v>0</v>
      </c>
      <c r="AN20" s="461">
        <v>0</v>
      </c>
      <c r="AO20" s="461">
        <v>0</v>
      </c>
      <c r="AP20" s="461">
        <f>AH20+AJ20+AK20+AM20+AN20</f>
        <v>0</v>
      </c>
      <c r="AQ20" s="461">
        <f>AI20+AL20+AO20</f>
        <v>0</v>
      </c>
      <c r="AR20" s="463">
        <f t="shared" ref="AR20:AR22" si="43">SUM(AP20:AQ20)</f>
        <v>0</v>
      </c>
      <c r="AS20" s="469">
        <f>I20+AG20</f>
        <v>5282175</v>
      </c>
      <c r="AT20" s="460">
        <f>J20+V20</f>
        <v>3881395</v>
      </c>
      <c r="AU20" s="460">
        <f t="shared" ref="AU20:AU22" si="44">Z20</f>
        <v>13000</v>
      </c>
      <c r="AV20" s="460">
        <f t="shared" ref="AV20:AW22" si="45">K20+AB20</f>
        <v>1316306</v>
      </c>
      <c r="AW20" s="460">
        <f t="shared" si="45"/>
        <v>38814</v>
      </c>
      <c r="AX20" s="460">
        <f>M20+AF20</f>
        <v>32660</v>
      </c>
      <c r="AY20" s="461">
        <f>N20+AR20</f>
        <v>7.88</v>
      </c>
      <c r="AZ20" s="461">
        <f t="shared" ref="AZ20:BA22" si="46">O20+AP20</f>
        <v>6</v>
      </c>
      <c r="BA20" s="463">
        <f t="shared" si="46"/>
        <v>1.88</v>
      </c>
    </row>
    <row r="21" spans="1:53" ht="13.5" customHeight="1" x14ac:dyDescent="0.2">
      <c r="A21" s="211">
        <v>3</v>
      </c>
      <c r="B21" s="212">
        <v>3451</v>
      </c>
      <c r="C21" s="212">
        <v>600078621</v>
      </c>
      <c r="D21" s="212">
        <v>70694991</v>
      </c>
      <c r="E21" s="210" t="s">
        <v>125</v>
      </c>
      <c r="F21" s="212">
        <v>3111</v>
      </c>
      <c r="G21" s="213" t="s">
        <v>308</v>
      </c>
      <c r="H21" s="214" t="s">
        <v>278</v>
      </c>
      <c r="I21" s="462">
        <f t="shared" si="32"/>
        <v>0</v>
      </c>
      <c r="J21" s="457">
        <v>0</v>
      </c>
      <c r="K21" s="457">
        <f t="shared" si="33"/>
        <v>0</v>
      </c>
      <c r="L21" s="457">
        <f t="shared" si="34"/>
        <v>0</v>
      </c>
      <c r="M21" s="457">
        <v>0</v>
      </c>
      <c r="N21" s="458">
        <f t="shared" si="35"/>
        <v>0</v>
      </c>
      <c r="O21" s="459">
        <v>0</v>
      </c>
      <c r="P21" s="468">
        <v>0</v>
      </c>
      <c r="Q21" s="470">
        <f t="shared" si="36"/>
        <v>0</v>
      </c>
      <c r="R21" s="460">
        <v>519670</v>
      </c>
      <c r="S21" s="673">
        <v>0</v>
      </c>
      <c r="T21" s="460">
        <v>0</v>
      </c>
      <c r="U21" s="460">
        <v>0</v>
      </c>
      <c r="V21" s="460">
        <f>SUM(Q21:U21)</f>
        <v>519670</v>
      </c>
      <c r="W21" s="460">
        <v>0</v>
      </c>
      <c r="X21" s="460">
        <v>0</v>
      </c>
      <c r="Y21" s="460">
        <v>0</v>
      </c>
      <c r="Z21" s="460">
        <f t="shared" si="37"/>
        <v>0</v>
      </c>
      <c r="AA21" s="460">
        <f t="shared" si="38"/>
        <v>519670</v>
      </c>
      <c r="AB21" s="69">
        <f t="shared" si="39"/>
        <v>175648</v>
      </c>
      <c r="AC21" s="69">
        <f t="shared" si="40"/>
        <v>5197</v>
      </c>
      <c r="AD21" s="460">
        <v>0</v>
      </c>
      <c r="AE21" s="460">
        <v>0</v>
      </c>
      <c r="AF21" s="460">
        <f t="shared" si="41"/>
        <v>0</v>
      </c>
      <c r="AG21" s="460">
        <f t="shared" si="42"/>
        <v>700515</v>
      </c>
      <c r="AH21" s="461">
        <v>0</v>
      </c>
      <c r="AI21" s="461">
        <v>0</v>
      </c>
      <c r="AJ21" s="461">
        <v>1.5</v>
      </c>
      <c r="AK21" s="461">
        <v>0</v>
      </c>
      <c r="AL21" s="674">
        <v>0</v>
      </c>
      <c r="AM21" s="461">
        <v>0</v>
      </c>
      <c r="AN21" s="461">
        <v>0</v>
      </c>
      <c r="AO21" s="461">
        <v>0</v>
      </c>
      <c r="AP21" s="461">
        <f>AH21+AJ21+AK21+AM21+AN21</f>
        <v>1.5</v>
      </c>
      <c r="AQ21" s="461">
        <f>AI21+AL21+AO21</f>
        <v>0</v>
      </c>
      <c r="AR21" s="463">
        <f t="shared" si="43"/>
        <v>1.5</v>
      </c>
      <c r="AS21" s="469">
        <f>I21+AG21</f>
        <v>700515</v>
      </c>
      <c r="AT21" s="460">
        <f>J21+V21</f>
        <v>519670</v>
      </c>
      <c r="AU21" s="460">
        <f t="shared" si="44"/>
        <v>0</v>
      </c>
      <c r="AV21" s="460">
        <f t="shared" si="45"/>
        <v>175648</v>
      </c>
      <c r="AW21" s="460">
        <f t="shared" si="45"/>
        <v>5197</v>
      </c>
      <c r="AX21" s="460">
        <f>M21+AF21</f>
        <v>0</v>
      </c>
      <c r="AY21" s="461">
        <f>N21+AR21</f>
        <v>1.5</v>
      </c>
      <c r="AZ21" s="461">
        <f t="shared" si="46"/>
        <v>1.5</v>
      </c>
      <c r="BA21" s="463">
        <f t="shared" si="46"/>
        <v>0</v>
      </c>
    </row>
    <row r="22" spans="1:53" ht="13.5" customHeight="1" x14ac:dyDescent="0.2">
      <c r="A22" s="211">
        <v>3</v>
      </c>
      <c r="B22" s="212">
        <v>3451</v>
      </c>
      <c r="C22" s="212">
        <v>600078621</v>
      </c>
      <c r="D22" s="212">
        <v>70694991</v>
      </c>
      <c r="E22" s="210" t="s">
        <v>125</v>
      </c>
      <c r="F22" s="212">
        <v>3141</v>
      </c>
      <c r="G22" s="213" t="s">
        <v>311</v>
      </c>
      <c r="H22" s="214" t="s">
        <v>278</v>
      </c>
      <c r="I22" s="462">
        <f t="shared" si="32"/>
        <v>734852</v>
      </c>
      <c r="J22" s="457">
        <v>542828</v>
      </c>
      <c r="K22" s="457">
        <f t="shared" si="33"/>
        <v>183476</v>
      </c>
      <c r="L22" s="457">
        <f t="shared" si="34"/>
        <v>5428</v>
      </c>
      <c r="M22" s="457">
        <v>3120</v>
      </c>
      <c r="N22" s="458">
        <f t="shared" si="35"/>
        <v>1.74</v>
      </c>
      <c r="O22" s="459">
        <v>0</v>
      </c>
      <c r="P22" s="468">
        <v>1.74</v>
      </c>
      <c r="Q22" s="470">
        <f t="shared" si="36"/>
        <v>0</v>
      </c>
      <c r="R22" s="460">
        <v>0</v>
      </c>
      <c r="S22" s="673">
        <v>0</v>
      </c>
      <c r="T22" s="460">
        <v>0</v>
      </c>
      <c r="U22" s="460">
        <v>0</v>
      </c>
      <c r="V22" s="460">
        <f>SUM(Q22:U22)</f>
        <v>0</v>
      </c>
      <c r="W22" s="460">
        <v>0</v>
      </c>
      <c r="X22" s="460">
        <v>0</v>
      </c>
      <c r="Y22" s="460">
        <v>0</v>
      </c>
      <c r="Z22" s="460">
        <f t="shared" si="37"/>
        <v>0</v>
      </c>
      <c r="AA22" s="460">
        <f t="shared" si="38"/>
        <v>0</v>
      </c>
      <c r="AB22" s="69">
        <f t="shared" si="39"/>
        <v>0</v>
      </c>
      <c r="AC22" s="69">
        <f t="shared" si="40"/>
        <v>0</v>
      </c>
      <c r="AD22" s="460">
        <v>0</v>
      </c>
      <c r="AE22" s="460">
        <v>0</v>
      </c>
      <c r="AF22" s="460">
        <f t="shared" si="41"/>
        <v>0</v>
      </c>
      <c r="AG22" s="460">
        <f t="shared" si="42"/>
        <v>0</v>
      </c>
      <c r="AH22" s="461">
        <v>0</v>
      </c>
      <c r="AI22" s="461">
        <v>0</v>
      </c>
      <c r="AJ22" s="461">
        <v>0</v>
      </c>
      <c r="AK22" s="461">
        <v>0</v>
      </c>
      <c r="AL22" s="674">
        <v>0</v>
      </c>
      <c r="AM22" s="461">
        <v>0</v>
      </c>
      <c r="AN22" s="461">
        <v>0</v>
      </c>
      <c r="AO22" s="461">
        <v>0</v>
      </c>
      <c r="AP22" s="461">
        <f>AH22+AJ22+AK22+AM22+AN22</f>
        <v>0</v>
      </c>
      <c r="AQ22" s="461">
        <f>AI22+AL22+AO22</f>
        <v>0</v>
      </c>
      <c r="AR22" s="463">
        <f t="shared" si="43"/>
        <v>0</v>
      </c>
      <c r="AS22" s="469">
        <f>I22+AG22</f>
        <v>734852</v>
      </c>
      <c r="AT22" s="460">
        <f>J22+V22</f>
        <v>542828</v>
      </c>
      <c r="AU22" s="460">
        <f t="shared" si="44"/>
        <v>0</v>
      </c>
      <c r="AV22" s="460">
        <f t="shared" si="45"/>
        <v>183476</v>
      </c>
      <c r="AW22" s="460">
        <f t="shared" si="45"/>
        <v>5428</v>
      </c>
      <c r="AX22" s="460">
        <f>M22+AF22</f>
        <v>3120</v>
      </c>
      <c r="AY22" s="461">
        <f>N22+AR22</f>
        <v>1.74</v>
      </c>
      <c r="AZ22" s="461">
        <f t="shared" si="46"/>
        <v>0</v>
      </c>
      <c r="BA22" s="463">
        <f t="shared" si="46"/>
        <v>1.74</v>
      </c>
    </row>
    <row r="23" spans="1:53" ht="13.5" customHeight="1" x14ac:dyDescent="0.2">
      <c r="A23" s="158">
        <v>3</v>
      </c>
      <c r="B23" s="18">
        <v>3451</v>
      </c>
      <c r="C23" s="18">
        <v>600078621</v>
      </c>
      <c r="D23" s="18">
        <v>70694991</v>
      </c>
      <c r="E23" s="167" t="s">
        <v>126</v>
      </c>
      <c r="F23" s="18"/>
      <c r="G23" s="157"/>
      <c r="H23" s="191"/>
      <c r="I23" s="505">
        <f t="shared" ref="I23:P23" si="47">SUM(I20:I22)</f>
        <v>6017157</v>
      </c>
      <c r="J23" s="502">
        <f t="shared" si="47"/>
        <v>4437223</v>
      </c>
      <c r="K23" s="502">
        <f t="shared" si="47"/>
        <v>1499782</v>
      </c>
      <c r="L23" s="502">
        <f t="shared" si="47"/>
        <v>44372</v>
      </c>
      <c r="M23" s="502">
        <f t="shared" si="47"/>
        <v>35780</v>
      </c>
      <c r="N23" s="503">
        <f t="shared" si="47"/>
        <v>9.6199999999999992</v>
      </c>
      <c r="O23" s="503">
        <f t="shared" si="47"/>
        <v>6</v>
      </c>
      <c r="P23" s="507">
        <f t="shared" si="47"/>
        <v>3.62</v>
      </c>
      <c r="Q23" s="505">
        <f t="shared" ref="Q23:BA23" si="48">SUM(Q20:Q22)</f>
        <v>-13000</v>
      </c>
      <c r="R23" s="502">
        <f t="shared" si="48"/>
        <v>519670</v>
      </c>
      <c r="S23" s="502">
        <f t="shared" si="48"/>
        <v>0</v>
      </c>
      <c r="T23" s="502">
        <f t="shared" si="48"/>
        <v>0</v>
      </c>
      <c r="U23" s="502">
        <f t="shared" si="48"/>
        <v>0</v>
      </c>
      <c r="V23" s="502">
        <f t="shared" si="48"/>
        <v>506670</v>
      </c>
      <c r="W23" s="502">
        <f t="shared" si="48"/>
        <v>13000</v>
      </c>
      <c r="X23" s="502">
        <f t="shared" si="48"/>
        <v>0</v>
      </c>
      <c r="Y23" s="502">
        <f t="shared" si="48"/>
        <v>0</v>
      </c>
      <c r="Z23" s="502">
        <f t="shared" si="48"/>
        <v>13000</v>
      </c>
      <c r="AA23" s="502">
        <f t="shared" si="48"/>
        <v>519670</v>
      </c>
      <c r="AB23" s="502">
        <f t="shared" si="48"/>
        <v>175648</v>
      </c>
      <c r="AC23" s="502">
        <f t="shared" si="48"/>
        <v>5067</v>
      </c>
      <c r="AD23" s="502">
        <f t="shared" si="48"/>
        <v>0</v>
      </c>
      <c r="AE23" s="502">
        <f t="shared" si="48"/>
        <v>0</v>
      </c>
      <c r="AF23" s="502">
        <f t="shared" si="48"/>
        <v>0</v>
      </c>
      <c r="AG23" s="502">
        <f t="shared" si="48"/>
        <v>700385</v>
      </c>
      <c r="AH23" s="503">
        <f t="shared" si="48"/>
        <v>0</v>
      </c>
      <c r="AI23" s="503">
        <f t="shared" si="48"/>
        <v>0</v>
      </c>
      <c r="AJ23" s="503">
        <f t="shared" si="48"/>
        <v>1.5</v>
      </c>
      <c r="AK23" s="503">
        <f t="shared" si="48"/>
        <v>0</v>
      </c>
      <c r="AL23" s="503">
        <f t="shared" si="48"/>
        <v>0</v>
      </c>
      <c r="AM23" s="503">
        <f t="shared" si="48"/>
        <v>0</v>
      </c>
      <c r="AN23" s="503">
        <f t="shared" si="48"/>
        <v>0</v>
      </c>
      <c r="AO23" s="503">
        <f t="shared" si="48"/>
        <v>0</v>
      </c>
      <c r="AP23" s="503">
        <f t="shared" si="48"/>
        <v>1.5</v>
      </c>
      <c r="AQ23" s="503">
        <f t="shared" si="48"/>
        <v>0</v>
      </c>
      <c r="AR23" s="40">
        <f t="shared" si="48"/>
        <v>1.5</v>
      </c>
      <c r="AS23" s="509">
        <f t="shared" si="48"/>
        <v>6717542</v>
      </c>
      <c r="AT23" s="502">
        <f t="shared" si="48"/>
        <v>4943893</v>
      </c>
      <c r="AU23" s="502">
        <f t="shared" si="48"/>
        <v>13000</v>
      </c>
      <c r="AV23" s="502">
        <f t="shared" si="48"/>
        <v>1675430</v>
      </c>
      <c r="AW23" s="502">
        <f t="shared" si="48"/>
        <v>49439</v>
      </c>
      <c r="AX23" s="502">
        <f t="shared" si="48"/>
        <v>35780</v>
      </c>
      <c r="AY23" s="503">
        <f t="shared" si="48"/>
        <v>11.12</v>
      </c>
      <c r="AZ23" s="503">
        <f t="shared" si="48"/>
        <v>7.5</v>
      </c>
      <c r="BA23" s="40">
        <f t="shared" si="48"/>
        <v>3.62</v>
      </c>
    </row>
    <row r="24" spans="1:53" ht="13.5" customHeight="1" x14ac:dyDescent="0.2">
      <c r="A24" s="211">
        <v>4</v>
      </c>
      <c r="B24" s="212">
        <v>3456</v>
      </c>
      <c r="C24" s="212">
        <v>600029051</v>
      </c>
      <c r="D24" s="212">
        <v>75125439</v>
      </c>
      <c r="E24" s="210" t="s">
        <v>127</v>
      </c>
      <c r="F24" s="212">
        <v>3233</v>
      </c>
      <c r="G24" s="213" t="s">
        <v>314</v>
      </c>
      <c r="H24" s="214" t="s">
        <v>278</v>
      </c>
      <c r="I24" s="462">
        <f t="shared" ref="I24" si="49">SUM(J24:M24)</f>
        <v>2747980</v>
      </c>
      <c r="J24" s="457">
        <v>2035736</v>
      </c>
      <c r="K24" s="457">
        <f t="shared" ref="K24" si="50">ROUND(J24*33.8%,0)</f>
        <v>688079</v>
      </c>
      <c r="L24" s="457">
        <f>ROUND(J24*1%,0)</f>
        <v>20357</v>
      </c>
      <c r="M24" s="457">
        <v>3808</v>
      </c>
      <c r="N24" s="458">
        <f t="shared" ref="N24" si="51">O24+P24</f>
        <v>4.54</v>
      </c>
      <c r="O24" s="459">
        <v>3.01</v>
      </c>
      <c r="P24" s="468">
        <v>1.53</v>
      </c>
      <c r="Q24" s="470">
        <f t="shared" ref="Q24" si="52">W24*-1</f>
        <v>-130000</v>
      </c>
      <c r="R24" s="460">
        <v>0</v>
      </c>
      <c r="S24" s="673">
        <v>0</v>
      </c>
      <c r="T24" s="460">
        <v>0</v>
      </c>
      <c r="U24" s="460">
        <v>0</v>
      </c>
      <c r="V24" s="460">
        <f>SUM(Q24:U24)</f>
        <v>-130000</v>
      </c>
      <c r="W24" s="460">
        <v>130000</v>
      </c>
      <c r="X24" s="460">
        <v>0</v>
      </c>
      <c r="Y24" s="460">
        <v>0</v>
      </c>
      <c r="Z24" s="460">
        <f t="shared" ref="Z24" si="53">SUM(W24:Y24)</f>
        <v>130000</v>
      </c>
      <c r="AA24" s="460">
        <f t="shared" ref="AA24" si="54">V24+Z24</f>
        <v>0</v>
      </c>
      <c r="AB24" s="69">
        <f t="shared" ref="AB24" si="55">ROUND((V24+W24+X24)*33.8%,0)</f>
        <v>0</v>
      </c>
      <c r="AC24" s="69">
        <f>ROUND(V24*1%,0)</f>
        <v>-1300</v>
      </c>
      <c r="AD24" s="460">
        <v>0</v>
      </c>
      <c r="AE24" s="460">
        <v>0</v>
      </c>
      <c r="AF24" s="460">
        <f t="shared" ref="AF24" si="56">SUM(AD24:AE24)</f>
        <v>0</v>
      </c>
      <c r="AG24" s="460">
        <f t="shared" ref="AG24" si="57">AA24+AB24+AC24+AF24</f>
        <v>-1300</v>
      </c>
      <c r="AH24" s="461">
        <v>-0.21</v>
      </c>
      <c r="AI24" s="461">
        <v>-7.0000000000000007E-2</v>
      </c>
      <c r="AJ24" s="461">
        <v>0</v>
      </c>
      <c r="AK24" s="461">
        <v>0</v>
      </c>
      <c r="AL24" s="674">
        <v>0</v>
      </c>
      <c r="AM24" s="461">
        <v>0</v>
      </c>
      <c r="AN24" s="461">
        <v>0</v>
      </c>
      <c r="AO24" s="461">
        <v>0</v>
      </c>
      <c r="AP24" s="461">
        <f>AH24+AJ24+AK24+AM24+AN24</f>
        <v>-0.21</v>
      </c>
      <c r="AQ24" s="461">
        <f>AI24+AL24+AO24</f>
        <v>-7.0000000000000007E-2</v>
      </c>
      <c r="AR24" s="463">
        <f t="shared" ref="AR24" si="58">SUM(AP24:AQ24)</f>
        <v>-0.28000000000000003</v>
      </c>
      <c r="AS24" s="469">
        <f>I24+AG24</f>
        <v>2746680</v>
      </c>
      <c r="AT24" s="460">
        <f>J24+V24</f>
        <v>1905736</v>
      </c>
      <c r="AU24" s="460">
        <f>Z24</f>
        <v>130000</v>
      </c>
      <c r="AV24" s="460">
        <f>K24+AB24</f>
        <v>688079</v>
      </c>
      <c r="AW24" s="460">
        <f>L24+AC24</f>
        <v>19057</v>
      </c>
      <c r="AX24" s="460">
        <f>M24+AF24</f>
        <v>3808</v>
      </c>
      <c r="AY24" s="461">
        <f>N24+AR24</f>
        <v>4.26</v>
      </c>
      <c r="AZ24" s="461">
        <f>O24+AP24</f>
        <v>2.8</v>
      </c>
      <c r="BA24" s="463">
        <f>P24+AQ24</f>
        <v>1.46</v>
      </c>
    </row>
    <row r="25" spans="1:53" ht="13.5" customHeight="1" x14ac:dyDescent="0.2">
      <c r="A25" s="158">
        <v>4</v>
      </c>
      <c r="B25" s="18">
        <v>3456</v>
      </c>
      <c r="C25" s="18">
        <v>600029051</v>
      </c>
      <c r="D25" s="18">
        <v>75125439</v>
      </c>
      <c r="E25" s="167" t="s">
        <v>128</v>
      </c>
      <c r="F25" s="18"/>
      <c r="G25" s="157"/>
      <c r="H25" s="191"/>
      <c r="I25" s="505">
        <f t="shared" ref="I25:BA25" si="59">SUM(I24)</f>
        <v>2747980</v>
      </c>
      <c r="J25" s="502">
        <f t="shared" si="59"/>
        <v>2035736</v>
      </c>
      <c r="K25" s="502">
        <f t="shared" si="59"/>
        <v>688079</v>
      </c>
      <c r="L25" s="502">
        <f t="shared" si="59"/>
        <v>20357</v>
      </c>
      <c r="M25" s="502">
        <f t="shared" si="59"/>
        <v>3808</v>
      </c>
      <c r="N25" s="503">
        <f t="shared" si="59"/>
        <v>4.54</v>
      </c>
      <c r="O25" s="503">
        <f t="shared" si="59"/>
        <v>3.01</v>
      </c>
      <c r="P25" s="507">
        <f t="shared" si="59"/>
        <v>1.53</v>
      </c>
      <c r="Q25" s="505">
        <f t="shared" si="59"/>
        <v>-130000</v>
      </c>
      <c r="R25" s="502">
        <f t="shared" si="59"/>
        <v>0</v>
      </c>
      <c r="S25" s="502">
        <f t="shared" si="59"/>
        <v>0</v>
      </c>
      <c r="T25" s="502">
        <f t="shared" si="59"/>
        <v>0</v>
      </c>
      <c r="U25" s="502">
        <f t="shared" si="59"/>
        <v>0</v>
      </c>
      <c r="V25" s="502">
        <f t="shared" si="59"/>
        <v>-130000</v>
      </c>
      <c r="W25" s="502">
        <f t="shared" si="59"/>
        <v>130000</v>
      </c>
      <c r="X25" s="502">
        <f t="shared" si="59"/>
        <v>0</v>
      </c>
      <c r="Y25" s="502">
        <f t="shared" si="59"/>
        <v>0</v>
      </c>
      <c r="Z25" s="502">
        <f t="shared" si="59"/>
        <v>130000</v>
      </c>
      <c r="AA25" s="502">
        <f t="shared" si="59"/>
        <v>0</v>
      </c>
      <c r="AB25" s="502">
        <f t="shared" si="59"/>
        <v>0</v>
      </c>
      <c r="AC25" s="502">
        <f t="shared" si="59"/>
        <v>-1300</v>
      </c>
      <c r="AD25" s="502">
        <f t="shared" si="59"/>
        <v>0</v>
      </c>
      <c r="AE25" s="502">
        <f t="shared" si="59"/>
        <v>0</v>
      </c>
      <c r="AF25" s="502">
        <f t="shared" si="59"/>
        <v>0</v>
      </c>
      <c r="AG25" s="502">
        <f t="shared" si="59"/>
        <v>-1300</v>
      </c>
      <c r="AH25" s="503">
        <f t="shared" si="59"/>
        <v>-0.21</v>
      </c>
      <c r="AI25" s="503">
        <f t="shared" si="59"/>
        <v>-7.0000000000000007E-2</v>
      </c>
      <c r="AJ25" s="503">
        <f t="shared" si="59"/>
        <v>0</v>
      </c>
      <c r="AK25" s="503">
        <f t="shared" si="59"/>
        <v>0</v>
      </c>
      <c r="AL25" s="503">
        <f t="shared" si="59"/>
        <v>0</v>
      </c>
      <c r="AM25" s="503">
        <f t="shared" si="59"/>
        <v>0</v>
      </c>
      <c r="AN25" s="503">
        <f t="shared" si="59"/>
        <v>0</v>
      </c>
      <c r="AO25" s="503">
        <f t="shared" si="59"/>
        <v>0</v>
      </c>
      <c r="AP25" s="503">
        <f t="shared" si="59"/>
        <v>-0.21</v>
      </c>
      <c r="AQ25" s="503">
        <f t="shared" si="59"/>
        <v>-7.0000000000000007E-2</v>
      </c>
      <c r="AR25" s="40">
        <f t="shared" si="59"/>
        <v>-0.28000000000000003</v>
      </c>
      <c r="AS25" s="509">
        <f t="shared" si="59"/>
        <v>2746680</v>
      </c>
      <c r="AT25" s="502">
        <f t="shared" si="59"/>
        <v>1905736</v>
      </c>
      <c r="AU25" s="502">
        <f t="shared" si="59"/>
        <v>130000</v>
      </c>
      <c r="AV25" s="502">
        <f t="shared" si="59"/>
        <v>688079</v>
      </c>
      <c r="AW25" s="502">
        <f t="shared" si="59"/>
        <v>19057</v>
      </c>
      <c r="AX25" s="502">
        <f t="shared" si="59"/>
        <v>3808</v>
      </c>
      <c r="AY25" s="503">
        <f t="shared" si="59"/>
        <v>4.26</v>
      </c>
      <c r="AZ25" s="503">
        <f t="shared" si="59"/>
        <v>2.8</v>
      </c>
      <c r="BA25" s="40">
        <f t="shared" si="59"/>
        <v>1.46</v>
      </c>
    </row>
    <row r="26" spans="1:53" ht="13.5" customHeight="1" x14ac:dyDescent="0.2">
      <c r="A26" s="211">
        <v>5</v>
      </c>
      <c r="B26" s="212">
        <v>3447</v>
      </c>
      <c r="C26" s="212">
        <v>600078531</v>
      </c>
      <c r="D26" s="212">
        <v>70694982</v>
      </c>
      <c r="E26" s="210" t="s">
        <v>129</v>
      </c>
      <c r="F26" s="212">
        <v>3113</v>
      </c>
      <c r="G26" s="213" t="s">
        <v>310</v>
      </c>
      <c r="H26" s="214" t="s">
        <v>277</v>
      </c>
      <c r="I26" s="462">
        <f t="shared" ref="I26:I31" si="60">SUM(J26:M26)</f>
        <v>18676245</v>
      </c>
      <c r="J26" s="457">
        <v>13625716</v>
      </c>
      <c r="K26" s="457">
        <f t="shared" ref="K26:K31" si="61">ROUND(J26*33.8%,0)</f>
        <v>4605492</v>
      </c>
      <c r="L26" s="457">
        <f t="shared" ref="L26:L31" si="62">ROUND(J26*1%,0)</f>
        <v>136257</v>
      </c>
      <c r="M26" s="457">
        <v>308780</v>
      </c>
      <c r="N26" s="458">
        <f t="shared" ref="N26:N31" si="63">O26+P26</f>
        <v>22.907299999999999</v>
      </c>
      <c r="O26" s="459">
        <v>18.2273</v>
      </c>
      <c r="P26" s="468">
        <v>4.68</v>
      </c>
      <c r="Q26" s="470">
        <f t="shared" ref="Q26:Q31" si="64">W26*-1</f>
        <v>0</v>
      </c>
      <c r="R26" s="460">
        <v>0</v>
      </c>
      <c r="S26" s="673">
        <v>0</v>
      </c>
      <c r="T26" s="460">
        <v>0</v>
      </c>
      <c r="U26" s="460">
        <v>0</v>
      </c>
      <c r="V26" s="460">
        <f t="shared" ref="V26:V31" si="65">SUM(Q26:U26)</f>
        <v>0</v>
      </c>
      <c r="W26" s="460">
        <v>0</v>
      </c>
      <c r="X26" s="460">
        <v>0</v>
      </c>
      <c r="Y26" s="460">
        <v>0</v>
      </c>
      <c r="Z26" s="460">
        <f t="shared" ref="Z26:Z31" si="66">SUM(W26:Y26)</f>
        <v>0</v>
      </c>
      <c r="AA26" s="460">
        <f t="shared" ref="AA26:AA31" si="67">V26+Z26</f>
        <v>0</v>
      </c>
      <c r="AB26" s="69">
        <f t="shared" ref="AB26:AB31" si="68">ROUND((V26+W26+X26)*33.8%,0)</f>
        <v>0</v>
      </c>
      <c r="AC26" s="69">
        <f t="shared" ref="AC26:AC31" si="69">ROUND(V26*1%,0)</f>
        <v>0</v>
      </c>
      <c r="AD26" s="460">
        <v>0</v>
      </c>
      <c r="AE26" s="460">
        <v>0</v>
      </c>
      <c r="AF26" s="460">
        <f t="shared" ref="AF26:AF31" si="70">SUM(AD26:AE26)</f>
        <v>0</v>
      </c>
      <c r="AG26" s="460">
        <f t="shared" ref="AG26:AG31" si="71">AA26+AB26+AC26+AF26</f>
        <v>0</v>
      </c>
      <c r="AH26" s="461">
        <v>0</v>
      </c>
      <c r="AI26" s="461">
        <v>0</v>
      </c>
      <c r="AJ26" s="461">
        <v>0</v>
      </c>
      <c r="AK26" s="461">
        <v>0</v>
      </c>
      <c r="AL26" s="674">
        <v>0</v>
      </c>
      <c r="AM26" s="461">
        <v>0</v>
      </c>
      <c r="AN26" s="461">
        <v>0</v>
      </c>
      <c r="AO26" s="461">
        <v>0</v>
      </c>
      <c r="AP26" s="461">
        <f t="shared" ref="AP26:AP31" si="72">AH26+AJ26+AK26+AM26+AN26</f>
        <v>0</v>
      </c>
      <c r="AQ26" s="461">
        <f t="shared" ref="AQ26:AQ31" si="73">AI26+AL26+AO26</f>
        <v>0</v>
      </c>
      <c r="AR26" s="463">
        <f t="shared" ref="AR26:AR31" si="74">SUM(AP26:AQ26)</f>
        <v>0</v>
      </c>
      <c r="AS26" s="469">
        <f t="shared" ref="AS26:AS31" si="75">I26+AG26</f>
        <v>18676245</v>
      </c>
      <c r="AT26" s="460">
        <f t="shared" ref="AT26:AT31" si="76">J26+V26</f>
        <v>13625716</v>
      </c>
      <c r="AU26" s="460">
        <f t="shared" ref="AU26:AU31" si="77">Z26</f>
        <v>0</v>
      </c>
      <c r="AV26" s="460">
        <f t="shared" ref="AV26:AW31" si="78">K26+AB26</f>
        <v>4605492</v>
      </c>
      <c r="AW26" s="460">
        <f t="shared" si="78"/>
        <v>136257</v>
      </c>
      <c r="AX26" s="460">
        <f t="shared" ref="AX26:AX31" si="79">M26+AF26</f>
        <v>308780</v>
      </c>
      <c r="AY26" s="461">
        <f t="shared" ref="AY26:AY31" si="80">N26+AR26</f>
        <v>22.907299999999999</v>
      </c>
      <c r="AZ26" s="461">
        <f t="shared" ref="AZ26:BA31" si="81">O26+AP26</f>
        <v>18.2273</v>
      </c>
      <c r="BA26" s="463">
        <f t="shared" si="81"/>
        <v>4.68</v>
      </c>
    </row>
    <row r="27" spans="1:53" ht="13.5" customHeight="1" x14ac:dyDescent="0.2">
      <c r="A27" s="211">
        <v>5</v>
      </c>
      <c r="B27" s="212">
        <v>3447</v>
      </c>
      <c r="C27" s="212">
        <v>600078531</v>
      </c>
      <c r="D27" s="212">
        <v>70694982</v>
      </c>
      <c r="E27" s="210" t="s">
        <v>129</v>
      </c>
      <c r="F27" s="212">
        <v>3113</v>
      </c>
      <c r="G27" s="213" t="s">
        <v>309</v>
      </c>
      <c r="H27" s="214" t="s">
        <v>277</v>
      </c>
      <c r="I27" s="462">
        <f t="shared" si="60"/>
        <v>440768</v>
      </c>
      <c r="J27" s="457">
        <v>326979</v>
      </c>
      <c r="K27" s="457">
        <f t="shared" si="61"/>
        <v>110519</v>
      </c>
      <c r="L27" s="457">
        <f t="shared" si="62"/>
        <v>3270</v>
      </c>
      <c r="M27" s="457">
        <v>0</v>
      </c>
      <c r="N27" s="458">
        <f t="shared" si="63"/>
        <v>0.75</v>
      </c>
      <c r="O27" s="459">
        <v>0.75</v>
      </c>
      <c r="P27" s="468">
        <v>0</v>
      </c>
      <c r="Q27" s="470">
        <f t="shared" si="64"/>
        <v>0</v>
      </c>
      <c r="R27" s="460">
        <v>0</v>
      </c>
      <c r="S27" s="673">
        <v>0</v>
      </c>
      <c r="T27" s="460">
        <v>0</v>
      </c>
      <c r="U27" s="460">
        <v>0</v>
      </c>
      <c r="V27" s="460">
        <f t="shared" si="65"/>
        <v>0</v>
      </c>
      <c r="W27" s="460">
        <v>0</v>
      </c>
      <c r="X27" s="460">
        <v>0</v>
      </c>
      <c r="Y27" s="460">
        <v>0</v>
      </c>
      <c r="Z27" s="460">
        <f t="shared" si="66"/>
        <v>0</v>
      </c>
      <c r="AA27" s="460">
        <f t="shared" si="67"/>
        <v>0</v>
      </c>
      <c r="AB27" s="69">
        <f t="shared" si="68"/>
        <v>0</v>
      </c>
      <c r="AC27" s="69">
        <f t="shared" si="69"/>
        <v>0</v>
      </c>
      <c r="AD27" s="460">
        <v>0</v>
      </c>
      <c r="AE27" s="460">
        <v>0</v>
      </c>
      <c r="AF27" s="460">
        <f t="shared" si="70"/>
        <v>0</v>
      </c>
      <c r="AG27" s="460">
        <f t="shared" si="71"/>
        <v>0</v>
      </c>
      <c r="AH27" s="461">
        <v>0</v>
      </c>
      <c r="AI27" s="461">
        <v>0</v>
      </c>
      <c r="AJ27" s="461">
        <v>0</v>
      </c>
      <c r="AK27" s="461">
        <v>0</v>
      </c>
      <c r="AL27" s="674">
        <v>0</v>
      </c>
      <c r="AM27" s="461">
        <v>0</v>
      </c>
      <c r="AN27" s="461">
        <v>0</v>
      </c>
      <c r="AO27" s="461">
        <v>0</v>
      </c>
      <c r="AP27" s="461">
        <f t="shared" si="72"/>
        <v>0</v>
      </c>
      <c r="AQ27" s="461">
        <f t="shared" si="73"/>
        <v>0</v>
      </c>
      <c r="AR27" s="463">
        <f t="shared" si="74"/>
        <v>0</v>
      </c>
      <c r="AS27" s="469">
        <f t="shared" si="75"/>
        <v>440768</v>
      </c>
      <c r="AT27" s="460">
        <f t="shared" si="76"/>
        <v>326979</v>
      </c>
      <c r="AU27" s="460">
        <f t="shared" si="77"/>
        <v>0</v>
      </c>
      <c r="AV27" s="460">
        <f t="shared" si="78"/>
        <v>110519</v>
      </c>
      <c r="AW27" s="460">
        <f t="shared" si="78"/>
        <v>3270</v>
      </c>
      <c r="AX27" s="460">
        <f t="shared" si="79"/>
        <v>0</v>
      </c>
      <c r="AY27" s="461">
        <f t="shared" si="80"/>
        <v>0.75</v>
      </c>
      <c r="AZ27" s="461">
        <f t="shared" si="81"/>
        <v>0.75</v>
      </c>
      <c r="BA27" s="463">
        <f t="shared" si="81"/>
        <v>0</v>
      </c>
    </row>
    <row r="28" spans="1:53" ht="13.5" customHeight="1" x14ac:dyDescent="0.2">
      <c r="A28" s="211">
        <v>5</v>
      </c>
      <c r="B28" s="212">
        <v>3447</v>
      </c>
      <c r="C28" s="212">
        <v>600078531</v>
      </c>
      <c r="D28" s="212">
        <v>70694982</v>
      </c>
      <c r="E28" s="210" t="s">
        <v>129</v>
      </c>
      <c r="F28" s="212">
        <v>3113</v>
      </c>
      <c r="G28" s="213" t="s">
        <v>315</v>
      </c>
      <c r="H28" s="214" t="s">
        <v>278</v>
      </c>
      <c r="I28" s="462">
        <f t="shared" si="60"/>
        <v>0</v>
      </c>
      <c r="J28" s="457">
        <v>0</v>
      </c>
      <c r="K28" s="457">
        <f t="shared" si="61"/>
        <v>0</v>
      </c>
      <c r="L28" s="457">
        <f t="shared" si="62"/>
        <v>0</v>
      </c>
      <c r="M28" s="457">
        <v>0</v>
      </c>
      <c r="N28" s="458">
        <f t="shared" si="63"/>
        <v>0</v>
      </c>
      <c r="O28" s="459">
        <v>0</v>
      </c>
      <c r="P28" s="468">
        <v>0</v>
      </c>
      <c r="Q28" s="470">
        <f t="shared" si="64"/>
        <v>0</v>
      </c>
      <c r="R28" s="460">
        <f>1447622+21208</f>
        <v>1468830</v>
      </c>
      <c r="S28" s="673">
        <v>0</v>
      </c>
      <c r="T28" s="460">
        <v>0</v>
      </c>
      <c r="U28" s="460">
        <v>0</v>
      </c>
      <c r="V28" s="460">
        <f t="shared" si="65"/>
        <v>1468830</v>
      </c>
      <c r="W28" s="460">
        <v>0</v>
      </c>
      <c r="X28" s="460">
        <v>0</v>
      </c>
      <c r="Y28" s="460">
        <v>0</v>
      </c>
      <c r="Z28" s="460">
        <f t="shared" si="66"/>
        <v>0</v>
      </c>
      <c r="AA28" s="460">
        <f t="shared" si="67"/>
        <v>1468830</v>
      </c>
      <c r="AB28" s="69">
        <f t="shared" si="68"/>
        <v>496465</v>
      </c>
      <c r="AC28" s="69">
        <f t="shared" si="69"/>
        <v>14688</v>
      </c>
      <c r="AD28" s="460">
        <v>0</v>
      </c>
      <c r="AE28" s="460">
        <v>0</v>
      </c>
      <c r="AF28" s="460">
        <f t="shared" si="70"/>
        <v>0</v>
      </c>
      <c r="AG28" s="460">
        <f t="shared" si="71"/>
        <v>1979983</v>
      </c>
      <c r="AH28" s="461">
        <v>0</v>
      </c>
      <c r="AI28" s="461">
        <v>0</v>
      </c>
      <c r="AJ28" s="461">
        <f>4.08+0.05</f>
        <v>4.13</v>
      </c>
      <c r="AK28" s="461">
        <v>0</v>
      </c>
      <c r="AL28" s="674">
        <v>0</v>
      </c>
      <c r="AM28" s="461">
        <v>0</v>
      </c>
      <c r="AN28" s="461">
        <v>0</v>
      </c>
      <c r="AO28" s="461">
        <v>0</v>
      </c>
      <c r="AP28" s="461">
        <f t="shared" si="72"/>
        <v>4.13</v>
      </c>
      <c r="AQ28" s="461">
        <f t="shared" si="73"/>
        <v>0</v>
      </c>
      <c r="AR28" s="463">
        <f t="shared" si="74"/>
        <v>4.13</v>
      </c>
      <c r="AS28" s="469">
        <f t="shared" si="75"/>
        <v>1979983</v>
      </c>
      <c r="AT28" s="460">
        <f t="shared" si="76"/>
        <v>1468830</v>
      </c>
      <c r="AU28" s="460">
        <f t="shared" si="77"/>
        <v>0</v>
      </c>
      <c r="AV28" s="460">
        <f t="shared" si="78"/>
        <v>496465</v>
      </c>
      <c r="AW28" s="460">
        <f t="shared" si="78"/>
        <v>14688</v>
      </c>
      <c r="AX28" s="460">
        <f t="shared" si="79"/>
        <v>0</v>
      </c>
      <c r="AY28" s="461">
        <f t="shared" si="80"/>
        <v>4.13</v>
      </c>
      <c r="AZ28" s="461">
        <f t="shared" si="81"/>
        <v>4.13</v>
      </c>
      <c r="BA28" s="463">
        <f t="shared" si="81"/>
        <v>0</v>
      </c>
    </row>
    <row r="29" spans="1:53" ht="13.5" customHeight="1" x14ac:dyDescent="0.2">
      <c r="A29" s="211">
        <v>5</v>
      </c>
      <c r="B29" s="212">
        <v>3447</v>
      </c>
      <c r="C29" s="212">
        <v>600078531</v>
      </c>
      <c r="D29" s="212">
        <v>70694982</v>
      </c>
      <c r="E29" s="210" t="s">
        <v>129</v>
      </c>
      <c r="F29" s="212">
        <v>3141</v>
      </c>
      <c r="G29" s="213" t="s">
        <v>311</v>
      </c>
      <c r="H29" s="214" t="s">
        <v>278</v>
      </c>
      <c r="I29" s="462">
        <f t="shared" si="60"/>
        <v>1497509</v>
      </c>
      <c r="J29" s="457">
        <v>1102734</v>
      </c>
      <c r="K29" s="457">
        <f t="shared" si="61"/>
        <v>372724</v>
      </c>
      <c r="L29" s="457">
        <f t="shared" si="62"/>
        <v>11027</v>
      </c>
      <c r="M29" s="457">
        <v>11024</v>
      </c>
      <c r="N29" s="458">
        <f t="shared" si="63"/>
        <v>3.54</v>
      </c>
      <c r="O29" s="459">
        <v>0</v>
      </c>
      <c r="P29" s="468">
        <v>3.54</v>
      </c>
      <c r="Q29" s="470">
        <f t="shared" si="64"/>
        <v>-3900</v>
      </c>
      <c r="R29" s="460">
        <v>0</v>
      </c>
      <c r="S29" s="673">
        <v>0</v>
      </c>
      <c r="T29" s="460">
        <v>0</v>
      </c>
      <c r="U29" s="460">
        <v>0</v>
      </c>
      <c r="V29" s="460">
        <f t="shared" si="65"/>
        <v>-3900</v>
      </c>
      <c r="W29" s="460">
        <v>3900</v>
      </c>
      <c r="X29" s="460">
        <v>0</v>
      </c>
      <c r="Y29" s="460">
        <v>0</v>
      </c>
      <c r="Z29" s="460">
        <f t="shared" si="66"/>
        <v>3900</v>
      </c>
      <c r="AA29" s="460">
        <f t="shared" si="67"/>
        <v>0</v>
      </c>
      <c r="AB29" s="69">
        <f t="shared" si="68"/>
        <v>0</v>
      </c>
      <c r="AC29" s="69">
        <f t="shared" si="69"/>
        <v>-39</v>
      </c>
      <c r="AD29" s="460">
        <v>0</v>
      </c>
      <c r="AE29" s="460">
        <v>0</v>
      </c>
      <c r="AF29" s="460">
        <f t="shared" si="70"/>
        <v>0</v>
      </c>
      <c r="AG29" s="460">
        <f t="shared" si="71"/>
        <v>-39</v>
      </c>
      <c r="AH29" s="461">
        <v>0</v>
      </c>
      <c r="AI29" s="461">
        <v>0</v>
      </c>
      <c r="AJ29" s="461">
        <v>0</v>
      </c>
      <c r="AK29" s="461">
        <v>0</v>
      </c>
      <c r="AL29" s="674">
        <v>0</v>
      </c>
      <c r="AM29" s="461">
        <v>0</v>
      </c>
      <c r="AN29" s="461">
        <v>0</v>
      </c>
      <c r="AO29" s="461">
        <v>0</v>
      </c>
      <c r="AP29" s="461">
        <f t="shared" si="72"/>
        <v>0</v>
      </c>
      <c r="AQ29" s="461">
        <f t="shared" si="73"/>
        <v>0</v>
      </c>
      <c r="AR29" s="463">
        <f t="shared" si="74"/>
        <v>0</v>
      </c>
      <c r="AS29" s="469">
        <f t="shared" si="75"/>
        <v>1497470</v>
      </c>
      <c r="AT29" s="460">
        <f t="shared" si="76"/>
        <v>1098834</v>
      </c>
      <c r="AU29" s="460">
        <f t="shared" si="77"/>
        <v>3900</v>
      </c>
      <c r="AV29" s="460">
        <f t="shared" si="78"/>
        <v>372724</v>
      </c>
      <c r="AW29" s="460">
        <f t="shared" si="78"/>
        <v>10988</v>
      </c>
      <c r="AX29" s="460">
        <f t="shared" si="79"/>
        <v>11024</v>
      </c>
      <c r="AY29" s="461">
        <f t="shared" si="80"/>
        <v>3.54</v>
      </c>
      <c r="AZ29" s="461">
        <f t="shared" si="81"/>
        <v>0</v>
      </c>
      <c r="BA29" s="463">
        <f t="shared" si="81"/>
        <v>3.54</v>
      </c>
    </row>
    <row r="30" spans="1:53" ht="13.5" customHeight="1" x14ac:dyDescent="0.2">
      <c r="A30" s="211">
        <v>5</v>
      </c>
      <c r="B30" s="212">
        <v>3447</v>
      </c>
      <c r="C30" s="212">
        <v>600078531</v>
      </c>
      <c r="D30" s="212">
        <v>70694982</v>
      </c>
      <c r="E30" s="210" t="s">
        <v>129</v>
      </c>
      <c r="F30" s="212">
        <v>3143</v>
      </c>
      <c r="G30" s="213" t="s">
        <v>616</v>
      </c>
      <c r="H30" s="234" t="s">
        <v>277</v>
      </c>
      <c r="I30" s="462">
        <f t="shared" si="60"/>
        <v>1549399</v>
      </c>
      <c r="J30" s="457">
        <v>1149406</v>
      </c>
      <c r="K30" s="457">
        <f t="shared" si="61"/>
        <v>388499</v>
      </c>
      <c r="L30" s="457">
        <f t="shared" si="62"/>
        <v>11494</v>
      </c>
      <c r="M30" s="457">
        <v>0</v>
      </c>
      <c r="N30" s="458">
        <f t="shared" si="63"/>
        <v>2.5</v>
      </c>
      <c r="O30" s="459">
        <v>2.5</v>
      </c>
      <c r="P30" s="468">
        <v>0</v>
      </c>
      <c r="Q30" s="470">
        <f t="shared" si="64"/>
        <v>-5850</v>
      </c>
      <c r="R30" s="460">
        <v>0</v>
      </c>
      <c r="S30" s="673">
        <v>0</v>
      </c>
      <c r="T30" s="460">
        <v>0</v>
      </c>
      <c r="U30" s="460">
        <v>0</v>
      </c>
      <c r="V30" s="460">
        <f t="shared" si="65"/>
        <v>-5850</v>
      </c>
      <c r="W30" s="460">
        <v>5850</v>
      </c>
      <c r="X30" s="460">
        <v>0</v>
      </c>
      <c r="Y30" s="460">
        <v>0</v>
      </c>
      <c r="Z30" s="460">
        <f t="shared" si="66"/>
        <v>5850</v>
      </c>
      <c r="AA30" s="460">
        <f t="shared" si="67"/>
        <v>0</v>
      </c>
      <c r="AB30" s="69">
        <f t="shared" si="68"/>
        <v>0</v>
      </c>
      <c r="AC30" s="69">
        <f t="shared" si="69"/>
        <v>-59</v>
      </c>
      <c r="AD30" s="460">
        <v>0</v>
      </c>
      <c r="AE30" s="460">
        <v>0</v>
      </c>
      <c r="AF30" s="460">
        <f t="shared" si="70"/>
        <v>0</v>
      </c>
      <c r="AG30" s="460">
        <f t="shared" si="71"/>
        <v>-59</v>
      </c>
      <c r="AH30" s="461">
        <v>0</v>
      </c>
      <c r="AI30" s="461">
        <v>0</v>
      </c>
      <c r="AJ30" s="461">
        <v>0</v>
      </c>
      <c r="AK30" s="461">
        <v>0</v>
      </c>
      <c r="AL30" s="674">
        <v>0</v>
      </c>
      <c r="AM30" s="461">
        <v>0</v>
      </c>
      <c r="AN30" s="461">
        <v>0</v>
      </c>
      <c r="AO30" s="461">
        <v>0</v>
      </c>
      <c r="AP30" s="461">
        <f t="shared" si="72"/>
        <v>0</v>
      </c>
      <c r="AQ30" s="461">
        <f t="shared" si="73"/>
        <v>0</v>
      </c>
      <c r="AR30" s="463">
        <f t="shared" si="74"/>
        <v>0</v>
      </c>
      <c r="AS30" s="469">
        <f t="shared" si="75"/>
        <v>1549340</v>
      </c>
      <c r="AT30" s="460">
        <f t="shared" si="76"/>
        <v>1143556</v>
      </c>
      <c r="AU30" s="460">
        <f t="shared" si="77"/>
        <v>5850</v>
      </c>
      <c r="AV30" s="460">
        <f t="shared" si="78"/>
        <v>388499</v>
      </c>
      <c r="AW30" s="460">
        <f t="shared" si="78"/>
        <v>11435</v>
      </c>
      <c r="AX30" s="460">
        <f t="shared" si="79"/>
        <v>0</v>
      </c>
      <c r="AY30" s="461">
        <f t="shared" si="80"/>
        <v>2.5</v>
      </c>
      <c r="AZ30" s="461">
        <f t="shared" si="81"/>
        <v>2.5</v>
      </c>
      <c r="BA30" s="463">
        <f t="shared" si="81"/>
        <v>0</v>
      </c>
    </row>
    <row r="31" spans="1:53" ht="13.5" customHeight="1" x14ac:dyDescent="0.2">
      <c r="A31" s="211">
        <v>5</v>
      </c>
      <c r="B31" s="212">
        <v>3447</v>
      </c>
      <c r="C31" s="212">
        <v>600078531</v>
      </c>
      <c r="D31" s="212">
        <v>70694982</v>
      </c>
      <c r="E31" s="210" t="s">
        <v>129</v>
      </c>
      <c r="F31" s="212">
        <v>3143</v>
      </c>
      <c r="G31" s="213" t="s">
        <v>617</v>
      </c>
      <c r="H31" s="234" t="s">
        <v>278</v>
      </c>
      <c r="I31" s="462">
        <f t="shared" si="60"/>
        <v>43979</v>
      </c>
      <c r="J31" s="457">
        <v>31424</v>
      </c>
      <c r="K31" s="457">
        <f t="shared" si="61"/>
        <v>10621</v>
      </c>
      <c r="L31" s="457">
        <f t="shared" si="62"/>
        <v>314</v>
      </c>
      <c r="M31" s="457">
        <v>1620</v>
      </c>
      <c r="N31" s="458">
        <f t="shared" si="63"/>
        <v>0.13</v>
      </c>
      <c r="O31" s="459">
        <v>0</v>
      </c>
      <c r="P31" s="468">
        <v>0.13</v>
      </c>
      <c r="Q31" s="470">
        <f t="shared" si="64"/>
        <v>0</v>
      </c>
      <c r="R31" s="460">
        <v>0</v>
      </c>
      <c r="S31" s="673">
        <v>0</v>
      </c>
      <c r="T31" s="460">
        <v>0</v>
      </c>
      <c r="U31" s="460">
        <v>0</v>
      </c>
      <c r="V31" s="460">
        <f t="shared" si="65"/>
        <v>0</v>
      </c>
      <c r="W31" s="460">
        <v>0</v>
      </c>
      <c r="X31" s="460">
        <v>0</v>
      </c>
      <c r="Y31" s="460">
        <v>0</v>
      </c>
      <c r="Z31" s="460">
        <f t="shared" si="66"/>
        <v>0</v>
      </c>
      <c r="AA31" s="460">
        <f t="shared" si="67"/>
        <v>0</v>
      </c>
      <c r="AB31" s="69">
        <f t="shared" si="68"/>
        <v>0</v>
      </c>
      <c r="AC31" s="69">
        <f t="shared" si="69"/>
        <v>0</v>
      </c>
      <c r="AD31" s="460">
        <v>0</v>
      </c>
      <c r="AE31" s="460">
        <v>0</v>
      </c>
      <c r="AF31" s="460">
        <f t="shared" si="70"/>
        <v>0</v>
      </c>
      <c r="AG31" s="460">
        <f t="shared" si="71"/>
        <v>0</v>
      </c>
      <c r="AH31" s="461">
        <v>0</v>
      </c>
      <c r="AI31" s="461">
        <v>0</v>
      </c>
      <c r="AJ31" s="461">
        <v>0</v>
      </c>
      <c r="AK31" s="461">
        <v>0</v>
      </c>
      <c r="AL31" s="674">
        <v>0</v>
      </c>
      <c r="AM31" s="461">
        <v>0</v>
      </c>
      <c r="AN31" s="461">
        <v>0</v>
      </c>
      <c r="AO31" s="461">
        <v>0</v>
      </c>
      <c r="AP31" s="461">
        <f t="shared" si="72"/>
        <v>0</v>
      </c>
      <c r="AQ31" s="461">
        <f t="shared" si="73"/>
        <v>0</v>
      </c>
      <c r="AR31" s="463">
        <f t="shared" si="74"/>
        <v>0</v>
      </c>
      <c r="AS31" s="469">
        <f t="shared" si="75"/>
        <v>43979</v>
      </c>
      <c r="AT31" s="460">
        <f t="shared" si="76"/>
        <v>31424</v>
      </c>
      <c r="AU31" s="460">
        <f t="shared" si="77"/>
        <v>0</v>
      </c>
      <c r="AV31" s="460">
        <f t="shared" si="78"/>
        <v>10621</v>
      </c>
      <c r="AW31" s="460">
        <f t="shared" si="78"/>
        <v>314</v>
      </c>
      <c r="AX31" s="460">
        <f t="shared" si="79"/>
        <v>1620</v>
      </c>
      <c r="AY31" s="461">
        <f t="shared" si="80"/>
        <v>0.13</v>
      </c>
      <c r="AZ31" s="461">
        <f t="shared" si="81"/>
        <v>0</v>
      </c>
      <c r="BA31" s="463">
        <f t="shared" si="81"/>
        <v>0.13</v>
      </c>
    </row>
    <row r="32" spans="1:53" ht="13.5" customHeight="1" x14ac:dyDescent="0.2">
      <c r="A32" s="158">
        <v>5</v>
      </c>
      <c r="B32" s="18">
        <v>3447</v>
      </c>
      <c r="C32" s="18">
        <v>600078531</v>
      </c>
      <c r="D32" s="18">
        <v>70694982</v>
      </c>
      <c r="E32" s="167" t="s">
        <v>130</v>
      </c>
      <c r="F32" s="18"/>
      <c r="G32" s="157"/>
      <c r="H32" s="191"/>
      <c r="I32" s="505">
        <f t="shared" ref="I32:P32" si="82">SUM(I26:I31)</f>
        <v>22207900</v>
      </c>
      <c r="J32" s="502">
        <f t="shared" si="82"/>
        <v>16236259</v>
      </c>
      <c r="K32" s="502">
        <f t="shared" si="82"/>
        <v>5487855</v>
      </c>
      <c r="L32" s="502">
        <f t="shared" si="82"/>
        <v>162362</v>
      </c>
      <c r="M32" s="502">
        <f t="shared" si="82"/>
        <v>321424</v>
      </c>
      <c r="N32" s="503">
        <f t="shared" si="82"/>
        <v>29.827299999999997</v>
      </c>
      <c r="O32" s="503">
        <f t="shared" si="82"/>
        <v>21.4773</v>
      </c>
      <c r="P32" s="507">
        <f t="shared" si="82"/>
        <v>8.35</v>
      </c>
      <c r="Q32" s="505">
        <f t="shared" ref="Q32:BA32" si="83">SUM(Q26:Q31)</f>
        <v>-9750</v>
      </c>
      <c r="R32" s="502">
        <f t="shared" si="83"/>
        <v>1468830</v>
      </c>
      <c r="S32" s="502">
        <f t="shared" si="83"/>
        <v>0</v>
      </c>
      <c r="T32" s="502">
        <f t="shared" si="83"/>
        <v>0</v>
      </c>
      <c r="U32" s="502">
        <f t="shared" si="83"/>
        <v>0</v>
      </c>
      <c r="V32" s="502">
        <f t="shared" si="83"/>
        <v>1459080</v>
      </c>
      <c r="W32" s="502">
        <f t="shared" si="83"/>
        <v>9750</v>
      </c>
      <c r="X32" s="502">
        <f t="shared" si="83"/>
        <v>0</v>
      </c>
      <c r="Y32" s="502">
        <f t="shared" si="83"/>
        <v>0</v>
      </c>
      <c r="Z32" s="502">
        <f t="shared" si="83"/>
        <v>9750</v>
      </c>
      <c r="AA32" s="502">
        <f t="shared" si="83"/>
        <v>1468830</v>
      </c>
      <c r="AB32" s="502">
        <f t="shared" si="83"/>
        <v>496465</v>
      </c>
      <c r="AC32" s="502">
        <f t="shared" si="83"/>
        <v>14590</v>
      </c>
      <c r="AD32" s="502">
        <f t="shared" si="83"/>
        <v>0</v>
      </c>
      <c r="AE32" s="502">
        <f t="shared" si="83"/>
        <v>0</v>
      </c>
      <c r="AF32" s="502">
        <f t="shared" si="83"/>
        <v>0</v>
      </c>
      <c r="AG32" s="502">
        <f t="shared" si="83"/>
        <v>1979885</v>
      </c>
      <c r="AH32" s="503">
        <f t="shared" si="83"/>
        <v>0</v>
      </c>
      <c r="AI32" s="503">
        <f t="shared" si="83"/>
        <v>0</v>
      </c>
      <c r="AJ32" s="503">
        <f t="shared" si="83"/>
        <v>4.13</v>
      </c>
      <c r="AK32" s="503">
        <f t="shared" si="83"/>
        <v>0</v>
      </c>
      <c r="AL32" s="503">
        <f t="shared" si="83"/>
        <v>0</v>
      </c>
      <c r="AM32" s="503">
        <f t="shared" si="83"/>
        <v>0</v>
      </c>
      <c r="AN32" s="503">
        <f t="shared" si="83"/>
        <v>0</v>
      </c>
      <c r="AO32" s="503">
        <f t="shared" si="83"/>
        <v>0</v>
      </c>
      <c r="AP32" s="503">
        <f t="shared" si="83"/>
        <v>4.13</v>
      </c>
      <c r="AQ32" s="503">
        <f t="shared" si="83"/>
        <v>0</v>
      </c>
      <c r="AR32" s="40">
        <f t="shared" si="83"/>
        <v>4.13</v>
      </c>
      <c r="AS32" s="509">
        <f t="shared" si="83"/>
        <v>24187785</v>
      </c>
      <c r="AT32" s="502">
        <f t="shared" si="83"/>
        <v>17695339</v>
      </c>
      <c r="AU32" s="502">
        <f t="shared" si="83"/>
        <v>9750</v>
      </c>
      <c r="AV32" s="502">
        <f t="shared" si="83"/>
        <v>5984320</v>
      </c>
      <c r="AW32" s="502">
        <f t="shared" si="83"/>
        <v>176952</v>
      </c>
      <c r="AX32" s="502">
        <f t="shared" si="83"/>
        <v>321424</v>
      </c>
      <c r="AY32" s="503">
        <f t="shared" si="83"/>
        <v>33.957299999999996</v>
      </c>
      <c r="AZ32" s="503">
        <f t="shared" si="83"/>
        <v>25.607299999999999</v>
      </c>
      <c r="BA32" s="40">
        <f t="shared" si="83"/>
        <v>8.35</v>
      </c>
    </row>
    <row r="33" spans="1:53" ht="13.5" customHeight="1" x14ac:dyDescent="0.2">
      <c r="A33" s="211">
        <v>6</v>
      </c>
      <c r="B33" s="212">
        <v>3446</v>
      </c>
      <c r="C33" s="212">
        <v>600078515</v>
      </c>
      <c r="D33" s="212">
        <v>70694974</v>
      </c>
      <c r="E33" s="210" t="s">
        <v>131</v>
      </c>
      <c r="F33" s="212">
        <v>3113</v>
      </c>
      <c r="G33" s="213" t="s">
        <v>310</v>
      </c>
      <c r="H33" s="214" t="s">
        <v>277</v>
      </c>
      <c r="I33" s="462">
        <f t="shared" ref="I33:I37" si="84">SUM(J33:M33)</f>
        <v>24893475</v>
      </c>
      <c r="J33" s="457">
        <v>18129607</v>
      </c>
      <c r="K33" s="457">
        <f t="shared" ref="K33:K37" si="85">ROUND(J33*33.8%,0)</f>
        <v>6127807</v>
      </c>
      <c r="L33" s="457">
        <f t="shared" ref="L33:L37" si="86">ROUND(J33*1%,0)</f>
        <v>181296</v>
      </c>
      <c r="M33" s="457">
        <v>454765</v>
      </c>
      <c r="N33" s="458">
        <f t="shared" ref="N33:N37" si="87">O33+P33</f>
        <v>31.297499999999999</v>
      </c>
      <c r="O33" s="459">
        <v>25.227499999999999</v>
      </c>
      <c r="P33" s="468">
        <v>6.07</v>
      </c>
      <c r="Q33" s="470">
        <f t="shared" ref="Q33:Q37" si="88">W33*-1</f>
        <v>-26000</v>
      </c>
      <c r="R33" s="460">
        <v>0</v>
      </c>
      <c r="S33" s="673">
        <v>0</v>
      </c>
      <c r="T33" s="460">
        <v>61900</v>
      </c>
      <c r="U33" s="460">
        <v>0</v>
      </c>
      <c r="V33" s="460">
        <f>SUM(Q33:U33)</f>
        <v>35900</v>
      </c>
      <c r="W33" s="460">
        <v>26000</v>
      </c>
      <c r="X33" s="460">
        <v>0</v>
      </c>
      <c r="Y33" s="460">
        <v>0</v>
      </c>
      <c r="Z33" s="460">
        <f t="shared" ref="Z33:Z37" si="89">SUM(W33:Y33)</f>
        <v>26000</v>
      </c>
      <c r="AA33" s="460">
        <f t="shared" ref="AA33:AA37" si="90">V33+Z33</f>
        <v>61900</v>
      </c>
      <c r="AB33" s="69">
        <f t="shared" ref="AB33:AB37" si="91">ROUND((V33+W33+X33)*33.8%,0)</f>
        <v>20922</v>
      </c>
      <c r="AC33" s="69">
        <f t="shared" ref="AC33:AC37" si="92">ROUND(V33*1%,0)</f>
        <v>359</v>
      </c>
      <c r="AD33" s="460">
        <v>0</v>
      </c>
      <c r="AE33" s="460">
        <v>0</v>
      </c>
      <c r="AF33" s="460">
        <f t="shared" ref="AF33:AF37" si="93">SUM(AD33:AE33)</f>
        <v>0</v>
      </c>
      <c r="AG33" s="460">
        <f t="shared" ref="AG33:AG37" si="94">AA33+AB33+AC33+AF33</f>
        <v>83181</v>
      </c>
      <c r="AH33" s="461">
        <v>-0.01</v>
      </c>
      <c r="AI33" s="461">
        <v>-7.0000000000000007E-2</v>
      </c>
      <c r="AJ33" s="461">
        <v>0</v>
      </c>
      <c r="AK33" s="461">
        <v>0</v>
      </c>
      <c r="AL33" s="674">
        <v>0</v>
      </c>
      <c r="AM33" s="461">
        <v>0.09</v>
      </c>
      <c r="AN33" s="461">
        <v>0</v>
      </c>
      <c r="AO33" s="461">
        <v>0</v>
      </c>
      <c r="AP33" s="461">
        <f>AH33+AJ33+AK33+AM33+AN33</f>
        <v>0.08</v>
      </c>
      <c r="AQ33" s="461">
        <f>AI33+AL33+AO33</f>
        <v>-7.0000000000000007E-2</v>
      </c>
      <c r="AR33" s="463">
        <f t="shared" ref="AR33:AR37" si="95">SUM(AP33:AQ33)</f>
        <v>9.999999999999995E-3</v>
      </c>
      <c r="AS33" s="469">
        <f>I33+AG33</f>
        <v>24976656</v>
      </c>
      <c r="AT33" s="460">
        <f>J33+V33</f>
        <v>18165507</v>
      </c>
      <c r="AU33" s="460">
        <f t="shared" ref="AU33:AU37" si="96">Z33</f>
        <v>26000</v>
      </c>
      <c r="AV33" s="460">
        <f t="shared" ref="AV33:AW37" si="97">K33+AB33</f>
        <v>6148729</v>
      </c>
      <c r="AW33" s="460">
        <f t="shared" si="97"/>
        <v>181655</v>
      </c>
      <c r="AX33" s="460">
        <f>M33+AF33</f>
        <v>454765</v>
      </c>
      <c r="AY33" s="461">
        <f>N33+AR33</f>
        <v>31.307500000000001</v>
      </c>
      <c r="AZ33" s="461">
        <f t="shared" ref="AZ33:BA37" si="98">O33+AP33</f>
        <v>25.307499999999997</v>
      </c>
      <c r="BA33" s="463">
        <f t="shared" si="98"/>
        <v>6</v>
      </c>
    </row>
    <row r="34" spans="1:53" ht="13.5" customHeight="1" x14ac:dyDescent="0.2">
      <c r="A34" s="211">
        <v>6</v>
      </c>
      <c r="B34" s="212">
        <v>3446</v>
      </c>
      <c r="C34" s="212">
        <v>600078515</v>
      </c>
      <c r="D34" s="212">
        <v>70694974</v>
      </c>
      <c r="E34" s="210" t="s">
        <v>131</v>
      </c>
      <c r="F34" s="212">
        <v>3113</v>
      </c>
      <c r="G34" s="213" t="s">
        <v>308</v>
      </c>
      <c r="H34" s="214" t="s">
        <v>278</v>
      </c>
      <c r="I34" s="462">
        <f t="shared" si="84"/>
        <v>0</v>
      </c>
      <c r="J34" s="457">
        <v>0</v>
      </c>
      <c r="K34" s="457">
        <f t="shared" si="85"/>
        <v>0</v>
      </c>
      <c r="L34" s="457">
        <f t="shared" si="86"/>
        <v>0</v>
      </c>
      <c r="M34" s="457">
        <v>0</v>
      </c>
      <c r="N34" s="458">
        <f t="shared" si="87"/>
        <v>0</v>
      </c>
      <c r="O34" s="459">
        <v>0</v>
      </c>
      <c r="P34" s="468">
        <v>0</v>
      </c>
      <c r="Q34" s="470">
        <f t="shared" si="88"/>
        <v>0</v>
      </c>
      <c r="R34" s="460">
        <v>914238</v>
      </c>
      <c r="S34" s="673">
        <v>0</v>
      </c>
      <c r="T34" s="460">
        <v>0</v>
      </c>
      <c r="U34" s="460">
        <v>0</v>
      </c>
      <c r="V34" s="460">
        <f>SUM(Q34:U34)</f>
        <v>914238</v>
      </c>
      <c r="W34" s="460">
        <v>0</v>
      </c>
      <c r="X34" s="460">
        <v>0</v>
      </c>
      <c r="Y34" s="460">
        <v>0</v>
      </c>
      <c r="Z34" s="460">
        <f t="shared" si="89"/>
        <v>0</v>
      </c>
      <c r="AA34" s="460">
        <f t="shared" si="90"/>
        <v>914238</v>
      </c>
      <c r="AB34" s="69">
        <f t="shared" si="91"/>
        <v>309012</v>
      </c>
      <c r="AC34" s="69">
        <f t="shared" si="92"/>
        <v>9142</v>
      </c>
      <c r="AD34" s="460">
        <v>0</v>
      </c>
      <c r="AE34" s="460">
        <v>0</v>
      </c>
      <c r="AF34" s="460">
        <f t="shared" si="93"/>
        <v>0</v>
      </c>
      <c r="AG34" s="460">
        <f t="shared" si="94"/>
        <v>1232392</v>
      </c>
      <c r="AH34" s="461">
        <v>0</v>
      </c>
      <c r="AI34" s="461">
        <v>0</v>
      </c>
      <c r="AJ34" s="461">
        <v>2.64</v>
      </c>
      <c r="AK34" s="461">
        <v>0</v>
      </c>
      <c r="AL34" s="674">
        <v>0</v>
      </c>
      <c r="AM34" s="461">
        <v>0</v>
      </c>
      <c r="AN34" s="461">
        <v>0</v>
      </c>
      <c r="AO34" s="461">
        <v>0</v>
      </c>
      <c r="AP34" s="461">
        <f>AH34+AJ34+AK34+AM34+AN34</f>
        <v>2.64</v>
      </c>
      <c r="AQ34" s="461">
        <f>AI34+AL34+AO34</f>
        <v>0</v>
      </c>
      <c r="AR34" s="463">
        <f t="shared" si="95"/>
        <v>2.64</v>
      </c>
      <c r="AS34" s="469">
        <f>I34+AG34</f>
        <v>1232392</v>
      </c>
      <c r="AT34" s="460">
        <f>J34+V34</f>
        <v>914238</v>
      </c>
      <c r="AU34" s="460">
        <f t="shared" si="96"/>
        <v>0</v>
      </c>
      <c r="AV34" s="460">
        <f t="shared" si="97"/>
        <v>309012</v>
      </c>
      <c r="AW34" s="460">
        <f t="shared" si="97"/>
        <v>9142</v>
      </c>
      <c r="AX34" s="460">
        <f>M34+AF34</f>
        <v>0</v>
      </c>
      <c r="AY34" s="461">
        <f>N34+AR34</f>
        <v>2.64</v>
      </c>
      <c r="AZ34" s="461">
        <f t="shared" si="98"/>
        <v>2.64</v>
      </c>
      <c r="BA34" s="463">
        <f t="shared" si="98"/>
        <v>0</v>
      </c>
    </row>
    <row r="35" spans="1:53" ht="13.5" customHeight="1" x14ac:dyDescent="0.2">
      <c r="A35" s="211">
        <v>6</v>
      </c>
      <c r="B35" s="212">
        <v>3446</v>
      </c>
      <c r="C35" s="212">
        <v>600078515</v>
      </c>
      <c r="D35" s="212">
        <v>70694974</v>
      </c>
      <c r="E35" s="210" t="s">
        <v>131</v>
      </c>
      <c r="F35" s="212">
        <v>3141</v>
      </c>
      <c r="G35" s="213" t="s">
        <v>311</v>
      </c>
      <c r="H35" s="214" t="s">
        <v>278</v>
      </c>
      <c r="I35" s="462">
        <f t="shared" si="84"/>
        <v>2114652</v>
      </c>
      <c r="J35" s="457">
        <v>1556119</v>
      </c>
      <c r="K35" s="457">
        <f t="shared" si="85"/>
        <v>525968</v>
      </c>
      <c r="L35" s="457">
        <f t="shared" si="86"/>
        <v>15561</v>
      </c>
      <c r="M35" s="457">
        <v>17004</v>
      </c>
      <c r="N35" s="458">
        <f t="shared" si="87"/>
        <v>5</v>
      </c>
      <c r="O35" s="459">
        <v>0</v>
      </c>
      <c r="P35" s="468">
        <v>5</v>
      </c>
      <c r="Q35" s="470">
        <f t="shared" si="88"/>
        <v>-19500</v>
      </c>
      <c r="R35" s="460">
        <v>0</v>
      </c>
      <c r="S35" s="673">
        <v>0</v>
      </c>
      <c r="T35" s="460">
        <v>0</v>
      </c>
      <c r="U35" s="460">
        <v>0</v>
      </c>
      <c r="V35" s="460">
        <f>SUM(Q35:U35)</f>
        <v>-19500</v>
      </c>
      <c r="W35" s="460">
        <v>19500</v>
      </c>
      <c r="X35" s="460">
        <v>0</v>
      </c>
      <c r="Y35" s="460">
        <v>0</v>
      </c>
      <c r="Z35" s="460">
        <f t="shared" si="89"/>
        <v>19500</v>
      </c>
      <c r="AA35" s="460">
        <f t="shared" si="90"/>
        <v>0</v>
      </c>
      <c r="AB35" s="69">
        <f t="shared" si="91"/>
        <v>0</v>
      </c>
      <c r="AC35" s="69">
        <f t="shared" si="92"/>
        <v>-195</v>
      </c>
      <c r="AD35" s="460">
        <v>0</v>
      </c>
      <c r="AE35" s="460">
        <v>0</v>
      </c>
      <c r="AF35" s="460">
        <f t="shared" si="93"/>
        <v>0</v>
      </c>
      <c r="AG35" s="460">
        <f t="shared" si="94"/>
        <v>-195</v>
      </c>
      <c r="AH35" s="461">
        <v>0</v>
      </c>
      <c r="AI35" s="461">
        <v>0</v>
      </c>
      <c r="AJ35" s="461">
        <v>0</v>
      </c>
      <c r="AK35" s="461">
        <v>0</v>
      </c>
      <c r="AL35" s="674">
        <v>0</v>
      </c>
      <c r="AM35" s="461">
        <v>0</v>
      </c>
      <c r="AN35" s="461">
        <v>0</v>
      </c>
      <c r="AO35" s="461">
        <v>0</v>
      </c>
      <c r="AP35" s="461">
        <f>AH35+AJ35+AK35+AM35+AN35</f>
        <v>0</v>
      </c>
      <c r="AQ35" s="461">
        <f>AI35+AL35+AO35</f>
        <v>0</v>
      </c>
      <c r="AR35" s="463">
        <f t="shared" si="95"/>
        <v>0</v>
      </c>
      <c r="AS35" s="469">
        <f>I35+AG35</f>
        <v>2114457</v>
      </c>
      <c r="AT35" s="460">
        <f>J35+V35</f>
        <v>1536619</v>
      </c>
      <c r="AU35" s="460">
        <f t="shared" si="96"/>
        <v>19500</v>
      </c>
      <c r="AV35" s="460">
        <f t="shared" si="97"/>
        <v>525968</v>
      </c>
      <c r="AW35" s="460">
        <f t="shared" si="97"/>
        <v>15366</v>
      </c>
      <c r="AX35" s="460">
        <f>M35+AF35</f>
        <v>17004</v>
      </c>
      <c r="AY35" s="461">
        <f>N35+AR35</f>
        <v>5</v>
      </c>
      <c r="AZ35" s="461">
        <f t="shared" si="98"/>
        <v>0</v>
      </c>
      <c r="BA35" s="463">
        <f t="shared" si="98"/>
        <v>5</v>
      </c>
    </row>
    <row r="36" spans="1:53" ht="13.5" customHeight="1" x14ac:dyDescent="0.2">
      <c r="A36" s="211">
        <v>6</v>
      </c>
      <c r="B36" s="212">
        <v>3446</v>
      </c>
      <c r="C36" s="212">
        <v>600078515</v>
      </c>
      <c r="D36" s="212">
        <v>70694974</v>
      </c>
      <c r="E36" s="210" t="s">
        <v>131</v>
      </c>
      <c r="F36" s="212">
        <v>3143</v>
      </c>
      <c r="G36" s="213" t="s">
        <v>616</v>
      </c>
      <c r="H36" s="234" t="s">
        <v>277</v>
      </c>
      <c r="I36" s="462">
        <f t="shared" si="84"/>
        <v>1715409</v>
      </c>
      <c r="J36" s="457">
        <v>1272558</v>
      </c>
      <c r="K36" s="457">
        <f t="shared" si="85"/>
        <v>430125</v>
      </c>
      <c r="L36" s="457">
        <f t="shared" si="86"/>
        <v>12726</v>
      </c>
      <c r="M36" s="457">
        <v>0</v>
      </c>
      <c r="N36" s="458">
        <f t="shared" si="87"/>
        <v>2.75</v>
      </c>
      <c r="O36" s="459">
        <v>2.75</v>
      </c>
      <c r="P36" s="468">
        <v>0</v>
      </c>
      <c r="Q36" s="470">
        <f t="shared" si="88"/>
        <v>0</v>
      </c>
      <c r="R36" s="460">
        <v>0</v>
      </c>
      <c r="S36" s="673">
        <v>0</v>
      </c>
      <c r="T36" s="460">
        <v>0</v>
      </c>
      <c r="U36" s="460">
        <v>0</v>
      </c>
      <c r="V36" s="460">
        <f>SUM(Q36:U36)</f>
        <v>0</v>
      </c>
      <c r="W36" s="460">
        <v>0</v>
      </c>
      <c r="X36" s="460">
        <v>0</v>
      </c>
      <c r="Y36" s="460">
        <v>0</v>
      </c>
      <c r="Z36" s="460">
        <f t="shared" si="89"/>
        <v>0</v>
      </c>
      <c r="AA36" s="460">
        <f t="shared" si="90"/>
        <v>0</v>
      </c>
      <c r="AB36" s="69">
        <f t="shared" si="91"/>
        <v>0</v>
      </c>
      <c r="AC36" s="69">
        <f t="shared" si="92"/>
        <v>0</v>
      </c>
      <c r="AD36" s="460">
        <v>0</v>
      </c>
      <c r="AE36" s="460">
        <v>0</v>
      </c>
      <c r="AF36" s="460">
        <f t="shared" si="93"/>
        <v>0</v>
      </c>
      <c r="AG36" s="460">
        <f t="shared" si="94"/>
        <v>0</v>
      </c>
      <c r="AH36" s="461">
        <v>0</v>
      </c>
      <c r="AI36" s="461">
        <v>0</v>
      </c>
      <c r="AJ36" s="461">
        <v>0</v>
      </c>
      <c r="AK36" s="461">
        <v>0</v>
      </c>
      <c r="AL36" s="674">
        <v>0</v>
      </c>
      <c r="AM36" s="461">
        <v>0</v>
      </c>
      <c r="AN36" s="461">
        <v>0</v>
      </c>
      <c r="AO36" s="461">
        <v>0</v>
      </c>
      <c r="AP36" s="461">
        <f>AH36+AJ36+AK36+AM36+AN36</f>
        <v>0</v>
      </c>
      <c r="AQ36" s="461">
        <f>AI36+AL36+AO36</f>
        <v>0</v>
      </c>
      <c r="AR36" s="463">
        <f t="shared" si="95"/>
        <v>0</v>
      </c>
      <c r="AS36" s="469">
        <f>I36+AG36</f>
        <v>1715409</v>
      </c>
      <c r="AT36" s="460">
        <f>J36+V36</f>
        <v>1272558</v>
      </c>
      <c r="AU36" s="460">
        <f t="shared" si="96"/>
        <v>0</v>
      </c>
      <c r="AV36" s="460">
        <f t="shared" si="97"/>
        <v>430125</v>
      </c>
      <c r="AW36" s="460">
        <f t="shared" si="97"/>
        <v>12726</v>
      </c>
      <c r="AX36" s="460">
        <f>M36+AF36</f>
        <v>0</v>
      </c>
      <c r="AY36" s="461">
        <f>N36+AR36</f>
        <v>2.75</v>
      </c>
      <c r="AZ36" s="461">
        <f t="shared" si="98"/>
        <v>2.75</v>
      </c>
      <c r="BA36" s="463">
        <f t="shared" si="98"/>
        <v>0</v>
      </c>
    </row>
    <row r="37" spans="1:53" ht="13.5" customHeight="1" x14ac:dyDescent="0.2">
      <c r="A37" s="211">
        <v>6</v>
      </c>
      <c r="B37" s="212">
        <v>3446</v>
      </c>
      <c r="C37" s="212">
        <v>600078515</v>
      </c>
      <c r="D37" s="212">
        <v>70694974</v>
      </c>
      <c r="E37" s="210" t="s">
        <v>131</v>
      </c>
      <c r="F37" s="212">
        <v>3143</v>
      </c>
      <c r="G37" s="213" t="s">
        <v>617</v>
      </c>
      <c r="H37" s="234" t="s">
        <v>278</v>
      </c>
      <c r="I37" s="462">
        <f t="shared" si="84"/>
        <v>62305</v>
      </c>
      <c r="J37" s="457">
        <v>44518</v>
      </c>
      <c r="K37" s="457">
        <f t="shared" si="85"/>
        <v>15047</v>
      </c>
      <c r="L37" s="457">
        <f t="shared" si="86"/>
        <v>445</v>
      </c>
      <c r="M37" s="457">
        <v>2295</v>
      </c>
      <c r="N37" s="458">
        <f t="shared" si="87"/>
        <v>0.18</v>
      </c>
      <c r="O37" s="459">
        <v>0</v>
      </c>
      <c r="P37" s="468">
        <v>0.18</v>
      </c>
      <c r="Q37" s="470">
        <f t="shared" si="88"/>
        <v>0</v>
      </c>
      <c r="R37" s="460">
        <v>0</v>
      </c>
      <c r="S37" s="673">
        <v>0</v>
      </c>
      <c r="T37" s="460">
        <v>0</v>
      </c>
      <c r="U37" s="460">
        <v>0</v>
      </c>
      <c r="V37" s="460">
        <f>SUM(Q37:U37)</f>
        <v>0</v>
      </c>
      <c r="W37" s="460">
        <v>0</v>
      </c>
      <c r="X37" s="460">
        <v>0</v>
      </c>
      <c r="Y37" s="460">
        <v>0</v>
      </c>
      <c r="Z37" s="460">
        <f t="shared" si="89"/>
        <v>0</v>
      </c>
      <c r="AA37" s="460">
        <f t="shared" si="90"/>
        <v>0</v>
      </c>
      <c r="AB37" s="69">
        <f t="shared" si="91"/>
        <v>0</v>
      </c>
      <c r="AC37" s="69">
        <f t="shared" si="92"/>
        <v>0</v>
      </c>
      <c r="AD37" s="460">
        <v>0</v>
      </c>
      <c r="AE37" s="460">
        <v>0</v>
      </c>
      <c r="AF37" s="460">
        <f t="shared" si="93"/>
        <v>0</v>
      </c>
      <c r="AG37" s="460">
        <f t="shared" si="94"/>
        <v>0</v>
      </c>
      <c r="AH37" s="461">
        <v>0</v>
      </c>
      <c r="AI37" s="461">
        <v>0</v>
      </c>
      <c r="AJ37" s="461">
        <v>0</v>
      </c>
      <c r="AK37" s="461">
        <v>0</v>
      </c>
      <c r="AL37" s="674">
        <v>0</v>
      </c>
      <c r="AM37" s="461">
        <v>0</v>
      </c>
      <c r="AN37" s="461">
        <v>0</v>
      </c>
      <c r="AO37" s="461">
        <v>0</v>
      </c>
      <c r="AP37" s="461">
        <f>AH37+AJ37+AK37+AM37+AN37</f>
        <v>0</v>
      </c>
      <c r="AQ37" s="461">
        <f>AI37+AL37+AO37</f>
        <v>0</v>
      </c>
      <c r="AR37" s="463">
        <f t="shared" si="95"/>
        <v>0</v>
      </c>
      <c r="AS37" s="469">
        <f>I37+AG37</f>
        <v>62305</v>
      </c>
      <c r="AT37" s="460">
        <f>J37+V37</f>
        <v>44518</v>
      </c>
      <c r="AU37" s="460">
        <f t="shared" si="96"/>
        <v>0</v>
      </c>
      <c r="AV37" s="460">
        <f t="shared" si="97"/>
        <v>15047</v>
      </c>
      <c r="AW37" s="460">
        <f t="shared" si="97"/>
        <v>445</v>
      </c>
      <c r="AX37" s="460">
        <f>M37+AF37</f>
        <v>2295</v>
      </c>
      <c r="AY37" s="461">
        <f>N37+AR37</f>
        <v>0.18</v>
      </c>
      <c r="AZ37" s="461">
        <f t="shared" si="98"/>
        <v>0</v>
      </c>
      <c r="BA37" s="463">
        <f t="shared" si="98"/>
        <v>0.18</v>
      </c>
    </row>
    <row r="38" spans="1:53" ht="13.5" customHeight="1" x14ac:dyDescent="0.2">
      <c r="A38" s="158">
        <v>6</v>
      </c>
      <c r="B38" s="18">
        <v>3446</v>
      </c>
      <c r="C38" s="18">
        <v>600078515</v>
      </c>
      <c r="D38" s="18">
        <v>70694974</v>
      </c>
      <c r="E38" s="167" t="s">
        <v>132</v>
      </c>
      <c r="F38" s="18"/>
      <c r="G38" s="157"/>
      <c r="H38" s="191"/>
      <c r="I38" s="505">
        <f t="shared" ref="I38:P38" si="99">SUM(I33:I37)</f>
        <v>28785841</v>
      </c>
      <c r="J38" s="502">
        <f t="shared" si="99"/>
        <v>21002802</v>
      </c>
      <c r="K38" s="502">
        <f t="shared" si="99"/>
        <v>7098947</v>
      </c>
      <c r="L38" s="502">
        <f t="shared" si="99"/>
        <v>210028</v>
      </c>
      <c r="M38" s="502">
        <f t="shared" si="99"/>
        <v>474064</v>
      </c>
      <c r="N38" s="503">
        <f t="shared" si="99"/>
        <v>39.227499999999999</v>
      </c>
      <c r="O38" s="503">
        <f t="shared" si="99"/>
        <v>27.977499999999999</v>
      </c>
      <c r="P38" s="507">
        <f t="shared" si="99"/>
        <v>11.25</v>
      </c>
      <c r="Q38" s="505">
        <f t="shared" ref="Q38:BA38" si="100">SUM(Q33:Q37)</f>
        <v>-45500</v>
      </c>
      <c r="R38" s="502">
        <f t="shared" si="100"/>
        <v>914238</v>
      </c>
      <c r="S38" s="502">
        <f t="shared" si="100"/>
        <v>0</v>
      </c>
      <c r="T38" s="502">
        <f t="shared" si="100"/>
        <v>61900</v>
      </c>
      <c r="U38" s="502">
        <f t="shared" si="100"/>
        <v>0</v>
      </c>
      <c r="V38" s="502">
        <f t="shared" si="100"/>
        <v>930638</v>
      </c>
      <c r="W38" s="502">
        <f t="shared" si="100"/>
        <v>45500</v>
      </c>
      <c r="X38" s="502">
        <f t="shared" si="100"/>
        <v>0</v>
      </c>
      <c r="Y38" s="502">
        <f t="shared" si="100"/>
        <v>0</v>
      </c>
      <c r="Z38" s="502">
        <f t="shared" si="100"/>
        <v>45500</v>
      </c>
      <c r="AA38" s="502">
        <f t="shared" si="100"/>
        <v>976138</v>
      </c>
      <c r="AB38" s="502">
        <f t="shared" si="100"/>
        <v>329934</v>
      </c>
      <c r="AC38" s="502">
        <f t="shared" si="100"/>
        <v>9306</v>
      </c>
      <c r="AD38" s="502">
        <f t="shared" si="100"/>
        <v>0</v>
      </c>
      <c r="AE38" s="502">
        <f t="shared" si="100"/>
        <v>0</v>
      </c>
      <c r="AF38" s="502">
        <f t="shared" si="100"/>
        <v>0</v>
      </c>
      <c r="AG38" s="502">
        <f t="shared" si="100"/>
        <v>1315378</v>
      </c>
      <c r="AH38" s="503">
        <f t="shared" si="100"/>
        <v>-0.01</v>
      </c>
      <c r="AI38" s="503">
        <f t="shared" si="100"/>
        <v>-7.0000000000000007E-2</v>
      </c>
      <c r="AJ38" s="503">
        <f t="shared" si="100"/>
        <v>2.64</v>
      </c>
      <c r="AK38" s="503">
        <f t="shared" si="100"/>
        <v>0</v>
      </c>
      <c r="AL38" s="503">
        <f t="shared" si="100"/>
        <v>0</v>
      </c>
      <c r="AM38" s="503">
        <f t="shared" si="100"/>
        <v>0.09</v>
      </c>
      <c r="AN38" s="503">
        <f t="shared" si="100"/>
        <v>0</v>
      </c>
      <c r="AO38" s="503">
        <f t="shared" si="100"/>
        <v>0</v>
      </c>
      <c r="AP38" s="503">
        <f t="shared" si="100"/>
        <v>2.72</v>
      </c>
      <c r="AQ38" s="503">
        <f t="shared" si="100"/>
        <v>-7.0000000000000007E-2</v>
      </c>
      <c r="AR38" s="40">
        <f t="shared" si="100"/>
        <v>2.65</v>
      </c>
      <c r="AS38" s="509">
        <f t="shared" si="100"/>
        <v>30101219</v>
      </c>
      <c r="AT38" s="502">
        <f t="shared" si="100"/>
        <v>21933440</v>
      </c>
      <c r="AU38" s="502">
        <f t="shared" si="100"/>
        <v>45500</v>
      </c>
      <c r="AV38" s="502">
        <f t="shared" si="100"/>
        <v>7428881</v>
      </c>
      <c r="AW38" s="502">
        <f t="shared" si="100"/>
        <v>219334</v>
      </c>
      <c r="AX38" s="502">
        <f t="shared" si="100"/>
        <v>474064</v>
      </c>
      <c r="AY38" s="503">
        <f t="shared" si="100"/>
        <v>41.877499999999998</v>
      </c>
      <c r="AZ38" s="503">
        <f t="shared" si="100"/>
        <v>30.697499999999998</v>
      </c>
      <c r="BA38" s="40">
        <f t="shared" si="100"/>
        <v>11.18</v>
      </c>
    </row>
    <row r="39" spans="1:53" ht="13.5" customHeight="1" x14ac:dyDescent="0.2">
      <c r="A39" s="211">
        <v>7</v>
      </c>
      <c r="B39" s="212">
        <v>3457</v>
      </c>
      <c r="C39" s="212">
        <v>651040230</v>
      </c>
      <c r="D39" s="212">
        <v>75125412</v>
      </c>
      <c r="E39" s="210" t="s">
        <v>133</v>
      </c>
      <c r="F39" s="212">
        <v>3231</v>
      </c>
      <c r="G39" s="213" t="s">
        <v>312</v>
      </c>
      <c r="H39" s="214" t="s">
        <v>277</v>
      </c>
      <c r="I39" s="462">
        <f t="shared" ref="I39" si="101">SUM(J39:M39)</f>
        <v>11238122</v>
      </c>
      <c r="J39" s="457">
        <v>8321084</v>
      </c>
      <c r="K39" s="457">
        <f t="shared" ref="K39" si="102">ROUND(J39*33.8%,0)</f>
        <v>2812526</v>
      </c>
      <c r="L39" s="457">
        <f>ROUND(J39*1%,0)</f>
        <v>83211</v>
      </c>
      <c r="M39" s="457">
        <v>21301</v>
      </c>
      <c r="N39" s="458">
        <f t="shared" ref="N39" si="103">O39+P39</f>
        <v>14.6975</v>
      </c>
      <c r="O39" s="459">
        <v>13.286199999999999</v>
      </c>
      <c r="P39" s="468">
        <v>1.4113</v>
      </c>
      <c r="Q39" s="470">
        <f t="shared" ref="Q39" si="104">W39*-1</f>
        <v>-27950</v>
      </c>
      <c r="R39" s="460">
        <v>0</v>
      </c>
      <c r="S39" s="673">
        <v>0</v>
      </c>
      <c r="T39" s="460">
        <v>0</v>
      </c>
      <c r="U39" s="460">
        <v>0</v>
      </c>
      <c r="V39" s="460">
        <f>SUM(Q39:U39)</f>
        <v>-27950</v>
      </c>
      <c r="W39" s="460">
        <v>27950</v>
      </c>
      <c r="X39" s="460">
        <v>0</v>
      </c>
      <c r="Y39" s="460">
        <v>0</v>
      </c>
      <c r="Z39" s="460">
        <f t="shared" ref="Z39" si="105">SUM(W39:Y39)</f>
        <v>27950</v>
      </c>
      <c r="AA39" s="460">
        <f t="shared" ref="AA39" si="106">V39+Z39</f>
        <v>0</v>
      </c>
      <c r="AB39" s="69">
        <f t="shared" ref="AB39" si="107">ROUND((V39+W39+X39)*33.8%,0)</f>
        <v>0</v>
      </c>
      <c r="AC39" s="69">
        <f>ROUND(V39*1%,0)</f>
        <v>-280</v>
      </c>
      <c r="AD39" s="460">
        <v>0</v>
      </c>
      <c r="AE39" s="460">
        <v>0</v>
      </c>
      <c r="AF39" s="460">
        <f t="shared" ref="AF39" si="108">SUM(AD39:AE39)</f>
        <v>0</v>
      </c>
      <c r="AG39" s="460">
        <f t="shared" ref="AG39" si="109">AA39+AB39+AC39+AF39</f>
        <v>-280</v>
      </c>
      <c r="AH39" s="461">
        <v>0</v>
      </c>
      <c r="AI39" s="461">
        <v>0</v>
      </c>
      <c r="AJ39" s="461">
        <v>0</v>
      </c>
      <c r="AK39" s="461">
        <v>0</v>
      </c>
      <c r="AL39" s="674">
        <v>0</v>
      </c>
      <c r="AM39" s="461">
        <v>0</v>
      </c>
      <c r="AN39" s="461">
        <v>0</v>
      </c>
      <c r="AO39" s="461">
        <v>0</v>
      </c>
      <c r="AP39" s="461">
        <f>AH39+AJ39+AK39+AM39+AN39</f>
        <v>0</v>
      </c>
      <c r="AQ39" s="461">
        <f>AI39+AL39+AO39</f>
        <v>0</v>
      </c>
      <c r="AR39" s="463">
        <f t="shared" ref="AR39" si="110">SUM(AP39:AQ39)</f>
        <v>0</v>
      </c>
      <c r="AS39" s="469">
        <f>I39+AG39</f>
        <v>11237842</v>
      </c>
      <c r="AT39" s="460">
        <f>J39+V39</f>
        <v>8293134</v>
      </c>
      <c r="AU39" s="460">
        <f>Z39</f>
        <v>27950</v>
      </c>
      <c r="AV39" s="460">
        <f>K39+AB39</f>
        <v>2812526</v>
      </c>
      <c r="AW39" s="460">
        <f>L39+AC39</f>
        <v>82931</v>
      </c>
      <c r="AX39" s="460">
        <f>M39+AF39</f>
        <v>21301</v>
      </c>
      <c r="AY39" s="461">
        <f>N39+AR39</f>
        <v>14.6975</v>
      </c>
      <c r="AZ39" s="461">
        <f>O39+AP39</f>
        <v>13.286199999999999</v>
      </c>
      <c r="BA39" s="463">
        <f>P39+AQ39</f>
        <v>1.4113</v>
      </c>
    </row>
    <row r="40" spans="1:53" ht="13.5" customHeight="1" x14ac:dyDescent="0.2">
      <c r="A40" s="158">
        <v>7</v>
      </c>
      <c r="B40" s="18">
        <v>3457</v>
      </c>
      <c r="C40" s="18">
        <v>651040230</v>
      </c>
      <c r="D40" s="18">
        <v>75125412</v>
      </c>
      <c r="E40" s="167" t="s">
        <v>134</v>
      </c>
      <c r="F40" s="18"/>
      <c r="G40" s="157"/>
      <c r="H40" s="191"/>
      <c r="I40" s="504">
        <f t="shared" ref="I40:BA40" si="111">SUM(I39)</f>
        <v>11238122</v>
      </c>
      <c r="J40" s="500">
        <f t="shared" si="111"/>
        <v>8321084</v>
      </c>
      <c r="K40" s="500">
        <f t="shared" si="111"/>
        <v>2812526</v>
      </c>
      <c r="L40" s="500">
        <f t="shared" si="111"/>
        <v>83211</v>
      </c>
      <c r="M40" s="500">
        <f t="shared" si="111"/>
        <v>21301</v>
      </c>
      <c r="N40" s="501">
        <f t="shared" si="111"/>
        <v>14.6975</v>
      </c>
      <c r="O40" s="501">
        <f t="shared" si="111"/>
        <v>13.286199999999999</v>
      </c>
      <c r="P40" s="506">
        <f t="shared" si="111"/>
        <v>1.4113</v>
      </c>
      <c r="Q40" s="504">
        <f t="shared" si="111"/>
        <v>-27950</v>
      </c>
      <c r="R40" s="500">
        <f t="shared" si="111"/>
        <v>0</v>
      </c>
      <c r="S40" s="500">
        <f t="shared" si="111"/>
        <v>0</v>
      </c>
      <c r="T40" s="500">
        <f t="shared" si="111"/>
        <v>0</v>
      </c>
      <c r="U40" s="500">
        <f t="shared" si="111"/>
        <v>0</v>
      </c>
      <c r="V40" s="500">
        <f t="shared" si="111"/>
        <v>-27950</v>
      </c>
      <c r="W40" s="500">
        <f t="shared" si="111"/>
        <v>27950</v>
      </c>
      <c r="X40" s="500">
        <f t="shared" si="111"/>
        <v>0</v>
      </c>
      <c r="Y40" s="500">
        <f t="shared" si="111"/>
        <v>0</v>
      </c>
      <c r="Z40" s="500">
        <f t="shared" si="111"/>
        <v>27950</v>
      </c>
      <c r="AA40" s="500">
        <f t="shared" si="111"/>
        <v>0</v>
      </c>
      <c r="AB40" s="500">
        <f t="shared" si="111"/>
        <v>0</v>
      </c>
      <c r="AC40" s="500">
        <f t="shared" si="111"/>
        <v>-280</v>
      </c>
      <c r="AD40" s="500">
        <f t="shared" si="111"/>
        <v>0</v>
      </c>
      <c r="AE40" s="500">
        <f t="shared" si="111"/>
        <v>0</v>
      </c>
      <c r="AF40" s="500">
        <f t="shared" si="111"/>
        <v>0</v>
      </c>
      <c r="AG40" s="500">
        <f t="shared" si="111"/>
        <v>-280</v>
      </c>
      <c r="AH40" s="501">
        <f t="shared" si="111"/>
        <v>0</v>
      </c>
      <c r="AI40" s="501">
        <f t="shared" si="111"/>
        <v>0</v>
      </c>
      <c r="AJ40" s="501">
        <f t="shared" si="111"/>
        <v>0</v>
      </c>
      <c r="AK40" s="501">
        <f t="shared" si="111"/>
        <v>0</v>
      </c>
      <c r="AL40" s="501">
        <f t="shared" si="111"/>
        <v>0</v>
      </c>
      <c r="AM40" s="501">
        <f t="shared" si="111"/>
        <v>0</v>
      </c>
      <c r="AN40" s="501">
        <f t="shared" si="111"/>
        <v>0</v>
      </c>
      <c r="AO40" s="501">
        <f t="shared" si="111"/>
        <v>0</v>
      </c>
      <c r="AP40" s="501">
        <f t="shared" si="111"/>
        <v>0</v>
      </c>
      <c r="AQ40" s="501">
        <f t="shared" si="111"/>
        <v>0</v>
      </c>
      <c r="AR40" s="41">
        <f t="shared" si="111"/>
        <v>0</v>
      </c>
      <c r="AS40" s="508">
        <f t="shared" si="111"/>
        <v>11237842</v>
      </c>
      <c r="AT40" s="500">
        <f t="shared" si="111"/>
        <v>8293134</v>
      </c>
      <c r="AU40" s="500">
        <f t="shared" si="111"/>
        <v>27950</v>
      </c>
      <c r="AV40" s="500">
        <f t="shared" si="111"/>
        <v>2812526</v>
      </c>
      <c r="AW40" s="500">
        <f t="shared" si="111"/>
        <v>82931</v>
      </c>
      <c r="AX40" s="500">
        <f t="shared" si="111"/>
        <v>21301</v>
      </c>
      <c r="AY40" s="501">
        <f t="shared" si="111"/>
        <v>14.6975</v>
      </c>
      <c r="AZ40" s="501">
        <f t="shared" si="111"/>
        <v>13.286199999999999</v>
      </c>
      <c r="BA40" s="41">
        <f t="shared" si="111"/>
        <v>1.4113</v>
      </c>
    </row>
    <row r="41" spans="1:53" ht="13.5" customHeight="1" x14ac:dyDescent="0.2">
      <c r="A41" s="211">
        <v>8</v>
      </c>
      <c r="B41" s="212">
        <v>3423</v>
      </c>
      <c r="C41" s="212">
        <v>600078108</v>
      </c>
      <c r="D41" s="212">
        <v>70695059</v>
      </c>
      <c r="E41" s="210" t="s">
        <v>135</v>
      </c>
      <c r="F41" s="212">
        <v>3111</v>
      </c>
      <c r="G41" s="213" t="s">
        <v>307</v>
      </c>
      <c r="H41" s="214" t="s">
        <v>277</v>
      </c>
      <c r="I41" s="462">
        <f t="shared" ref="I41:I42" si="112">SUM(J41:M41)</f>
        <v>3504422</v>
      </c>
      <c r="J41" s="457">
        <v>2585179</v>
      </c>
      <c r="K41" s="457">
        <f t="shared" ref="K41:K42" si="113">ROUND(J41*33.8%,0)</f>
        <v>873791</v>
      </c>
      <c r="L41" s="457">
        <f t="shared" ref="L41:L42" si="114">ROUND(J41*1%,0)</f>
        <v>25852</v>
      </c>
      <c r="M41" s="457">
        <v>19600</v>
      </c>
      <c r="N41" s="458">
        <f t="shared" ref="N41:N42" si="115">O41+P41</f>
        <v>5.2</v>
      </c>
      <c r="O41" s="459">
        <v>4</v>
      </c>
      <c r="P41" s="468">
        <v>1.2</v>
      </c>
      <c r="Q41" s="470">
        <f t="shared" ref="Q41:Q42" si="116">W41*-1</f>
        <v>-13000</v>
      </c>
      <c r="R41" s="460">
        <v>0</v>
      </c>
      <c r="S41" s="673">
        <v>0</v>
      </c>
      <c r="T41" s="460">
        <v>0</v>
      </c>
      <c r="U41" s="460">
        <v>0</v>
      </c>
      <c r="V41" s="460">
        <f>SUM(Q41:U41)</f>
        <v>-13000</v>
      </c>
      <c r="W41" s="460">
        <v>13000</v>
      </c>
      <c r="X41" s="460">
        <v>0</v>
      </c>
      <c r="Y41" s="460">
        <v>0</v>
      </c>
      <c r="Z41" s="460">
        <f t="shared" ref="Z41:Z42" si="117">SUM(W41:Y41)</f>
        <v>13000</v>
      </c>
      <c r="AA41" s="460">
        <f t="shared" ref="AA41:AA42" si="118">V41+Z41</f>
        <v>0</v>
      </c>
      <c r="AB41" s="69">
        <f t="shared" ref="AB41:AB42" si="119">ROUND((V41+W41+X41)*33.8%,0)</f>
        <v>0</v>
      </c>
      <c r="AC41" s="69">
        <f t="shared" ref="AC41:AC42" si="120">ROUND(V41*1%,0)</f>
        <v>-130</v>
      </c>
      <c r="AD41" s="460">
        <v>0</v>
      </c>
      <c r="AE41" s="460">
        <v>0</v>
      </c>
      <c r="AF41" s="460">
        <f t="shared" ref="AF41:AF42" si="121">SUM(AD41:AE41)</f>
        <v>0</v>
      </c>
      <c r="AG41" s="460">
        <f t="shared" ref="AG41:AG42" si="122">AA41+AB41+AC41+AF41</f>
        <v>-130</v>
      </c>
      <c r="AH41" s="461">
        <v>-0.01</v>
      </c>
      <c r="AI41" s="461">
        <v>0</v>
      </c>
      <c r="AJ41" s="461">
        <v>0</v>
      </c>
      <c r="AK41" s="461">
        <v>0</v>
      </c>
      <c r="AL41" s="674">
        <v>0</v>
      </c>
      <c r="AM41" s="461">
        <v>0</v>
      </c>
      <c r="AN41" s="461">
        <v>0</v>
      </c>
      <c r="AO41" s="461">
        <v>0</v>
      </c>
      <c r="AP41" s="461">
        <f>AH41+AJ41+AK41+AM41+AN41</f>
        <v>-0.01</v>
      </c>
      <c r="AQ41" s="461">
        <f>AI41+AL41+AO41</f>
        <v>0</v>
      </c>
      <c r="AR41" s="463">
        <f t="shared" ref="AR41:AR42" si="123">SUM(AP41:AQ41)</f>
        <v>-0.01</v>
      </c>
      <c r="AS41" s="469">
        <f>I41+AG41</f>
        <v>3504292</v>
      </c>
      <c r="AT41" s="460">
        <f>J41+V41</f>
        <v>2572179</v>
      </c>
      <c r="AU41" s="460">
        <f t="shared" ref="AU41:AU42" si="124">Z41</f>
        <v>13000</v>
      </c>
      <c r="AV41" s="460">
        <f>K41+AB41</f>
        <v>873791</v>
      </c>
      <c r="AW41" s="460">
        <f>L41+AC41</f>
        <v>25722</v>
      </c>
      <c r="AX41" s="460">
        <f>M41+AF41</f>
        <v>19600</v>
      </c>
      <c r="AY41" s="461">
        <f>N41+AR41</f>
        <v>5.19</v>
      </c>
      <c r="AZ41" s="461">
        <f>O41+AP41</f>
        <v>3.99</v>
      </c>
      <c r="BA41" s="463">
        <f>P41+AQ41</f>
        <v>1.2</v>
      </c>
    </row>
    <row r="42" spans="1:53" ht="13.5" customHeight="1" x14ac:dyDescent="0.2">
      <c r="A42" s="211">
        <v>8</v>
      </c>
      <c r="B42" s="212">
        <v>3423</v>
      </c>
      <c r="C42" s="212">
        <v>600078108</v>
      </c>
      <c r="D42" s="212">
        <v>70695059</v>
      </c>
      <c r="E42" s="210" t="s">
        <v>135</v>
      </c>
      <c r="F42" s="212">
        <v>3141</v>
      </c>
      <c r="G42" s="213" t="s">
        <v>311</v>
      </c>
      <c r="H42" s="214" t="s">
        <v>278</v>
      </c>
      <c r="I42" s="462">
        <f t="shared" si="112"/>
        <v>1249768</v>
      </c>
      <c r="J42" s="457">
        <v>922691</v>
      </c>
      <c r="K42" s="457">
        <f t="shared" si="113"/>
        <v>311870</v>
      </c>
      <c r="L42" s="457">
        <f t="shared" si="114"/>
        <v>9227</v>
      </c>
      <c r="M42" s="457">
        <v>5980</v>
      </c>
      <c r="N42" s="458">
        <f t="shared" si="115"/>
        <v>2.97</v>
      </c>
      <c r="O42" s="459">
        <v>0</v>
      </c>
      <c r="P42" s="468">
        <v>2.97</v>
      </c>
      <c r="Q42" s="470">
        <f t="shared" si="116"/>
        <v>-6500</v>
      </c>
      <c r="R42" s="460">
        <v>0</v>
      </c>
      <c r="S42" s="673">
        <v>0</v>
      </c>
      <c r="T42" s="460">
        <v>0</v>
      </c>
      <c r="U42" s="460">
        <v>0</v>
      </c>
      <c r="V42" s="460">
        <f>SUM(Q42:U42)</f>
        <v>-6500</v>
      </c>
      <c r="W42" s="460">
        <v>6500</v>
      </c>
      <c r="X42" s="460">
        <v>0</v>
      </c>
      <c r="Y42" s="460">
        <v>0</v>
      </c>
      <c r="Z42" s="460">
        <f t="shared" si="117"/>
        <v>6500</v>
      </c>
      <c r="AA42" s="460">
        <f t="shared" si="118"/>
        <v>0</v>
      </c>
      <c r="AB42" s="69">
        <f t="shared" si="119"/>
        <v>0</v>
      </c>
      <c r="AC42" s="69">
        <f t="shared" si="120"/>
        <v>-65</v>
      </c>
      <c r="AD42" s="460">
        <v>0</v>
      </c>
      <c r="AE42" s="460">
        <v>0</v>
      </c>
      <c r="AF42" s="460">
        <f t="shared" si="121"/>
        <v>0</v>
      </c>
      <c r="AG42" s="460">
        <f t="shared" si="122"/>
        <v>-65</v>
      </c>
      <c r="AH42" s="461">
        <v>0</v>
      </c>
      <c r="AI42" s="461">
        <v>0</v>
      </c>
      <c r="AJ42" s="461">
        <v>0</v>
      </c>
      <c r="AK42" s="461">
        <v>0</v>
      </c>
      <c r="AL42" s="674">
        <v>0</v>
      </c>
      <c r="AM42" s="461">
        <v>0</v>
      </c>
      <c r="AN42" s="461">
        <v>0</v>
      </c>
      <c r="AO42" s="461">
        <v>0</v>
      </c>
      <c r="AP42" s="461">
        <f>AH42+AJ42+AK42+AM42+AN42</f>
        <v>0</v>
      </c>
      <c r="AQ42" s="461">
        <f>AI42+AL42+AO42</f>
        <v>0</v>
      </c>
      <c r="AR42" s="463">
        <f t="shared" si="123"/>
        <v>0</v>
      </c>
      <c r="AS42" s="469">
        <f>I42+AG42</f>
        <v>1249703</v>
      </c>
      <c r="AT42" s="460">
        <f>J42+V42</f>
        <v>916191</v>
      </c>
      <c r="AU42" s="460">
        <f t="shared" si="124"/>
        <v>6500</v>
      </c>
      <c r="AV42" s="460">
        <f>K42+AB42</f>
        <v>311870</v>
      </c>
      <c r="AW42" s="460">
        <f>L42+AC42</f>
        <v>9162</v>
      </c>
      <c r="AX42" s="460">
        <f>M42+AF42</f>
        <v>5980</v>
      </c>
      <c r="AY42" s="461">
        <f>N42+AR42</f>
        <v>2.97</v>
      </c>
      <c r="AZ42" s="461">
        <f>O42+AP42</f>
        <v>0</v>
      </c>
      <c r="BA42" s="463">
        <f>P42+AQ42</f>
        <v>2.97</v>
      </c>
    </row>
    <row r="43" spans="1:53" ht="13.5" customHeight="1" x14ac:dyDescent="0.2">
      <c r="A43" s="158">
        <v>8</v>
      </c>
      <c r="B43" s="18">
        <v>3423</v>
      </c>
      <c r="C43" s="18">
        <v>600078108</v>
      </c>
      <c r="D43" s="18">
        <v>70695059</v>
      </c>
      <c r="E43" s="167" t="s">
        <v>136</v>
      </c>
      <c r="F43" s="18"/>
      <c r="G43" s="157"/>
      <c r="H43" s="191"/>
      <c r="I43" s="505">
        <f t="shared" ref="I43:P43" si="125">SUM(I41:I42)</f>
        <v>4754190</v>
      </c>
      <c r="J43" s="502">
        <f t="shared" si="125"/>
        <v>3507870</v>
      </c>
      <c r="K43" s="502">
        <f t="shared" si="125"/>
        <v>1185661</v>
      </c>
      <c r="L43" s="502">
        <f t="shared" si="125"/>
        <v>35079</v>
      </c>
      <c r="M43" s="502">
        <f t="shared" si="125"/>
        <v>25580</v>
      </c>
      <c r="N43" s="503">
        <f t="shared" si="125"/>
        <v>8.17</v>
      </c>
      <c r="O43" s="503">
        <f t="shared" si="125"/>
        <v>4</v>
      </c>
      <c r="P43" s="507">
        <f t="shared" si="125"/>
        <v>4.17</v>
      </c>
      <c r="Q43" s="505">
        <f t="shared" ref="Q43:BA43" si="126">SUM(Q41:Q42)</f>
        <v>-19500</v>
      </c>
      <c r="R43" s="502">
        <f t="shared" si="126"/>
        <v>0</v>
      </c>
      <c r="S43" s="502">
        <f t="shared" si="126"/>
        <v>0</v>
      </c>
      <c r="T43" s="502">
        <f t="shared" si="126"/>
        <v>0</v>
      </c>
      <c r="U43" s="502">
        <f t="shared" si="126"/>
        <v>0</v>
      </c>
      <c r="V43" s="502">
        <f t="shared" si="126"/>
        <v>-19500</v>
      </c>
      <c r="W43" s="502">
        <f t="shared" si="126"/>
        <v>19500</v>
      </c>
      <c r="X43" s="502">
        <f t="shared" si="126"/>
        <v>0</v>
      </c>
      <c r="Y43" s="502">
        <f t="shared" si="126"/>
        <v>0</v>
      </c>
      <c r="Z43" s="502">
        <f t="shared" si="126"/>
        <v>19500</v>
      </c>
      <c r="AA43" s="502">
        <f t="shared" si="126"/>
        <v>0</v>
      </c>
      <c r="AB43" s="502">
        <f t="shared" si="126"/>
        <v>0</v>
      </c>
      <c r="AC43" s="502">
        <f t="shared" si="126"/>
        <v>-195</v>
      </c>
      <c r="AD43" s="502">
        <f t="shared" si="126"/>
        <v>0</v>
      </c>
      <c r="AE43" s="502">
        <f t="shared" si="126"/>
        <v>0</v>
      </c>
      <c r="AF43" s="502">
        <f t="shared" si="126"/>
        <v>0</v>
      </c>
      <c r="AG43" s="502">
        <f t="shared" si="126"/>
        <v>-195</v>
      </c>
      <c r="AH43" s="503">
        <f t="shared" si="126"/>
        <v>-0.01</v>
      </c>
      <c r="AI43" s="503">
        <f t="shared" si="126"/>
        <v>0</v>
      </c>
      <c r="AJ43" s="503">
        <f t="shared" si="126"/>
        <v>0</v>
      </c>
      <c r="AK43" s="503">
        <f t="shared" si="126"/>
        <v>0</v>
      </c>
      <c r="AL43" s="503">
        <f t="shared" si="126"/>
        <v>0</v>
      </c>
      <c r="AM43" s="503">
        <f t="shared" si="126"/>
        <v>0</v>
      </c>
      <c r="AN43" s="503">
        <f t="shared" si="126"/>
        <v>0</v>
      </c>
      <c r="AO43" s="503">
        <f t="shared" si="126"/>
        <v>0</v>
      </c>
      <c r="AP43" s="503">
        <f t="shared" si="126"/>
        <v>-0.01</v>
      </c>
      <c r="AQ43" s="503">
        <f t="shared" si="126"/>
        <v>0</v>
      </c>
      <c r="AR43" s="40">
        <f t="shared" si="126"/>
        <v>-0.01</v>
      </c>
      <c r="AS43" s="509">
        <f t="shared" si="126"/>
        <v>4753995</v>
      </c>
      <c r="AT43" s="502">
        <f t="shared" si="126"/>
        <v>3488370</v>
      </c>
      <c r="AU43" s="502">
        <f t="shared" si="126"/>
        <v>19500</v>
      </c>
      <c r="AV43" s="502">
        <f t="shared" si="126"/>
        <v>1185661</v>
      </c>
      <c r="AW43" s="502">
        <f t="shared" si="126"/>
        <v>34884</v>
      </c>
      <c r="AX43" s="502">
        <f t="shared" si="126"/>
        <v>25580</v>
      </c>
      <c r="AY43" s="503">
        <f t="shared" si="126"/>
        <v>8.16</v>
      </c>
      <c r="AZ43" s="503">
        <f t="shared" si="126"/>
        <v>3.99</v>
      </c>
      <c r="BA43" s="40">
        <f t="shared" si="126"/>
        <v>4.17</v>
      </c>
    </row>
    <row r="44" spans="1:53" ht="13.5" customHeight="1" x14ac:dyDescent="0.2">
      <c r="A44" s="211">
        <v>9</v>
      </c>
      <c r="B44" s="212">
        <v>3448</v>
      </c>
      <c r="C44" s="212">
        <v>600078299</v>
      </c>
      <c r="D44" s="212">
        <v>70695041</v>
      </c>
      <c r="E44" s="210" t="s">
        <v>137</v>
      </c>
      <c r="F44" s="212">
        <v>3117</v>
      </c>
      <c r="G44" s="213" t="s">
        <v>310</v>
      </c>
      <c r="H44" s="214" t="s">
        <v>277</v>
      </c>
      <c r="I44" s="462">
        <f t="shared" ref="I44:I47" si="127">SUM(J44:M44)</f>
        <v>4990991</v>
      </c>
      <c r="J44" s="457">
        <v>3629203</v>
      </c>
      <c r="K44" s="457">
        <f t="shared" ref="K44:K47" si="128">ROUND(J44*33.8%,0)</f>
        <v>1226671</v>
      </c>
      <c r="L44" s="457">
        <f t="shared" ref="L44:L47" si="129">ROUND(J44*1%,0)</f>
        <v>36292</v>
      </c>
      <c r="M44" s="457">
        <v>98825</v>
      </c>
      <c r="N44" s="458">
        <f t="shared" ref="N44:N47" si="130">O44+P44</f>
        <v>6.7819000000000003</v>
      </c>
      <c r="O44" s="459">
        <v>5.1018999999999997</v>
      </c>
      <c r="P44" s="468">
        <v>1.6800000000000002</v>
      </c>
      <c r="Q44" s="470">
        <f t="shared" ref="Q44:Q47" si="131">W44*-1</f>
        <v>-4888</v>
      </c>
      <c r="R44" s="460">
        <v>0</v>
      </c>
      <c r="S44" s="673">
        <v>0</v>
      </c>
      <c r="T44" s="460">
        <v>0</v>
      </c>
      <c r="U44" s="460">
        <v>0</v>
      </c>
      <c r="V44" s="460">
        <f>SUM(Q44:U44)</f>
        <v>-4888</v>
      </c>
      <c r="W44" s="460">
        <v>4888</v>
      </c>
      <c r="X44" s="460">
        <v>0</v>
      </c>
      <c r="Y44" s="460">
        <v>0</v>
      </c>
      <c r="Z44" s="460">
        <f t="shared" ref="Z44:Z47" si="132">SUM(W44:Y44)</f>
        <v>4888</v>
      </c>
      <c r="AA44" s="460">
        <f t="shared" ref="AA44:AA47" si="133">V44+Z44</f>
        <v>0</v>
      </c>
      <c r="AB44" s="69">
        <f t="shared" ref="AB44:AB47" si="134">ROUND((V44+W44+X44)*33.8%,0)</f>
        <v>0</v>
      </c>
      <c r="AC44" s="69">
        <f t="shared" ref="AC44:AC47" si="135">ROUND(V44*1%,0)</f>
        <v>-49</v>
      </c>
      <c r="AD44" s="460">
        <v>0</v>
      </c>
      <c r="AE44" s="460">
        <v>0</v>
      </c>
      <c r="AF44" s="460">
        <f t="shared" ref="AF44:AF47" si="136">SUM(AD44:AE44)</f>
        <v>0</v>
      </c>
      <c r="AG44" s="460">
        <f t="shared" ref="AG44:AG47" si="137">AA44+AB44+AC44+AF44</f>
        <v>-49</v>
      </c>
      <c r="AH44" s="461">
        <v>-0.01</v>
      </c>
      <c r="AI44" s="461">
        <v>0</v>
      </c>
      <c r="AJ44" s="461">
        <v>0</v>
      </c>
      <c r="AK44" s="461">
        <v>0</v>
      </c>
      <c r="AL44" s="674">
        <v>0</v>
      </c>
      <c r="AM44" s="461">
        <v>0</v>
      </c>
      <c r="AN44" s="461">
        <v>0</v>
      </c>
      <c r="AO44" s="461">
        <v>0</v>
      </c>
      <c r="AP44" s="461">
        <f>AH44+AJ44+AK44+AM44+AN44</f>
        <v>-0.01</v>
      </c>
      <c r="AQ44" s="461">
        <f>AI44+AL44+AO44</f>
        <v>0</v>
      </c>
      <c r="AR44" s="463">
        <f t="shared" ref="AR44:AR47" si="138">SUM(AP44:AQ44)</f>
        <v>-0.01</v>
      </c>
      <c r="AS44" s="469">
        <f>I44+AG44</f>
        <v>4990942</v>
      </c>
      <c r="AT44" s="460">
        <f>J44+V44</f>
        <v>3624315</v>
      </c>
      <c r="AU44" s="460">
        <f t="shared" ref="AU44:AU47" si="139">Z44</f>
        <v>4888</v>
      </c>
      <c r="AV44" s="460">
        <f t="shared" ref="AV44:AW47" si="140">K44+AB44</f>
        <v>1226671</v>
      </c>
      <c r="AW44" s="460">
        <f t="shared" si="140"/>
        <v>36243</v>
      </c>
      <c r="AX44" s="460">
        <f>M44+AF44</f>
        <v>98825</v>
      </c>
      <c r="AY44" s="461">
        <f>N44+AR44</f>
        <v>6.7719000000000005</v>
      </c>
      <c r="AZ44" s="461">
        <f t="shared" ref="AZ44:BA47" si="141">O44+AP44</f>
        <v>5.0918999999999999</v>
      </c>
      <c r="BA44" s="463">
        <f t="shared" si="141"/>
        <v>1.6800000000000002</v>
      </c>
    </row>
    <row r="45" spans="1:53" ht="13.5" customHeight="1" x14ac:dyDescent="0.2">
      <c r="A45" s="211">
        <v>9</v>
      </c>
      <c r="B45" s="212">
        <v>3448</v>
      </c>
      <c r="C45" s="212">
        <v>600078299</v>
      </c>
      <c r="D45" s="212">
        <v>70695041</v>
      </c>
      <c r="E45" s="210" t="s">
        <v>137</v>
      </c>
      <c r="F45" s="212">
        <v>3117</v>
      </c>
      <c r="G45" s="213" t="s">
        <v>308</v>
      </c>
      <c r="H45" s="214" t="s">
        <v>278</v>
      </c>
      <c r="I45" s="462">
        <f t="shared" si="127"/>
        <v>0</v>
      </c>
      <c r="J45" s="457">
        <v>0</v>
      </c>
      <c r="K45" s="457">
        <f t="shared" si="128"/>
        <v>0</v>
      </c>
      <c r="L45" s="457">
        <f t="shared" si="129"/>
        <v>0</v>
      </c>
      <c r="M45" s="457">
        <v>0</v>
      </c>
      <c r="N45" s="458">
        <f t="shared" si="130"/>
        <v>0</v>
      </c>
      <c r="O45" s="459">
        <v>0</v>
      </c>
      <c r="P45" s="468">
        <v>0</v>
      </c>
      <c r="Q45" s="470">
        <f t="shared" si="131"/>
        <v>0</v>
      </c>
      <c r="R45" s="460">
        <v>173223</v>
      </c>
      <c r="S45" s="673">
        <v>0</v>
      </c>
      <c r="T45" s="460">
        <v>0</v>
      </c>
      <c r="U45" s="460">
        <v>0</v>
      </c>
      <c r="V45" s="460">
        <f>SUM(Q45:U45)</f>
        <v>173223</v>
      </c>
      <c r="W45" s="460">
        <v>0</v>
      </c>
      <c r="X45" s="460">
        <v>0</v>
      </c>
      <c r="Y45" s="460">
        <v>0</v>
      </c>
      <c r="Z45" s="460">
        <f t="shared" si="132"/>
        <v>0</v>
      </c>
      <c r="AA45" s="460">
        <f t="shared" si="133"/>
        <v>173223</v>
      </c>
      <c r="AB45" s="69">
        <f t="shared" si="134"/>
        <v>58549</v>
      </c>
      <c r="AC45" s="69">
        <f t="shared" si="135"/>
        <v>1732</v>
      </c>
      <c r="AD45" s="460">
        <v>0</v>
      </c>
      <c r="AE45" s="460">
        <v>0</v>
      </c>
      <c r="AF45" s="460">
        <f t="shared" si="136"/>
        <v>0</v>
      </c>
      <c r="AG45" s="460">
        <f t="shared" si="137"/>
        <v>233504</v>
      </c>
      <c r="AH45" s="461">
        <v>0</v>
      </c>
      <c r="AI45" s="461">
        <v>0</v>
      </c>
      <c r="AJ45" s="461">
        <v>0.5</v>
      </c>
      <c r="AK45" s="461">
        <v>0</v>
      </c>
      <c r="AL45" s="674">
        <v>0</v>
      </c>
      <c r="AM45" s="461">
        <v>0</v>
      </c>
      <c r="AN45" s="461">
        <v>0</v>
      </c>
      <c r="AO45" s="461">
        <v>0</v>
      </c>
      <c r="AP45" s="461">
        <f>AH45+AJ45+AK45+AM45+AN45</f>
        <v>0.5</v>
      </c>
      <c r="AQ45" s="461">
        <f>AI45+AL45+AO45</f>
        <v>0</v>
      </c>
      <c r="AR45" s="463">
        <f t="shared" si="138"/>
        <v>0.5</v>
      </c>
      <c r="AS45" s="469">
        <f>I45+AG45</f>
        <v>233504</v>
      </c>
      <c r="AT45" s="460">
        <f>J45+V45</f>
        <v>173223</v>
      </c>
      <c r="AU45" s="460">
        <f t="shared" si="139"/>
        <v>0</v>
      </c>
      <c r="AV45" s="460">
        <f t="shared" si="140"/>
        <v>58549</v>
      </c>
      <c r="AW45" s="460">
        <f t="shared" si="140"/>
        <v>1732</v>
      </c>
      <c r="AX45" s="460">
        <f>M45+AF45</f>
        <v>0</v>
      </c>
      <c r="AY45" s="461">
        <f>N45+AR45</f>
        <v>0.5</v>
      </c>
      <c r="AZ45" s="461">
        <f t="shared" si="141"/>
        <v>0.5</v>
      </c>
      <c r="BA45" s="463">
        <f t="shared" si="141"/>
        <v>0</v>
      </c>
    </row>
    <row r="46" spans="1:53" ht="13.5" customHeight="1" x14ac:dyDescent="0.2">
      <c r="A46" s="211">
        <v>9</v>
      </c>
      <c r="B46" s="212">
        <v>3448</v>
      </c>
      <c r="C46" s="212">
        <v>600078299</v>
      </c>
      <c r="D46" s="212">
        <v>70695041</v>
      </c>
      <c r="E46" s="210" t="s">
        <v>137</v>
      </c>
      <c r="F46" s="212">
        <v>3143</v>
      </c>
      <c r="G46" s="213" t="s">
        <v>616</v>
      </c>
      <c r="H46" s="234" t="s">
        <v>277</v>
      </c>
      <c r="I46" s="462">
        <f t="shared" si="127"/>
        <v>498409</v>
      </c>
      <c r="J46" s="457">
        <v>369740</v>
      </c>
      <c r="K46" s="457">
        <f t="shared" si="128"/>
        <v>124972</v>
      </c>
      <c r="L46" s="457">
        <f t="shared" si="129"/>
        <v>3697</v>
      </c>
      <c r="M46" s="457">
        <v>0</v>
      </c>
      <c r="N46" s="458">
        <f t="shared" si="130"/>
        <v>0.75</v>
      </c>
      <c r="O46" s="459">
        <v>0.75</v>
      </c>
      <c r="P46" s="468">
        <v>0</v>
      </c>
      <c r="Q46" s="470">
        <f t="shared" si="131"/>
        <v>0</v>
      </c>
      <c r="R46" s="460">
        <v>0</v>
      </c>
      <c r="S46" s="673">
        <v>0</v>
      </c>
      <c r="T46" s="460">
        <v>0</v>
      </c>
      <c r="U46" s="460">
        <v>0</v>
      </c>
      <c r="V46" s="460">
        <f>SUM(Q46:U46)</f>
        <v>0</v>
      </c>
      <c r="W46" s="460">
        <v>0</v>
      </c>
      <c r="X46" s="460">
        <v>0</v>
      </c>
      <c r="Y46" s="460">
        <v>0</v>
      </c>
      <c r="Z46" s="460">
        <f t="shared" si="132"/>
        <v>0</v>
      </c>
      <c r="AA46" s="460">
        <f t="shared" si="133"/>
        <v>0</v>
      </c>
      <c r="AB46" s="69">
        <f t="shared" si="134"/>
        <v>0</v>
      </c>
      <c r="AC46" s="69">
        <f t="shared" si="135"/>
        <v>0</v>
      </c>
      <c r="AD46" s="460">
        <v>0</v>
      </c>
      <c r="AE46" s="460">
        <v>0</v>
      </c>
      <c r="AF46" s="460">
        <f t="shared" si="136"/>
        <v>0</v>
      </c>
      <c r="AG46" s="460">
        <f t="shared" si="137"/>
        <v>0</v>
      </c>
      <c r="AH46" s="461">
        <v>0</v>
      </c>
      <c r="AI46" s="461">
        <v>0</v>
      </c>
      <c r="AJ46" s="461">
        <v>0</v>
      </c>
      <c r="AK46" s="461">
        <v>0</v>
      </c>
      <c r="AL46" s="674">
        <v>0</v>
      </c>
      <c r="AM46" s="461">
        <v>0</v>
      </c>
      <c r="AN46" s="461">
        <v>0</v>
      </c>
      <c r="AO46" s="461">
        <v>0</v>
      </c>
      <c r="AP46" s="461">
        <f>AH46+AJ46+AK46+AM46+AN46</f>
        <v>0</v>
      </c>
      <c r="AQ46" s="461">
        <f>AI46+AL46+AO46</f>
        <v>0</v>
      </c>
      <c r="AR46" s="463">
        <f t="shared" si="138"/>
        <v>0</v>
      </c>
      <c r="AS46" s="469">
        <f>I46+AG46</f>
        <v>498409</v>
      </c>
      <c r="AT46" s="460">
        <f>J46+V46</f>
        <v>369740</v>
      </c>
      <c r="AU46" s="460">
        <f t="shared" si="139"/>
        <v>0</v>
      </c>
      <c r="AV46" s="460">
        <f t="shared" si="140"/>
        <v>124972</v>
      </c>
      <c r="AW46" s="460">
        <f t="shared" si="140"/>
        <v>3697</v>
      </c>
      <c r="AX46" s="460">
        <f>M46+AF46</f>
        <v>0</v>
      </c>
      <c r="AY46" s="461">
        <f>N46+AR46</f>
        <v>0.75</v>
      </c>
      <c r="AZ46" s="461">
        <f t="shared" si="141"/>
        <v>0.75</v>
      </c>
      <c r="BA46" s="463">
        <f t="shared" si="141"/>
        <v>0</v>
      </c>
    </row>
    <row r="47" spans="1:53" ht="13.5" customHeight="1" x14ac:dyDescent="0.2">
      <c r="A47" s="211">
        <v>9</v>
      </c>
      <c r="B47" s="212">
        <v>3448</v>
      </c>
      <c r="C47" s="212">
        <v>600078299</v>
      </c>
      <c r="D47" s="212">
        <v>70695041</v>
      </c>
      <c r="E47" s="210" t="s">
        <v>137</v>
      </c>
      <c r="F47" s="212">
        <v>3143</v>
      </c>
      <c r="G47" s="213" t="s">
        <v>617</v>
      </c>
      <c r="H47" s="234" t="s">
        <v>278</v>
      </c>
      <c r="I47" s="462">
        <f t="shared" si="127"/>
        <v>21990</v>
      </c>
      <c r="J47" s="457">
        <v>15712</v>
      </c>
      <c r="K47" s="457">
        <f t="shared" si="128"/>
        <v>5311</v>
      </c>
      <c r="L47" s="457">
        <f t="shared" si="129"/>
        <v>157</v>
      </c>
      <c r="M47" s="457">
        <v>810</v>
      </c>
      <c r="N47" s="458">
        <f t="shared" si="130"/>
        <v>0.06</v>
      </c>
      <c r="O47" s="459">
        <v>0</v>
      </c>
      <c r="P47" s="468">
        <v>0.06</v>
      </c>
      <c r="Q47" s="470">
        <f t="shared" si="131"/>
        <v>0</v>
      </c>
      <c r="R47" s="460">
        <v>0</v>
      </c>
      <c r="S47" s="673">
        <v>0</v>
      </c>
      <c r="T47" s="460">
        <v>0</v>
      </c>
      <c r="U47" s="460">
        <v>0</v>
      </c>
      <c r="V47" s="460">
        <f>SUM(Q47:U47)</f>
        <v>0</v>
      </c>
      <c r="W47" s="460">
        <v>0</v>
      </c>
      <c r="X47" s="460">
        <v>0</v>
      </c>
      <c r="Y47" s="460">
        <v>0</v>
      </c>
      <c r="Z47" s="460">
        <f t="shared" si="132"/>
        <v>0</v>
      </c>
      <c r="AA47" s="460">
        <f t="shared" si="133"/>
        <v>0</v>
      </c>
      <c r="AB47" s="69">
        <f t="shared" si="134"/>
        <v>0</v>
      </c>
      <c r="AC47" s="69">
        <f t="shared" si="135"/>
        <v>0</v>
      </c>
      <c r="AD47" s="460">
        <v>0</v>
      </c>
      <c r="AE47" s="460">
        <v>0</v>
      </c>
      <c r="AF47" s="460">
        <f t="shared" si="136"/>
        <v>0</v>
      </c>
      <c r="AG47" s="460">
        <f t="shared" si="137"/>
        <v>0</v>
      </c>
      <c r="AH47" s="461">
        <v>0</v>
      </c>
      <c r="AI47" s="461">
        <v>0</v>
      </c>
      <c r="AJ47" s="461">
        <v>0</v>
      </c>
      <c r="AK47" s="461">
        <v>0</v>
      </c>
      <c r="AL47" s="674">
        <v>0</v>
      </c>
      <c r="AM47" s="461">
        <v>0</v>
      </c>
      <c r="AN47" s="461">
        <v>0</v>
      </c>
      <c r="AO47" s="461">
        <v>0</v>
      </c>
      <c r="AP47" s="461">
        <f>AH47+AJ47+AK47+AM47+AN47</f>
        <v>0</v>
      </c>
      <c r="AQ47" s="461">
        <f>AI47+AL47+AO47</f>
        <v>0</v>
      </c>
      <c r="AR47" s="463">
        <f t="shared" si="138"/>
        <v>0</v>
      </c>
      <c r="AS47" s="469">
        <f>I47+AG47</f>
        <v>21990</v>
      </c>
      <c r="AT47" s="460">
        <f>J47+V47</f>
        <v>15712</v>
      </c>
      <c r="AU47" s="460">
        <f t="shared" si="139"/>
        <v>0</v>
      </c>
      <c r="AV47" s="460">
        <f t="shared" si="140"/>
        <v>5311</v>
      </c>
      <c r="AW47" s="460">
        <f t="shared" si="140"/>
        <v>157</v>
      </c>
      <c r="AX47" s="460">
        <f>M47+AF47</f>
        <v>810</v>
      </c>
      <c r="AY47" s="461">
        <f>N47+AR47</f>
        <v>0.06</v>
      </c>
      <c r="AZ47" s="461">
        <f t="shared" si="141"/>
        <v>0</v>
      </c>
      <c r="BA47" s="463">
        <f t="shared" si="141"/>
        <v>0.06</v>
      </c>
    </row>
    <row r="48" spans="1:53" ht="13.5" customHeight="1" x14ac:dyDescent="0.2">
      <c r="A48" s="158">
        <v>9</v>
      </c>
      <c r="B48" s="18">
        <v>3448</v>
      </c>
      <c r="C48" s="18">
        <v>600078299</v>
      </c>
      <c r="D48" s="18">
        <v>70695041</v>
      </c>
      <c r="E48" s="167" t="s">
        <v>138</v>
      </c>
      <c r="F48" s="18"/>
      <c r="G48" s="157"/>
      <c r="H48" s="191"/>
      <c r="I48" s="505">
        <f t="shared" ref="I48:P48" si="142">SUM(I44:I47)</f>
        <v>5511390</v>
      </c>
      <c r="J48" s="502">
        <f t="shared" si="142"/>
        <v>4014655</v>
      </c>
      <c r="K48" s="502">
        <f t="shared" si="142"/>
        <v>1356954</v>
      </c>
      <c r="L48" s="502">
        <f t="shared" si="142"/>
        <v>40146</v>
      </c>
      <c r="M48" s="502">
        <f t="shared" si="142"/>
        <v>99635</v>
      </c>
      <c r="N48" s="503">
        <f t="shared" si="142"/>
        <v>7.5918999999999999</v>
      </c>
      <c r="O48" s="503">
        <f t="shared" si="142"/>
        <v>5.8518999999999997</v>
      </c>
      <c r="P48" s="507">
        <f t="shared" si="142"/>
        <v>1.7400000000000002</v>
      </c>
      <c r="Q48" s="505">
        <f t="shared" ref="Q48:BA48" si="143">SUM(Q44:Q47)</f>
        <v>-4888</v>
      </c>
      <c r="R48" s="502">
        <f t="shared" si="143"/>
        <v>173223</v>
      </c>
      <c r="S48" s="502">
        <f t="shared" si="143"/>
        <v>0</v>
      </c>
      <c r="T48" s="502">
        <f t="shared" si="143"/>
        <v>0</v>
      </c>
      <c r="U48" s="502">
        <f t="shared" si="143"/>
        <v>0</v>
      </c>
      <c r="V48" s="502">
        <f t="shared" si="143"/>
        <v>168335</v>
      </c>
      <c r="W48" s="502">
        <f t="shared" si="143"/>
        <v>4888</v>
      </c>
      <c r="X48" s="502">
        <f t="shared" si="143"/>
        <v>0</v>
      </c>
      <c r="Y48" s="502">
        <f t="shared" si="143"/>
        <v>0</v>
      </c>
      <c r="Z48" s="502">
        <f t="shared" si="143"/>
        <v>4888</v>
      </c>
      <c r="AA48" s="502">
        <f t="shared" si="143"/>
        <v>173223</v>
      </c>
      <c r="AB48" s="502">
        <f t="shared" si="143"/>
        <v>58549</v>
      </c>
      <c r="AC48" s="502">
        <f t="shared" si="143"/>
        <v>1683</v>
      </c>
      <c r="AD48" s="502">
        <f t="shared" si="143"/>
        <v>0</v>
      </c>
      <c r="AE48" s="502">
        <f t="shared" si="143"/>
        <v>0</v>
      </c>
      <c r="AF48" s="502">
        <f t="shared" si="143"/>
        <v>0</v>
      </c>
      <c r="AG48" s="502">
        <f t="shared" si="143"/>
        <v>233455</v>
      </c>
      <c r="AH48" s="503">
        <f t="shared" si="143"/>
        <v>-0.01</v>
      </c>
      <c r="AI48" s="503">
        <f t="shared" si="143"/>
        <v>0</v>
      </c>
      <c r="AJ48" s="503">
        <f t="shared" si="143"/>
        <v>0.5</v>
      </c>
      <c r="AK48" s="503">
        <f t="shared" si="143"/>
        <v>0</v>
      </c>
      <c r="AL48" s="503">
        <f t="shared" si="143"/>
        <v>0</v>
      </c>
      <c r="AM48" s="503">
        <f t="shared" si="143"/>
        <v>0</v>
      </c>
      <c r="AN48" s="503">
        <f t="shared" si="143"/>
        <v>0</v>
      </c>
      <c r="AO48" s="503">
        <f t="shared" si="143"/>
        <v>0</v>
      </c>
      <c r="AP48" s="503">
        <f t="shared" si="143"/>
        <v>0.49</v>
      </c>
      <c r="AQ48" s="503">
        <f t="shared" si="143"/>
        <v>0</v>
      </c>
      <c r="AR48" s="40">
        <f t="shared" si="143"/>
        <v>0.49</v>
      </c>
      <c r="AS48" s="509">
        <f t="shared" si="143"/>
        <v>5744845</v>
      </c>
      <c r="AT48" s="502">
        <f t="shared" si="143"/>
        <v>4182990</v>
      </c>
      <c r="AU48" s="502">
        <f t="shared" si="143"/>
        <v>4888</v>
      </c>
      <c r="AV48" s="502">
        <f t="shared" si="143"/>
        <v>1415503</v>
      </c>
      <c r="AW48" s="502">
        <f t="shared" si="143"/>
        <v>41829</v>
      </c>
      <c r="AX48" s="502">
        <f t="shared" si="143"/>
        <v>99635</v>
      </c>
      <c r="AY48" s="503">
        <f t="shared" si="143"/>
        <v>8.081900000000001</v>
      </c>
      <c r="AZ48" s="503">
        <f t="shared" si="143"/>
        <v>6.3418999999999999</v>
      </c>
      <c r="BA48" s="40">
        <f t="shared" si="143"/>
        <v>1.7400000000000002</v>
      </c>
    </row>
    <row r="49" spans="1:53" ht="13.5" customHeight="1" x14ac:dyDescent="0.2">
      <c r="A49" s="211">
        <v>10</v>
      </c>
      <c r="B49" s="212">
        <v>3402</v>
      </c>
      <c r="C49" s="212">
        <v>600078124</v>
      </c>
      <c r="D49" s="212">
        <v>70982643</v>
      </c>
      <c r="E49" s="210" t="s">
        <v>139</v>
      </c>
      <c r="F49" s="212">
        <v>3111</v>
      </c>
      <c r="G49" s="213" t="s">
        <v>307</v>
      </c>
      <c r="H49" s="214" t="s">
        <v>277</v>
      </c>
      <c r="I49" s="462">
        <f t="shared" ref="I49:I51" si="144">SUM(J49:M49)</f>
        <v>5318943</v>
      </c>
      <c r="J49" s="457">
        <v>3916575</v>
      </c>
      <c r="K49" s="457">
        <f t="shared" ref="K49:K51" si="145">ROUND(J49*33.8%,0)</f>
        <v>1323802</v>
      </c>
      <c r="L49" s="457">
        <f t="shared" ref="L49:L51" si="146">ROUND(J49*1%,0)</f>
        <v>39166</v>
      </c>
      <c r="M49" s="457">
        <v>39400</v>
      </c>
      <c r="N49" s="458">
        <f t="shared" ref="N49:N51" si="147">O49+P49</f>
        <v>7.8999999999999995</v>
      </c>
      <c r="O49" s="459">
        <v>6.1</v>
      </c>
      <c r="P49" s="468">
        <v>1.8</v>
      </c>
      <c r="Q49" s="470">
        <f t="shared" ref="Q49:Q51" si="148">W49*-1</f>
        <v>0</v>
      </c>
      <c r="R49" s="460">
        <v>0</v>
      </c>
      <c r="S49" s="673">
        <v>0</v>
      </c>
      <c r="T49" s="460">
        <v>0</v>
      </c>
      <c r="U49" s="460">
        <v>0</v>
      </c>
      <c r="V49" s="460">
        <f>SUM(Q49:U49)</f>
        <v>0</v>
      </c>
      <c r="W49" s="460">
        <v>0</v>
      </c>
      <c r="X49" s="460">
        <v>0</v>
      </c>
      <c r="Y49" s="460">
        <v>0</v>
      </c>
      <c r="Z49" s="460">
        <f t="shared" ref="Z49:Z51" si="149">SUM(W49:Y49)</f>
        <v>0</v>
      </c>
      <c r="AA49" s="460">
        <f t="shared" ref="AA49:AA51" si="150">V49+Z49</f>
        <v>0</v>
      </c>
      <c r="AB49" s="69">
        <f t="shared" ref="AB49:AB51" si="151">ROUND((V49+W49+X49)*33.8%,0)</f>
        <v>0</v>
      </c>
      <c r="AC49" s="69">
        <f t="shared" ref="AC49:AC51" si="152">ROUND(V49*1%,0)</f>
        <v>0</v>
      </c>
      <c r="AD49" s="460">
        <v>0</v>
      </c>
      <c r="AE49" s="460">
        <v>0</v>
      </c>
      <c r="AF49" s="460">
        <f t="shared" ref="AF49:AF51" si="153">SUM(AD49:AE49)</f>
        <v>0</v>
      </c>
      <c r="AG49" s="460">
        <f t="shared" ref="AG49:AG51" si="154">AA49+AB49+AC49+AF49</f>
        <v>0</v>
      </c>
      <c r="AH49" s="461">
        <v>0</v>
      </c>
      <c r="AI49" s="461">
        <v>0</v>
      </c>
      <c r="AJ49" s="461">
        <v>0</v>
      </c>
      <c r="AK49" s="461">
        <v>0</v>
      </c>
      <c r="AL49" s="674">
        <v>0</v>
      </c>
      <c r="AM49" s="461">
        <v>0</v>
      </c>
      <c r="AN49" s="461">
        <v>0</v>
      </c>
      <c r="AO49" s="461">
        <v>0</v>
      </c>
      <c r="AP49" s="461">
        <f>AH49+AJ49+AK49+AM49+AN49</f>
        <v>0</v>
      </c>
      <c r="AQ49" s="461">
        <f>AI49+AL49+AO49</f>
        <v>0</v>
      </c>
      <c r="AR49" s="463">
        <f t="shared" ref="AR49:AR51" si="155">SUM(AP49:AQ49)</f>
        <v>0</v>
      </c>
      <c r="AS49" s="469">
        <f>I49+AG49</f>
        <v>5318943</v>
      </c>
      <c r="AT49" s="460">
        <f>J49+V49</f>
        <v>3916575</v>
      </c>
      <c r="AU49" s="460">
        <f t="shared" ref="AU49:AU51" si="156">Z49</f>
        <v>0</v>
      </c>
      <c r="AV49" s="460">
        <f t="shared" ref="AV49:AW51" si="157">K49+AB49</f>
        <v>1323802</v>
      </c>
      <c r="AW49" s="460">
        <f t="shared" si="157"/>
        <v>39166</v>
      </c>
      <c r="AX49" s="460">
        <f>M49+AF49</f>
        <v>39400</v>
      </c>
      <c r="AY49" s="461">
        <f>N49+AR49</f>
        <v>7.8999999999999995</v>
      </c>
      <c r="AZ49" s="461">
        <f t="shared" ref="AZ49:BA51" si="158">O49+AP49</f>
        <v>6.1</v>
      </c>
      <c r="BA49" s="463">
        <f t="shared" si="158"/>
        <v>1.8</v>
      </c>
    </row>
    <row r="50" spans="1:53" ht="13.5" customHeight="1" x14ac:dyDescent="0.2">
      <c r="A50" s="211">
        <v>10</v>
      </c>
      <c r="B50" s="212">
        <v>3402</v>
      </c>
      <c r="C50" s="212">
        <v>600078124</v>
      </c>
      <c r="D50" s="212">
        <v>70982643</v>
      </c>
      <c r="E50" s="210" t="s">
        <v>139</v>
      </c>
      <c r="F50" s="212">
        <v>3111</v>
      </c>
      <c r="G50" s="213" t="s">
        <v>308</v>
      </c>
      <c r="H50" s="214" t="s">
        <v>278</v>
      </c>
      <c r="I50" s="462">
        <f t="shared" si="144"/>
        <v>0</v>
      </c>
      <c r="J50" s="457">
        <v>0</v>
      </c>
      <c r="K50" s="457">
        <f t="shared" si="145"/>
        <v>0</v>
      </c>
      <c r="L50" s="457">
        <f t="shared" si="146"/>
        <v>0</v>
      </c>
      <c r="M50" s="457">
        <v>0</v>
      </c>
      <c r="N50" s="458">
        <f t="shared" si="147"/>
        <v>0</v>
      </c>
      <c r="O50" s="459">
        <v>0</v>
      </c>
      <c r="P50" s="468">
        <v>0</v>
      </c>
      <c r="Q50" s="470">
        <f t="shared" si="148"/>
        <v>0</v>
      </c>
      <c r="R50" s="460">
        <v>473469</v>
      </c>
      <c r="S50" s="673">
        <v>0</v>
      </c>
      <c r="T50" s="460">
        <v>0</v>
      </c>
      <c r="U50" s="460">
        <v>0</v>
      </c>
      <c r="V50" s="460">
        <f>SUM(Q50:U50)</f>
        <v>473469</v>
      </c>
      <c r="W50" s="460">
        <v>0</v>
      </c>
      <c r="X50" s="460">
        <v>0</v>
      </c>
      <c r="Y50" s="460">
        <v>0</v>
      </c>
      <c r="Z50" s="460">
        <f t="shared" si="149"/>
        <v>0</v>
      </c>
      <c r="AA50" s="460">
        <f t="shared" si="150"/>
        <v>473469</v>
      </c>
      <c r="AB50" s="69">
        <f t="shared" si="151"/>
        <v>160033</v>
      </c>
      <c r="AC50" s="69">
        <f t="shared" si="152"/>
        <v>4735</v>
      </c>
      <c r="AD50" s="460">
        <v>0</v>
      </c>
      <c r="AE50" s="460">
        <v>0</v>
      </c>
      <c r="AF50" s="460">
        <f t="shared" si="153"/>
        <v>0</v>
      </c>
      <c r="AG50" s="460">
        <f t="shared" si="154"/>
        <v>638237</v>
      </c>
      <c r="AH50" s="461">
        <v>0</v>
      </c>
      <c r="AI50" s="461">
        <v>0</v>
      </c>
      <c r="AJ50" s="461">
        <v>1.5</v>
      </c>
      <c r="AK50" s="461">
        <v>0</v>
      </c>
      <c r="AL50" s="674">
        <v>0</v>
      </c>
      <c r="AM50" s="461">
        <v>0</v>
      </c>
      <c r="AN50" s="461">
        <v>0</v>
      </c>
      <c r="AO50" s="461">
        <v>0</v>
      </c>
      <c r="AP50" s="461">
        <f>AH50+AJ50+AK50+AM50+AN50</f>
        <v>1.5</v>
      </c>
      <c r="AQ50" s="461">
        <f>AI50+AL50+AO50</f>
        <v>0</v>
      </c>
      <c r="AR50" s="463">
        <f t="shared" si="155"/>
        <v>1.5</v>
      </c>
      <c r="AS50" s="469">
        <f>I50+AG50</f>
        <v>638237</v>
      </c>
      <c r="AT50" s="460">
        <f>J50+V50</f>
        <v>473469</v>
      </c>
      <c r="AU50" s="460">
        <f t="shared" si="156"/>
        <v>0</v>
      </c>
      <c r="AV50" s="460">
        <f t="shared" si="157"/>
        <v>160033</v>
      </c>
      <c r="AW50" s="460">
        <f t="shared" si="157"/>
        <v>4735</v>
      </c>
      <c r="AX50" s="460">
        <f>M50+AF50</f>
        <v>0</v>
      </c>
      <c r="AY50" s="461">
        <f>N50+AR50</f>
        <v>1.5</v>
      </c>
      <c r="AZ50" s="461">
        <f t="shared" si="158"/>
        <v>1.5</v>
      </c>
      <c r="BA50" s="463">
        <f t="shared" si="158"/>
        <v>0</v>
      </c>
    </row>
    <row r="51" spans="1:53" x14ac:dyDescent="0.2">
      <c r="A51" s="211">
        <v>10</v>
      </c>
      <c r="B51" s="212">
        <v>3402</v>
      </c>
      <c r="C51" s="212">
        <v>600078124</v>
      </c>
      <c r="D51" s="212">
        <v>70982643</v>
      </c>
      <c r="E51" s="210" t="s">
        <v>139</v>
      </c>
      <c r="F51" s="212">
        <v>3141</v>
      </c>
      <c r="G51" s="213" t="s">
        <v>311</v>
      </c>
      <c r="H51" s="214" t="s">
        <v>278</v>
      </c>
      <c r="I51" s="462">
        <f t="shared" si="144"/>
        <v>2337182</v>
      </c>
      <c r="J51" s="457">
        <v>1722859</v>
      </c>
      <c r="K51" s="457">
        <f t="shared" si="145"/>
        <v>582326</v>
      </c>
      <c r="L51" s="457">
        <f t="shared" si="146"/>
        <v>17229</v>
      </c>
      <c r="M51" s="457">
        <v>14768</v>
      </c>
      <c r="N51" s="458">
        <f t="shared" si="147"/>
        <v>5.54</v>
      </c>
      <c r="O51" s="459">
        <v>0</v>
      </c>
      <c r="P51" s="468">
        <v>5.54</v>
      </c>
      <c r="Q51" s="470">
        <f t="shared" si="148"/>
        <v>0</v>
      </c>
      <c r="R51" s="460">
        <v>0</v>
      </c>
      <c r="S51" s="673">
        <v>0</v>
      </c>
      <c r="T51" s="460">
        <v>0</v>
      </c>
      <c r="U51" s="460">
        <v>0</v>
      </c>
      <c r="V51" s="460">
        <f>SUM(Q51:U51)</f>
        <v>0</v>
      </c>
      <c r="W51" s="460">
        <v>0</v>
      </c>
      <c r="X51" s="460">
        <v>0</v>
      </c>
      <c r="Y51" s="460">
        <v>0</v>
      </c>
      <c r="Z51" s="460">
        <f t="shared" si="149"/>
        <v>0</v>
      </c>
      <c r="AA51" s="460">
        <f t="shared" si="150"/>
        <v>0</v>
      </c>
      <c r="AB51" s="69">
        <f t="shared" si="151"/>
        <v>0</v>
      </c>
      <c r="AC51" s="69">
        <f t="shared" si="152"/>
        <v>0</v>
      </c>
      <c r="AD51" s="460">
        <v>0</v>
      </c>
      <c r="AE51" s="460">
        <v>0</v>
      </c>
      <c r="AF51" s="460">
        <f t="shared" si="153"/>
        <v>0</v>
      </c>
      <c r="AG51" s="460">
        <f t="shared" si="154"/>
        <v>0</v>
      </c>
      <c r="AH51" s="461">
        <v>0</v>
      </c>
      <c r="AI51" s="461">
        <v>0</v>
      </c>
      <c r="AJ51" s="461">
        <v>0</v>
      </c>
      <c r="AK51" s="461">
        <v>0</v>
      </c>
      <c r="AL51" s="674">
        <v>0</v>
      </c>
      <c r="AM51" s="461">
        <v>0</v>
      </c>
      <c r="AN51" s="461">
        <v>0</v>
      </c>
      <c r="AO51" s="461">
        <v>0</v>
      </c>
      <c r="AP51" s="461">
        <f>AH51+AJ51+AK51+AM51+AN51</f>
        <v>0</v>
      </c>
      <c r="AQ51" s="461">
        <f>AI51+AL51+AO51</f>
        <v>0</v>
      </c>
      <c r="AR51" s="463">
        <f t="shared" si="155"/>
        <v>0</v>
      </c>
      <c r="AS51" s="469">
        <f>I51+AG51</f>
        <v>2337182</v>
      </c>
      <c r="AT51" s="460">
        <f>J51+V51</f>
        <v>1722859</v>
      </c>
      <c r="AU51" s="460">
        <f t="shared" si="156"/>
        <v>0</v>
      </c>
      <c r="AV51" s="460">
        <f t="shared" si="157"/>
        <v>582326</v>
      </c>
      <c r="AW51" s="460">
        <f t="shared" si="157"/>
        <v>17229</v>
      </c>
      <c r="AX51" s="460">
        <f>M51+AF51</f>
        <v>14768</v>
      </c>
      <c r="AY51" s="461">
        <f>N51+AR51</f>
        <v>5.54</v>
      </c>
      <c r="AZ51" s="461">
        <f t="shared" si="158"/>
        <v>0</v>
      </c>
      <c r="BA51" s="463">
        <f t="shared" si="158"/>
        <v>5.54</v>
      </c>
    </row>
    <row r="52" spans="1:53" x14ac:dyDescent="0.2">
      <c r="A52" s="158">
        <v>10</v>
      </c>
      <c r="B52" s="18">
        <v>3402</v>
      </c>
      <c r="C52" s="18">
        <v>600078124</v>
      </c>
      <c r="D52" s="18">
        <v>70982643</v>
      </c>
      <c r="E52" s="167" t="s">
        <v>140</v>
      </c>
      <c r="F52" s="18"/>
      <c r="G52" s="157"/>
      <c r="H52" s="191"/>
      <c r="I52" s="505">
        <f t="shared" ref="I52:P52" si="159">SUM(I49:I51)</f>
        <v>7656125</v>
      </c>
      <c r="J52" s="502">
        <f t="shared" si="159"/>
        <v>5639434</v>
      </c>
      <c r="K52" s="502">
        <f t="shared" si="159"/>
        <v>1906128</v>
      </c>
      <c r="L52" s="502">
        <f t="shared" si="159"/>
        <v>56395</v>
      </c>
      <c r="M52" s="502">
        <f t="shared" si="159"/>
        <v>54168</v>
      </c>
      <c r="N52" s="503">
        <f t="shared" si="159"/>
        <v>13.44</v>
      </c>
      <c r="O52" s="503">
        <f t="shared" si="159"/>
        <v>6.1</v>
      </c>
      <c r="P52" s="507">
        <f t="shared" si="159"/>
        <v>7.34</v>
      </c>
      <c r="Q52" s="505">
        <f t="shared" ref="Q52:BA52" si="160">SUM(Q49:Q51)</f>
        <v>0</v>
      </c>
      <c r="R52" s="502">
        <f t="shared" si="160"/>
        <v>473469</v>
      </c>
      <c r="S52" s="502">
        <f t="shared" si="160"/>
        <v>0</v>
      </c>
      <c r="T52" s="502">
        <f t="shared" si="160"/>
        <v>0</v>
      </c>
      <c r="U52" s="502">
        <f t="shared" si="160"/>
        <v>0</v>
      </c>
      <c r="V52" s="502">
        <f t="shared" si="160"/>
        <v>473469</v>
      </c>
      <c r="W52" s="502">
        <f t="shared" si="160"/>
        <v>0</v>
      </c>
      <c r="X52" s="502">
        <f t="shared" si="160"/>
        <v>0</v>
      </c>
      <c r="Y52" s="502">
        <f t="shared" si="160"/>
        <v>0</v>
      </c>
      <c r="Z52" s="502">
        <f t="shared" si="160"/>
        <v>0</v>
      </c>
      <c r="AA52" s="502">
        <f t="shared" si="160"/>
        <v>473469</v>
      </c>
      <c r="AB52" s="502">
        <f t="shared" si="160"/>
        <v>160033</v>
      </c>
      <c r="AC52" s="502">
        <f t="shared" si="160"/>
        <v>4735</v>
      </c>
      <c r="AD52" s="502">
        <f t="shared" si="160"/>
        <v>0</v>
      </c>
      <c r="AE52" s="502">
        <f t="shared" si="160"/>
        <v>0</v>
      </c>
      <c r="AF52" s="502">
        <f t="shared" si="160"/>
        <v>0</v>
      </c>
      <c r="AG52" s="502">
        <f t="shared" si="160"/>
        <v>638237</v>
      </c>
      <c r="AH52" s="503">
        <f t="shared" si="160"/>
        <v>0</v>
      </c>
      <c r="AI52" s="503">
        <f t="shared" si="160"/>
        <v>0</v>
      </c>
      <c r="AJ52" s="503">
        <f t="shared" si="160"/>
        <v>1.5</v>
      </c>
      <c r="AK52" s="503">
        <f t="shared" si="160"/>
        <v>0</v>
      </c>
      <c r="AL52" s="503">
        <f t="shared" si="160"/>
        <v>0</v>
      </c>
      <c r="AM52" s="503">
        <f t="shared" si="160"/>
        <v>0</v>
      </c>
      <c r="AN52" s="503">
        <f t="shared" si="160"/>
        <v>0</v>
      </c>
      <c r="AO52" s="503">
        <f t="shared" si="160"/>
        <v>0</v>
      </c>
      <c r="AP52" s="503">
        <f t="shared" si="160"/>
        <v>1.5</v>
      </c>
      <c r="AQ52" s="503">
        <f t="shared" si="160"/>
        <v>0</v>
      </c>
      <c r="AR52" s="40">
        <f t="shared" si="160"/>
        <v>1.5</v>
      </c>
      <c r="AS52" s="509">
        <f t="shared" si="160"/>
        <v>8294362</v>
      </c>
      <c r="AT52" s="502">
        <f t="shared" si="160"/>
        <v>6112903</v>
      </c>
      <c r="AU52" s="502">
        <f t="shared" si="160"/>
        <v>0</v>
      </c>
      <c r="AV52" s="502">
        <f t="shared" si="160"/>
        <v>2066161</v>
      </c>
      <c r="AW52" s="502">
        <f t="shared" si="160"/>
        <v>61130</v>
      </c>
      <c r="AX52" s="502">
        <f t="shared" si="160"/>
        <v>54168</v>
      </c>
      <c r="AY52" s="503">
        <f t="shared" si="160"/>
        <v>14.939999999999998</v>
      </c>
      <c r="AZ52" s="503">
        <f t="shared" si="160"/>
        <v>7.6</v>
      </c>
      <c r="BA52" s="40">
        <f t="shared" si="160"/>
        <v>7.34</v>
      </c>
    </row>
    <row r="53" spans="1:53" x14ac:dyDescent="0.2">
      <c r="A53" s="211">
        <v>11</v>
      </c>
      <c r="B53" s="212">
        <v>3429</v>
      </c>
      <c r="C53" s="212">
        <v>600078256</v>
      </c>
      <c r="D53" s="212">
        <v>43257151</v>
      </c>
      <c r="E53" s="210" t="s">
        <v>141</v>
      </c>
      <c r="F53" s="212">
        <v>3113</v>
      </c>
      <c r="G53" s="213" t="s">
        <v>310</v>
      </c>
      <c r="H53" s="214" t="s">
        <v>277</v>
      </c>
      <c r="I53" s="462">
        <f t="shared" ref="I53:I56" si="161">SUM(J53:M53)</f>
        <v>16996203</v>
      </c>
      <c r="J53" s="457">
        <v>12400448</v>
      </c>
      <c r="K53" s="457">
        <f t="shared" ref="K53:K56" si="162">ROUND(J53*33.8%,0)</f>
        <v>4191351</v>
      </c>
      <c r="L53" s="457">
        <f t="shared" ref="L53:L56" si="163">ROUND(J53*1%,0)</f>
        <v>124004</v>
      </c>
      <c r="M53" s="457">
        <v>280400</v>
      </c>
      <c r="N53" s="458">
        <f t="shared" ref="N53:N56" si="164">O53+P53</f>
        <v>20.0153</v>
      </c>
      <c r="O53" s="459">
        <v>15.9453</v>
      </c>
      <c r="P53" s="468">
        <v>4.07</v>
      </c>
      <c r="Q53" s="470">
        <f t="shared" ref="Q53:Q56" si="165">W53*-1</f>
        <v>-117000</v>
      </c>
      <c r="R53" s="460">
        <v>0</v>
      </c>
      <c r="S53" s="673">
        <v>0</v>
      </c>
      <c r="T53" s="460">
        <v>0</v>
      </c>
      <c r="U53" s="460">
        <v>0</v>
      </c>
      <c r="V53" s="460">
        <f>SUM(Q53:U53)</f>
        <v>-117000</v>
      </c>
      <c r="W53" s="460">
        <v>117000</v>
      </c>
      <c r="X53" s="460">
        <v>0</v>
      </c>
      <c r="Y53" s="460">
        <v>0</v>
      </c>
      <c r="Z53" s="460">
        <f t="shared" ref="Z53:Z56" si="166">SUM(W53:Y53)</f>
        <v>117000</v>
      </c>
      <c r="AA53" s="460">
        <f t="shared" ref="AA53:AA56" si="167">V53+Z53</f>
        <v>0</v>
      </c>
      <c r="AB53" s="69">
        <f t="shared" ref="AB53:AB56" si="168">ROUND((V53+W53+X53)*33.8%,0)</f>
        <v>0</v>
      </c>
      <c r="AC53" s="69">
        <f t="shared" ref="AC53:AC56" si="169">ROUND(V53*1%,0)</f>
        <v>-1170</v>
      </c>
      <c r="AD53" s="460">
        <v>0</v>
      </c>
      <c r="AE53" s="460">
        <v>0</v>
      </c>
      <c r="AF53" s="460">
        <f t="shared" ref="AF53:AF56" si="170">SUM(AD53:AE53)</f>
        <v>0</v>
      </c>
      <c r="AG53" s="460">
        <f t="shared" ref="AG53:AG56" si="171">AA53+AB53+AC53+AF53</f>
        <v>-1170</v>
      </c>
      <c r="AH53" s="461">
        <v>-0.04</v>
      </c>
      <c r="AI53" s="461">
        <v>-0.37</v>
      </c>
      <c r="AJ53" s="461">
        <v>0</v>
      </c>
      <c r="AK53" s="461">
        <v>0</v>
      </c>
      <c r="AL53" s="674">
        <v>0</v>
      </c>
      <c r="AM53" s="461">
        <v>0</v>
      </c>
      <c r="AN53" s="461">
        <v>0</v>
      </c>
      <c r="AO53" s="461">
        <v>0</v>
      </c>
      <c r="AP53" s="461">
        <f>AH53+AJ53+AK53+AM53+AN53</f>
        <v>-0.04</v>
      </c>
      <c r="AQ53" s="461">
        <f>AI53+AL53+AO53</f>
        <v>-0.37</v>
      </c>
      <c r="AR53" s="463">
        <f t="shared" ref="AR53:AR56" si="172">SUM(AP53:AQ53)</f>
        <v>-0.41</v>
      </c>
      <c r="AS53" s="469">
        <f>I53+AG53</f>
        <v>16995033</v>
      </c>
      <c r="AT53" s="460">
        <f>J53+V53</f>
        <v>12283448</v>
      </c>
      <c r="AU53" s="460">
        <f t="shared" ref="AU53:AU56" si="173">Z53</f>
        <v>117000</v>
      </c>
      <c r="AV53" s="460">
        <f t="shared" ref="AV53:AW56" si="174">K53+AB53</f>
        <v>4191351</v>
      </c>
      <c r="AW53" s="460">
        <f t="shared" si="174"/>
        <v>122834</v>
      </c>
      <c r="AX53" s="460">
        <f>M53+AF53</f>
        <v>280400</v>
      </c>
      <c r="AY53" s="461">
        <f>N53+AR53</f>
        <v>19.6053</v>
      </c>
      <c r="AZ53" s="461">
        <f t="shared" ref="AZ53:BA56" si="175">O53+AP53</f>
        <v>15.9053</v>
      </c>
      <c r="BA53" s="463">
        <f t="shared" si="175"/>
        <v>3.7</v>
      </c>
    </row>
    <row r="54" spans="1:53" x14ac:dyDescent="0.2">
      <c r="A54" s="211">
        <v>11</v>
      </c>
      <c r="B54" s="212">
        <v>3429</v>
      </c>
      <c r="C54" s="212">
        <v>600078256</v>
      </c>
      <c r="D54" s="212">
        <v>43257151</v>
      </c>
      <c r="E54" s="210" t="s">
        <v>141</v>
      </c>
      <c r="F54" s="212">
        <v>3113</v>
      </c>
      <c r="G54" s="213" t="s">
        <v>308</v>
      </c>
      <c r="H54" s="214" t="s">
        <v>278</v>
      </c>
      <c r="I54" s="462">
        <f t="shared" si="161"/>
        <v>0</v>
      </c>
      <c r="J54" s="457">
        <v>0</v>
      </c>
      <c r="K54" s="457">
        <f t="shared" si="162"/>
        <v>0</v>
      </c>
      <c r="L54" s="457">
        <f t="shared" si="163"/>
        <v>0</v>
      </c>
      <c r="M54" s="457">
        <v>0</v>
      </c>
      <c r="N54" s="458">
        <f t="shared" si="164"/>
        <v>0</v>
      </c>
      <c r="O54" s="459">
        <v>0</v>
      </c>
      <c r="P54" s="468">
        <v>0</v>
      </c>
      <c r="Q54" s="470">
        <f t="shared" si="165"/>
        <v>0</v>
      </c>
      <c r="R54" s="460">
        <v>1245330</v>
      </c>
      <c r="S54" s="673">
        <v>0</v>
      </c>
      <c r="T54" s="460">
        <v>0</v>
      </c>
      <c r="U54" s="460">
        <v>0</v>
      </c>
      <c r="V54" s="460">
        <f>SUM(Q54:U54)</f>
        <v>1245330</v>
      </c>
      <c r="W54" s="460">
        <v>0</v>
      </c>
      <c r="X54" s="460">
        <v>0</v>
      </c>
      <c r="Y54" s="460">
        <v>0</v>
      </c>
      <c r="Z54" s="460">
        <f t="shared" si="166"/>
        <v>0</v>
      </c>
      <c r="AA54" s="460">
        <f t="shared" si="167"/>
        <v>1245330</v>
      </c>
      <c r="AB54" s="69">
        <f t="shared" si="168"/>
        <v>420922</v>
      </c>
      <c r="AC54" s="69">
        <f t="shared" si="169"/>
        <v>12453</v>
      </c>
      <c r="AD54" s="460">
        <v>0</v>
      </c>
      <c r="AE54" s="460">
        <v>0</v>
      </c>
      <c r="AF54" s="460">
        <f t="shared" si="170"/>
        <v>0</v>
      </c>
      <c r="AG54" s="460">
        <f t="shared" si="171"/>
        <v>1678705</v>
      </c>
      <c r="AH54" s="461">
        <v>0</v>
      </c>
      <c r="AI54" s="461">
        <v>0</v>
      </c>
      <c r="AJ54" s="461">
        <v>3.58</v>
      </c>
      <c r="AK54" s="461">
        <v>0</v>
      </c>
      <c r="AL54" s="674">
        <v>0</v>
      </c>
      <c r="AM54" s="461">
        <v>0</v>
      </c>
      <c r="AN54" s="461">
        <v>0</v>
      </c>
      <c r="AO54" s="461">
        <v>0</v>
      </c>
      <c r="AP54" s="461">
        <f>AH54+AJ54+AK54+AM54+AN54</f>
        <v>3.58</v>
      </c>
      <c r="AQ54" s="461">
        <f>AI54+AL54+AO54</f>
        <v>0</v>
      </c>
      <c r="AR54" s="463">
        <f t="shared" si="172"/>
        <v>3.58</v>
      </c>
      <c r="AS54" s="469">
        <f>I54+AG54</f>
        <v>1678705</v>
      </c>
      <c r="AT54" s="460">
        <f>J54+V54</f>
        <v>1245330</v>
      </c>
      <c r="AU54" s="460">
        <f t="shared" si="173"/>
        <v>0</v>
      </c>
      <c r="AV54" s="460">
        <f t="shared" si="174"/>
        <v>420922</v>
      </c>
      <c r="AW54" s="460">
        <f t="shared" si="174"/>
        <v>12453</v>
      </c>
      <c r="AX54" s="460">
        <f>M54+AF54</f>
        <v>0</v>
      </c>
      <c r="AY54" s="461">
        <f>N54+AR54</f>
        <v>3.58</v>
      </c>
      <c r="AZ54" s="461">
        <f t="shared" si="175"/>
        <v>3.58</v>
      </c>
      <c r="BA54" s="463">
        <f t="shared" si="175"/>
        <v>0</v>
      </c>
    </row>
    <row r="55" spans="1:53" s="3" customFormat="1" x14ac:dyDescent="0.2">
      <c r="A55" s="211">
        <v>11</v>
      </c>
      <c r="B55" s="212">
        <v>3429</v>
      </c>
      <c r="C55" s="212">
        <v>600078256</v>
      </c>
      <c r="D55" s="212">
        <v>43257151</v>
      </c>
      <c r="E55" s="210" t="s">
        <v>141</v>
      </c>
      <c r="F55" s="212">
        <v>3143</v>
      </c>
      <c r="G55" s="213" t="s">
        <v>616</v>
      </c>
      <c r="H55" s="234" t="s">
        <v>277</v>
      </c>
      <c r="I55" s="462">
        <f t="shared" si="161"/>
        <v>1495818</v>
      </c>
      <c r="J55" s="457">
        <v>1109657</v>
      </c>
      <c r="K55" s="457">
        <f t="shared" si="162"/>
        <v>375064</v>
      </c>
      <c r="L55" s="457">
        <f t="shared" si="163"/>
        <v>11097</v>
      </c>
      <c r="M55" s="457">
        <v>0</v>
      </c>
      <c r="N55" s="458">
        <f t="shared" si="164"/>
        <v>2.4136000000000002</v>
      </c>
      <c r="O55" s="459">
        <v>2.4136000000000002</v>
      </c>
      <c r="P55" s="468">
        <v>0</v>
      </c>
      <c r="Q55" s="470">
        <f t="shared" si="165"/>
        <v>0</v>
      </c>
      <c r="R55" s="460">
        <v>0</v>
      </c>
      <c r="S55" s="673">
        <v>0</v>
      </c>
      <c r="T55" s="460">
        <v>0</v>
      </c>
      <c r="U55" s="460">
        <v>0</v>
      </c>
      <c r="V55" s="460">
        <f>SUM(Q55:U55)</f>
        <v>0</v>
      </c>
      <c r="W55" s="460">
        <v>0</v>
      </c>
      <c r="X55" s="460">
        <v>0</v>
      </c>
      <c r="Y55" s="460">
        <v>0</v>
      </c>
      <c r="Z55" s="460">
        <f t="shared" si="166"/>
        <v>0</v>
      </c>
      <c r="AA55" s="460">
        <f t="shared" si="167"/>
        <v>0</v>
      </c>
      <c r="AB55" s="69">
        <f t="shared" si="168"/>
        <v>0</v>
      </c>
      <c r="AC55" s="69">
        <f t="shared" si="169"/>
        <v>0</v>
      </c>
      <c r="AD55" s="460">
        <v>0</v>
      </c>
      <c r="AE55" s="460">
        <v>0</v>
      </c>
      <c r="AF55" s="460">
        <f t="shared" si="170"/>
        <v>0</v>
      </c>
      <c r="AG55" s="460">
        <f t="shared" si="171"/>
        <v>0</v>
      </c>
      <c r="AH55" s="461">
        <v>0</v>
      </c>
      <c r="AI55" s="461">
        <v>0</v>
      </c>
      <c r="AJ55" s="461">
        <v>0</v>
      </c>
      <c r="AK55" s="461">
        <v>0</v>
      </c>
      <c r="AL55" s="674">
        <v>0</v>
      </c>
      <c r="AM55" s="461">
        <v>0</v>
      </c>
      <c r="AN55" s="461">
        <v>0</v>
      </c>
      <c r="AO55" s="461">
        <v>0</v>
      </c>
      <c r="AP55" s="461">
        <f>AH55+AJ55+AK55+AM55+AN55</f>
        <v>0</v>
      </c>
      <c r="AQ55" s="461">
        <f>AI55+AL55+AO55</f>
        <v>0</v>
      </c>
      <c r="AR55" s="463">
        <f t="shared" si="172"/>
        <v>0</v>
      </c>
      <c r="AS55" s="469">
        <f>I55+AG55</f>
        <v>1495818</v>
      </c>
      <c r="AT55" s="460">
        <f>J55+V55</f>
        <v>1109657</v>
      </c>
      <c r="AU55" s="460">
        <f t="shared" si="173"/>
        <v>0</v>
      </c>
      <c r="AV55" s="460">
        <f t="shared" si="174"/>
        <v>375064</v>
      </c>
      <c r="AW55" s="460">
        <f t="shared" si="174"/>
        <v>11097</v>
      </c>
      <c r="AX55" s="460">
        <f>M55+AF55</f>
        <v>0</v>
      </c>
      <c r="AY55" s="461">
        <f>N55+AR55</f>
        <v>2.4136000000000002</v>
      </c>
      <c r="AZ55" s="461">
        <f t="shared" si="175"/>
        <v>2.4136000000000002</v>
      </c>
      <c r="BA55" s="463">
        <f t="shared" si="175"/>
        <v>0</v>
      </c>
    </row>
    <row r="56" spans="1:53" s="3" customFormat="1" x14ac:dyDescent="0.2">
      <c r="A56" s="211">
        <v>11</v>
      </c>
      <c r="B56" s="212">
        <v>3429</v>
      </c>
      <c r="C56" s="212">
        <v>600078256</v>
      </c>
      <c r="D56" s="212">
        <v>43257151</v>
      </c>
      <c r="E56" s="210" t="s">
        <v>141</v>
      </c>
      <c r="F56" s="212">
        <v>3143</v>
      </c>
      <c r="G56" s="213" t="s">
        <v>617</v>
      </c>
      <c r="H56" s="234" t="s">
        <v>278</v>
      </c>
      <c r="I56" s="462">
        <f t="shared" si="161"/>
        <v>43979</v>
      </c>
      <c r="J56" s="457">
        <v>31424</v>
      </c>
      <c r="K56" s="457">
        <f t="shared" si="162"/>
        <v>10621</v>
      </c>
      <c r="L56" s="457">
        <f t="shared" si="163"/>
        <v>314</v>
      </c>
      <c r="M56" s="457">
        <v>1620</v>
      </c>
      <c r="N56" s="458">
        <f t="shared" si="164"/>
        <v>0.13</v>
      </c>
      <c r="O56" s="459">
        <v>0</v>
      </c>
      <c r="P56" s="468">
        <v>0.13</v>
      </c>
      <c r="Q56" s="470">
        <f t="shared" si="165"/>
        <v>0</v>
      </c>
      <c r="R56" s="460">
        <v>0</v>
      </c>
      <c r="S56" s="673">
        <v>0</v>
      </c>
      <c r="T56" s="460">
        <v>0</v>
      </c>
      <c r="U56" s="460">
        <v>0</v>
      </c>
      <c r="V56" s="460">
        <f>SUM(Q56:U56)</f>
        <v>0</v>
      </c>
      <c r="W56" s="460">
        <v>0</v>
      </c>
      <c r="X56" s="460">
        <v>0</v>
      </c>
      <c r="Y56" s="460">
        <v>0</v>
      </c>
      <c r="Z56" s="460">
        <f t="shared" si="166"/>
        <v>0</v>
      </c>
      <c r="AA56" s="460">
        <f t="shared" si="167"/>
        <v>0</v>
      </c>
      <c r="AB56" s="69">
        <f t="shared" si="168"/>
        <v>0</v>
      </c>
      <c r="AC56" s="69">
        <f t="shared" si="169"/>
        <v>0</v>
      </c>
      <c r="AD56" s="460">
        <v>0</v>
      </c>
      <c r="AE56" s="460">
        <v>0</v>
      </c>
      <c r="AF56" s="460">
        <f t="shared" si="170"/>
        <v>0</v>
      </c>
      <c r="AG56" s="460">
        <f t="shared" si="171"/>
        <v>0</v>
      </c>
      <c r="AH56" s="461">
        <v>0</v>
      </c>
      <c r="AI56" s="461">
        <v>0</v>
      </c>
      <c r="AJ56" s="461">
        <v>0</v>
      </c>
      <c r="AK56" s="461">
        <v>0</v>
      </c>
      <c r="AL56" s="674">
        <v>0</v>
      </c>
      <c r="AM56" s="461">
        <v>0</v>
      </c>
      <c r="AN56" s="461">
        <v>0</v>
      </c>
      <c r="AO56" s="461">
        <v>0</v>
      </c>
      <c r="AP56" s="461">
        <f>AH56+AJ56+AK56+AM56+AN56</f>
        <v>0</v>
      </c>
      <c r="AQ56" s="461">
        <f>AI56+AL56+AO56</f>
        <v>0</v>
      </c>
      <c r="AR56" s="463">
        <f t="shared" si="172"/>
        <v>0</v>
      </c>
      <c r="AS56" s="469">
        <f>I56+AG56</f>
        <v>43979</v>
      </c>
      <c r="AT56" s="460">
        <f>J56+V56</f>
        <v>31424</v>
      </c>
      <c r="AU56" s="460">
        <f t="shared" si="173"/>
        <v>0</v>
      </c>
      <c r="AV56" s="460">
        <f t="shared" si="174"/>
        <v>10621</v>
      </c>
      <c r="AW56" s="460">
        <f t="shared" si="174"/>
        <v>314</v>
      </c>
      <c r="AX56" s="460">
        <f>M56+AF56</f>
        <v>1620</v>
      </c>
      <c r="AY56" s="461">
        <f>N56+AR56</f>
        <v>0.13</v>
      </c>
      <c r="AZ56" s="461">
        <f t="shared" si="175"/>
        <v>0</v>
      </c>
      <c r="BA56" s="463">
        <f t="shared" si="175"/>
        <v>0.13</v>
      </c>
    </row>
    <row r="57" spans="1:53" x14ac:dyDescent="0.2">
      <c r="A57" s="158">
        <v>11</v>
      </c>
      <c r="B57" s="18">
        <v>3429</v>
      </c>
      <c r="C57" s="18">
        <v>600078256</v>
      </c>
      <c r="D57" s="18">
        <v>43257151</v>
      </c>
      <c r="E57" s="167" t="s">
        <v>142</v>
      </c>
      <c r="F57" s="18"/>
      <c r="G57" s="157"/>
      <c r="H57" s="191"/>
      <c r="I57" s="505">
        <f t="shared" ref="I57:P57" si="176">SUM(I53:I56)</f>
        <v>18536000</v>
      </c>
      <c r="J57" s="502">
        <f t="shared" si="176"/>
        <v>13541529</v>
      </c>
      <c r="K57" s="502">
        <f t="shared" si="176"/>
        <v>4577036</v>
      </c>
      <c r="L57" s="502">
        <f t="shared" si="176"/>
        <v>135415</v>
      </c>
      <c r="M57" s="502">
        <f t="shared" si="176"/>
        <v>282020</v>
      </c>
      <c r="N57" s="503">
        <f t="shared" si="176"/>
        <v>22.558899999999998</v>
      </c>
      <c r="O57" s="503">
        <f t="shared" si="176"/>
        <v>18.358899999999998</v>
      </c>
      <c r="P57" s="507">
        <f t="shared" si="176"/>
        <v>4.2</v>
      </c>
      <c r="Q57" s="505">
        <f t="shared" ref="Q57:BA57" si="177">SUM(Q53:Q56)</f>
        <v>-117000</v>
      </c>
      <c r="R57" s="502">
        <f t="shared" si="177"/>
        <v>1245330</v>
      </c>
      <c r="S57" s="502">
        <f t="shared" si="177"/>
        <v>0</v>
      </c>
      <c r="T57" s="502">
        <f t="shared" si="177"/>
        <v>0</v>
      </c>
      <c r="U57" s="502">
        <f t="shared" si="177"/>
        <v>0</v>
      </c>
      <c r="V57" s="502">
        <f t="shared" si="177"/>
        <v>1128330</v>
      </c>
      <c r="W57" s="502">
        <f t="shared" si="177"/>
        <v>117000</v>
      </c>
      <c r="X57" s="502">
        <f t="shared" si="177"/>
        <v>0</v>
      </c>
      <c r="Y57" s="502">
        <f t="shared" si="177"/>
        <v>0</v>
      </c>
      <c r="Z57" s="502">
        <f t="shared" si="177"/>
        <v>117000</v>
      </c>
      <c r="AA57" s="502">
        <f t="shared" si="177"/>
        <v>1245330</v>
      </c>
      <c r="AB57" s="502">
        <f t="shared" si="177"/>
        <v>420922</v>
      </c>
      <c r="AC57" s="502">
        <f t="shared" si="177"/>
        <v>11283</v>
      </c>
      <c r="AD57" s="502">
        <f t="shared" si="177"/>
        <v>0</v>
      </c>
      <c r="AE57" s="502">
        <f t="shared" si="177"/>
        <v>0</v>
      </c>
      <c r="AF57" s="502">
        <f t="shared" si="177"/>
        <v>0</v>
      </c>
      <c r="AG57" s="502">
        <f t="shared" si="177"/>
        <v>1677535</v>
      </c>
      <c r="AH57" s="503">
        <f t="shared" si="177"/>
        <v>-0.04</v>
      </c>
      <c r="AI57" s="503">
        <f t="shared" si="177"/>
        <v>-0.37</v>
      </c>
      <c r="AJ57" s="503">
        <f t="shared" si="177"/>
        <v>3.58</v>
      </c>
      <c r="AK57" s="503">
        <f t="shared" si="177"/>
        <v>0</v>
      </c>
      <c r="AL57" s="503">
        <f t="shared" si="177"/>
        <v>0</v>
      </c>
      <c r="AM57" s="503">
        <f t="shared" si="177"/>
        <v>0</v>
      </c>
      <c r="AN57" s="503">
        <f t="shared" si="177"/>
        <v>0</v>
      </c>
      <c r="AO57" s="503">
        <f t="shared" si="177"/>
        <v>0</v>
      </c>
      <c r="AP57" s="503">
        <f t="shared" si="177"/>
        <v>3.54</v>
      </c>
      <c r="AQ57" s="503">
        <f t="shared" si="177"/>
        <v>-0.37</v>
      </c>
      <c r="AR57" s="40">
        <f t="shared" si="177"/>
        <v>3.17</v>
      </c>
      <c r="AS57" s="509">
        <f t="shared" si="177"/>
        <v>20213535</v>
      </c>
      <c r="AT57" s="502">
        <f t="shared" si="177"/>
        <v>14669859</v>
      </c>
      <c r="AU57" s="502">
        <f t="shared" si="177"/>
        <v>117000</v>
      </c>
      <c r="AV57" s="502">
        <f t="shared" si="177"/>
        <v>4997958</v>
      </c>
      <c r="AW57" s="502">
        <f t="shared" si="177"/>
        <v>146698</v>
      </c>
      <c r="AX57" s="502">
        <f t="shared" si="177"/>
        <v>282020</v>
      </c>
      <c r="AY57" s="503">
        <f t="shared" si="177"/>
        <v>25.728899999999996</v>
      </c>
      <c r="AZ57" s="503">
        <f t="shared" si="177"/>
        <v>21.898900000000001</v>
      </c>
      <c r="BA57" s="40">
        <f t="shared" si="177"/>
        <v>3.83</v>
      </c>
    </row>
    <row r="58" spans="1:53" x14ac:dyDescent="0.2">
      <c r="A58" s="211">
        <v>12</v>
      </c>
      <c r="B58" s="212">
        <v>3405</v>
      </c>
      <c r="C58" s="212">
        <v>600078337</v>
      </c>
      <c r="D58" s="212">
        <v>70698325</v>
      </c>
      <c r="E58" s="210" t="s">
        <v>143</v>
      </c>
      <c r="F58" s="212">
        <v>3111</v>
      </c>
      <c r="G58" s="213" t="s">
        <v>307</v>
      </c>
      <c r="H58" s="214" t="s">
        <v>277</v>
      </c>
      <c r="I58" s="462">
        <f t="shared" ref="I58:I63" si="178">SUM(J58:M58)</f>
        <v>1525287</v>
      </c>
      <c r="J58" s="457">
        <v>1125584</v>
      </c>
      <c r="K58" s="457">
        <f t="shared" ref="K58:K63" si="179">ROUND(J58*33.8%,0)</f>
        <v>380447</v>
      </c>
      <c r="L58" s="457">
        <f t="shared" ref="L58:L63" si="180">ROUND(J58*1%,0)</f>
        <v>11256</v>
      </c>
      <c r="M58" s="457">
        <v>8000</v>
      </c>
      <c r="N58" s="458">
        <f t="shared" ref="N58:N63" si="181">O58+P58</f>
        <v>2.2873999999999999</v>
      </c>
      <c r="O58" s="459">
        <v>1.9274</v>
      </c>
      <c r="P58" s="468">
        <v>0.36</v>
      </c>
      <c r="Q58" s="470">
        <f t="shared" ref="Q58:Q63" si="182">W58*-1</f>
        <v>0</v>
      </c>
      <c r="R58" s="460">
        <v>0</v>
      </c>
      <c r="S58" s="673">
        <v>0</v>
      </c>
      <c r="T58" s="460">
        <v>0</v>
      </c>
      <c r="U58" s="460">
        <v>0</v>
      </c>
      <c r="V58" s="460">
        <f t="shared" ref="V58:V63" si="183">SUM(Q58:U58)</f>
        <v>0</v>
      </c>
      <c r="W58" s="460">
        <v>0</v>
      </c>
      <c r="X58" s="460">
        <v>0</v>
      </c>
      <c r="Y58" s="460">
        <v>0</v>
      </c>
      <c r="Z58" s="460">
        <f t="shared" ref="Z58:Z63" si="184">SUM(W58:Y58)</f>
        <v>0</v>
      </c>
      <c r="AA58" s="460">
        <f t="shared" ref="AA58:AA63" si="185">V58+Z58</f>
        <v>0</v>
      </c>
      <c r="AB58" s="69">
        <f t="shared" ref="AB58:AB63" si="186">ROUND((V58+W58+X58)*33.8%,0)</f>
        <v>0</v>
      </c>
      <c r="AC58" s="69">
        <f t="shared" ref="AC58:AC63" si="187">ROUND(V58*1%,0)</f>
        <v>0</v>
      </c>
      <c r="AD58" s="460">
        <v>0</v>
      </c>
      <c r="AE58" s="460">
        <v>0</v>
      </c>
      <c r="AF58" s="460">
        <f t="shared" ref="AF58:AF63" si="188">SUM(AD58:AE58)</f>
        <v>0</v>
      </c>
      <c r="AG58" s="460">
        <f t="shared" ref="AG58:AG63" si="189">AA58+AB58+AC58+AF58</f>
        <v>0</v>
      </c>
      <c r="AH58" s="461">
        <v>0</v>
      </c>
      <c r="AI58" s="461">
        <v>0</v>
      </c>
      <c r="AJ58" s="461">
        <v>0</v>
      </c>
      <c r="AK58" s="461">
        <v>0</v>
      </c>
      <c r="AL58" s="674">
        <v>0</v>
      </c>
      <c r="AM58" s="461">
        <v>0</v>
      </c>
      <c r="AN58" s="461">
        <v>0</v>
      </c>
      <c r="AO58" s="461">
        <v>0</v>
      </c>
      <c r="AP58" s="461">
        <f t="shared" ref="AP58:AP63" si="190">AH58+AJ58+AK58+AM58+AN58</f>
        <v>0</v>
      </c>
      <c r="AQ58" s="461">
        <f t="shared" ref="AQ58:AQ63" si="191">AI58+AL58+AO58</f>
        <v>0</v>
      </c>
      <c r="AR58" s="463">
        <f t="shared" ref="AR58:AR63" si="192">SUM(AP58:AQ58)</f>
        <v>0</v>
      </c>
      <c r="AS58" s="469">
        <f t="shared" ref="AS58:AS63" si="193">I58+AG58</f>
        <v>1525287</v>
      </c>
      <c r="AT58" s="460">
        <f t="shared" ref="AT58:AT63" si="194">J58+V58</f>
        <v>1125584</v>
      </c>
      <c r="AU58" s="460">
        <f t="shared" ref="AU58:AU63" si="195">Z58</f>
        <v>0</v>
      </c>
      <c r="AV58" s="460">
        <f t="shared" ref="AV58:AW63" si="196">K58+AB58</f>
        <v>380447</v>
      </c>
      <c r="AW58" s="460">
        <f t="shared" si="196"/>
        <v>11256</v>
      </c>
      <c r="AX58" s="460">
        <f t="shared" ref="AX58:AX63" si="197">M58+AF58</f>
        <v>8000</v>
      </c>
      <c r="AY58" s="461">
        <f t="shared" ref="AY58:AY63" si="198">N58+AR58</f>
        <v>2.2873999999999999</v>
      </c>
      <c r="AZ58" s="461">
        <f t="shared" ref="AZ58:BA63" si="199">O58+AP58</f>
        <v>1.9274</v>
      </c>
      <c r="BA58" s="463">
        <f t="shared" si="199"/>
        <v>0.36</v>
      </c>
    </row>
    <row r="59" spans="1:53" x14ac:dyDescent="0.2">
      <c r="A59" s="211">
        <v>12</v>
      </c>
      <c r="B59" s="212">
        <v>3405</v>
      </c>
      <c r="C59" s="212">
        <v>600078337</v>
      </c>
      <c r="D59" s="212">
        <v>70698325</v>
      </c>
      <c r="E59" s="210" t="s">
        <v>143</v>
      </c>
      <c r="F59" s="212">
        <v>3117</v>
      </c>
      <c r="G59" s="213" t="s">
        <v>310</v>
      </c>
      <c r="H59" s="214" t="s">
        <v>277</v>
      </c>
      <c r="I59" s="462">
        <f t="shared" si="178"/>
        <v>2047500</v>
      </c>
      <c r="J59" s="457">
        <v>1491562</v>
      </c>
      <c r="K59" s="457">
        <f t="shared" si="179"/>
        <v>504148</v>
      </c>
      <c r="L59" s="457">
        <f>ROUND(J59*1%,0)-1</f>
        <v>14915</v>
      </c>
      <c r="M59" s="457">
        <v>36875</v>
      </c>
      <c r="N59" s="458">
        <f t="shared" si="181"/>
        <v>2.3873000000000002</v>
      </c>
      <c r="O59" s="459">
        <v>1.7273000000000001</v>
      </c>
      <c r="P59" s="468">
        <v>0.66</v>
      </c>
      <c r="Q59" s="470">
        <f t="shared" si="182"/>
        <v>0</v>
      </c>
      <c r="R59" s="460">
        <v>0</v>
      </c>
      <c r="S59" s="673">
        <v>0</v>
      </c>
      <c r="T59" s="460">
        <v>0</v>
      </c>
      <c r="U59" s="460">
        <v>0</v>
      </c>
      <c r="V59" s="460">
        <f t="shared" si="183"/>
        <v>0</v>
      </c>
      <c r="W59" s="460">
        <v>0</v>
      </c>
      <c r="X59" s="460">
        <v>0</v>
      </c>
      <c r="Y59" s="460">
        <v>0</v>
      </c>
      <c r="Z59" s="460">
        <f t="shared" si="184"/>
        <v>0</v>
      </c>
      <c r="AA59" s="460">
        <f t="shared" si="185"/>
        <v>0</v>
      </c>
      <c r="AB59" s="69">
        <f t="shared" si="186"/>
        <v>0</v>
      </c>
      <c r="AC59" s="69">
        <f t="shared" si="187"/>
        <v>0</v>
      </c>
      <c r="AD59" s="460">
        <v>0</v>
      </c>
      <c r="AE59" s="460">
        <v>0</v>
      </c>
      <c r="AF59" s="460">
        <f t="shared" si="188"/>
        <v>0</v>
      </c>
      <c r="AG59" s="460">
        <f t="shared" si="189"/>
        <v>0</v>
      </c>
      <c r="AH59" s="461">
        <v>0</v>
      </c>
      <c r="AI59" s="461">
        <v>0</v>
      </c>
      <c r="AJ59" s="461">
        <v>0</v>
      </c>
      <c r="AK59" s="461">
        <v>0</v>
      </c>
      <c r="AL59" s="674">
        <v>0</v>
      </c>
      <c r="AM59" s="461">
        <v>0</v>
      </c>
      <c r="AN59" s="461">
        <v>0</v>
      </c>
      <c r="AO59" s="461">
        <v>0</v>
      </c>
      <c r="AP59" s="461">
        <f t="shared" si="190"/>
        <v>0</v>
      </c>
      <c r="AQ59" s="461">
        <f t="shared" si="191"/>
        <v>0</v>
      </c>
      <c r="AR59" s="463">
        <f t="shared" si="192"/>
        <v>0</v>
      </c>
      <c r="AS59" s="469">
        <f t="shared" si="193"/>
        <v>2047500</v>
      </c>
      <c r="AT59" s="460">
        <f t="shared" si="194"/>
        <v>1491562</v>
      </c>
      <c r="AU59" s="460">
        <f t="shared" si="195"/>
        <v>0</v>
      </c>
      <c r="AV59" s="460">
        <f t="shared" si="196"/>
        <v>504148</v>
      </c>
      <c r="AW59" s="460">
        <f t="shared" si="196"/>
        <v>14915</v>
      </c>
      <c r="AX59" s="460">
        <f t="shared" si="197"/>
        <v>36875</v>
      </c>
      <c r="AY59" s="461">
        <f t="shared" si="198"/>
        <v>2.3873000000000002</v>
      </c>
      <c r="AZ59" s="461">
        <f t="shared" si="199"/>
        <v>1.7273000000000001</v>
      </c>
      <c r="BA59" s="463">
        <f t="shared" si="199"/>
        <v>0.66</v>
      </c>
    </row>
    <row r="60" spans="1:53" x14ac:dyDescent="0.2">
      <c r="A60" s="211">
        <v>12</v>
      </c>
      <c r="B60" s="212">
        <v>3405</v>
      </c>
      <c r="C60" s="212">
        <v>600078337</v>
      </c>
      <c r="D60" s="212">
        <v>70698325</v>
      </c>
      <c r="E60" s="210" t="s">
        <v>143</v>
      </c>
      <c r="F60" s="212">
        <v>3117</v>
      </c>
      <c r="G60" s="213" t="s">
        <v>308</v>
      </c>
      <c r="H60" s="214" t="s">
        <v>278</v>
      </c>
      <c r="I60" s="462">
        <f t="shared" si="178"/>
        <v>0</v>
      </c>
      <c r="J60" s="457">
        <v>0</v>
      </c>
      <c r="K60" s="457">
        <f t="shared" si="179"/>
        <v>0</v>
      </c>
      <c r="L60" s="457">
        <f t="shared" si="180"/>
        <v>0</v>
      </c>
      <c r="M60" s="457">
        <v>0</v>
      </c>
      <c r="N60" s="458">
        <f t="shared" si="181"/>
        <v>0</v>
      </c>
      <c r="O60" s="459">
        <v>0</v>
      </c>
      <c r="P60" s="468">
        <v>0</v>
      </c>
      <c r="Q60" s="470">
        <f t="shared" si="182"/>
        <v>0</v>
      </c>
      <c r="R60" s="460">
        <v>221345</v>
      </c>
      <c r="S60" s="673">
        <v>0</v>
      </c>
      <c r="T60" s="460">
        <v>0</v>
      </c>
      <c r="U60" s="460">
        <v>0</v>
      </c>
      <c r="V60" s="460">
        <f t="shared" si="183"/>
        <v>221345</v>
      </c>
      <c r="W60" s="460">
        <v>0</v>
      </c>
      <c r="X60" s="460">
        <v>0</v>
      </c>
      <c r="Y60" s="460">
        <v>0</v>
      </c>
      <c r="Z60" s="460">
        <f t="shared" si="184"/>
        <v>0</v>
      </c>
      <c r="AA60" s="460">
        <f t="shared" si="185"/>
        <v>221345</v>
      </c>
      <c r="AB60" s="69">
        <f t="shared" si="186"/>
        <v>74815</v>
      </c>
      <c r="AC60" s="69">
        <f t="shared" si="187"/>
        <v>2213</v>
      </c>
      <c r="AD60" s="460">
        <v>0</v>
      </c>
      <c r="AE60" s="460">
        <v>0</v>
      </c>
      <c r="AF60" s="460">
        <f t="shared" si="188"/>
        <v>0</v>
      </c>
      <c r="AG60" s="460">
        <f t="shared" si="189"/>
        <v>298373</v>
      </c>
      <c r="AH60" s="461">
        <v>0</v>
      </c>
      <c r="AI60" s="461">
        <v>0</v>
      </c>
      <c r="AJ60" s="461">
        <v>0.64</v>
      </c>
      <c r="AK60" s="461">
        <v>0</v>
      </c>
      <c r="AL60" s="674">
        <v>0</v>
      </c>
      <c r="AM60" s="461">
        <v>0</v>
      </c>
      <c r="AN60" s="461">
        <v>0</v>
      </c>
      <c r="AO60" s="461">
        <v>0</v>
      </c>
      <c r="AP60" s="461">
        <f t="shared" si="190"/>
        <v>0.64</v>
      </c>
      <c r="AQ60" s="461">
        <f t="shared" si="191"/>
        <v>0</v>
      </c>
      <c r="AR60" s="463">
        <f t="shared" si="192"/>
        <v>0.64</v>
      </c>
      <c r="AS60" s="469">
        <f t="shared" si="193"/>
        <v>298373</v>
      </c>
      <c r="AT60" s="460">
        <f t="shared" si="194"/>
        <v>221345</v>
      </c>
      <c r="AU60" s="460">
        <f t="shared" si="195"/>
        <v>0</v>
      </c>
      <c r="AV60" s="460">
        <f t="shared" si="196"/>
        <v>74815</v>
      </c>
      <c r="AW60" s="460">
        <f t="shared" si="196"/>
        <v>2213</v>
      </c>
      <c r="AX60" s="460">
        <f t="shared" si="197"/>
        <v>0</v>
      </c>
      <c r="AY60" s="461">
        <f t="shared" si="198"/>
        <v>0.64</v>
      </c>
      <c r="AZ60" s="461">
        <f t="shared" si="199"/>
        <v>0.64</v>
      </c>
      <c r="BA60" s="463">
        <f t="shared" si="199"/>
        <v>0</v>
      </c>
    </row>
    <row r="61" spans="1:53" x14ac:dyDescent="0.2">
      <c r="A61" s="211">
        <v>12</v>
      </c>
      <c r="B61" s="212">
        <v>3405</v>
      </c>
      <c r="C61" s="212">
        <v>600078337</v>
      </c>
      <c r="D61" s="212">
        <v>70698325</v>
      </c>
      <c r="E61" s="210" t="s">
        <v>143</v>
      </c>
      <c r="F61" s="212">
        <v>3141</v>
      </c>
      <c r="G61" s="213" t="s">
        <v>311</v>
      </c>
      <c r="H61" s="214" t="s">
        <v>278</v>
      </c>
      <c r="I61" s="462">
        <f t="shared" si="178"/>
        <v>605852</v>
      </c>
      <c r="J61" s="457">
        <v>447748</v>
      </c>
      <c r="K61" s="457">
        <f t="shared" si="179"/>
        <v>151339</v>
      </c>
      <c r="L61" s="457">
        <f t="shared" si="180"/>
        <v>4477</v>
      </c>
      <c r="M61" s="457">
        <v>2288</v>
      </c>
      <c r="N61" s="458">
        <f t="shared" si="181"/>
        <v>1.44</v>
      </c>
      <c r="O61" s="459">
        <v>0</v>
      </c>
      <c r="P61" s="468">
        <v>1.44</v>
      </c>
      <c r="Q61" s="470">
        <f t="shared" si="182"/>
        <v>0</v>
      </c>
      <c r="R61" s="460">
        <v>0</v>
      </c>
      <c r="S61" s="673">
        <v>0</v>
      </c>
      <c r="T61" s="460">
        <v>0</v>
      </c>
      <c r="U61" s="460">
        <v>0</v>
      </c>
      <c r="V61" s="460">
        <f t="shared" si="183"/>
        <v>0</v>
      </c>
      <c r="W61" s="460">
        <v>0</v>
      </c>
      <c r="X61" s="460">
        <v>0</v>
      </c>
      <c r="Y61" s="460">
        <v>0</v>
      </c>
      <c r="Z61" s="460">
        <f t="shared" si="184"/>
        <v>0</v>
      </c>
      <c r="AA61" s="460">
        <f t="shared" si="185"/>
        <v>0</v>
      </c>
      <c r="AB61" s="69">
        <f t="shared" si="186"/>
        <v>0</v>
      </c>
      <c r="AC61" s="69">
        <f t="shared" si="187"/>
        <v>0</v>
      </c>
      <c r="AD61" s="460">
        <v>0</v>
      </c>
      <c r="AE61" s="460">
        <v>0</v>
      </c>
      <c r="AF61" s="460">
        <f t="shared" si="188"/>
        <v>0</v>
      </c>
      <c r="AG61" s="460">
        <f t="shared" si="189"/>
        <v>0</v>
      </c>
      <c r="AH61" s="461">
        <v>0</v>
      </c>
      <c r="AI61" s="461">
        <v>0</v>
      </c>
      <c r="AJ61" s="461">
        <v>0</v>
      </c>
      <c r="AK61" s="461">
        <v>0</v>
      </c>
      <c r="AL61" s="674">
        <v>0</v>
      </c>
      <c r="AM61" s="461">
        <v>0</v>
      </c>
      <c r="AN61" s="461">
        <v>0</v>
      </c>
      <c r="AO61" s="461">
        <v>0</v>
      </c>
      <c r="AP61" s="461">
        <f t="shared" si="190"/>
        <v>0</v>
      </c>
      <c r="AQ61" s="461">
        <f t="shared" si="191"/>
        <v>0</v>
      </c>
      <c r="AR61" s="463">
        <f t="shared" si="192"/>
        <v>0</v>
      </c>
      <c r="AS61" s="469">
        <f t="shared" si="193"/>
        <v>605852</v>
      </c>
      <c r="AT61" s="460">
        <f t="shared" si="194"/>
        <v>447748</v>
      </c>
      <c r="AU61" s="460">
        <f t="shared" si="195"/>
        <v>0</v>
      </c>
      <c r="AV61" s="460">
        <f t="shared" si="196"/>
        <v>151339</v>
      </c>
      <c r="AW61" s="460">
        <f t="shared" si="196"/>
        <v>4477</v>
      </c>
      <c r="AX61" s="460">
        <f t="shared" si="197"/>
        <v>2288</v>
      </c>
      <c r="AY61" s="461">
        <f t="shared" si="198"/>
        <v>1.44</v>
      </c>
      <c r="AZ61" s="461">
        <f t="shared" si="199"/>
        <v>0</v>
      </c>
      <c r="BA61" s="463">
        <f t="shared" si="199"/>
        <v>1.44</v>
      </c>
    </row>
    <row r="62" spans="1:53" x14ac:dyDescent="0.2">
      <c r="A62" s="211">
        <v>12</v>
      </c>
      <c r="B62" s="212">
        <v>3405</v>
      </c>
      <c r="C62" s="212">
        <v>600078337</v>
      </c>
      <c r="D62" s="212">
        <v>70698325</v>
      </c>
      <c r="E62" s="210" t="s">
        <v>143</v>
      </c>
      <c r="F62" s="212">
        <v>3143</v>
      </c>
      <c r="G62" s="213" t="s">
        <v>616</v>
      </c>
      <c r="H62" s="234" t="s">
        <v>277</v>
      </c>
      <c r="I62" s="462">
        <f t="shared" si="178"/>
        <v>348824</v>
      </c>
      <c r="J62" s="457">
        <v>258771</v>
      </c>
      <c r="K62" s="457">
        <f t="shared" si="179"/>
        <v>87465</v>
      </c>
      <c r="L62" s="457">
        <f t="shared" si="180"/>
        <v>2588</v>
      </c>
      <c r="M62" s="457">
        <v>0</v>
      </c>
      <c r="N62" s="458">
        <f t="shared" si="181"/>
        <v>0.55820000000000003</v>
      </c>
      <c r="O62" s="459">
        <v>0.55820000000000003</v>
      </c>
      <c r="P62" s="468">
        <v>0</v>
      </c>
      <c r="Q62" s="470">
        <f t="shared" si="182"/>
        <v>0</v>
      </c>
      <c r="R62" s="460">
        <v>0</v>
      </c>
      <c r="S62" s="673">
        <v>0</v>
      </c>
      <c r="T62" s="460">
        <v>0</v>
      </c>
      <c r="U62" s="460">
        <v>0</v>
      </c>
      <c r="V62" s="460">
        <f t="shared" si="183"/>
        <v>0</v>
      </c>
      <c r="W62" s="460">
        <v>0</v>
      </c>
      <c r="X62" s="460">
        <v>0</v>
      </c>
      <c r="Y62" s="460">
        <v>0</v>
      </c>
      <c r="Z62" s="460">
        <f t="shared" si="184"/>
        <v>0</v>
      </c>
      <c r="AA62" s="460">
        <f t="shared" si="185"/>
        <v>0</v>
      </c>
      <c r="AB62" s="69">
        <f t="shared" si="186"/>
        <v>0</v>
      </c>
      <c r="AC62" s="69">
        <f t="shared" si="187"/>
        <v>0</v>
      </c>
      <c r="AD62" s="460">
        <v>0</v>
      </c>
      <c r="AE62" s="460">
        <v>0</v>
      </c>
      <c r="AF62" s="460">
        <f t="shared" si="188"/>
        <v>0</v>
      </c>
      <c r="AG62" s="460">
        <f t="shared" si="189"/>
        <v>0</v>
      </c>
      <c r="AH62" s="461">
        <v>0</v>
      </c>
      <c r="AI62" s="461">
        <v>0</v>
      </c>
      <c r="AJ62" s="461">
        <v>0</v>
      </c>
      <c r="AK62" s="461">
        <v>0</v>
      </c>
      <c r="AL62" s="674">
        <v>0</v>
      </c>
      <c r="AM62" s="461">
        <v>0</v>
      </c>
      <c r="AN62" s="461">
        <v>0</v>
      </c>
      <c r="AO62" s="461">
        <v>0</v>
      </c>
      <c r="AP62" s="461">
        <f t="shared" si="190"/>
        <v>0</v>
      </c>
      <c r="AQ62" s="461">
        <f t="shared" si="191"/>
        <v>0</v>
      </c>
      <c r="AR62" s="463">
        <f t="shared" si="192"/>
        <v>0</v>
      </c>
      <c r="AS62" s="469">
        <f t="shared" si="193"/>
        <v>348824</v>
      </c>
      <c r="AT62" s="460">
        <f t="shared" si="194"/>
        <v>258771</v>
      </c>
      <c r="AU62" s="460">
        <f t="shared" si="195"/>
        <v>0</v>
      </c>
      <c r="AV62" s="460">
        <f t="shared" si="196"/>
        <v>87465</v>
      </c>
      <c r="AW62" s="460">
        <f t="shared" si="196"/>
        <v>2588</v>
      </c>
      <c r="AX62" s="460">
        <f t="shared" si="197"/>
        <v>0</v>
      </c>
      <c r="AY62" s="461">
        <f t="shared" si="198"/>
        <v>0.55820000000000003</v>
      </c>
      <c r="AZ62" s="461">
        <f t="shared" si="199"/>
        <v>0.55820000000000003</v>
      </c>
      <c r="BA62" s="463">
        <f t="shared" si="199"/>
        <v>0</v>
      </c>
    </row>
    <row r="63" spans="1:53" x14ac:dyDescent="0.2">
      <c r="A63" s="211">
        <v>12</v>
      </c>
      <c r="B63" s="212">
        <v>3405</v>
      </c>
      <c r="C63" s="212">
        <v>600078337</v>
      </c>
      <c r="D63" s="212">
        <v>70698325</v>
      </c>
      <c r="E63" s="210" t="s">
        <v>143</v>
      </c>
      <c r="F63" s="212">
        <v>3143</v>
      </c>
      <c r="G63" s="213" t="s">
        <v>617</v>
      </c>
      <c r="H63" s="234" t="s">
        <v>278</v>
      </c>
      <c r="I63" s="462">
        <f t="shared" si="178"/>
        <v>16125</v>
      </c>
      <c r="J63" s="457">
        <v>11522</v>
      </c>
      <c r="K63" s="457">
        <f t="shared" si="179"/>
        <v>3894</v>
      </c>
      <c r="L63" s="457">
        <f t="shared" si="180"/>
        <v>115</v>
      </c>
      <c r="M63" s="457">
        <v>594</v>
      </c>
      <c r="N63" s="458">
        <f t="shared" si="181"/>
        <v>0.05</v>
      </c>
      <c r="O63" s="459">
        <v>0</v>
      </c>
      <c r="P63" s="468">
        <v>0.05</v>
      </c>
      <c r="Q63" s="470">
        <f t="shared" si="182"/>
        <v>0</v>
      </c>
      <c r="R63" s="460">
        <v>0</v>
      </c>
      <c r="S63" s="673">
        <v>0</v>
      </c>
      <c r="T63" s="460">
        <v>0</v>
      </c>
      <c r="U63" s="460">
        <v>0</v>
      </c>
      <c r="V63" s="460">
        <f t="shared" si="183"/>
        <v>0</v>
      </c>
      <c r="W63" s="460">
        <v>0</v>
      </c>
      <c r="X63" s="460">
        <v>0</v>
      </c>
      <c r="Y63" s="460">
        <v>0</v>
      </c>
      <c r="Z63" s="460">
        <f t="shared" si="184"/>
        <v>0</v>
      </c>
      <c r="AA63" s="460">
        <f t="shared" si="185"/>
        <v>0</v>
      </c>
      <c r="AB63" s="69">
        <f t="shared" si="186"/>
        <v>0</v>
      </c>
      <c r="AC63" s="69">
        <f t="shared" si="187"/>
        <v>0</v>
      </c>
      <c r="AD63" s="460">
        <v>0</v>
      </c>
      <c r="AE63" s="460">
        <v>0</v>
      </c>
      <c r="AF63" s="460">
        <f t="shared" si="188"/>
        <v>0</v>
      </c>
      <c r="AG63" s="460">
        <f t="shared" si="189"/>
        <v>0</v>
      </c>
      <c r="AH63" s="461">
        <v>0</v>
      </c>
      <c r="AI63" s="461">
        <v>0</v>
      </c>
      <c r="AJ63" s="461">
        <v>0</v>
      </c>
      <c r="AK63" s="461">
        <v>0</v>
      </c>
      <c r="AL63" s="674">
        <v>0</v>
      </c>
      <c r="AM63" s="461">
        <v>0</v>
      </c>
      <c r="AN63" s="461">
        <v>0</v>
      </c>
      <c r="AO63" s="461">
        <v>0</v>
      </c>
      <c r="AP63" s="461">
        <f t="shared" si="190"/>
        <v>0</v>
      </c>
      <c r="AQ63" s="461">
        <f t="shared" si="191"/>
        <v>0</v>
      </c>
      <c r="AR63" s="463">
        <f t="shared" si="192"/>
        <v>0</v>
      </c>
      <c r="AS63" s="469">
        <f t="shared" si="193"/>
        <v>16125</v>
      </c>
      <c r="AT63" s="460">
        <f t="shared" si="194"/>
        <v>11522</v>
      </c>
      <c r="AU63" s="460">
        <f t="shared" si="195"/>
        <v>0</v>
      </c>
      <c r="AV63" s="460">
        <f t="shared" si="196"/>
        <v>3894</v>
      </c>
      <c r="AW63" s="460">
        <f t="shared" si="196"/>
        <v>115</v>
      </c>
      <c r="AX63" s="460">
        <f t="shared" si="197"/>
        <v>594</v>
      </c>
      <c r="AY63" s="461">
        <f t="shared" si="198"/>
        <v>0.05</v>
      </c>
      <c r="AZ63" s="461">
        <f t="shared" si="199"/>
        <v>0</v>
      </c>
      <c r="BA63" s="463">
        <f t="shared" si="199"/>
        <v>0.05</v>
      </c>
    </row>
    <row r="64" spans="1:53" x14ac:dyDescent="0.2">
      <c r="A64" s="158">
        <v>12</v>
      </c>
      <c r="B64" s="18">
        <v>3405</v>
      </c>
      <c r="C64" s="18">
        <v>600078337</v>
      </c>
      <c r="D64" s="18">
        <v>70698325</v>
      </c>
      <c r="E64" s="167" t="s">
        <v>144</v>
      </c>
      <c r="F64" s="18"/>
      <c r="G64" s="157"/>
      <c r="H64" s="191"/>
      <c r="I64" s="505">
        <f t="shared" ref="I64:P64" si="200">SUM(I58:I63)</f>
        <v>4543588</v>
      </c>
      <c r="J64" s="502">
        <f t="shared" si="200"/>
        <v>3335187</v>
      </c>
      <c r="K64" s="502">
        <f t="shared" si="200"/>
        <v>1127293</v>
      </c>
      <c r="L64" s="502">
        <f t="shared" si="200"/>
        <v>33351</v>
      </c>
      <c r="M64" s="502">
        <f t="shared" si="200"/>
        <v>47757</v>
      </c>
      <c r="N64" s="503">
        <f t="shared" si="200"/>
        <v>6.7228999999999992</v>
      </c>
      <c r="O64" s="503">
        <f t="shared" si="200"/>
        <v>4.2129000000000003</v>
      </c>
      <c r="P64" s="507">
        <f t="shared" si="200"/>
        <v>2.5099999999999998</v>
      </c>
      <c r="Q64" s="505">
        <f t="shared" ref="Q64:BA64" si="201">SUM(Q58:Q63)</f>
        <v>0</v>
      </c>
      <c r="R64" s="502">
        <f t="shared" si="201"/>
        <v>221345</v>
      </c>
      <c r="S64" s="502">
        <f t="shared" si="201"/>
        <v>0</v>
      </c>
      <c r="T64" s="502">
        <f t="shared" si="201"/>
        <v>0</v>
      </c>
      <c r="U64" s="502">
        <f t="shared" si="201"/>
        <v>0</v>
      </c>
      <c r="V64" s="502">
        <f t="shared" si="201"/>
        <v>221345</v>
      </c>
      <c r="W64" s="502">
        <f t="shared" si="201"/>
        <v>0</v>
      </c>
      <c r="X64" s="502">
        <f t="shared" si="201"/>
        <v>0</v>
      </c>
      <c r="Y64" s="502">
        <f t="shared" si="201"/>
        <v>0</v>
      </c>
      <c r="Z64" s="502">
        <f t="shared" si="201"/>
        <v>0</v>
      </c>
      <c r="AA64" s="502">
        <f t="shared" si="201"/>
        <v>221345</v>
      </c>
      <c r="AB64" s="502">
        <f t="shared" si="201"/>
        <v>74815</v>
      </c>
      <c r="AC64" s="502">
        <f t="shared" si="201"/>
        <v>2213</v>
      </c>
      <c r="AD64" s="502">
        <f t="shared" si="201"/>
        <v>0</v>
      </c>
      <c r="AE64" s="502">
        <f t="shared" si="201"/>
        <v>0</v>
      </c>
      <c r="AF64" s="502">
        <f t="shared" si="201"/>
        <v>0</v>
      </c>
      <c r="AG64" s="502">
        <f t="shared" si="201"/>
        <v>298373</v>
      </c>
      <c r="AH64" s="503">
        <f t="shared" si="201"/>
        <v>0</v>
      </c>
      <c r="AI64" s="503">
        <f t="shared" si="201"/>
        <v>0</v>
      </c>
      <c r="AJ64" s="503">
        <f t="shared" si="201"/>
        <v>0.64</v>
      </c>
      <c r="AK64" s="503">
        <f t="shared" si="201"/>
        <v>0</v>
      </c>
      <c r="AL64" s="503">
        <f t="shared" si="201"/>
        <v>0</v>
      </c>
      <c r="AM64" s="503">
        <f t="shared" si="201"/>
        <v>0</v>
      </c>
      <c r="AN64" s="503">
        <f t="shared" si="201"/>
        <v>0</v>
      </c>
      <c r="AO64" s="503">
        <f t="shared" si="201"/>
        <v>0</v>
      </c>
      <c r="AP64" s="503">
        <f t="shared" si="201"/>
        <v>0.64</v>
      </c>
      <c r="AQ64" s="503">
        <f t="shared" si="201"/>
        <v>0</v>
      </c>
      <c r="AR64" s="40">
        <f t="shared" si="201"/>
        <v>0.64</v>
      </c>
      <c r="AS64" s="509">
        <f t="shared" si="201"/>
        <v>4841961</v>
      </c>
      <c r="AT64" s="502">
        <f t="shared" si="201"/>
        <v>3556532</v>
      </c>
      <c r="AU64" s="502">
        <f t="shared" si="201"/>
        <v>0</v>
      </c>
      <c r="AV64" s="502">
        <f t="shared" si="201"/>
        <v>1202108</v>
      </c>
      <c r="AW64" s="502">
        <f t="shared" si="201"/>
        <v>35564</v>
      </c>
      <c r="AX64" s="502">
        <f t="shared" si="201"/>
        <v>47757</v>
      </c>
      <c r="AY64" s="503">
        <f t="shared" si="201"/>
        <v>7.3628999999999998</v>
      </c>
      <c r="AZ64" s="503">
        <f t="shared" si="201"/>
        <v>4.8529</v>
      </c>
      <c r="BA64" s="40">
        <f t="shared" si="201"/>
        <v>2.5099999999999998</v>
      </c>
    </row>
    <row r="65" spans="1:53" x14ac:dyDescent="0.2">
      <c r="A65" s="211">
        <v>13</v>
      </c>
      <c r="B65" s="212">
        <v>3444</v>
      </c>
      <c r="C65" s="212">
        <v>600078086</v>
      </c>
      <c r="D65" s="212">
        <v>16389573</v>
      </c>
      <c r="E65" s="210" t="s">
        <v>145</v>
      </c>
      <c r="F65" s="212">
        <v>3111</v>
      </c>
      <c r="G65" s="213" t="s">
        <v>307</v>
      </c>
      <c r="H65" s="214" t="s">
        <v>277</v>
      </c>
      <c r="I65" s="462">
        <f t="shared" ref="I65:I66" si="202">SUM(J65:M65)</f>
        <v>3541047</v>
      </c>
      <c r="J65" s="457">
        <v>2611459</v>
      </c>
      <c r="K65" s="457">
        <f t="shared" ref="K65:K66" si="203">ROUND(J65*33.8%,0)</f>
        <v>882673</v>
      </c>
      <c r="L65" s="457">
        <f t="shared" ref="L65:L66" si="204">ROUND(J65*1%,0)</f>
        <v>26115</v>
      </c>
      <c r="M65" s="457">
        <v>20800</v>
      </c>
      <c r="N65" s="458">
        <f t="shared" ref="N65:N66" si="205">O65+P65</f>
        <v>5.2</v>
      </c>
      <c r="O65" s="459">
        <v>4</v>
      </c>
      <c r="P65" s="468">
        <v>1.2</v>
      </c>
      <c r="Q65" s="470">
        <f t="shared" ref="Q65:Q66" si="206">W65*-1</f>
        <v>-13000</v>
      </c>
      <c r="R65" s="460">
        <v>0</v>
      </c>
      <c r="S65" s="673">
        <v>0</v>
      </c>
      <c r="T65" s="460">
        <v>0</v>
      </c>
      <c r="U65" s="460">
        <v>0</v>
      </c>
      <c r="V65" s="460">
        <f>SUM(Q65:U65)</f>
        <v>-13000</v>
      </c>
      <c r="W65" s="460">
        <v>13000</v>
      </c>
      <c r="X65" s="460">
        <v>0</v>
      </c>
      <c r="Y65" s="460">
        <v>0</v>
      </c>
      <c r="Z65" s="460">
        <f t="shared" ref="Z65:Z66" si="207">SUM(W65:Y65)</f>
        <v>13000</v>
      </c>
      <c r="AA65" s="460">
        <f t="shared" ref="AA65:AA66" si="208">V65+Z65</f>
        <v>0</v>
      </c>
      <c r="AB65" s="69">
        <f t="shared" ref="AB65:AB66" si="209">ROUND((V65+W65+X65)*33.8%,0)</f>
        <v>0</v>
      </c>
      <c r="AC65" s="69">
        <f t="shared" ref="AC65:AC66" si="210">ROUND(V65*1%,0)</f>
        <v>-130</v>
      </c>
      <c r="AD65" s="460">
        <v>0</v>
      </c>
      <c r="AE65" s="460">
        <v>0</v>
      </c>
      <c r="AF65" s="460">
        <f t="shared" ref="AF65:AF66" si="211">SUM(AD65:AE65)</f>
        <v>0</v>
      </c>
      <c r="AG65" s="460">
        <f t="shared" ref="AG65:AG66" si="212">AA65+AB65+AC65+AF65</f>
        <v>-130</v>
      </c>
      <c r="AH65" s="461">
        <v>0</v>
      </c>
      <c r="AI65" s="461">
        <v>-0.04</v>
      </c>
      <c r="AJ65" s="461">
        <v>0</v>
      </c>
      <c r="AK65" s="461">
        <v>0</v>
      </c>
      <c r="AL65" s="674">
        <v>0</v>
      </c>
      <c r="AM65" s="461">
        <v>0</v>
      </c>
      <c r="AN65" s="461">
        <v>0</v>
      </c>
      <c r="AO65" s="461">
        <v>0</v>
      </c>
      <c r="AP65" s="461">
        <f>AH65+AJ65+AK65+AM65+AN65</f>
        <v>0</v>
      </c>
      <c r="AQ65" s="461">
        <f>AI65+AL65+AO65</f>
        <v>-0.04</v>
      </c>
      <c r="AR65" s="463">
        <f t="shared" ref="AR65:AR66" si="213">SUM(AP65:AQ65)</f>
        <v>-0.04</v>
      </c>
      <c r="AS65" s="469">
        <f>I65+AG65</f>
        <v>3540917</v>
      </c>
      <c r="AT65" s="460">
        <f>J65+V65</f>
        <v>2598459</v>
      </c>
      <c r="AU65" s="460">
        <f t="shared" ref="AU65:AU66" si="214">Z65</f>
        <v>13000</v>
      </c>
      <c r="AV65" s="460">
        <f>K65+AB65</f>
        <v>882673</v>
      </c>
      <c r="AW65" s="460">
        <f>L65+AC65</f>
        <v>25985</v>
      </c>
      <c r="AX65" s="460">
        <f>M65+AF65</f>
        <v>20800</v>
      </c>
      <c r="AY65" s="461">
        <f>N65+AR65</f>
        <v>5.16</v>
      </c>
      <c r="AZ65" s="461">
        <f>O65+AP65</f>
        <v>4</v>
      </c>
      <c r="BA65" s="463">
        <f>P65+AQ65</f>
        <v>1.1599999999999999</v>
      </c>
    </row>
    <row r="66" spans="1:53" x14ac:dyDescent="0.2">
      <c r="A66" s="211">
        <v>13</v>
      </c>
      <c r="B66" s="212">
        <v>3444</v>
      </c>
      <c r="C66" s="212">
        <v>600078086</v>
      </c>
      <c r="D66" s="212">
        <v>16389573</v>
      </c>
      <c r="E66" s="210" t="s">
        <v>145</v>
      </c>
      <c r="F66" s="212">
        <v>3141</v>
      </c>
      <c r="G66" s="213" t="s">
        <v>311</v>
      </c>
      <c r="H66" s="214" t="s">
        <v>278</v>
      </c>
      <c r="I66" s="462">
        <f t="shared" si="202"/>
        <v>666984</v>
      </c>
      <c r="J66" s="457">
        <v>492789</v>
      </c>
      <c r="K66" s="457">
        <f t="shared" si="203"/>
        <v>166563</v>
      </c>
      <c r="L66" s="457">
        <f t="shared" si="204"/>
        <v>4928</v>
      </c>
      <c r="M66" s="457">
        <v>2704</v>
      </c>
      <c r="N66" s="458">
        <f t="shared" si="205"/>
        <v>1.58</v>
      </c>
      <c r="O66" s="459">
        <v>0</v>
      </c>
      <c r="P66" s="468">
        <v>1.58</v>
      </c>
      <c r="Q66" s="470">
        <f t="shared" si="206"/>
        <v>-6500</v>
      </c>
      <c r="R66" s="460">
        <v>0</v>
      </c>
      <c r="S66" s="673">
        <v>0</v>
      </c>
      <c r="T66" s="460">
        <v>0</v>
      </c>
      <c r="U66" s="460">
        <v>0</v>
      </c>
      <c r="V66" s="460">
        <f>SUM(Q66:U66)</f>
        <v>-6500</v>
      </c>
      <c r="W66" s="460">
        <v>6500</v>
      </c>
      <c r="X66" s="460">
        <v>0</v>
      </c>
      <c r="Y66" s="460">
        <v>0</v>
      </c>
      <c r="Z66" s="460">
        <f t="shared" si="207"/>
        <v>6500</v>
      </c>
      <c r="AA66" s="460">
        <f t="shared" si="208"/>
        <v>0</v>
      </c>
      <c r="AB66" s="69">
        <f t="shared" si="209"/>
        <v>0</v>
      </c>
      <c r="AC66" s="69">
        <f t="shared" si="210"/>
        <v>-65</v>
      </c>
      <c r="AD66" s="460">
        <v>0</v>
      </c>
      <c r="AE66" s="460">
        <v>0</v>
      </c>
      <c r="AF66" s="460">
        <f t="shared" si="211"/>
        <v>0</v>
      </c>
      <c r="AG66" s="460">
        <f t="shared" si="212"/>
        <v>-65</v>
      </c>
      <c r="AH66" s="461">
        <v>0</v>
      </c>
      <c r="AI66" s="461">
        <v>0</v>
      </c>
      <c r="AJ66" s="461">
        <v>0</v>
      </c>
      <c r="AK66" s="461">
        <v>0</v>
      </c>
      <c r="AL66" s="674">
        <v>0</v>
      </c>
      <c r="AM66" s="461">
        <v>0</v>
      </c>
      <c r="AN66" s="461">
        <v>0</v>
      </c>
      <c r="AO66" s="461">
        <v>0</v>
      </c>
      <c r="AP66" s="461">
        <f>AH66+AJ66+AK66+AM66+AN66</f>
        <v>0</v>
      </c>
      <c r="AQ66" s="461">
        <f>AI66+AL66+AO66</f>
        <v>0</v>
      </c>
      <c r="AR66" s="463">
        <f t="shared" si="213"/>
        <v>0</v>
      </c>
      <c r="AS66" s="469">
        <f>I66+AG66</f>
        <v>666919</v>
      </c>
      <c r="AT66" s="460">
        <f>J66+V66</f>
        <v>486289</v>
      </c>
      <c r="AU66" s="460">
        <f t="shared" si="214"/>
        <v>6500</v>
      </c>
      <c r="AV66" s="460">
        <f>K66+AB66</f>
        <v>166563</v>
      </c>
      <c r="AW66" s="460">
        <f>L66+AC66</f>
        <v>4863</v>
      </c>
      <c r="AX66" s="460">
        <f>M66+AF66</f>
        <v>2704</v>
      </c>
      <c r="AY66" s="461">
        <f>N66+AR66</f>
        <v>1.58</v>
      </c>
      <c r="AZ66" s="461">
        <f>O66+AP66</f>
        <v>0</v>
      </c>
      <c r="BA66" s="463">
        <f>P66+AQ66</f>
        <v>1.58</v>
      </c>
    </row>
    <row r="67" spans="1:53" x14ac:dyDescent="0.2">
      <c r="A67" s="158">
        <v>13</v>
      </c>
      <c r="B67" s="18">
        <v>3444</v>
      </c>
      <c r="C67" s="18">
        <v>600078086</v>
      </c>
      <c r="D67" s="18">
        <v>16389573</v>
      </c>
      <c r="E67" s="167" t="s">
        <v>146</v>
      </c>
      <c r="F67" s="18"/>
      <c r="G67" s="157"/>
      <c r="H67" s="191"/>
      <c r="I67" s="505">
        <f t="shared" ref="I67:P67" si="215">SUM(I65:I66)</f>
        <v>4208031</v>
      </c>
      <c r="J67" s="502">
        <f t="shared" si="215"/>
        <v>3104248</v>
      </c>
      <c r="K67" s="502">
        <f t="shared" si="215"/>
        <v>1049236</v>
      </c>
      <c r="L67" s="502">
        <f t="shared" si="215"/>
        <v>31043</v>
      </c>
      <c r="M67" s="502">
        <f t="shared" si="215"/>
        <v>23504</v>
      </c>
      <c r="N67" s="503">
        <f t="shared" si="215"/>
        <v>6.78</v>
      </c>
      <c r="O67" s="503">
        <f t="shared" si="215"/>
        <v>4</v>
      </c>
      <c r="P67" s="507">
        <f t="shared" si="215"/>
        <v>2.7800000000000002</v>
      </c>
      <c r="Q67" s="505">
        <f t="shared" ref="Q67:BA67" si="216">SUM(Q65:Q66)</f>
        <v>-19500</v>
      </c>
      <c r="R67" s="502">
        <f t="shared" si="216"/>
        <v>0</v>
      </c>
      <c r="S67" s="502">
        <f t="shared" si="216"/>
        <v>0</v>
      </c>
      <c r="T67" s="502">
        <f t="shared" si="216"/>
        <v>0</v>
      </c>
      <c r="U67" s="502">
        <f t="shared" si="216"/>
        <v>0</v>
      </c>
      <c r="V67" s="502">
        <f t="shared" si="216"/>
        <v>-19500</v>
      </c>
      <c r="W67" s="502">
        <f t="shared" si="216"/>
        <v>19500</v>
      </c>
      <c r="X67" s="502">
        <f t="shared" si="216"/>
        <v>0</v>
      </c>
      <c r="Y67" s="502">
        <f t="shared" si="216"/>
        <v>0</v>
      </c>
      <c r="Z67" s="502">
        <f t="shared" si="216"/>
        <v>19500</v>
      </c>
      <c r="AA67" s="502">
        <f t="shared" si="216"/>
        <v>0</v>
      </c>
      <c r="AB67" s="502">
        <f t="shared" si="216"/>
        <v>0</v>
      </c>
      <c r="AC67" s="502">
        <f t="shared" si="216"/>
        <v>-195</v>
      </c>
      <c r="AD67" s="502">
        <f t="shared" si="216"/>
        <v>0</v>
      </c>
      <c r="AE67" s="502">
        <f t="shared" si="216"/>
        <v>0</v>
      </c>
      <c r="AF67" s="502">
        <f t="shared" si="216"/>
        <v>0</v>
      </c>
      <c r="AG67" s="502">
        <f t="shared" si="216"/>
        <v>-195</v>
      </c>
      <c r="AH67" s="503">
        <f t="shared" si="216"/>
        <v>0</v>
      </c>
      <c r="AI67" s="503">
        <f t="shared" si="216"/>
        <v>-0.04</v>
      </c>
      <c r="AJ67" s="503">
        <f t="shared" si="216"/>
        <v>0</v>
      </c>
      <c r="AK67" s="503">
        <f t="shared" si="216"/>
        <v>0</v>
      </c>
      <c r="AL67" s="503">
        <f t="shared" si="216"/>
        <v>0</v>
      </c>
      <c r="AM67" s="503">
        <f t="shared" si="216"/>
        <v>0</v>
      </c>
      <c r="AN67" s="503">
        <f t="shared" si="216"/>
        <v>0</v>
      </c>
      <c r="AO67" s="503">
        <f t="shared" si="216"/>
        <v>0</v>
      </c>
      <c r="AP67" s="503">
        <f t="shared" si="216"/>
        <v>0</v>
      </c>
      <c r="AQ67" s="503">
        <f t="shared" si="216"/>
        <v>-0.04</v>
      </c>
      <c r="AR67" s="40">
        <f t="shared" si="216"/>
        <v>-0.04</v>
      </c>
      <c r="AS67" s="509">
        <f t="shared" si="216"/>
        <v>4207836</v>
      </c>
      <c r="AT67" s="502">
        <f t="shared" si="216"/>
        <v>3084748</v>
      </c>
      <c r="AU67" s="502">
        <f t="shared" si="216"/>
        <v>19500</v>
      </c>
      <c r="AV67" s="502">
        <f t="shared" si="216"/>
        <v>1049236</v>
      </c>
      <c r="AW67" s="502">
        <f t="shared" si="216"/>
        <v>30848</v>
      </c>
      <c r="AX67" s="502">
        <f t="shared" si="216"/>
        <v>23504</v>
      </c>
      <c r="AY67" s="503">
        <f t="shared" si="216"/>
        <v>6.74</v>
      </c>
      <c r="AZ67" s="503">
        <f t="shared" si="216"/>
        <v>4</v>
      </c>
      <c r="BA67" s="40">
        <f t="shared" si="216"/>
        <v>2.74</v>
      </c>
    </row>
    <row r="68" spans="1:53" x14ac:dyDescent="0.2">
      <c r="A68" s="211">
        <v>14</v>
      </c>
      <c r="B68" s="212">
        <v>3443</v>
      </c>
      <c r="C68" s="212">
        <v>600078582</v>
      </c>
      <c r="D68" s="212">
        <v>16389581</v>
      </c>
      <c r="E68" s="210" t="s">
        <v>147</v>
      </c>
      <c r="F68" s="212">
        <v>3113</v>
      </c>
      <c r="G68" s="213" t="s">
        <v>310</v>
      </c>
      <c r="H68" s="214" t="s">
        <v>277</v>
      </c>
      <c r="I68" s="462">
        <f t="shared" ref="I68:I72" si="217">SUM(J68:M68)</f>
        <v>13355698</v>
      </c>
      <c r="J68" s="457">
        <v>9742161</v>
      </c>
      <c r="K68" s="457">
        <f t="shared" ref="K68:K72" si="218">ROUND(J68*33.8%,0)</f>
        <v>3292850</v>
      </c>
      <c r="L68" s="457">
        <f t="shared" ref="L68:L72" si="219">ROUND(J68*1%,0)</f>
        <v>97422</v>
      </c>
      <c r="M68" s="457">
        <v>223265</v>
      </c>
      <c r="N68" s="458">
        <f t="shared" ref="N68:N72" si="220">O68+P68</f>
        <v>16.71</v>
      </c>
      <c r="O68" s="459">
        <v>13</v>
      </c>
      <c r="P68" s="468">
        <v>3.71</v>
      </c>
      <c r="Q68" s="470">
        <f t="shared" ref="Q68:Q72" si="221">W68*-1</f>
        <v>-130000</v>
      </c>
      <c r="R68" s="460">
        <v>0</v>
      </c>
      <c r="S68" s="673">
        <v>0</v>
      </c>
      <c r="T68" s="460">
        <v>0</v>
      </c>
      <c r="U68" s="460">
        <v>0</v>
      </c>
      <c r="V68" s="460">
        <f>SUM(Q68:U68)</f>
        <v>-130000</v>
      </c>
      <c r="W68" s="460">
        <v>130000</v>
      </c>
      <c r="X68" s="460">
        <v>0</v>
      </c>
      <c r="Y68" s="460">
        <v>0</v>
      </c>
      <c r="Z68" s="460">
        <f t="shared" ref="Z68:Z72" si="222">SUM(W68:Y68)</f>
        <v>130000</v>
      </c>
      <c r="AA68" s="460">
        <f t="shared" ref="AA68:AA72" si="223">V68+Z68</f>
        <v>0</v>
      </c>
      <c r="AB68" s="69">
        <f t="shared" ref="AB68:AB72" si="224">ROUND((V68+W68+X68)*33.8%,0)</f>
        <v>0</v>
      </c>
      <c r="AC68" s="69">
        <f t="shared" ref="AC68:AC72" si="225">ROUND(V68*1%,0)</f>
        <v>-1300</v>
      </c>
      <c r="AD68" s="460">
        <v>0</v>
      </c>
      <c r="AE68" s="460">
        <v>0</v>
      </c>
      <c r="AF68" s="460">
        <f t="shared" ref="AF68:AF72" si="226">SUM(AD68:AE68)</f>
        <v>0</v>
      </c>
      <c r="AG68" s="460">
        <f t="shared" ref="AG68:AG72" si="227">AA68+AB68+AC68+AF68</f>
        <v>-1300</v>
      </c>
      <c r="AH68" s="461">
        <v>0</v>
      </c>
      <c r="AI68" s="461">
        <v>0</v>
      </c>
      <c r="AJ68" s="461">
        <v>0</v>
      </c>
      <c r="AK68" s="461">
        <v>0</v>
      </c>
      <c r="AL68" s="674">
        <v>0</v>
      </c>
      <c r="AM68" s="461">
        <v>0</v>
      </c>
      <c r="AN68" s="461">
        <v>0</v>
      </c>
      <c r="AO68" s="461">
        <v>0</v>
      </c>
      <c r="AP68" s="461">
        <f>AH68+AJ68+AK68+AM68+AN68</f>
        <v>0</v>
      </c>
      <c r="AQ68" s="461">
        <f>AI68+AL68+AO68</f>
        <v>0</v>
      </c>
      <c r="AR68" s="463">
        <f t="shared" ref="AR68:AR72" si="228">SUM(AP68:AQ68)</f>
        <v>0</v>
      </c>
      <c r="AS68" s="469">
        <f>I68+AG68</f>
        <v>13354398</v>
      </c>
      <c r="AT68" s="460">
        <f>J68+V68</f>
        <v>9612161</v>
      </c>
      <c r="AU68" s="460">
        <f t="shared" ref="AU68:AU72" si="229">Z68</f>
        <v>130000</v>
      </c>
      <c r="AV68" s="460">
        <f t="shared" ref="AV68:AW72" si="230">K68+AB68</f>
        <v>3292850</v>
      </c>
      <c r="AW68" s="460">
        <f t="shared" si="230"/>
        <v>96122</v>
      </c>
      <c r="AX68" s="460">
        <f>M68+AF68</f>
        <v>223265</v>
      </c>
      <c r="AY68" s="461">
        <f>N68+AR68</f>
        <v>16.71</v>
      </c>
      <c r="AZ68" s="461">
        <f t="shared" ref="AZ68:BA72" si="231">O68+AP68</f>
        <v>13</v>
      </c>
      <c r="BA68" s="463">
        <f t="shared" si="231"/>
        <v>3.71</v>
      </c>
    </row>
    <row r="69" spans="1:53" x14ac:dyDescent="0.2">
      <c r="A69" s="211">
        <v>14</v>
      </c>
      <c r="B69" s="212">
        <v>3443</v>
      </c>
      <c r="C69" s="212">
        <v>600078582</v>
      </c>
      <c r="D69" s="212">
        <v>16389581</v>
      </c>
      <c r="E69" s="210" t="s">
        <v>147</v>
      </c>
      <c r="F69" s="212">
        <v>3113</v>
      </c>
      <c r="G69" s="213" t="s">
        <v>308</v>
      </c>
      <c r="H69" s="214" t="s">
        <v>278</v>
      </c>
      <c r="I69" s="462">
        <f t="shared" si="217"/>
        <v>0</v>
      </c>
      <c r="J69" s="457">
        <v>0</v>
      </c>
      <c r="K69" s="457">
        <f t="shared" si="218"/>
        <v>0</v>
      </c>
      <c r="L69" s="457">
        <f t="shared" si="219"/>
        <v>0</v>
      </c>
      <c r="M69" s="457">
        <v>0</v>
      </c>
      <c r="N69" s="458">
        <f t="shared" si="220"/>
        <v>0</v>
      </c>
      <c r="O69" s="459">
        <v>0</v>
      </c>
      <c r="P69" s="468">
        <v>0</v>
      </c>
      <c r="Q69" s="470">
        <f t="shared" si="221"/>
        <v>0</v>
      </c>
      <c r="R69" s="460">
        <f>700675+79393</f>
        <v>780068</v>
      </c>
      <c r="S69" s="673">
        <v>0</v>
      </c>
      <c r="T69" s="460">
        <v>0</v>
      </c>
      <c r="U69" s="460">
        <v>0</v>
      </c>
      <c r="V69" s="460">
        <f>SUM(Q69:U69)</f>
        <v>780068</v>
      </c>
      <c r="W69" s="460">
        <v>0</v>
      </c>
      <c r="X69" s="460">
        <v>0</v>
      </c>
      <c r="Y69" s="460">
        <v>0</v>
      </c>
      <c r="Z69" s="460">
        <f t="shared" si="222"/>
        <v>0</v>
      </c>
      <c r="AA69" s="460">
        <f t="shared" si="223"/>
        <v>780068</v>
      </c>
      <c r="AB69" s="69">
        <f t="shared" si="224"/>
        <v>263663</v>
      </c>
      <c r="AC69" s="69">
        <f t="shared" si="225"/>
        <v>7801</v>
      </c>
      <c r="AD69" s="460">
        <v>1250</v>
      </c>
      <c r="AE69" s="460">
        <v>0</v>
      </c>
      <c r="AF69" s="460">
        <f t="shared" si="226"/>
        <v>1250</v>
      </c>
      <c r="AG69" s="460">
        <f t="shared" si="227"/>
        <v>1052782</v>
      </c>
      <c r="AH69" s="461">
        <v>0</v>
      </c>
      <c r="AI69" s="461">
        <v>0</v>
      </c>
      <c r="AJ69" s="461">
        <f>1.99+0.23</f>
        <v>2.2200000000000002</v>
      </c>
      <c r="AK69" s="461">
        <v>0</v>
      </c>
      <c r="AL69" s="674">
        <v>0</v>
      </c>
      <c r="AM69" s="461">
        <v>0</v>
      </c>
      <c r="AN69" s="461">
        <v>0</v>
      </c>
      <c r="AO69" s="461">
        <v>0</v>
      </c>
      <c r="AP69" s="461">
        <f>AH69+AJ69+AK69+AM69+AN69</f>
        <v>2.2200000000000002</v>
      </c>
      <c r="AQ69" s="461">
        <f>AI69+AL69+AO69</f>
        <v>0</v>
      </c>
      <c r="AR69" s="463">
        <f t="shared" si="228"/>
        <v>2.2200000000000002</v>
      </c>
      <c r="AS69" s="469">
        <f>I69+AG69</f>
        <v>1052782</v>
      </c>
      <c r="AT69" s="460">
        <f>J69+V69</f>
        <v>780068</v>
      </c>
      <c r="AU69" s="460">
        <f t="shared" si="229"/>
        <v>0</v>
      </c>
      <c r="AV69" s="460">
        <f t="shared" si="230"/>
        <v>263663</v>
      </c>
      <c r="AW69" s="460">
        <f t="shared" si="230"/>
        <v>7801</v>
      </c>
      <c r="AX69" s="460">
        <f>M69+AF69</f>
        <v>1250</v>
      </c>
      <c r="AY69" s="461">
        <f>N69+AR69</f>
        <v>2.2200000000000002</v>
      </c>
      <c r="AZ69" s="461">
        <f t="shared" si="231"/>
        <v>2.2200000000000002</v>
      </c>
      <c r="BA69" s="463">
        <f t="shared" si="231"/>
        <v>0</v>
      </c>
    </row>
    <row r="70" spans="1:53" x14ac:dyDescent="0.2">
      <c r="A70" s="211">
        <v>14</v>
      </c>
      <c r="B70" s="212">
        <v>3443</v>
      </c>
      <c r="C70" s="212">
        <v>600078582</v>
      </c>
      <c r="D70" s="212">
        <v>16389581</v>
      </c>
      <c r="E70" s="210" t="s">
        <v>147</v>
      </c>
      <c r="F70" s="212">
        <v>3141</v>
      </c>
      <c r="G70" s="213" t="s">
        <v>311</v>
      </c>
      <c r="H70" s="214" t="s">
        <v>278</v>
      </c>
      <c r="I70" s="462">
        <f t="shared" si="217"/>
        <v>1170363</v>
      </c>
      <c r="J70" s="457">
        <v>862243</v>
      </c>
      <c r="K70" s="457">
        <f t="shared" si="218"/>
        <v>291438</v>
      </c>
      <c r="L70" s="457">
        <f t="shared" si="219"/>
        <v>8622</v>
      </c>
      <c r="M70" s="457">
        <v>8060</v>
      </c>
      <c r="N70" s="458">
        <f t="shared" si="220"/>
        <v>2.77</v>
      </c>
      <c r="O70" s="459">
        <v>0</v>
      </c>
      <c r="P70" s="468">
        <v>2.77</v>
      </c>
      <c r="Q70" s="470">
        <f t="shared" si="221"/>
        <v>-3900</v>
      </c>
      <c r="R70" s="460">
        <v>0</v>
      </c>
      <c r="S70" s="673">
        <v>0</v>
      </c>
      <c r="T70" s="460">
        <v>0</v>
      </c>
      <c r="U70" s="460">
        <v>0</v>
      </c>
      <c r="V70" s="460">
        <f>SUM(Q70:U70)</f>
        <v>-3900</v>
      </c>
      <c r="W70" s="460">
        <v>3900</v>
      </c>
      <c r="X70" s="460">
        <v>0</v>
      </c>
      <c r="Y70" s="460">
        <v>0</v>
      </c>
      <c r="Z70" s="460">
        <f t="shared" si="222"/>
        <v>3900</v>
      </c>
      <c r="AA70" s="460">
        <f t="shared" si="223"/>
        <v>0</v>
      </c>
      <c r="AB70" s="69">
        <f t="shared" si="224"/>
        <v>0</v>
      </c>
      <c r="AC70" s="69">
        <f t="shared" si="225"/>
        <v>-39</v>
      </c>
      <c r="AD70" s="460">
        <v>0</v>
      </c>
      <c r="AE70" s="460">
        <v>0</v>
      </c>
      <c r="AF70" s="460">
        <f t="shared" si="226"/>
        <v>0</v>
      </c>
      <c r="AG70" s="460">
        <f t="shared" si="227"/>
        <v>-39</v>
      </c>
      <c r="AH70" s="461">
        <v>0</v>
      </c>
      <c r="AI70" s="461">
        <v>0</v>
      </c>
      <c r="AJ70" s="461">
        <v>0</v>
      </c>
      <c r="AK70" s="461">
        <v>0</v>
      </c>
      <c r="AL70" s="674">
        <v>0</v>
      </c>
      <c r="AM70" s="461">
        <v>0</v>
      </c>
      <c r="AN70" s="461">
        <v>0</v>
      </c>
      <c r="AO70" s="461">
        <v>0</v>
      </c>
      <c r="AP70" s="461">
        <f>AH70+AJ70+AK70+AM70+AN70</f>
        <v>0</v>
      </c>
      <c r="AQ70" s="461">
        <f>AI70+AL70+AO70</f>
        <v>0</v>
      </c>
      <c r="AR70" s="463">
        <f t="shared" si="228"/>
        <v>0</v>
      </c>
      <c r="AS70" s="469">
        <f>I70+AG70</f>
        <v>1170324</v>
      </c>
      <c r="AT70" s="460">
        <f>J70+V70</f>
        <v>858343</v>
      </c>
      <c r="AU70" s="460">
        <f t="shared" si="229"/>
        <v>3900</v>
      </c>
      <c r="AV70" s="460">
        <f t="shared" si="230"/>
        <v>291438</v>
      </c>
      <c r="AW70" s="460">
        <f t="shared" si="230"/>
        <v>8583</v>
      </c>
      <c r="AX70" s="460">
        <f>M70+AF70</f>
        <v>8060</v>
      </c>
      <c r="AY70" s="461">
        <f>N70+AR70</f>
        <v>2.77</v>
      </c>
      <c r="AZ70" s="461">
        <f t="shared" si="231"/>
        <v>0</v>
      </c>
      <c r="BA70" s="463">
        <f t="shared" si="231"/>
        <v>2.77</v>
      </c>
    </row>
    <row r="71" spans="1:53" x14ac:dyDescent="0.2">
      <c r="A71" s="211">
        <v>14</v>
      </c>
      <c r="B71" s="212">
        <v>3443</v>
      </c>
      <c r="C71" s="212">
        <v>600078582</v>
      </c>
      <c r="D71" s="212">
        <v>16389581</v>
      </c>
      <c r="E71" s="210" t="s">
        <v>147</v>
      </c>
      <c r="F71" s="212">
        <v>3143</v>
      </c>
      <c r="G71" s="213" t="s">
        <v>616</v>
      </c>
      <c r="H71" s="234" t="s">
        <v>277</v>
      </c>
      <c r="I71" s="462">
        <f t="shared" si="217"/>
        <v>810558</v>
      </c>
      <c r="J71" s="457">
        <v>601304</v>
      </c>
      <c r="K71" s="457">
        <f t="shared" si="218"/>
        <v>203241</v>
      </c>
      <c r="L71" s="457">
        <f t="shared" si="219"/>
        <v>6013</v>
      </c>
      <c r="M71" s="457">
        <v>0</v>
      </c>
      <c r="N71" s="458">
        <f t="shared" si="220"/>
        <v>1.5</v>
      </c>
      <c r="O71" s="459">
        <v>1.5</v>
      </c>
      <c r="P71" s="468">
        <v>0</v>
      </c>
      <c r="Q71" s="470">
        <f t="shared" si="221"/>
        <v>-7800</v>
      </c>
      <c r="R71" s="460">
        <v>0</v>
      </c>
      <c r="S71" s="673">
        <v>0</v>
      </c>
      <c r="T71" s="460">
        <v>0</v>
      </c>
      <c r="U71" s="460">
        <v>0</v>
      </c>
      <c r="V71" s="460">
        <f>SUM(Q71:U71)</f>
        <v>-7800</v>
      </c>
      <c r="W71" s="460">
        <v>7800</v>
      </c>
      <c r="X71" s="460">
        <v>0</v>
      </c>
      <c r="Y71" s="460">
        <v>0</v>
      </c>
      <c r="Z71" s="460">
        <f t="shared" si="222"/>
        <v>7800</v>
      </c>
      <c r="AA71" s="460">
        <f t="shared" si="223"/>
        <v>0</v>
      </c>
      <c r="AB71" s="69">
        <f t="shared" si="224"/>
        <v>0</v>
      </c>
      <c r="AC71" s="69">
        <f t="shared" si="225"/>
        <v>-78</v>
      </c>
      <c r="AD71" s="460">
        <v>0</v>
      </c>
      <c r="AE71" s="460">
        <v>0</v>
      </c>
      <c r="AF71" s="460">
        <f t="shared" si="226"/>
        <v>0</v>
      </c>
      <c r="AG71" s="460">
        <f t="shared" si="227"/>
        <v>-78</v>
      </c>
      <c r="AH71" s="461">
        <v>0</v>
      </c>
      <c r="AI71" s="461">
        <v>0</v>
      </c>
      <c r="AJ71" s="461">
        <v>0</v>
      </c>
      <c r="AK71" s="461">
        <v>0</v>
      </c>
      <c r="AL71" s="674">
        <v>0</v>
      </c>
      <c r="AM71" s="461">
        <v>0</v>
      </c>
      <c r="AN71" s="461">
        <v>0</v>
      </c>
      <c r="AO71" s="461">
        <v>0</v>
      </c>
      <c r="AP71" s="461">
        <f>AH71+AJ71+AK71+AM71+AN71</f>
        <v>0</v>
      </c>
      <c r="AQ71" s="461">
        <f>AI71+AL71+AO71</f>
        <v>0</v>
      </c>
      <c r="AR71" s="463">
        <f t="shared" si="228"/>
        <v>0</v>
      </c>
      <c r="AS71" s="469">
        <f>I71+AG71</f>
        <v>810480</v>
      </c>
      <c r="AT71" s="460">
        <f>J71+V71</f>
        <v>593504</v>
      </c>
      <c r="AU71" s="460">
        <f t="shared" si="229"/>
        <v>7800</v>
      </c>
      <c r="AV71" s="460">
        <f t="shared" si="230"/>
        <v>203241</v>
      </c>
      <c r="AW71" s="460">
        <f t="shared" si="230"/>
        <v>5935</v>
      </c>
      <c r="AX71" s="460">
        <f>M71+AF71</f>
        <v>0</v>
      </c>
      <c r="AY71" s="461">
        <f>N71+AR71</f>
        <v>1.5</v>
      </c>
      <c r="AZ71" s="461">
        <f t="shared" si="231"/>
        <v>1.5</v>
      </c>
      <c r="BA71" s="463">
        <f t="shared" si="231"/>
        <v>0</v>
      </c>
    </row>
    <row r="72" spans="1:53" x14ac:dyDescent="0.2">
      <c r="A72" s="211">
        <v>14</v>
      </c>
      <c r="B72" s="212">
        <v>3443</v>
      </c>
      <c r="C72" s="212">
        <v>600078582</v>
      </c>
      <c r="D72" s="212">
        <v>16389581</v>
      </c>
      <c r="E72" s="210" t="s">
        <v>147</v>
      </c>
      <c r="F72" s="212">
        <v>3143</v>
      </c>
      <c r="G72" s="213" t="s">
        <v>617</v>
      </c>
      <c r="H72" s="234" t="s">
        <v>278</v>
      </c>
      <c r="I72" s="462">
        <f t="shared" si="217"/>
        <v>33718</v>
      </c>
      <c r="J72" s="457">
        <v>24092</v>
      </c>
      <c r="K72" s="457">
        <f t="shared" si="218"/>
        <v>8143</v>
      </c>
      <c r="L72" s="457">
        <f t="shared" si="219"/>
        <v>241</v>
      </c>
      <c r="M72" s="457">
        <v>1242</v>
      </c>
      <c r="N72" s="458">
        <f t="shared" si="220"/>
        <v>0.1</v>
      </c>
      <c r="O72" s="459">
        <v>0</v>
      </c>
      <c r="P72" s="468">
        <v>0.1</v>
      </c>
      <c r="Q72" s="470">
        <f t="shared" si="221"/>
        <v>0</v>
      </c>
      <c r="R72" s="460">
        <v>0</v>
      </c>
      <c r="S72" s="673">
        <v>0</v>
      </c>
      <c r="T72" s="460">
        <v>0</v>
      </c>
      <c r="U72" s="460">
        <v>0</v>
      </c>
      <c r="V72" s="460">
        <f>SUM(Q72:U72)</f>
        <v>0</v>
      </c>
      <c r="W72" s="460">
        <v>0</v>
      </c>
      <c r="X72" s="460">
        <v>0</v>
      </c>
      <c r="Y72" s="460">
        <v>0</v>
      </c>
      <c r="Z72" s="460">
        <f t="shared" si="222"/>
        <v>0</v>
      </c>
      <c r="AA72" s="460">
        <f t="shared" si="223"/>
        <v>0</v>
      </c>
      <c r="AB72" s="69">
        <f t="shared" si="224"/>
        <v>0</v>
      </c>
      <c r="AC72" s="69">
        <f t="shared" si="225"/>
        <v>0</v>
      </c>
      <c r="AD72" s="460">
        <v>0</v>
      </c>
      <c r="AE72" s="460">
        <v>0</v>
      </c>
      <c r="AF72" s="460">
        <f t="shared" si="226"/>
        <v>0</v>
      </c>
      <c r="AG72" s="460">
        <f t="shared" si="227"/>
        <v>0</v>
      </c>
      <c r="AH72" s="461">
        <v>0</v>
      </c>
      <c r="AI72" s="461">
        <v>0</v>
      </c>
      <c r="AJ72" s="461">
        <v>0</v>
      </c>
      <c r="AK72" s="461">
        <v>0</v>
      </c>
      <c r="AL72" s="674">
        <v>0</v>
      </c>
      <c r="AM72" s="461">
        <v>0</v>
      </c>
      <c r="AN72" s="461">
        <v>0</v>
      </c>
      <c r="AO72" s="461">
        <v>0</v>
      </c>
      <c r="AP72" s="461">
        <f>AH72+AJ72+AK72+AM72+AN72</f>
        <v>0</v>
      </c>
      <c r="AQ72" s="461">
        <f>AI72+AL72+AO72</f>
        <v>0</v>
      </c>
      <c r="AR72" s="463">
        <f t="shared" si="228"/>
        <v>0</v>
      </c>
      <c r="AS72" s="469">
        <f>I72+AG72</f>
        <v>33718</v>
      </c>
      <c r="AT72" s="460">
        <f>J72+V72</f>
        <v>24092</v>
      </c>
      <c r="AU72" s="460">
        <f t="shared" si="229"/>
        <v>0</v>
      </c>
      <c r="AV72" s="460">
        <f t="shared" si="230"/>
        <v>8143</v>
      </c>
      <c r="AW72" s="460">
        <f t="shared" si="230"/>
        <v>241</v>
      </c>
      <c r="AX72" s="460">
        <f>M72+AF72</f>
        <v>1242</v>
      </c>
      <c r="AY72" s="461">
        <f>N72+AR72</f>
        <v>0.1</v>
      </c>
      <c r="AZ72" s="461">
        <f t="shared" si="231"/>
        <v>0</v>
      </c>
      <c r="BA72" s="463">
        <f t="shared" si="231"/>
        <v>0.1</v>
      </c>
    </row>
    <row r="73" spans="1:53" ht="13.5" thickBot="1" x14ac:dyDescent="0.25">
      <c r="A73" s="162">
        <v>14</v>
      </c>
      <c r="B73" s="33">
        <v>3443</v>
      </c>
      <c r="C73" s="33">
        <v>600078582</v>
      </c>
      <c r="D73" s="33">
        <v>16389581</v>
      </c>
      <c r="E73" s="243" t="s">
        <v>148</v>
      </c>
      <c r="F73" s="33"/>
      <c r="G73" s="163"/>
      <c r="H73" s="244"/>
      <c r="I73" s="522">
        <f t="shared" ref="I73:P73" si="232">SUM(I68:I72)</f>
        <v>15370337</v>
      </c>
      <c r="J73" s="523">
        <f t="shared" si="232"/>
        <v>11229800</v>
      </c>
      <c r="K73" s="523">
        <f t="shared" si="232"/>
        <v>3795672</v>
      </c>
      <c r="L73" s="523">
        <f t="shared" si="232"/>
        <v>112298</v>
      </c>
      <c r="M73" s="523">
        <f t="shared" si="232"/>
        <v>232567</v>
      </c>
      <c r="N73" s="524">
        <f t="shared" si="232"/>
        <v>21.080000000000002</v>
      </c>
      <c r="O73" s="524">
        <f t="shared" si="232"/>
        <v>14.5</v>
      </c>
      <c r="P73" s="525">
        <f t="shared" si="232"/>
        <v>6.58</v>
      </c>
      <c r="Q73" s="656">
        <f t="shared" ref="Q73:BA73" si="233">SUM(Q68:Q72)</f>
        <v>-141700</v>
      </c>
      <c r="R73" s="657">
        <f t="shared" si="233"/>
        <v>780068</v>
      </c>
      <c r="S73" s="657">
        <f t="shared" si="233"/>
        <v>0</v>
      </c>
      <c r="T73" s="657">
        <f t="shared" si="233"/>
        <v>0</v>
      </c>
      <c r="U73" s="657">
        <f t="shared" si="233"/>
        <v>0</v>
      </c>
      <c r="V73" s="657">
        <f t="shared" si="233"/>
        <v>638368</v>
      </c>
      <c r="W73" s="657">
        <f t="shared" si="233"/>
        <v>141700</v>
      </c>
      <c r="X73" s="657">
        <f t="shared" si="233"/>
        <v>0</v>
      </c>
      <c r="Y73" s="657">
        <f t="shared" si="233"/>
        <v>0</v>
      </c>
      <c r="Z73" s="657">
        <f t="shared" si="233"/>
        <v>141700</v>
      </c>
      <c r="AA73" s="657">
        <f t="shared" si="233"/>
        <v>780068</v>
      </c>
      <c r="AB73" s="657">
        <f t="shared" si="233"/>
        <v>263663</v>
      </c>
      <c r="AC73" s="657">
        <f t="shared" si="233"/>
        <v>6384</v>
      </c>
      <c r="AD73" s="657">
        <f t="shared" si="233"/>
        <v>1250</v>
      </c>
      <c r="AE73" s="657">
        <f t="shared" si="233"/>
        <v>0</v>
      </c>
      <c r="AF73" s="657">
        <f t="shared" si="233"/>
        <v>1250</v>
      </c>
      <c r="AG73" s="657">
        <f t="shared" si="233"/>
        <v>1051365</v>
      </c>
      <c r="AH73" s="658">
        <f t="shared" si="233"/>
        <v>0</v>
      </c>
      <c r="AI73" s="658">
        <f t="shared" si="233"/>
        <v>0</v>
      </c>
      <c r="AJ73" s="658">
        <f t="shared" si="233"/>
        <v>2.2200000000000002</v>
      </c>
      <c r="AK73" s="658">
        <f t="shared" si="233"/>
        <v>0</v>
      </c>
      <c r="AL73" s="658">
        <f t="shared" si="233"/>
        <v>0</v>
      </c>
      <c r="AM73" s="658">
        <f t="shared" si="233"/>
        <v>0</v>
      </c>
      <c r="AN73" s="658">
        <f t="shared" si="233"/>
        <v>0</v>
      </c>
      <c r="AO73" s="658">
        <f t="shared" si="233"/>
        <v>0</v>
      </c>
      <c r="AP73" s="658">
        <f t="shared" si="233"/>
        <v>2.2200000000000002</v>
      </c>
      <c r="AQ73" s="658">
        <f t="shared" si="233"/>
        <v>0</v>
      </c>
      <c r="AR73" s="659">
        <f t="shared" si="233"/>
        <v>2.2200000000000002</v>
      </c>
      <c r="AS73" s="527">
        <f t="shared" si="233"/>
        <v>16421702</v>
      </c>
      <c r="AT73" s="523">
        <f t="shared" si="233"/>
        <v>11868168</v>
      </c>
      <c r="AU73" s="523">
        <f t="shared" si="233"/>
        <v>141700</v>
      </c>
      <c r="AV73" s="523">
        <f t="shared" si="233"/>
        <v>4059335</v>
      </c>
      <c r="AW73" s="523">
        <f t="shared" si="233"/>
        <v>118682</v>
      </c>
      <c r="AX73" s="523">
        <f t="shared" si="233"/>
        <v>233817</v>
      </c>
      <c r="AY73" s="524">
        <f t="shared" si="233"/>
        <v>23.3</v>
      </c>
      <c r="AZ73" s="524">
        <f t="shared" si="233"/>
        <v>16.72</v>
      </c>
      <c r="BA73" s="526">
        <f t="shared" si="233"/>
        <v>6.58</v>
      </c>
    </row>
    <row r="74" spans="1:53" ht="13.5" thickBot="1" x14ac:dyDescent="0.25">
      <c r="A74" s="164"/>
      <c r="B74" s="30"/>
      <c r="C74" s="30"/>
      <c r="D74" s="30"/>
      <c r="E74" s="86" t="s">
        <v>775</v>
      </c>
      <c r="F74" s="30"/>
      <c r="G74" s="165"/>
      <c r="H74" s="192"/>
      <c r="I74" s="516">
        <f t="shared" ref="I74:BA74" si="234">I15+I19+I23+I25+I32+I38+I40+I43+I48+I52+I57+I64+I67+I73</f>
        <v>141431983</v>
      </c>
      <c r="J74" s="517">
        <f t="shared" si="234"/>
        <v>103681057</v>
      </c>
      <c r="K74" s="517">
        <f t="shared" si="234"/>
        <v>35044197</v>
      </c>
      <c r="L74" s="517">
        <f t="shared" si="234"/>
        <v>1036809</v>
      </c>
      <c r="M74" s="517">
        <f t="shared" si="234"/>
        <v>1669920</v>
      </c>
      <c r="N74" s="518">
        <f t="shared" si="234"/>
        <v>200.39050000000003</v>
      </c>
      <c r="O74" s="518">
        <f t="shared" si="234"/>
        <v>138.83920000000001</v>
      </c>
      <c r="P74" s="519">
        <f t="shared" si="234"/>
        <v>61.551300000000005</v>
      </c>
      <c r="Q74" s="648">
        <f t="shared" si="234"/>
        <v>-545038</v>
      </c>
      <c r="R74" s="649">
        <f t="shared" si="234"/>
        <v>6056008</v>
      </c>
      <c r="S74" s="649">
        <f t="shared" si="234"/>
        <v>0</v>
      </c>
      <c r="T74" s="649">
        <f t="shared" si="234"/>
        <v>61900</v>
      </c>
      <c r="U74" s="649">
        <f t="shared" si="234"/>
        <v>0</v>
      </c>
      <c r="V74" s="649">
        <f t="shared" si="234"/>
        <v>5572870</v>
      </c>
      <c r="W74" s="649">
        <f t="shared" si="234"/>
        <v>545038</v>
      </c>
      <c r="X74" s="649">
        <f t="shared" si="234"/>
        <v>0</v>
      </c>
      <c r="Y74" s="649">
        <f t="shared" si="234"/>
        <v>0</v>
      </c>
      <c r="Z74" s="649">
        <f t="shared" si="234"/>
        <v>545038</v>
      </c>
      <c r="AA74" s="649">
        <f t="shared" si="234"/>
        <v>6117908</v>
      </c>
      <c r="AB74" s="649">
        <f t="shared" si="234"/>
        <v>2067853</v>
      </c>
      <c r="AC74" s="649">
        <f t="shared" si="234"/>
        <v>55726</v>
      </c>
      <c r="AD74" s="649">
        <f t="shared" si="234"/>
        <v>1250</v>
      </c>
      <c r="AE74" s="649">
        <f t="shared" si="234"/>
        <v>0</v>
      </c>
      <c r="AF74" s="649">
        <f t="shared" si="234"/>
        <v>1250</v>
      </c>
      <c r="AG74" s="649">
        <f t="shared" si="234"/>
        <v>8242737</v>
      </c>
      <c r="AH74" s="650">
        <f t="shared" si="234"/>
        <v>-0.28000000000000003</v>
      </c>
      <c r="AI74" s="650">
        <f t="shared" si="234"/>
        <v>-0.55000000000000004</v>
      </c>
      <c r="AJ74" s="650">
        <f t="shared" si="234"/>
        <v>17.46</v>
      </c>
      <c r="AK74" s="650">
        <f t="shared" si="234"/>
        <v>0</v>
      </c>
      <c r="AL74" s="650">
        <f t="shared" si="234"/>
        <v>0</v>
      </c>
      <c r="AM74" s="650">
        <f t="shared" si="234"/>
        <v>0.09</v>
      </c>
      <c r="AN74" s="650">
        <f t="shared" si="234"/>
        <v>0</v>
      </c>
      <c r="AO74" s="650">
        <f t="shared" si="234"/>
        <v>0</v>
      </c>
      <c r="AP74" s="650">
        <f t="shared" si="234"/>
        <v>17.27</v>
      </c>
      <c r="AQ74" s="650">
        <f t="shared" si="234"/>
        <v>-0.55000000000000004</v>
      </c>
      <c r="AR74" s="651">
        <f t="shared" si="234"/>
        <v>16.720000000000002</v>
      </c>
      <c r="AS74" s="521">
        <f t="shared" si="234"/>
        <v>149674720</v>
      </c>
      <c r="AT74" s="517">
        <f t="shared" si="234"/>
        <v>109253927</v>
      </c>
      <c r="AU74" s="517">
        <f t="shared" si="234"/>
        <v>545038</v>
      </c>
      <c r="AV74" s="517">
        <f t="shared" si="234"/>
        <v>37112050</v>
      </c>
      <c r="AW74" s="517">
        <f t="shared" si="234"/>
        <v>1092535</v>
      </c>
      <c r="AX74" s="517">
        <f t="shared" si="234"/>
        <v>1671170</v>
      </c>
      <c r="AY74" s="518">
        <f t="shared" si="234"/>
        <v>217.11050000000003</v>
      </c>
      <c r="AZ74" s="518">
        <f t="shared" si="234"/>
        <v>156.10919999999999</v>
      </c>
      <c r="BA74" s="520">
        <f t="shared" si="234"/>
        <v>61.001300000000001</v>
      </c>
    </row>
    <row r="75" spans="1:53" x14ac:dyDescent="0.2">
      <c r="D75" s="9"/>
      <c r="E75" s="5"/>
      <c r="F75" s="9"/>
      <c r="G75" s="20"/>
      <c r="H75" s="5"/>
      <c r="I75" s="474">
        <f>SUM(J74:M74)</f>
        <v>141431983</v>
      </c>
      <c r="J75" s="474"/>
      <c r="K75" s="474"/>
      <c r="L75" s="474"/>
      <c r="M75" s="474"/>
      <c r="N75" s="475">
        <f>SUM(O74:P74)</f>
        <v>200.3905</v>
      </c>
      <c r="O75" s="475"/>
      <c r="P75" s="475"/>
      <c r="Q75" s="474">
        <f>W74</f>
        <v>545038</v>
      </c>
      <c r="R75" s="475"/>
      <c r="S75" s="475"/>
      <c r="T75" s="475"/>
      <c r="U75" s="475"/>
      <c r="V75" s="481">
        <f>SUM(Q74:U74)</f>
        <v>5572870</v>
      </c>
      <c r="W75" s="481">
        <f>Q74</f>
        <v>-545038</v>
      </c>
      <c r="X75" s="482"/>
      <c r="Y75" s="482"/>
      <c r="Z75" s="481">
        <f>SUM(W74:Y74)</f>
        <v>545038</v>
      </c>
      <c r="AA75" s="481">
        <f>V74+Z74</f>
        <v>6117908</v>
      </c>
      <c r="AB75" s="483"/>
      <c r="AC75" s="483"/>
      <c r="AD75" s="482"/>
      <c r="AE75" s="482"/>
      <c r="AF75" s="481">
        <f>SUM(AD74:AE74)</f>
        <v>1250</v>
      </c>
      <c r="AG75" s="481">
        <f>AA74+AB74+AC74+AF74</f>
        <v>8242737</v>
      </c>
      <c r="AH75" s="484"/>
      <c r="AI75" s="484"/>
      <c r="AJ75" s="484"/>
      <c r="AK75" s="484"/>
      <c r="AL75" s="484"/>
      <c r="AM75" s="484"/>
      <c r="AN75" s="484"/>
      <c r="AO75" s="484"/>
      <c r="AP75" s="636">
        <f>AH74+AJ74+AK74+AM74+AN74</f>
        <v>17.27</v>
      </c>
      <c r="AQ75" s="636">
        <f>AI74+AL74+AO74</f>
        <v>-0.55000000000000004</v>
      </c>
      <c r="AR75" s="636">
        <f>SUM(AP74:AQ74)</f>
        <v>16.72</v>
      </c>
      <c r="AS75" s="474">
        <f>SUM(AT74:AX74)</f>
        <v>149674720</v>
      </c>
      <c r="AT75" s="54"/>
      <c r="AU75" s="54"/>
      <c r="AV75" s="54"/>
      <c r="AW75" s="54"/>
      <c r="AX75" s="54"/>
      <c r="AY75" s="475">
        <f>SUM(AZ74:BA74)</f>
        <v>217.1105</v>
      </c>
      <c r="AZ75" s="89"/>
      <c r="BA75" s="89"/>
    </row>
    <row r="76" spans="1:53" ht="13.5" thickBot="1" x14ac:dyDescent="0.25">
      <c r="D76" s="9"/>
      <c r="E76" s="5"/>
      <c r="F76" s="9"/>
      <c r="G76" s="20"/>
      <c r="H76" s="5"/>
      <c r="I76" s="87">
        <f>SUM(J77:M77)</f>
        <v>141431983</v>
      </c>
      <c r="J76" s="52"/>
      <c r="K76" s="480"/>
      <c r="L76" s="480"/>
      <c r="M76" s="52"/>
      <c r="N76" s="88">
        <f>SUM(O77:P77)</f>
        <v>200.39049999999997</v>
      </c>
      <c r="O76" s="179"/>
      <c r="P76" s="179"/>
      <c r="Q76" s="475"/>
      <c r="R76" s="475"/>
      <c r="S76" s="475"/>
      <c r="T76" s="475"/>
      <c r="U76" s="475"/>
      <c r="V76" s="481">
        <f>SUM(Q77:U77)</f>
        <v>5572870</v>
      </c>
      <c r="W76" s="482"/>
      <c r="X76" s="482"/>
      <c r="Y76" s="482"/>
      <c r="Z76" s="481">
        <f>SUM(W77:Y77)</f>
        <v>545038</v>
      </c>
      <c r="AA76" s="481">
        <f>V77+Z77</f>
        <v>6117908</v>
      </c>
      <c r="AB76" s="483"/>
      <c r="AC76" s="483"/>
      <c r="AD76" s="482"/>
      <c r="AE76" s="482"/>
      <c r="AF76" s="481">
        <f>SUM(AD77:AE77)</f>
        <v>1250</v>
      </c>
      <c r="AG76" s="481">
        <f>AA77+AB77+AC77+AF77</f>
        <v>8242737</v>
      </c>
      <c r="AH76" s="484"/>
      <c r="AI76" s="484"/>
      <c r="AJ76" s="484"/>
      <c r="AK76" s="484"/>
      <c r="AL76" s="484"/>
      <c r="AM76" s="484"/>
      <c r="AN76" s="484"/>
      <c r="AO76" s="484"/>
      <c r="AP76" s="606">
        <f>AH77+AJ77+AK77+AM77+AN77</f>
        <v>17.27</v>
      </c>
      <c r="AQ76" s="606">
        <f>AI77+AL77+AO77</f>
        <v>-0.55000000000000004</v>
      </c>
      <c r="AR76" s="606">
        <f>SUM(AP77:AQ77)</f>
        <v>16.72</v>
      </c>
      <c r="AS76" s="474">
        <f>SUM(AT77:AX77)</f>
        <v>149674720</v>
      </c>
      <c r="AT76" s="54"/>
      <c r="AU76" s="54"/>
      <c r="AV76" s="54"/>
      <c r="AW76" s="54"/>
      <c r="AX76" s="54"/>
      <c r="AY76" s="475">
        <f>SUM(AZ77:BA77)</f>
        <v>217.1105</v>
      </c>
      <c r="AZ76" s="89"/>
      <c r="BA76" s="89"/>
    </row>
    <row r="77" spans="1:53" ht="13.5" thickBot="1" x14ac:dyDescent="0.25">
      <c r="D77" s="9"/>
      <c r="E77" s="5"/>
      <c r="F77" s="9"/>
      <c r="G77" s="20"/>
      <c r="H77" s="493" t="s">
        <v>0</v>
      </c>
      <c r="I77" s="142">
        <f t="shared" ref="I77:BA77" si="235">SUM(I78:I87)</f>
        <v>141431983</v>
      </c>
      <c r="J77" s="34">
        <f t="shared" si="235"/>
        <v>103681057</v>
      </c>
      <c r="K77" s="34">
        <f t="shared" si="235"/>
        <v>35044197</v>
      </c>
      <c r="L77" s="34">
        <f t="shared" si="235"/>
        <v>1036809</v>
      </c>
      <c r="M77" s="34">
        <f t="shared" si="235"/>
        <v>1669920</v>
      </c>
      <c r="N77" s="35">
        <f t="shared" si="235"/>
        <v>200.3905</v>
      </c>
      <c r="O77" s="35">
        <f t="shared" si="235"/>
        <v>138.83919999999998</v>
      </c>
      <c r="P77" s="151">
        <f t="shared" si="235"/>
        <v>61.551299999999998</v>
      </c>
      <c r="Q77" s="142">
        <f t="shared" si="235"/>
        <v>-545038</v>
      </c>
      <c r="R77" s="34">
        <f t="shared" si="235"/>
        <v>6056008</v>
      </c>
      <c r="S77" s="34">
        <f t="shared" si="235"/>
        <v>0</v>
      </c>
      <c r="T77" s="34">
        <f t="shared" si="235"/>
        <v>61900</v>
      </c>
      <c r="U77" s="34">
        <f t="shared" si="235"/>
        <v>0</v>
      </c>
      <c r="V77" s="34">
        <f t="shared" si="235"/>
        <v>5572870</v>
      </c>
      <c r="W77" s="34">
        <f t="shared" si="235"/>
        <v>545038</v>
      </c>
      <c r="X77" s="34">
        <f t="shared" si="235"/>
        <v>0</v>
      </c>
      <c r="Y77" s="34">
        <f t="shared" si="235"/>
        <v>0</v>
      </c>
      <c r="Z77" s="34">
        <f t="shared" si="235"/>
        <v>545038</v>
      </c>
      <c r="AA77" s="34">
        <f t="shared" si="235"/>
        <v>6117908</v>
      </c>
      <c r="AB77" s="34">
        <f t="shared" si="235"/>
        <v>2067853</v>
      </c>
      <c r="AC77" s="34">
        <f t="shared" si="235"/>
        <v>55726</v>
      </c>
      <c r="AD77" s="34">
        <f t="shared" si="235"/>
        <v>1250</v>
      </c>
      <c r="AE77" s="34">
        <f t="shared" si="235"/>
        <v>0</v>
      </c>
      <c r="AF77" s="34">
        <f t="shared" si="235"/>
        <v>1250</v>
      </c>
      <c r="AG77" s="34">
        <f t="shared" si="235"/>
        <v>8242737</v>
      </c>
      <c r="AH77" s="35">
        <f t="shared" si="235"/>
        <v>-0.28000000000000003</v>
      </c>
      <c r="AI77" s="35">
        <f t="shared" si="235"/>
        <v>-0.55000000000000004</v>
      </c>
      <c r="AJ77" s="35">
        <f t="shared" si="235"/>
        <v>17.46</v>
      </c>
      <c r="AK77" s="35">
        <f t="shared" si="235"/>
        <v>0</v>
      </c>
      <c r="AL77" s="35">
        <f t="shared" si="235"/>
        <v>0</v>
      </c>
      <c r="AM77" s="35">
        <f t="shared" si="235"/>
        <v>0.09</v>
      </c>
      <c r="AN77" s="35">
        <f t="shared" si="235"/>
        <v>0</v>
      </c>
      <c r="AO77" s="35">
        <f t="shared" si="235"/>
        <v>0</v>
      </c>
      <c r="AP77" s="35">
        <f t="shared" si="235"/>
        <v>17.27</v>
      </c>
      <c r="AQ77" s="35">
        <f t="shared" si="235"/>
        <v>-0.55000000000000004</v>
      </c>
      <c r="AR77" s="36">
        <f t="shared" si="235"/>
        <v>16.72</v>
      </c>
      <c r="AS77" s="152">
        <f t="shared" si="235"/>
        <v>149674720</v>
      </c>
      <c r="AT77" s="34">
        <f t="shared" si="235"/>
        <v>109253927</v>
      </c>
      <c r="AU77" s="34">
        <f t="shared" si="235"/>
        <v>545038</v>
      </c>
      <c r="AV77" s="34">
        <f t="shared" si="235"/>
        <v>37112050</v>
      </c>
      <c r="AW77" s="34">
        <f t="shared" si="235"/>
        <v>1092535</v>
      </c>
      <c r="AX77" s="34">
        <f t="shared" si="235"/>
        <v>1671170</v>
      </c>
      <c r="AY77" s="35">
        <f t="shared" si="235"/>
        <v>217.1105</v>
      </c>
      <c r="AZ77" s="35">
        <f t="shared" si="235"/>
        <v>156.10920000000002</v>
      </c>
      <c r="BA77" s="36">
        <f t="shared" si="235"/>
        <v>61.001299999999993</v>
      </c>
    </row>
    <row r="78" spans="1:53" x14ac:dyDescent="0.2">
      <c r="D78" s="9"/>
      <c r="E78" s="5"/>
      <c r="F78" s="9"/>
      <c r="G78" s="20"/>
      <c r="H78" s="494">
        <v>3111</v>
      </c>
      <c r="I78" s="580">
        <f t="shared" ref="I78:BA78" si="236">SUMIF($F$12:$F$463,"=3111",I$12:I$463)</f>
        <v>27681364</v>
      </c>
      <c r="J78" s="581">
        <f t="shared" si="236"/>
        <v>20414023</v>
      </c>
      <c r="K78" s="581">
        <f t="shared" si="236"/>
        <v>6899940</v>
      </c>
      <c r="L78" s="581">
        <f t="shared" si="236"/>
        <v>204141</v>
      </c>
      <c r="M78" s="581">
        <f t="shared" si="236"/>
        <v>163260</v>
      </c>
      <c r="N78" s="584">
        <f t="shared" si="236"/>
        <v>41.411900000000003</v>
      </c>
      <c r="O78" s="584">
        <f t="shared" si="236"/>
        <v>32.091899999999995</v>
      </c>
      <c r="P78" s="585">
        <f t="shared" si="236"/>
        <v>9.3199999999999985</v>
      </c>
      <c r="Q78" s="580">
        <f t="shared" si="236"/>
        <v>-45500</v>
      </c>
      <c r="R78" s="581">
        <f t="shared" si="236"/>
        <v>1252974</v>
      </c>
      <c r="S78" s="581">
        <f t="shared" si="236"/>
        <v>0</v>
      </c>
      <c r="T78" s="581">
        <f t="shared" si="236"/>
        <v>0</v>
      </c>
      <c r="U78" s="581">
        <f t="shared" si="236"/>
        <v>0</v>
      </c>
      <c r="V78" s="581">
        <f t="shared" si="236"/>
        <v>1207474</v>
      </c>
      <c r="W78" s="581">
        <f t="shared" si="236"/>
        <v>45500</v>
      </c>
      <c r="X78" s="581">
        <f t="shared" si="236"/>
        <v>0</v>
      </c>
      <c r="Y78" s="581">
        <f t="shared" si="236"/>
        <v>0</v>
      </c>
      <c r="Z78" s="581">
        <f t="shared" si="236"/>
        <v>45500</v>
      </c>
      <c r="AA78" s="581">
        <f t="shared" si="236"/>
        <v>1252974</v>
      </c>
      <c r="AB78" s="581">
        <f t="shared" si="236"/>
        <v>423505</v>
      </c>
      <c r="AC78" s="581">
        <f t="shared" si="236"/>
        <v>12075</v>
      </c>
      <c r="AD78" s="581">
        <f t="shared" si="236"/>
        <v>0</v>
      </c>
      <c r="AE78" s="581">
        <f t="shared" si="236"/>
        <v>0</v>
      </c>
      <c r="AF78" s="581">
        <f t="shared" si="236"/>
        <v>0</v>
      </c>
      <c r="AG78" s="581">
        <f t="shared" si="236"/>
        <v>1688554</v>
      </c>
      <c r="AH78" s="584">
        <f t="shared" si="236"/>
        <v>-0.01</v>
      </c>
      <c r="AI78" s="584">
        <f t="shared" si="236"/>
        <v>-0.04</v>
      </c>
      <c r="AJ78" s="584">
        <f t="shared" si="236"/>
        <v>3.75</v>
      </c>
      <c r="AK78" s="584">
        <f t="shared" si="236"/>
        <v>0</v>
      </c>
      <c r="AL78" s="584">
        <f t="shared" si="236"/>
        <v>0</v>
      </c>
      <c r="AM78" s="584">
        <f t="shared" si="236"/>
        <v>0</v>
      </c>
      <c r="AN78" s="584">
        <f t="shared" si="236"/>
        <v>0</v>
      </c>
      <c r="AO78" s="584">
        <f t="shared" si="236"/>
        <v>0</v>
      </c>
      <c r="AP78" s="584">
        <f t="shared" si="236"/>
        <v>3.74</v>
      </c>
      <c r="AQ78" s="584">
        <f t="shared" si="236"/>
        <v>-0.04</v>
      </c>
      <c r="AR78" s="587">
        <f t="shared" si="236"/>
        <v>3.7</v>
      </c>
      <c r="AS78" s="582">
        <f t="shared" si="236"/>
        <v>29369918</v>
      </c>
      <c r="AT78" s="581">
        <f t="shared" si="236"/>
        <v>21621497</v>
      </c>
      <c r="AU78" s="581">
        <f t="shared" si="236"/>
        <v>45500</v>
      </c>
      <c r="AV78" s="581">
        <f t="shared" si="236"/>
        <v>7323445</v>
      </c>
      <c r="AW78" s="581">
        <f t="shared" si="236"/>
        <v>216216</v>
      </c>
      <c r="AX78" s="581">
        <f t="shared" si="236"/>
        <v>163260</v>
      </c>
      <c r="AY78" s="584">
        <f t="shared" si="236"/>
        <v>45.111900000000006</v>
      </c>
      <c r="AZ78" s="584">
        <f t="shared" si="236"/>
        <v>35.831899999999997</v>
      </c>
      <c r="BA78" s="587">
        <f t="shared" si="236"/>
        <v>9.2799999999999994</v>
      </c>
    </row>
    <row r="79" spans="1:53" x14ac:dyDescent="0.2">
      <c r="D79" s="9"/>
      <c r="E79" s="5"/>
      <c r="F79" s="9"/>
      <c r="G79" s="20"/>
      <c r="H79" s="2">
        <v>3113</v>
      </c>
      <c r="I79" s="170">
        <f t="shared" ref="I79:BA79" si="237">SUMIF($F$12:$F$463,"=3113",I$12:I$463)</f>
        <v>74362389</v>
      </c>
      <c r="J79" s="16">
        <f t="shared" si="237"/>
        <v>54224911</v>
      </c>
      <c r="K79" s="16">
        <f t="shared" si="237"/>
        <v>18328019</v>
      </c>
      <c r="L79" s="16">
        <f t="shared" si="237"/>
        <v>542249</v>
      </c>
      <c r="M79" s="16">
        <f t="shared" si="237"/>
        <v>1267210</v>
      </c>
      <c r="N79" s="13">
        <f t="shared" si="237"/>
        <v>91.68010000000001</v>
      </c>
      <c r="O79" s="13">
        <f t="shared" si="237"/>
        <v>73.150099999999995</v>
      </c>
      <c r="P79" s="172">
        <f t="shared" si="237"/>
        <v>18.53</v>
      </c>
      <c r="Q79" s="170">
        <f t="shared" si="237"/>
        <v>-273000</v>
      </c>
      <c r="R79" s="16">
        <f t="shared" si="237"/>
        <v>4408466</v>
      </c>
      <c r="S79" s="16">
        <f t="shared" si="237"/>
        <v>0</v>
      </c>
      <c r="T79" s="16">
        <f t="shared" si="237"/>
        <v>61900</v>
      </c>
      <c r="U79" s="16">
        <f t="shared" si="237"/>
        <v>0</v>
      </c>
      <c r="V79" s="16">
        <f t="shared" si="237"/>
        <v>4197366</v>
      </c>
      <c r="W79" s="16">
        <f t="shared" si="237"/>
        <v>273000</v>
      </c>
      <c r="X79" s="16">
        <f t="shared" si="237"/>
        <v>0</v>
      </c>
      <c r="Y79" s="16">
        <f t="shared" si="237"/>
        <v>0</v>
      </c>
      <c r="Z79" s="16">
        <f t="shared" si="237"/>
        <v>273000</v>
      </c>
      <c r="AA79" s="16">
        <f t="shared" si="237"/>
        <v>4470366</v>
      </c>
      <c r="AB79" s="16">
        <f t="shared" si="237"/>
        <v>1510984</v>
      </c>
      <c r="AC79" s="16">
        <f t="shared" si="237"/>
        <v>41973</v>
      </c>
      <c r="AD79" s="16">
        <f t="shared" si="237"/>
        <v>1250</v>
      </c>
      <c r="AE79" s="16">
        <f t="shared" si="237"/>
        <v>0</v>
      </c>
      <c r="AF79" s="16">
        <f t="shared" si="237"/>
        <v>1250</v>
      </c>
      <c r="AG79" s="16">
        <f t="shared" si="237"/>
        <v>6024573</v>
      </c>
      <c r="AH79" s="13">
        <f t="shared" si="237"/>
        <v>-0.05</v>
      </c>
      <c r="AI79" s="13">
        <f t="shared" si="237"/>
        <v>-0.44</v>
      </c>
      <c r="AJ79" s="13">
        <f t="shared" si="237"/>
        <v>12.57</v>
      </c>
      <c r="AK79" s="13">
        <f t="shared" si="237"/>
        <v>0</v>
      </c>
      <c r="AL79" s="13">
        <f t="shared" si="237"/>
        <v>0</v>
      </c>
      <c r="AM79" s="13">
        <f t="shared" si="237"/>
        <v>0.09</v>
      </c>
      <c r="AN79" s="13">
        <f t="shared" si="237"/>
        <v>0</v>
      </c>
      <c r="AO79" s="13">
        <f t="shared" si="237"/>
        <v>0</v>
      </c>
      <c r="AP79" s="13">
        <f t="shared" si="237"/>
        <v>12.610000000000001</v>
      </c>
      <c r="AQ79" s="13">
        <f t="shared" si="237"/>
        <v>-0.44</v>
      </c>
      <c r="AR79" s="17">
        <f t="shared" si="237"/>
        <v>12.17</v>
      </c>
      <c r="AS79" s="171">
        <f t="shared" si="237"/>
        <v>80386962</v>
      </c>
      <c r="AT79" s="16">
        <f t="shared" si="237"/>
        <v>58422277</v>
      </c>
      <c r="AU79" s="16">
        <f t="shared" si="237"/>
        <v>273000</v>
      </c>
      <c r="AV79" s="16">
        <f t="shared" si="237"/>
        <v>19839003</v>
      </c>
      <c r="AW79" s="16">
        <f t="shared" si="237"/>
        <v>584222</v>
      </c>
      <c r="AX79" s="16">
        <f t="shared" si="237"/>
        <v>1268460</v>
      </c>
      <c r="AY79" s="13">
        <f t="shared" si="237"/>
        <v>103.8501</v>
      </c>
      <c r="AZ79" s="13">
        <f t="shared" si="237"/>
        <v>85.760099999999994</v>
      </c>
      <c r="BA79" s="17">
        <f t="shared" si="237"/>
        <v>18.09</v>
      </c>
    </row>
    <row r="80" spans="1:53" x14ac:dyDescent="0.2">
      <c r="D80" s="9"/>
      <c r="E80" s="5"/>
      <c r="F80" s="9"/>
      <c r="G80" s="20"/>
      <c r="H80" s="2">
        <v>3114</v>
      </c>
      <c r="I80" s="170">
        <f t="shared" ref="I80:BA80" si="238">SUMIF($F$12:$F$463,"=3114",I$12:I$463)</f>
        <v>0</v>
      </c>
      <c r="J80" s="16">
        <f t="shared" si="238"/>
        <v>0</v>
      </c>
      <c r="K80" s="16">
        <f t="shared" si="238"/>
        <v>0</v>
      </c>
      <c r="L80" s="16">
        <f t="shared" si="238"/>
        <v>0</v>
      </c>
      <c r="M80" s="16">
        <f t="shared" si="238"/>
        <v>0</v>
      </c>
      <c r="N80" s="13">
        <f t="shared" si="238"/>
        <v>0</v>
      </c>
      <c r="O80" s="13">
        <f t="shared" si="238"/>
        <v>0</v>
      </c>
      <c r="P80" s="172">
        <f t="shared" si="238"/>
        <v>0</v>
      </c>
      <c r="Q80" s="170">
        <f t="shared" si="238"/>
        <v>0</v>
      </c>
      <c r="R80" s="16">
        <f t="shared" si="238"/>
        <v>0</v>
      </c>
      <c r="S80" s="16">
        <f t="shared" si="238"/>
        <v>0</v>
      </c>
      <c r="T80" s="16">
        <f t="shared" si="238"/>
        <v>0</v>
      </c>
      <c r="U80" s="16">
        <f t="shared" si="238"/>
        <v>0</v>
      </c>
      <c r="V80" s="16">
        <f t="shared" si="238"/>
        <v>0</v>
      </c>
      <c r="W80" s="16">
        <f t="shared" si="238"/>
        <v>0</v>
      </c>
      <c r="X80" s="16">
        <f t="shared" si="238"/>
        <v>0</v>
      </c>
      <c r="Y80" s="16">
        <f t="shared" si="238"/>
        <v>0</v>
      </c>
      <c r="Z80" s="16">
        <f t="shared" si="238"/>
        <v>0</v>
      </c>
      <c r="AA80" s="16">
        <f t="shared" si="238"/>
        <v>0</v>
      </c>
      <c r="AB80" s="16">
        <f t="shared" si="238"/>
        <v>0</v>
      </c>
      <c r="AC80" s="16">
        <f t="shared" si="238"/>
        <v>0</v>
      </c>
      <c r="AD80" s="16">
        <f t="shared" si="238"/>
        <v>0</v>
      </c>
      <c r="AE80" s="16">
        <f t="shared" si="238"/>
        <v>0</v>
      </c>
      <c r="AF80" s="16">
        <f t="shared" si="238"/>
        <v>0</v>
      </c>
      <c r="AG80" s="16">
        <f t="shared" si="238"/>
        <v>0</v>
      </c>
      <c r="AH80" s="13">
        <f t="shared" si="238"/>
        <v>0</v>
      </c>
      <c r="AI80" s="13">
        <f t="shared" si="238"/>
        <v>0</v>
      </c>
      <c r="AJ80" s="13">
        <f t="shared" si="238"/>
        <v>0</v>
      </c>
      <c r="AK80" s="13">
        <f t="shared" si="238"/>
        <v>0</v>
      </c>
      <c r="AL80" s="13">
        <f t="shared" si="238"/>
        <v>0</v>
      </c>
      <c r="AM80" s="13">
        <f t="shared" si="238"/>
        <v>0</v>
      </c>
      <c r="AN80" s="13">
        <f t="shared" si="238"/>
        <v>0</v>
      </c>
      <c r="AO80" s="13">
        <f t="shared" si="238"/>
        <v>0</v>
      </c>
      <c r="AP80" s="13">
        <f t="shared" si="238"/>
        <v>0</v>
      </c>
      <c r="AQ80" s="13">
        <f t="shared" si="238"/>
        <v>0</v>
      </c>
      <c r="AR80" s="17">
        <f t="shared" si="238"/>
        <v>0</v>
      </c>
      <c r="AS80" s="171">
        <f t="shared" si="238"/>
        <v>0</v>
      </c>
      <c r="AT80" s="16">
        <f t="shared" si="238"/>
        <v>0</v>
      </c>
      <c r="AU80" s="16">
        <f t="shared" si="238"/>
        <v>0</v>
      </c>
      <c r="AV80" s="16">
        <f t="shared" si="238"/>
        <v>0</v>
      </c>
      <c r="AW80" s="16">
        <f t="shared" si="238"/>
        <v>0</v>
      </c>
      <c r="AX80" s="16">
        <f t="shared" si="238"/>
        <v>0</v>
      </c>
      <c r="AY80" s="13">
        <f t="shared" si="238"/>
        <v>0</v>
      </c>
      <c r="AZ80" s="13">
        <f t="shared" si="238"/>
        <v>0</v>
      </c>
      <c r="BA80" s="17">
        <f t="shared" si="238"/>
        <v>0</v>
      </c>
    </row>
    <row r="81" spans="4:53" x14ac:dyDescent="0.2">
      <c r="D81" s="9"/>
      <c r="E81" s="5"/>
      <c r="F81" s="9"/>
      <c r="G81" s="20"/>
      <c r="H81" s="2">
        <v>3117</v>
      </c>
      <c r="I81" s="170">
        <f t="shared" ref="I81:BA81" si="239">SUMIF($F$12:$F$463,"=3117",I$12:I$463)</f>
        <v>7038491</v>
      </c>
      <c r="J81" s="16">
        <f t="shared" si="239"/>
        <v>5120765</v>
      </c>
      <c r="K81" s="16">
        <f t="shared" si="239"/>
        <v>1730819</v>
      </c>
      <c r="L81" s="16">
        <f t="shared" si="239"/>
        <v>51207</v>
      </c>
      <c r="M81" s="16">
        <f t="shared" si="239"/>
        <v>135700</v>
      </c>
      <c r="N81" s="13">
        <f t="shared" si="239"/>
        <v>9.1692</v>
      </c>
      <c r="O81" s="13">
        <f t="shared" si="239"/>
        <v>6.8292000000000002</v>
      </c>
      <c r="P81" s="172">
        <f t="shared" si="239"/>
        <v>2.3400000000000003</v>
      </c>
      <c r="Q81" s="170">
        <f t="shared" si="239"/>
        <v>-4888</v>
      </c>
      <c r="R81" s="16">
        <f t="shared" si="239"/>
        <v>394568</v>
      </c>
      <c r="S81" s="16">
        <f t="shared" si="239"/>
        <v>0</v>
      </c>
      <c r="T81" s="16">
        <f t="shared" si="239"/>
        <v>0</v>
      </c>
      <c r="U81" s="16">
        <f t="shared" si="239"/>
        <v>0</v>
      </c>
      <c r="V81" s="16">
        <f t="shared" si="239"/>
        <v>389680</v>
      </c>
      <c r="W81" s="16">
        <f t="shared" si="239"/>
        <v>4888</v>
      </c>
      <c r="X81" s="16">
        <f t="shared" si="239"/>
        <v>0</v>
      </c>
      <c r="Y81" s="16">
        <f t="shared" si="239"/>
        <v>0</v>
      </c>
      <c r="Z81" s="16">
        <f t="shared" si="239"/>
        <v>4888</v>
      </c>
      <c r="AA81" s="16">
        <f t="shared" si="239"/>
        <v>394568</v>
      </c>
      <c r="AB81" s="16">
        <f t="shared" si="239"/>
        <v>133364</v>
      </c>
      <c r="AC81" s="16">
        <f t="shared" si="239"/>
        <v>3896</v>
      </c>
      <c r="AD81" s="16">
        <f t="shared" si="239"/>
        <v>0</v>
      </c>
      <c r="AE81" s="16">
        <f t="shared" si="239"/>
        <v>0</v>
      </c>
      <c r="AF81" s="16">
        <f t="shared" si="239"/>
        <v>0</v>
      </c>
      <c r="AG81" s="16">
        <f t="shared" si="239"/>
        <v>531828</v>
      </c>
      <c r="AH81" s="13">
        <f t="shared" si="239"/>
        <v>-0.01</v>
      </c>
      <c r="AI81" s="13">
        <f t="shared" si="239"/>
        <v>0</v>
      </c>
      <c r="AJ81" s="13">
        <f t="shared" si="239"/>
        <v>1.1400000000000001</v>
      </c>
      <c r="AK81" s="13">
        <f t="shared" si="239"/>
        <v>0</v>
      </c>
      <c r="AL81" s="13">
        <f t="shared" si="239"/>
        <v>0</v>
      </c>
      <c r="AM81" s="13">
        <f t="shared" si="239"/>
        <v>0</v>
      </c>
      <c r="AN81" s="13">
        <f t="shared" si="239"/>
        <v>0</v>
      </c>
      <c r="AO81" s="13">
        <f t="shared" si="239"/>
        <v>0</v>
      </c>
      <c r="AP81" s="13">
        <f t="shared" si="239"/>
        <v>1.1299999999999999</v>
      </c>
      <c r="AQ81" s="13">
        <f t="shared" si="239"/>
        <v>0</v>
      </c>
      <c r="AR81" s="17">
        <f t="shared" si="239"/>
        <v>1.1299999999999999</v>
      </c>
      <c r="AS81" s="171">
        <f t="shared" si="239"/>
        <v>7570319</v>
      </c>
      <c r="AT81" s="16">
        <f t="shared" si="239"/>
        <v>5510445</v>
      </c>
      <c r="AU81" s="16">
        <f t="shared" si="239"/>
        <v>4888</v>
      </c>
      <c r="AV81" s="16">
        <f t="shared" si="239"/>
        <v>1864183</v>
      </c>
      <c r="AW81" s="16">
        <f t="shared" si="239"/>
        <v>55103</v>
      </c>
      <c r="AX81" s="16">
        <f t="shared" si="239"/>
        <v>135700</v>
      </c>
      <c r="AY81" s="13">
        <f t="shared" si="239"/>
        <v>10.299200000000001</v>
      </c>
      <c r="AZ81" s="13">
        <f t="shared" si="239"/>
        <v>7.9592000000000001</v>
      </c>
      <c r="BA81" s="17">
        <f t="shared" si="239"/>
        <v>2.3400000000000003</v>
      </c>
    </row>
    <row r="82" spans="4:53" x14ac:dyDescent="0.2">
      <c r="D82" s="9"/>
      <c r="E82" s="5"/>
      <c r="F82" s="9"/>
      <c r="G82" s="20"/>
      <c r="H82" s="2">
        <v>3122</v>
      </c>
      <c r="I82" s="170">
        <f t="shared" ref="I82:BA82" si="240">SUMIF($F$12:$F$463,"=3122",I$12:I$463)</f>
        <v>0</v>
      </c>
      <c r="J82" s="16">
        <f t="shared" si="240"/>
        <v>0</v>
      </c>
      <c r="K82" s="16">
        <f t="shared" si="240"/>
        <v>0</v>
      </c>
      <c r="L82" s="16">
        <f t="shared" si="240"/>
        <v>0</v>
      </c>
      <c r="M82" s="16">
        <f t="shared" si="240"/>
        <v>0</v>
      </c>
      <c r="N82" s="13">
        <f t="shared" si="240"/>
        <v>0</v>
      </c>
      <c r="O82" s="13">
        <f t="shared" si="240"/>
        <v>0</v>
      </c>
      <c r="P82" s="172">
        <f t="shared" si="240"/>
        <v>0</v>
      </c>
      <c r="Q82" s="170">
        <f t="shared" si="240"/>
        <v>0</v>
      </c>
      <c r="R82" s="16">
        <f t="shared" si="240"/>
        <v>0</v>
      </c>
      <c r="S82" s="16">
        <f t="shared" si="240"/>
        <v>0</v>
      </c>
      <c r="T82" s="16">
        <f t="shared" si="240"/>
        <v>0</v>
      </c>
      <c r="U82" s="16">
        <f t="shared" si="240"/>
        <v>0</v>
      </c>
      <c r="V82" s="16">
        <f t="shared" si="240"/>
        <v>0</v>
      </c>
      <c r="W82" s="16">
        <f t="shared" si="240"/>
        <v>0</v>
      </c>
      <c r="X82" s="16">
        <f t="shared" si="240"/>
        <v>0</v>
      </c>
      <c r="Y82" s="16">
        <f t="shared" si="240"/>
        <v>0</v>
      </c>
      <c r="Z82" s="16">
        <f t="shared" si="240"/>
        <v>0</v>
      </c>
      <c r="AA82" s="16">
        <f t="shared" si="240"/>
        <v>0</v>
      </c>
      <c r="AB82" s="16">
        <f t="shared" si="240"/>
        <v>0</v>
      </c>
      <c r="AC82" s="16">
        <f t="shared" si="240"/>
        <v>0</v>
      </c>
      <c r="AD82" s="16">
        <f t="shared" si="240"/>
        <v>0</v>
      </c>
      <c r="AE82" s="16">
        <f t="shared" si="240"/>
        <v>0</v>
      </c>
      <c r="AF82" s="16">
        <f t="shared" si="240"/>
        <v>0</v>
      </c>
      <c r="AG82" s="16">
        <f t="shared" si="240"/>
        <v>0</v>
      </c>
      <c r="AH82" s="13">
        <f t="shared" si="240"/>
        <v>0</v>
      </c>
      <c r="AI82" s="13">
        <f t="shared" si="240"/>
        <v>0</v>
      </c>
      <c r="AJ82" s="13">
        <f t="shared" si="240"/>
        <v>0</v>
      </c>
      <c r="AK82" s="13">
        <f t="shared" si="240"/>
        <v>0</v>
      </c>
      <c r="AL82" s="13">
        <f t="shared" si="240"/>
        <v>0</v>
      </c>
      <c r="AM82" s="13">
        <f t="shared" si="240"/>
        <v>0</v>
      </c>
      <c r="AN82" s="13">
        <f t="shared" si="240"/>
        <v>0</v>
      </c>
      <c r="AO82" s="13">
        <f t="shared" si="240"/>
        <v>0</v>
      </c>
      <c r="AP82" s="13">
        <f t="shared" si="240"/>
        <v>0</v>
      </c>
      <c r="AQ82" s="13">
        <f t="shared" si="240"/>
        <v>0</v>
      </c>
      <c r="AR82" s="17">
        <f t="shared" si="240"/>
        <v>0</v>
      </c>
      <c r="AS82" s="171">
        <f t="shared" si="240"/>
        <v>0</v>
      </c>
      <c r="AT82" s="16">
        <f t="shared" si="240"/>
        <v>0</v>
      </c>
      <c r="AU82" s="16">
        <f t="shared" si="240"/>
        <v>0</v>
      </c>
      <c r="AV82" s="16">
        <f t="shared" si="240"/>
        <v>0</v>
      </c>
      <c r="AW82" s="16">
        <f t="shared" si="240"/>
        <v>0</v>
      </c>
      <c r="AX82" s="16">
        <f t="shared" si="240"/>
        <v>0</v>
      </c>
      <c r="AY82" s="13">
        <f t="shared" si="240"/>
        <v>0</v>
      </c>
      <c r="AZ82" s="13">
        <f t="shared" si="240"/>
        <v>0</v>
      </c>
      <c r="BA82" s="17">
        <f t="shared" si="240"/>
        <v>0</v>
      </c>
    </row>
    <row r="83" spans="4:53" x14ac:dyDescent="0.2">
      <c r="D83" s="9"/>
      <c r="E83" s="5"/>
      <c r="F83" s="9"/>
      <c r="G83" s="20"/>
      <c r="H83" s="2">
        <v>3124</v>
      </c>
      <c r="I83" s="170">
        <f t="shared" ref="I83:BA83" si="241">SUMIF($F$12:$F$463,"=3124",I$12:I$463)</f>
        <v>0</v>
      </c>
      <c r="J83" s="16">
        <f t="shared" si="241"/>
        <v>0</v>
      </c>
      <c r="K83" s="16">
        <f t="shared" si="241"/>
        <v>0</v>
      </c>
      <c r="L83" s="16">
        <f t="shared" si="241"/>
        <v>0</v>
      </c>
      <c r="M83" s="16">
        <f t="shared" si="241"/>
        <v>0</v>
      </c>
      <c r="N83" s="13">
        <f t="shared" si="241"/>
        <v>0</v>
      </c>
      <c r="O83" s="13">
        <f t="shared" si="241"/>
        <v>0</v>
      </c>
      <c r="P83" s="172">
        <f t="shared" si="241"/>
        <v>0</v>
      </c>
      <c r="Q83" s="170">
        <f t="shared" si="241"/>
        <v>0</v>
      </c>
      <c r="R83" s="16">
        <f t="shared" si="241"/>
        <v>0</v>
      </c>
      <c r="S83" s="16">
        <f t="shared" si="241"/>
        <v>0</v>
      </c>
      <c r="T83" s="16">
        <f t="shared" si="241"/>
        <v>0</v>
      </c>
      <c r="U83" s="16">
        <f t="shared" si="241"/>
        <v>0</v>
      </c>
      <c r="V83" s="16">
        <f t="shared" si="241"/>
        <v>0</v>
      </c>
      <c r="W83" s="16">
        <f t="shared" si="241"/>
        <v>0</v>
      </c>
      <c r="X83" s="16">
        <f t="shared" si="241"/>
        <v>0</v>
      </c>
      <c r="Y83" s="16">
        <f t="shared" si="241"/>
        <v>0</v>
      </c>
      <c r="Z83" s="16">
        <f t="shared" si="241"/>
        <v>0</v>
      </c>
      <c r="AA83" s="16">
        <f t="shared" si="241"/>
        <v>0</v>
      </c>
      <c r="AB83" s="16">
        <f t="shared" si="241"/>
        <v>0</v>
      </c>
      <c r="AC83" s="16">
        <f t="shared" si="241"/>
        <v>0</v>
      </c>
      <c r="AD83" s="16">
        <f t="shared" si="241"/>
        <v>0</v>
      </c>
      <c r="AE83" s="16">
        <f t="shared" si="241"/>
        <v>0</v>
      </c>
      <c r="AF83" s="16">
        <f t="shared" si="241"/>
        <v>0</v>
      </c>
      <c r="AG83" s="16">
        <f t="shared" si="241"/>
        <v>0</v>
      </c>
      <c r="AH83" s="13">
        <f t="shared" si="241"/>
        <v>0</v>
      </c>
      <c r="AI83" s="13">
        <f t="shared" si="241"/>
        <v>0</v>
      </c>
      <c r="AJ83" s="13">
        <f t="shared" si="241"/>
        <v>0</v>
      </c>
      <c r="AK83" s="13">
        <f t="shared" si="241"/>
        <v>0</v>
      </c>
      <c r="AL83" s="13">
        <f t="shared" si="241"/>
        <v>0</v>
      </c>
      <c r="AM83" s="13">
        <f t="shared" si="241"/>
        <v>0</v>
      </c>
      <c r="AN83" s="13">
        <f t="shared" si="241"/>
        <v>0</v>
      </c>
      <c r="AO83" s="13">
        <f t="shared" si="241"/>
        <v>0</v>
      </c>
      <c r="AP83" s="13">
        <f t="shared" si="241"/>
        <v>0</v>
      </c>
      <c r="AQ83" s="13">
        <f t="shared" si="241"/>
        <v>0</v>
      </c>
      <c r="AR83" s="17">
        <f t="shared" si="241"/>
        <v>0</v>
      </c>
      <c r="AS83" s="171">
        <f t="shared" si="241"/>
        <v>0</v>
      </c>
      <c r="AT83" s="16">
        <f t="shared" si="241"/>
        <v>0</v>
      </c>
      <c r="AU83" s="16">
        <f t="shared" si="241"/>
        <v>0</v>
      </c>
      <c r="AV83" s="16">
        <f t="shared" si="241"/>
        <v>0</v>
      </c>
      <c r="AW83" s="16">
        <f t="shared" si="241"/>
        <v>0</v>
      </c>
      <c r="AX83" s="16">
        <f t="shared" si="241"/>
        <v>0</v>
      </c>
      <c r="AY83" s="13">
        <f t="shared" si="241"/>
        <v>0</v>
      </c>
      <c r="AZ83" s="13">
        <f t="shared" si="241"/>
        <v>0</v>
      </c>
      <c r="BA83" s="17">
        <f t="shared" si="241"/>
        <v>0</v>
      </c>
    </row>
    <row r="84" spans="4:53" x14ac:dyDescent="0.2">
      <c r="D84" s="9"/>
      <c r="E84" s="5"/>
      <c r="F84" s="9"/>
      <c r="G84" s="20"/>
      <c r="H84" s="2">
        <v>3141</v>
      </c>
      <c r="I84" s="170">
        <f t="shared" ref="I84:BA84" si="242">SUMIF($F$12:$F$463,"=3141",I$12:I$463)</f>
        <v>11723124</v>
      </c>
      <c r="J84" s="16">
        <f t="shared" si="242"/>
        <v>8644410</v>
      </c>
      <c r="K84" s="16">
        <f t="shared" si="242"/>
        <v>2921811</v>
      </c>
      <c r="L84" s="16">
        <f t="shared" si="242"/>
        <v>86443</v>
      </c>
      <c r="M84" s="16">
        <f t="shared" si="242"/>
        <v>70460</v>
      </c>
      <c r="N84" s="13">
        <f t="shared" si="242"/>
        <v>27.77</v>
      </c>
      <c r="O84" s="13">
        <f t="shared" si="242"/>
        <v>0</v>
      </c>
      <c r="P84" s="172">
        <f t="shared" si="242"/>
        <v>27.77</v>
      </c>
      <c r="Q84" s="170">
        <f t="shared" si="242"/>
        <v>-50050</v>
      </c>
      <c r="R84" s="16">
        <f t="shared" si="242"/>
        <v>0</v>
      </c>
      <c r="S84" s="16">
        <f t="shared" si="242"/>
        <v>0</v>
      </c>
      <c r="T84" s="16">
        <f t="shared" si="242"/>
        <v>0</v>
      </c>
      <c r="U84" s="16">
        <f t="shared" si="242"/>
        <v>0</v>
      </c>
      <c r="V84" s="16">
        <f t="shared" si="242"/>
        <v>-50050</v>
      </c>
      <c r="W84" s="16">
        <f t="shared" si="242"/>
        <v>50050</v>
      </c>
      <c r="X84" s="16">
        <f t="shared" si="242"/>
        <v>0</v>
      </c>
      <c r="Y84" s="16">
        <f t="shared" si="242"/>
        <v>0</v>
      </c>
      <c r="Z84" s="16">
        <f t="shared" si="242"/>
        <v>50050</v>
      </c>
      <c r="AA84" s="16">
        <f t="shared" si="242"/>
        <v>0</v>
      </c>
      <c r="AB84" s="16">
        <f t="shared" si="242"/>
        <v>0</v>
      </c>
      <c r="AC84" s="16">
        <f t="shared" si="242"/>
        <v>-501</v>
      </c>
      <c r="AD84" s="16">
        <f t="shared" si="242"/>
        <v>0</v>
      </c>
      <c r="AE84" s="16">
        <f t="shared" si="242"/>
        <v>0</v>
      </c>
      <c r="AF84" s="16">
        <f t="shared" si="242"/>
        <v>0</v>
      </c>
      <c r="AG84" s="16">
        <f t="shared" si="242"/>
        <v>-501</v>
      </c>
      <c r="AH84" s="13">
        <f t="shared" si="242"/>
        <v>0</v>
      </c>
      <c r="AI84" s="13">
        <f t="shared" si="242"/>
        <v>0</v>
      </c>
      <c r="AJ84" s="13">
        <f t="shared" si="242"/>
        <v>0</v>
      </c>
      <c r="AK84" s="13">
        <f t="shared" si="242"/>
        <v>0</v>
      </c>
      <c r="AL84" s="13">
        <f t="shared" si="242"/>
        <v>0</v>
      </c>
      <c r="AM84" s="13">
        <f t="shared" si="242"/>
        <v>0</v>
      </c>
      <c r="AN84" s="13">
        <f t="shared" si="242"/>
        <v>0</v>
      </c>
      <c r="AO84" s="13">
        <f t="shared" si="242"/>
        <v>0</v>
      </c>
      <c r="AP84" s="13">
        <f t="shared" si="242"/>
        <v>0</v>
      </c>
      <c r="AQ84" s="13">
        <f t="shared" si="242"/>
        <v>0</v>
      </c>
      <c r="AR84" s="17">
        <f t="shared" si="242"/>
        <v>0</v>
      </c>
      <c r="AS84" s="171">
        <f t="shared" si="242"/>
        <v>11722623</v>
      </c>
      <c r="AT84" s="16">
        <f t="shared" si="242"/>
        <v>8594360</v>
      </c>
      <c r="AU84" s="16">
        <f t="shared" si="242"/>
        <v>50050</v>
      </c>
      <c r="AV84" s="16">
        <f t="shared" si="242"/>
        <v>2921811</v>
      </c>
      <c r="AW84" s="16">
        <f t="shared" si="242"/>
        <v>85942</v>
      </c>
      <c r="AX84" s="16">
        <f t="shared" si="242"/>
        <v>70460</v>
      </c>
      <c r="AY84" s="13">
        <f t="shared" si="242"/>
        <v>27.77</v>
      </c>
      <c r="AZ84" s="13">
        <f t="shared" si="242"/>
        <v>0</v>
      </c>
      <c r="BA84" s="17">
        <f t="shared" si="242"/>
        <v>27.77</v>
      </c>
    </row>
    <row r="85" spans="4:53" x14ac:dyDescent="0.2">
      <c r="D85" s="9"/>
      <c r="E85" s="5"/>
      <c r="F85" s="9"/>
      <c r="G85" s="20"/>
      <c r="H85" s="2">
        <v>3143</v>
      </c>
      <c r="I85" s="170">
        <f t="shared" ref="I85:BA85" si="243">SUMIF($F$12:$F$463,"=3143",I$12:I$463)</f>
        <v>6640513</v>
      </c>
      <c r="J85" s="16">
        <f t="shared" si="243"/>
        <v>4920128</v>
      </c>
      <c r="K85" s="16">
        <f t="shared" si="243"/>
        <v>1663003</v>
      </c>
      <c r="L85" s="16">
        <f t="shared" si="243"/>
        <v>49201</v>
      </c>
      <c r="M85" s="16">
        <f t="shared" si="243"/>
        <v>8181</v>
      </c>
      <c r="N85" s="13">
        <f t="shared" si="243"/>
        <v>11.1218</v>
      </c>
      <c r="O85" s="13">
        <f t="shared" si="243"/>
        <v>10.4718</v>
      </c>
      <c r="P85" s="172">
        <f t="shared" si="243"/>
        <v>0.65</v>
      </c>
      <c r="Q85" s="170">
        <f t="shared" si="243"/>
        <v>-13650</v>
      </c>
      <c r="R85" s="16">
        <f t="shared" si="243"/>
        <v>0</v>
      </c>
      <c r="S85" s="16">
        <f t="shared" si="243"/>
        <v>0</v>
      </c>
      <c r="T85" s="16">
        <f t="shared" si="243"/>
        <v>0</v>
      </c>
      <c r="U85" s="16">
        <f t="shared" si="243"/>
        <v>0</v>
      </c>
      <c r="V85" s="16">
        <f t="shared" si="243"/>
        <v>-13650</v>
      </c>
      <c r="W85" s="16">
        <f t="shared" si="243"/>
        <v>13650</v>
      </c>
      <c r="X85" s="16">
        <f t="shared" si="243"/>
        <v>0</v>
      </c>
      <c r="Y85" s="16">
        <f t="shared" si="243"/>
        <v>0</v>
      </c>
      <c r="Z85" s="16">
        <f t="shared" si="243"/>
        <v>13650</v>
      </c>
      <c r="AA85" s="16">
        <f t="shared" si="243"/>
        <v>0</v>
      </c>
      <c r="AB85" s="16">
        <f t="shared" si="243"/>
        <v>0</v>
      </c>
      <c r="AC85" s="16">
        <f t="shared" si="243"/>
        <v>-137</v>
      </c>
      <c r="AD85" s="16">
        <f t="shared" si="243"/>
        <v>0</v>
      </c>
      <c r="AE85" s="16">
        <f t="shared" si="243"/>
        <v>0</v>
      </c>
      <c r="AF85" s="16">
        <f t="shared" si="243"/>
        <v>0</v>
      </c>
      <c r="AG85" s="16">
        <f t="shared" si="243"/>
        <v>-137</v>
      </c>
      <c r="AH85" s="13">
        <f t="shared" si="243"/>
        <v>0</v>
      </c>
      <c r="AI85" s="13">
        <f t="shared" si="243"/>
        <v>0</v>
      </c>
      <c r="AJ85" s="13">
        <f t="shared" si="243"/>
        <v>0</v>
      </c>
      <c r="AK85" s="13">
        <f t="shared" si="243"/>
        <v>0</v>
      </c>
      <c r="AL85" s="13">
        <f t="shared" si="243"/>
        <v>0</v>
      </c>
      <c r="AM85" s="13">
        <f t="shared" si="243"/>
        <v>0</v>
      </c>
      <c r="AN85" s="13">
        <f t="shared" si="243"/>
        <v>0</v>
      </c>
      <c r="AO85" s="13">
        <f t="shared" si="243"/>
        <v>0</v>
      </c>
      <c r="AP85" s="13">
        <f t="shared" si="243"/>
        <v>0</v>
      </c>
      <c r="AQ85" s="13">
        <f t="shared" si="243"/>
        <v>0</v>
      </c>
      <c r="AR85" s="17">
        <f t="shared" si="243"/>
        <v>0</v>
      </c>
      <c r="AS85" s="171">
        <f t="shared" si="243"/>
        <v>6640376</v>
      </c>
      <c r="AT85" s="16">
        <f t="shared" si="243"/>
        <v>4906478</v>
      </c>
      <c r="AU85" s="16">
        <f t="shared" si="243"/>
        <v>13650</v>
      </c>
      <c r="AV85" s="16">
        <f t="shared" si="243"/>
        <v>1663003</v>
      </c>
      <c r="AW85" s="16">
        <f t="shared" si="243"/>
        <v>49064</v>
      </c>
      <c r="AX85" s="16">
        <f t="shared" si="243"/>
        <v>8181</v>
      </c>
      <c r="AY85" s="13">
        <f t="shared" si="243"/>
        <v>11.1218</v>
      </c>
      <c r="AZ85" s="13">
        <f t="shared" si="243"/>
        <v>10.4718</v>
      </c>
      <c r="BA85" s="17">
        <f t="shared" si="243"/>
        <v>0.65</v>
      </c>
    </row>
    <row r="86" spans="4:53" x14ac:dyDescent="0.2">
      <c r="D86" s="9"/>
      <c r="E86" s="5"/>
      <c r="F86" s="9"/>
      <c r="G86" s="20"/>
      <c r="H86" s="2">
        <v>3231</v>
      </c>
      <c r="I86" s="170">
        <f t="shared" ref="I86:BA86" si="244">SUMIF($F$12:$F$463,"=3231",I$12:I$463)</f>
        <v>11238122</v>
      </c>
      <c r="J86" s="16">
        <f t="shared" si="244"/>
        <v>8321084</v>
      </c>
      <c r="K86" s="16">
        <f t="shared" si="244"/>
        <v>2812526</v>
      </c>
      <c r="L86" s="16">
        <f t="shared" si="244"/>
        <v>83211</v>
      </c>
      <c r="M86" s="16">
        <f t="shared" si="244"/>
        <v>21301</v>
      </c>
      <c r="N86" s="13">
        <f t="shared" si="244"/>
        <v>14.6975</v>
      </c>
      <c r="O86" s="13">
        <f t="shared" si="244"/>
        <v>13.286199999999999</v>
      </c>
      <c r="P86" s="172">
        <f t="shared" si="244"/>
        <v>1.4113</v>
      </c>
      <c r="Q86" s="170">
        <f t="shared" si="244"/>
        <v>-27950</v>
      </c>
      <c r="R86" s="16">
        <f t="shared" si="244"/>
        <v>0</v>
      </c>
      <c r="S86" s="16">
        <f t="shared" si="244"/>
        <v>0</v>
      </c>
      <c r="T86" s="16">
        <f t="shared" si="244"/>
        <v>0</v>
      </c>
      <c r="U86" s="16">
        <f t="shared" si="244"/>
        <v>0</v>
      </c>
      <c r="V86" s="16">
        <f t="shared" si="244"/>
        <v>-27950</v>
      </c>
      <c r="W86" s="16">
        <f t="shared" si="244"/>
        <v>27950</v>
      </c>
      <c r="X86" s="16">
        <f t="shared" si="244"/>
        <v>0</v>
      </c>
      <c r="Y86" s="16">
        <f t="shared" si="244"/>
        <v>0</v>
      </c>
      <c r="Z86" s="16">
        <f t="shared" si="244"/>
        <v>27950</v>
      </c>
      <c r="AA86" s="16">
        <f t="shared" si="244"/>
        <v>0</v>
      </c>
      <c r="AB86" s="16">
        <f t="shared" si="244"/>
        <v>0</v>
      </c>
      <c r="AC86" s="16">
        <f t="shared" si="244"/>
        <v>-280</v>
      </c>
      <c r="AD86" s="16">
        <f t="shared" si="244"/>
        <v>0</v>
      </c>
      <c r="AE86" s="16">
        <f t="shared" si="244"/>
        <v>0</v>
      </c>
      <c r="AF86" s="16">
        <f t="shared" si="244"/>
        <v>0</v>
      </c>
      <c r="AG86" s="16">
        <f t="shared" si="244"/>
        <v>-280</v>
      </c>
      <c r="AH86" s="13">
        <f t="shared" si="244"/>
        <v>0</v>
      </c>
      <c r="AI86" s="13">
        <f t="shared" si="244"/>
        <v>0</v>
      </c>
      <c r="AJ86" s="13">
        <f t="shared" si="244"/>
        <v>0</v>
      </c>
      <c r="AK86" s="13">
        <f t="shared" si="244"/>
        <v>0</v>
      </c>
      <c r="AL86" s="13">
        <f t="shared" si="244"/>
        <v>0</v>
      </c>
      <c r="AM86" s="13">
        <f t="shared" si="244"/>
        <v>0</v>
      </c>
      <c r="AN86" s="13">
        <f t="shared" si="244"/>
        <v>0</v>
      </c>
      <c r="AO86" s="13">
        <f t="shared" si="244"/>
        <v>0</v>
      </c>
      <c r="AP86" s="13">
        <f t="shared" si="244"/>
        <v>0</v>
      </c>
      <c r="AQ86" s="13">
        <f t="shared" si="244"/>
        <v>0</v>
      </c>
      <c r="AR86" s="17">
        <f t="shared" si="244"/>
        <v>0</v>
      </c>
      <c r="AS86" s="171">
        <f t="shared" si="244"/>
        <v>11237842</v>
      </c>
      <c r="AT86" s="16">
        <f t="shared" si="244"/>
        <v>8293134</v>
      </c>
      <c r="AU86" s="16">
        <f t="shared" si="244"/>
        <v>27950</v>
      </c>
      <c r="AV86" s="16">
        <f t="shared" si="244"/>
        <v>2812526</v>
      </c>
      <c r="AW86" s="16">
        <f t="shared" si="244"/>
        <v>82931</v>
      </c>
      <c r="AX86" s="16">
        <f t="shared" si="244"/>
        <v>21301</v>
      </c>
      <c r="AY86" s="13">
        <f t="shared" si="244"/>
        <v>14.6975</v>
      </c>
      <c r="AZ86" s="13">
        <f t="shared" si="244"/>
        <v>13.286199999999999</v>
      </c>
      <c r="BA86" s="17">
        <f t="shared" si="244"/>
        <v>1.4113</v>
      </c>
    </row>
    <row r="87" spans="4:53" ht="13.5" thickBot="1" x14ac:dyDescent="0.25">
      <c r="D87" s="9"/>
      <c r="E87" s="5"/>
      <c r="F87" s="9"/>
      <c r="G87" s="20"/>
      <c r="H87" s="154">
        <v>3233</v>
      </c>
      <c r="I87" s="173">
        <f t="shared" ref="I87:BA87" si="245">SUMIF($F$12:$F$463,"=3233",I$12:I$463)</f>
        <v>2747980</v>
      </c>
      <c r="J87" s="174">
        <f t="shared" si="245"/>
        <v>2035736</v>
      </c>
      <c r="K87" s="174">
        <f t="shared" si="245"/>
        <v>688079</v>
      </c>
      <c r="L87" s="174">
        <f t="shared" si="245"/>
        <v>20357</v>
      </c>
      <c r="M87" s="174">
        <f t="shared" si="245"/>
        <v>3808</v>
      </c>
      <c r="N87" s="175">
        <f t="shared" si="245"/>
        <v>4.54</v>
      </c>
      <c r="O87" s="175">
        <f t="shared" si="245"/>
        <v>3.01</v>
      </c>
      <c r="P87" s="178">
        <f t="shared" si="245"/>
        <v>1.53</v>
      </c>
      <c r="Q87" s="173">
        <f t="shared" si="245"/>
        <v>-130000</v>
      </c>
      <c r="R87" s="174">
        <f t="shared" si="245"/>
        <v>0</v>
      </c>
      <c r="S87" s="174">
        <f t="shared" si="245"/>
        <v>0</v>
      </c>
      <c r="T87" s="174">
        <f t="shared" si="245"/>
        <v>0</v>
      </c>
      <c r="U87" s="174">
        <f t="shared" si="245"/>
        <v>0</v>
      </c>
      <c r="V87" s="174">
        <f t="shared" si="245"/>
        <v>-130000</v>
      </c>
      <c r="W87" s="174">
        <f t="shared" si="245"/>
        <v>130000</v>
      </c>
      <c r="X87" s="174">
        <f t="shared" si="245"/>
        <v>0</v>
      </c>
      <c r="Y87" s="174">
        <f t="shared" si="245"/>
        <v>0</v>
      </c>
      <c r="Z87" s="174">
        <f t="shared" si="245"/>
        <v>130000</v>
      </c>
      <c r="AA87" s="174">
        <f t="shared" si="245"/>
        <v>0</v>
      </c>
      <c r="AB87" s="174">
        <f t="shared" si="245"/>
        <v>0</v>
      </c>
      <c r="AC87" s="174">
        <f t="shared" si="245"/>
        <v>-1300</v>
      </c>
      <c r="AD87" s="174">
        <f t="shared" si="245"/>
        <v>0</v>
      </c>
      <c r="AE87" s="174">
        <f t="shared" si="245"/>
        <v>0</v>
      </c>
      <c r="AF87" s="174">
        <f t="shared" si="245"/>
        <v>0</v>
      </c>
      <c r="AG87" s="174">
        <f t="shared" si="245"/>
        <v>-1300</v>
      </c>
      <c r="AH87" s="175">
        <f t="shared" si="245"/>
        <v>-0.21</v>
      </c>
      <c r="AI87" s="175">
        <f t="shared" si="245"/>
        <v>-7.0000000000000007E-2</v>
      </c>
      <c r="AJ87" s="175">
        <f t="shared" si="245"/>
        <v>0</v>
      </c>
      <c r="AK87" s="175">
        <f t="shared" si="245"/>
        <v>0</v>
      </c>
      <c r="AL87" s="175">
        <f t="shared" si="245"/>
        <v>0</v>
      </c>
      <c r="AM87" s="175">
        <f t="shared" si="245"/>
        <v>0</v>
      </c>
      <c r="AN87" s="175">
        <f t="shared" si="245"/>
        <v>0</v>
      </c>
      <c r="AO87" s="175">
        <f t="shared" si="245"/>
        <v>0</v>
      </c>
      <c r="AP87" s="175">
        <f t="shared" si="245"/>
        <v>-0.21</v>
      </c>
      <c r="AQ87" s="175">
        <f t="shared" si="245"/>
        <v>-7.0000000000000007E-2</v>
      </c>
      <c r="AR87" s="176">
        <f t="shared" si="245"/>
        <v>-0.28000000000000003</v>
      </c>
      <c r="AS87" s="177">
        <f t="shared" si="245"/>
        <v>2746680</v>
      </c>
      <c r="AT87" s="174">
        <f t="shared" si="245"/>
        <v>1905736</v>
      </c>
      <c r="AU87" s="174">
        <f t="shared" si="245"/>
        <v>130000</v>
      </c>
      <c r="AV87" s="174">
        <f t="shared" si="245"/>
        <v>688079</v>
      </c>
      <c r="AW87" s="174">
        <f t="shared" si="245"/>
        <v>19057</v>
      </c>
      <c r="AX87" s="174">
        <f t="shared" si="245"/>
        <v>3808</v>
      </c>
      <c r="AY87" s="175">
        <f t="shared" si="245"/>
        <v>4.26</v>
      </c>
      <c r="AZ87" s="175">
        <f t="shared" si="245"/>
        <v>2.8</v>
      </c>
      <c r="BA87" s="176">
        <f t="shared" si="245"/>
        <v>1.46</v>
      </c>
    </row>
    <row r="88" spans="4:53" x14ac:dyDescent="0.2">
      <c r="D88" s="5"/>
      <c r="E88" s="5"/>
      <c r="F88" s="5"/>
      <c r="G88" s="20"/>
      <c r="H88" s="5"/>
    </row>
    <row r="132" spans="42:44" x14ac:dyDescent="0.2">
      <c r="AP132" s="636">
        <f>AH131+AJ131+AK131+AM131+AN131</f>
        <v>0</v>
      </c>
      <c r="AQ132" s="636">
        <f>AI131+AL131+AO131</f>
        <v>0</v>
      </c>
      <c r="AR132" s="636">
        <f>SUM(AP131:AQ131)</f>
        <v>0</v>
      </c>
    </row>
    <row r="133" spans="42:44" ht="13.5" thickBot="1" x14ac:dyDescent="0.25">
      <c r="AP133" s="606">
        <f>AH134+AJ134+AK134+AM134+AN134</f>
        <v>0</v>
      </c>
      <c r="AQ133" s="606">
        <f>AI134+AL134+AO134</f>
        <v>0</v>
      </c>
      <c r="AR133" s="606">
        <f>SUM(AP134:AQ134)</f>
        <v>0</v>
      </c>
    </row>
  </sheetData>
  <mergeCells count="26">
    <mergeCell ref="A3:E3"/>
    <mergeCell ref="I6:P7"/>
    <mergeCell ref="AH8:AI9"/>
    <mergeCell ref="AJ8:AJ9"/>
    <mergeCell ref="Q6:AR6"/>
    <mergeCell ref="AD7:AF9"/>
    <mergeCell ref="AG7:AG10"/>
    <mergeCell ref="AC7:AC10"/>
    <mergeCell ref="Q7:V9"/>
    <mergeCell ref="W7:Z9"/>
    <mergeCell ref="AA7:AA10"/>
    <mergeCell ref="AB7:AB10"/>
    <mergeCell ref="I8:I10"/>
    <mergeCell ref="J8:M9"/>
    <mergeCell ref="N8:N10"/>
    <mergeCell ref="O8:P9"/>
    <mergeCell ref="AS6:BA7"/>
    <mergeCell ref="AH7:AR7"/>
    <mergeCell ref="AN8:AO9"/>
    <mergeCell ref="AP8:AR9"/>
    <mergeCell ref="AS8:AS10"/>
    <mergeCell ref="AT8:AX9"/>
    <mergeCell ref="AY8:AY10"/>
    <mergeCell ref="AZ8:BA9"/>
    <mergeCell ref="AK8:AL8"/>
    <mergeCell ref="AM8:AM9"/>
  </mergeCells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7"/>
  <dimension ref="A1:BA315"/>
  <sheetViews>
    <sheetView workbookViewId="0">
      <pane xSplit="8" ySplit="11" topLeftCell="AI288" activePane="bottomRight" state="frozen"/>
      <selection activeCell="AQ11" sqref="AQ11"/>
      <selection pane="topRight" activeCell="AQ11" sqref="AQ11"/>
      <selection pane="bottomLeft" activeCell="AQ11" sqref="AQ11"/>
      <selection pane="bottomRight" activeCell="AS6" sqref="AS6:BA7"/>
    </sheetView>
  </sheetViews>
  <sheetFormatPr defaultRowHeight="12.75" x14ac:dyDescent="0.2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4.42578125" bestFit="1" customWidth="1"/>
    <col min="7" max="7" width="10.28515625" style="43" customWidth="1"/>
    <col min="8" max="8" width="8" customWidth="1"/>
    <col min="9" max="9" width="10.85546875" style="8" customWidth="1"/>
    <col min="10" max="11" width="11" style="8" customWidth="1"/>
    <col min="12" max="12" width="9.28515625" style="8" customWidth="1"/>
    <col min="13" max="13" width="10.28515625" style="8" customWidth="1"/>
    <col min="14" max="14" width="11.42578125" style="7" customWidth="1"/>
    <col min="15" max="16" width="9.28515625" style="7" customWidth="1"/>
    <col min="17" max="17" width="9.140625" style="8" customWidth="1"/>
    <col min="18" max="18" width="9.7109375" style="8" customWidth="1"/>
    <col min="19" max="20" width="9.140625" style="8" customWidth="1"/>
    <col min="21" max="21" width="9.7109375" style="8" customWidth="1"/>
    <col min="22" max="26" width="9.140625" style="8" customWidth="1"/>
    <col min="27" max="27" width="10.140625" style="8" customWidth="1"/>
    <col min="28" max="33" width="9.28515625" style="8" customWidth="1"/>
    <col min="34" max="44" width="9.28515625" style="7" customWidth="1"/>
    <col min="45" max="45" width="11.140625" style="8" customWidth="1"/>
    <col min="46" max="46" width="10.140625" style="8" customWidth="1"/>
    <col min="47" max="47" width="9.140625" style="8"/>
    <col min="48" max="48" width="10" style="8" customWidth="1"/>
    <col min="49" max="50" width="9.140625" style="8"/>
    <col min="51" max="51" width="11.85546875" style="7" customWidth="1"/>
    <col min="52" max="53" width="9.28515625" style="7" customWidth="1"/>
    <col min="179" max="179" width="6.85546875" customWidth="1"/>
    <col min="180" max="180" width="29.85546875" customWidth="1"/>
    <col min="181" max="181" width="6.7109375" customWidth="1"/>
    <col min="182" max="182" width="32.28515625" customWidth="1"/>
    <col min="183" max="183" width="10.85546875" customWidth="1"/>
    <col min="184" max="184" width="11.7109375" customWidth="1"/>
    <col min="185" max="185" width="10.85546875" customWidth="1"/>
    <col min="186" max="186" width="10.5703125" customWidth="1"/>
    <col min="188" max="188" width="10.85546875" customWidth="1"/>
    <col min="191" max="191" width="12" customWidth="1"/>
    <col min="435" max="435" width="6.85546875" customWidth="1"/>
    <col min="436" max="436" width="29.85546875" customWidth="1"/>
    <col min="437" max="437" width="6.7109375" customWidth="1"/>
    <col min="438" max="438" width="32.28515625" customWidth="1"/>
    <col min="439" max="439" width="10.85546875" customWidth="1"/>
    <col min="440" max="440" width="11.7109375" customWidth="1"/>
    <col min="441" max="441" width="10.85546875" customWidth="1"/>
    <col min="442" max="442" width="10.5703125" customWidth="1"/>
    <col min="444" max="444" width="10.85546875" customWidth="1"/>
    <col min="447" max="447" width="12" customWidth="1"/>
    <col min="691" max="691" width="6.85546875" customWidth="1"/>
    <col min="692" max="692" width="29.85546875" customWidth="1"/>
    <col min="693" max="693" width="6.7109375" customWidth="1"/>
    <col min="694" max="694" width="32.28515625" customWidth="1"/>
    <col min="695" max="695" width="10.85546875" customWidth="1"/>
    <col min="696" max="696" width="11.7109375" customWidth="1"/>
    <col min="697" max="697" width="10.85546875" customWidth="1"/>
    <col min="698" max="698" width="10.5703125" customWidth="1"/>
    <col min="700" max="700" width="10.85546875" customWidth="1"/>
    <col min="703" max="703" width="12" customWidth="1"/>
    <col min="947" max="947" width="6.85546875" customWidth="1"/>
    <col min="948" max="948" width="29.85546875" customWidth="1"/>
    <col min="949" max="949" width="6.7109375" customWidth="1"/>
    <col min="950" max="950" width="32.28515625" customWidth="1"/>
    <col min="951" max="951" width="10.85546875" customWidth="1"/>
    <col min="952" max="952" width="11.7109375" customWidth="1"/>
    <col min="953" max="953" width="10.85546875" customWidth="1"/>
    <col min="954" max="954" width="10.5703125" customWidth="1"/>
    <col min="956" max="956" width="10.85546875" customWidth="1"/>
    <col min="959" max="959" width="12" customWidth="1"/>
    <col min="1203" max="1203" width="6.85546875" customWidth="1"/>
    <col min="1204" max="1204" width="29.85546875" customWidth="1"/>
    <col min="1205" max="1205" width="6.7109375" customWidth="1"/>
    <col min="1206" max="1206" width="32.28515625" customWidth="1"/>
    <col min="1207" max="1207" width="10.85546875" customWidth="1"/>
    <col min="1208" max="1208" width="11.7109375" customWidth="1"/>
    <col min="1209" max="1209" width="10.85546875" customWidth="1"/>
    <col min="1210" max="1210" width="10.5703125" customWidth="1"/>
    <col min="1212" max="1212" width="10.85546875" customWidth="1"/>
    <col min="1215" max="1215" width="12" customWidth="1"/>
    <col min="1459" max="1459" width="6.85546875" customWidth="1"/>
    <col min="1460" max="1460" width="29.85546875" customWidth="1"/>
    <col min="1461" max="1461" width="6.7109375" customWidth="1"/>
    <col min="1462" max="1462" width="32.28515625" customWidth="1"/>
    <col min="1463" max="1463" width="10.85546875" customWidth="1"/>
    <col min="1464" max="1464" width="11.7109375" customWidth="1"/>
    <col min="1465" max="1465" width="10.85546875" customWidth="1"/>
    <col min="1466" max="1466" width="10.5703125" customWidth="1"/>
    <col min="1468" max="1468" width="10.85546875" customWidth="1"/>
    <col min="1471" max="1471" width="12" customWidth="1"/>
    <col min="1715" max="1715" width="6.85546875" customWidth="1"/>
    <col min="1716" max="1716" width="29.85546875" customWidth="1"/>
    <col min="1717" max="1717" width="6.7109375" customWidth="1"/>
    <col min="1718" max="1718" width="32.28515625" customWidth="1"/>
    <col min="1719" max="1719" width="10.85546875" customWidth="1"/>
    <col min="1720" max="1720" width="11.7109375" customWidth="1"/>
    <col min="1721" max="1721" width="10.85546875" customWidth="1"/>
    <col min="1722" max="1722" width="10.5703125" customWidth="1"/>
    <col min="1724" max="1724" width="10.85546875" customWidth="1"/>
    <col min="1727" max="1727" width="12" customWidth="1"/>
    <col min="1971" max="1971" width="6.85546875" customWidth="1"/>
    <col min="1972" max="1972" width="29.85546875" customWidth="1"/>
    <col min="1973" max="1973" width="6.7109375" customWidth="1"/>
    <col min="1974" max="1974" width="32.28515625" customWidth="1"/>
    <col min="1975" max="1975" width="10.85546875" customWidth="1"/>
    <col min="1976" max="1976" width="11.7109375" customWidth="1"/>
    <col min="1977" max="1977" width="10.85546875" customWidth="1"/>
    <col min="1978" max="1978" width="10.5703125" customWidth="1"/>
    <col min="1980" max="1980" width="10.85546875" customWidth="1"/>
    <col min="1983" max="1983" width="12" customWidth="1"/>
    <col min="2227" max="2227" width="6.85546875" customWidth="1"/>
    <col min="2228" max="2228" width="29.85546875" customWidth="1"/>
    <col min="2229" max="2229" width="6.7109375" customWidth="1"/>
    <col min="2230" max="2230" width="32.28515625" customWidth="1"/>
    <col min="2231" max="2231" width="10.85546875" customWidth="1"/>
    <col min="2232" max="2232" width="11.7109375" customWidth="1"/>
    <col min="2233" max="2233" width="10.85546875" customWidth="1"/>
    <col min="2234" max="2234" width="10.5703125" customWidth="1"/>
    <col min="2236" max="2236" width="10.85546875" customWidth="1"/>
    <col min="2239" max="2239" width="12" customWidth="1"/>
    <col min="2483" max="2483" width="6.85546875" customWidth="1"/>
    <col min="2484" max="2484" width="29.85546875" customWidth="1"/>
    <col min="2485" max="2485" width="6.7109375" customWidth="1"/>
    <col min="2486" max="2486" width="32.28515625" customWidth="1"/>
    <col min="2487" max="2487" width="10.85546875" customWidth="1"/>
    <col min="2488" max="2488" width="11.7109375" customWidth="1"/>
    <col min="2489" max="2489" width="10.85546875" customWidth="1"/>
    <col min="2490" max="2490" width="10.5703125" customWidth="1"/>
    <col min="2492" max="2492" width="10.85546875" customWidth="1"/>
    <col min="2495" max="2495" width="12" customWidth="1"/>
    <col min="2739" max="2739" width="6.85546875" customWidth="1"/>
    <col min="2740" max="2740" width="29.85546875" customWidth="1"/>
    <col min="2741" max="2741" width="6.7109375" customWidth="1"/>
    <col min="2742" max="2742" width="32.28515625" customWidth="1"/>
    <col min="2743" max="2743" width="10.85546875" customWidth="1"/>
    <col min="2744" max="2744" width="11.7109375" customWidth="1"/>
    <col min="2745" max="2745" width="10.85546875" customWidth="1"/>
    <col min="2746" max="2746" width="10.5703125" customWidth="1"/>
    <col min="2748" max="2748" width="10.85546875" customWidth="1"/>
    <col min="2751" max="2751" width="12" customWidth="1"/>
    <col min="2995" max="2995" width="6.85546875" customWidth="1"/>
    <col min="2996" max="2996" width="29.85546875" customWidth="1"/>
    <col min="2997" max="2997" width="6.7109375" customWidth="1"/>
    <col min="2998" max="2998" width="32.28515625" customWidth="1"/>
    <col min="2999" max="2999" width="10.85546875" customWidth="1"/>
    <col min="3000" max="3000" width="11.7109375" customWidth="1"/>
    <col min="3001" max="3001" width="10.85546875" customWidth="1"/>
    <col min="3002" max="3002" width="10.5703125" customWidth="1"/>
    <col min="3004" max="3004" width="10.85546875" customWidth="1"/>
    <col min="3007" max="3007" width="12" customWidth="1"/>
    <col min="3251" max="3251" width="6.85546875" customWidth="1"/>
    <col min="3252" max="3252" width="29.85546875" customWidth="1"/>
    <col min="3253" max="3253" width="6.7109375" customWidth="1"/>
    <col min="3254" max="3254" width="32.28515625" customWidth="1"/>
    <col min="3255" max="3255" width="10.85546875" customWidth="1"/>
    <col min="3256" max="3256" width="11.7109375" customWidth="1"/>
    <col min="3257" max="3257" width="10.85546875" customWidth="1"/>
    <col min="3258" max="3258" width="10.5703125" customWidth="1"/>
    <col min="3260" max="3260" width="10.85546875" customWidth="1"/>
    <col min="3263" max="3263" width="12" customWidth="1"/>
    <col min="3507" max="3507" width="6.85546875" customWidth="1"/>
    <col min="3508" max="3508" width="29.85546875" customWidth="1"/>
    <col min="3509" max="3509" width="6.7109375" customWidth="1"/>
    <col min="3510" max="3510" width="32.28515625" customWidth="1"/>
    <col min="3511" max="3511" width="10.85546875" customWidth="1"/>
    <col min="3512" max="3512" width="11.7109375" customWidth="1"/>
    <col min="3513" max="3513" width="10.85546875" customWidth="1"/>
    <col min="3514" max="3514" width="10.5703125" customWidth="1"/>
    <col min="3516" max="3516" width="10.85546875" customWidth="1"/>
    <col min="3519" max="3519" width="12" customWidth="1"/>
    <col min="3763" max="3763" width="6.85546875" customWidth="1"/>
    <col min="3764" max="3764" width="29.85546875" customWidth="1"/>
    <col min="3765" max="3765" width="6.7109375" customWidth="1"/>
    <col min="3766" max="3766" width="32.28515625" customWidth="1"/>
    <col min="3767" max="3767" width="10.85546875" customWidth="1"/>
    <col min="3768" max="3768" width="11.7109375" customWidth="1"/>
    <col min="3769" max="3769" width="10.85546875" customWidth="1"/>
    <col min="3770" max="3770" width="10.5703125" customWidth="1"/>
    <col min="3772" max="3772" width="10.85546875" customWidth="1"/>
    <col min="3775" max="3775" width="12" customWidth="1"/>
    <col min="4019" max="4019" width="6.85546875" customWidth="1"/>
    <col min="4020" max="4020" width="29.85546875" customWidth="1"/>
    <col min="4021" max="4021" width="6.7109375" customWidth="1"/>
    <col min="4022" max="4022" width="32.28515625" customWidth="1"/>
    <col min="4023" max="4023" width="10.85546875" customWidth="1"/>
    <col min="4024" max="4024" width="11.7109375" customWidth="1"/>
    <col min="4025" max="4025" width="10.85546875" customWidth="1"/>
    <col min="4026" max="4026" width="10.5703125" customWidth="1"/>
    <col min="4028" max="4028" width="10.85546875" customWidth="1"/>
    <col min="4031" max="4031" width="12" customWidth="1"/>
    <col min="4275" max="4275" width="6.85546875" customWidth="1"/>
    <col min="4276" max="4276" width="29.85546875" customWidth="1"/>
    <col min="4277" max="4277" width="6.7109375" customWidth="1"/>
    <col min="4278" max="4278" width="32.28515625" customWidth="1"/>
    <col min="4279" max="4279" width="10.85546875" customWidth="1"/>
    <col min="4280" max="4280" width="11.7109375" customWidth="1"/>
    <col min="4281" max="4281" width="10.85546875" customWidth="1"/>
    <col min="4282" max="4282" width="10.5703125" customWidth="1"/>
    <col min="4284" max="4284" width="10.85546875" customWidth="1"/>
    <col min="4287" max="4287" width="12" customWidth="1"/>
    <col min="4531" max="4531" width="6.85546875" customWidth="1"/>
    <col min="4532" max="4532" width="29.85546875" customWidth="1"/>
    <col min="4533" max="4533" width="6.7109375" customWidth="1"/>
    <col min="4534" max="4534" width="32.28515625" customWidth="1"/>
    <col min="4535" max="4535" width="10.85546875" customWidth="1"/>
    <col min="4536" max="4536" width="11.7109375" customWidth="1"/>
    <col min="4537" max="4537" width="10.85546875" customWidth="1"/>
    <col min="4538" max="4538" width="10.5703125" customWidth="1"/>
    <col min="4540" max="4540" width="10.85546875" customWidth="1"/>
    <col min="4543" max="4543" width="12" customWidth="1"/>
    <col min="4787" max="4787" width="6.85546875" customWidth="1"/>
    <col min="4788" max="4788" width="29.85546875" customWidth="1"/>
    <col min="4789" max="4789" width="6.7109375" customWidth="1"/>
    <col min="4790" max="4790" width="32.28515625" customWidth="1"/>
    <col min="4791" max="4791" width="10.85546875" customWidth="1"/>
    <col min="4792" max="4792" width="11.7109375" customWidth="1"/>
    <col min="4793" max="4793" width="10.85546875" customWidth="1"/>
    <col min="4794" max="4794" width="10.5703125" customWidth="1"/>
    <col min="4796" max="4796" width="10.85546875" customWidth="1"/>
    <col min="4799" max="4799" width="12" customWidth="1"/>
    <col min="5043" max="5043" width="6.85546875" customWidth="1"/>
    <col min="5044" max="5044" width="29.85546875" customWidth="1"/>
    <col min="5045" max="5045" width="6.7109375" customWidth="1"/>
    <col min="5046" max="5046" width="32.28515625" customWidth="1"/>
    <col min="5047" max="5047" width="10.85546875" customWidth="1"/>
    <col min="5048" max="5048" width="11.7109375" customWidth="1"/>
    <col min="5049" max="5049" width="10.85546875" customWidth="1"/>
    <col min="5050" max="5050" width="10.5703125" customWidth="1"/>
    <col min="5052" max="5052" width="10.85546875" customWidth="1"/>
    <col min="5055" max="5055" width="12" customWidth="1"/>
    <col min="5299" max="5299" width="6.85546875" customWidth="1"/>
    <col min="5300" max="5300" width="29.85546875" customWidth="1"/>
    <col min="5301" max="5301" width="6.7109375" customWidth="1"/>
    <col min="5302" max="5302" width="32.28515625" customWidth="1"/>
    <col min="5303" max="5303" width="10.85546875" customWidth="1"/>
    <col min="5304" max="5304" width="11.7109375" customWidth="1"/>
    <col min="5305" max="5305" width="10.85546875" customWidth="1"/>
    <col min="5306" max="5306" width="10.5703125" customWidth="1"/>
    <col min="5308" max="5308" width="10.85546875" customWidth="1"/>
    <col min="5311" max="5311" width="12" customWidth="1"/>
    <col min="5555" max="5555" width="6.85546875" customWidth="1"/>
    <col min="5556" max="5556" width="29.85546875" customWidth="1"/>
    <col min="5557" max="5557" width="6.7109375" customWidth="1"/>
    <col min="5558" max="5558" width="32.28515625" customWidth="1"/>
    <col min="5559" max="5559" width="10.85546875" customWidth="1"/>
    <col min="5560" max="5560" width="11.7109375" customWidth="1"/>
    <col min="5561" max="5561" width="10.85546875" customWidth="1"/>
    <col min="5562" max="5562" width="10.5703125" customWidth="1"/>
    <col min="5564" max="5564" width="10.85546875" customWidth="1"/>
    <col min="5567" max="5567" width="12" customWidth="1"/>
    <col min="5811" max="5811" width="6.85546875" customWidth="1"/>
    <col min="5812" max="5812" width="29.85546875" customWidth="1"/>
    <col min="5813" max="5813" width="6.7109375" customWidth="1"/>
    <col min="5814" max="5814" width="32.28515625" customWidth="1"/>
    <col min="5815" max="5815" width="10.85546875" customWidth="1"/>
    <col min="5816" max="5816" width="11.7109375" customWidth="1"/>
    <col min="5817" max="5817" width="10.85546875" customWidth="1"/>
    <col min="5818" max="5818" width="10.5703125" customWidth="1"/>
    <col min="5820" max="5820" width="10.85546875" customWidth="1"/>
    <col min="5823" max="5823" width="12" customWidth="1"/>
    <col min="6067" max="6067" width="6.85546875" customWidth="1"/>
    <col min="6068" max="6068" width="29.85546875" customWidth="1"/>
    <col min="6069" max="6069" width="6.7109375" customWidth="1"/>
    <col min="6070" max="6070" width="32.28515625" customWidth="1"/>
    <col min="6071" max="6071" width="10.85546875" customWidth="1"/>
    <col min="6072" max="6072" width="11.7109375" customWidth="1"/>
    <col min="6073" max="6073" width="10.85546875" customWidth="1"/>
    <col min="6074" max="6074" width="10.5703125" customWidth="1"/>
    <col min="6076" max="6076" width="10.85546875" customWidth="1"/>
    <col min="6079" max="6079" width="12" customWidth="1"/>
    <col min="6323" max="6323" width="6.85546875" customWidth="1"/>
    <col min="6324" max="6324" width="29.85546875" customWidth="1"/>
    <col min="6325" max="6325" width="6.7109375" customWidth="1"/>
    <col min="6326" max="6326" width="32.28515625" customWidth="1"/>
    <col min="6327" max="6327" width="10.85546875" customWidth="1"/>
    <col min="6328" max="6328" width="11.7109375" customWidth="1"/>
    <col min="6329" max="6329" width="10.85546875" customWidth="1"/>
    <col min="6330" max="6330" width="10.5703125" customWidth="1"/>
    <col min="6332" max="6332" width="10.85546875" customWidth="1"/>
    <col min="6335" max="6335" width="12" customWidth="1"/>
    <col min="6579" max="6579" width="6.85546875" customWidth="1"/>
    <col min="6580" max="6580" width="29.85546875" customWidth="1"/>
    <col min="6581" max="6581" width="6.7109375" customWidth="1"/>
    <col min="6582" max="6582" width="32.28515625" customWidth="1"/>
    <col min="6583" max="6583" width="10.85546875" customWidth="1"/>
    <col min="6584" max="6584" width="11.7109375" customWidth="1"/>
    <col min="6585" max="6585" width="10.85546875" customWidth="1"/>
    <col min="6586" max="6586" width="10.5703125" customWidth="1"/>
    <col min="6588" max="6588" width="10.85546875" customWidth="1"/>
    <col min="6591" max="6591" width="12" customWidth="1"/>
    <col min="6835" max="6835" width="6.85546875" customWidth="1"/>
    <col min="6836" max="6836" width="29.85546875" customWidth="1"/>
    <col min="6837" max="6837" width="6.7109375" customWidth="1"/>
    <col min="6838" max="6838" width="32.28515625" customWidth="1"/>
    <col min="6839" max="6839" width="10.85546875" customWidth="1"/>
    <col min="6840" max="6840" width="11.7109375" customWidth="1"/>
    <col min="6841" max="6841" width="10.85546875" customWidth="1"/>
    <col min="6842" max="6842" width="10.5703125" customWidth="1"/>
    <col min="6844" max="6844" width="10.85546875" customWidth="1"/>
    <col min="6847" max="6847" width="12" customWidth="1"/>
    <col min="7091" max="7091" width="6.85546875" customWidth="1"/>
    <col min="7092" max="7092" width="29.85546875" customWidth="1"/>
    <col min="7093" max="7093" width="6.7109375" customWidth="1"/>
    <col min="7094" max="7094" width="32.28515625" customWidth="1"/>
    <col min="7095" max="7095" width="10.85546875" customWidth="1"/>
    <col min="7096" max="7096" width="11.7109375" customWidth="1"/>
    <col min="7097" max="7097" width="10.85546875" customWidth="1"/>
    <col min="7098" max="7098" width="10.5703125" customWidth="1"/>
    <col min="7100" max="7100" width="10.85546875" customWidth="1"/>
    <col min="7103" max="7103" width="12" customWidth="1"/>
    <col min="7347" max="7347" width="6.85546875" customWidth="1"/>
    <col min="7348" max="7348" width="29.85546875" customWidth="1"/>
    <col min="7349" max="7349" width="6.7109375" customWidth="1"/>
    <col min="7350" max="7350" width="32.28515625" customWidth="1"/>
    <col min="7351" max="7351" width="10.85546875" customWidth="1"/>
    <col min="7352" max="7352" width="11.7109375" customWidth="1"/>
    <col min="7353" max="7353" width="10.85546875" customWidth="1"/>
    <col min="7354" max="7354" width="10.5703125" customWidth="1"/>
    <col min="7356" max="7356" width="10.85546875" customWidth="1"/>
    <col min="7359" max="7359" width="12" customWidth="1"/>
    <col min="7603" max="7603" width="6.85546875" customWidth="1"/>
    <col min="7604" max="7604" width="29.85546875" customWidth="1"/>
    <col min="7605" max="7605" width="6.7109375" customWidth="1"/>
    <col min="7606" max="7606" width="32.28515625" customWidth="1"/>
    <col min="7607" max="7607" width="10.85546875" customWidth="1"/>
    <col min="7608" max="7608" width="11.7109375" customWidth="1"/>
    <col min="7609" max="7609" width="10.85546875" customWidth="1"/>
    <col min="7610" max="7610" width="10.5703125" customWidth="1"/>
    <col min="7612" max="7612" width="10.85546875" customWidth="1"/>
    <col min="7615" max="7615" width="12" customWidth="1"/>
    <col min="7859" max="7859" width="6.85546875" customWidth="1"/>
    <col min="7860" max="7860" width="29.85546875" customWidth="1"/>
    <col min="7861" max="7861" width="6.7109375" customWidth="1"/>
    <col min="7862" max="7862" width="32.28515625" customWidth="1"/>
    <col min="7863" max="7863" width="10.85546875" customWidth="1"/>
    <col min="7864" max="7864" width="11.7109375" customWidth="1"/>
    <col min="7865" max="7865" width="10.85546875" customWidth="1"/>
    <col min="7866" max="7866" width="10.5703125" customWidth="1"/>
    <col min="7868" max="7868" width="10.85546875" customWidth="1"/>
    <col min="7871" max="7871" width="12" customWidth="1"/>
    <col min="8115" max="8115" width="6.85546875" customWidth="1"/>
    <col min="8116" max="8116" width="29.85546875" customWidth="1"/>
    <col min="8117" max="8117" width="6.7109375" customWidth="1"/>
    <col min="8118" max="8118" width="32.28515625" customWidth="1"/>
    <col min="8119" max="8119" width="10.85546875" customWidth="1"/>
    <col min="8120" max="8120" width="11.7109375" customWidth="1"/>
    <col min="8121" max="8121" width="10.85546875" customWidth="1"/>
    <col min="8122" max="8122" width="10.5703125" customWidth="1"/>
    <col min="8124" max="8124" width="10.85546875" customWidth="1"/>
    <col min="8127" max="8127" width="12" customWidth="1"/>
    <col min="8371" max="8371" width="6.85546875" customWidth="1"/>
    <col min="8372" max="8372" width="29.85546875" customWidth="1"/>
    <col min="8373" max="8373" width="6.7109375" customWidth="1"/>
    <col min="8374" max="8374" width="32.28515625" customWidth="1"/>
    <col min="8375" max="8375" width="10.85546875" customWidth="1"/>
    <col min="8376" max="8376" width="11.7109375" customWidth="1"/>
    <col min="8377" max="8377" width="10.85546875" customWidth="1"/>
    <col min="8378" max="8378" width="10.5703125" customWidth="1"/>
    <col min="8380" max="8380" width="10.85546875" customWidth="1"/>
    <col min="8383" max="8383" width="12" customWidth="1"/>
    <col min="8627" max="8627" width="6.85546875" customWidth="1"/>
    <col min="8628" max="8628" width="29.85546875" customWidth="1"/>
    <col min="8629" max="8629" width="6.7109375" customWidth="1"/>
    <col min="8630" max="8630" width="32.28515625" customWidth="1"/>
    <col min="8631" max="8631" width="10.85546875" customWidth="1"/>
    <col min="8632" max="8632" width="11.7109375" customWidth="1"/>
    <col min="8633" max="8633" width="10.85546875" customWidth="1"/>
    <col min="8634" max="8634" width="10.5703125" customWidth="1"/>
    <col min="8636" max="8636" width="10.85546875" customWidth="1"/>
    <col min="8639" max="8639" width="12" customWidth="1"/>
    <col min="8883" max="8883" width="6.85546875" customWidth="1"/>
    <col min="8884" max="8884" width="29.85546875" customWidth="1"/>
    <col min="8885" max="8885" width="6.7109375" customWidth="1"/>
    <col min="8886" max="8886" width="32.28515625" customWidth="1"/>
    <col min="8887" max="8887" width="10.85546875" customWidth="1"/>
    <col min="8888" max="8888" width="11.7109375" customWidth="1"/>
    <col min="8889" max="8889" width="10.85546875" customWidth="1"/>
    <col min="8890" max="8890" width="10.5703125" customWidth="1"/>
    <col min="8892" max="8892" width="10.85546875" customWidth="1"/>
    <col min="8895" max="8895" width="12" customWidth="1"/>
    <col min="9139" max="9139" width="6.85546875" customWidth="1"/>
    <col min="9140" max="9140" width="29.85546875" customWidth="1"/>
    <col min="9141" max="9141" width="6.7109375" customWidth="1"/>
    <col min="9142" max="9142" width="32.28515625" customWidth="1"/>
    <col min="9143" max="9143" width="10.85546875" customWidth="1"/>
    <col min="9144" max="9144" width="11.7109375" customWidth="1"/>
    <col min="9145" max="9145" width="10.85546875" customWidth="1"/>
    <col min="9146" max="9146" width="10.5703125" customWidth="1"/>
    <col min="9148" max="9148" width="10.85546875" customWidth="1"/>
    <col min="9151" max="9151" width="12" customWidth="1"/>
    <col min="9395" max="9395" width="6.85546875" customWidth="1"/>
    <col min="9396" max="9396" width="29.85546875" customWidth="1"/>
    <col min="9397" max="9397" width="6.7109375" customWidth="1"/>
    <col min="9398" max="9398" width="32.28515625" customWidth="1"/>
    <col min="9399" max="9399" width="10.85546875" customWidth="1"/>
    <col min="9400" max="9400" width="11.7109375" customWidth="1"/>
    <col min="9401" max="9401" width="10.85546875" customWidth="1"/>
    <col min="9402" max="9402" width="10.5703125" customWidth="1"/>
    <col min="9404" max="9404" width="10.85546875" customWidth="1"/>
    <col min="9407" max="9407" width="12" customWidth="1"/>
    <col min="9651" max="9651" width="6.85546875" customWidth="1"/>
    <col min="9652" max="9652" width="29.85546875" customWidth="1"/>
    <col min="9653" max="9653" width="6.7109375" customWidth="1"/>
    <col min="9654" max="9654" width="32.28515625" customWidth="1"/>
    <col min="9655" max="9655" width="10.85546875" customWidth="1"/>
    <col min="9656" max="9656" width="11.7109375" customWidth="1"/>
    <col min="9657" max="9657" width="10.85546875" customWidth="1"/>
    <col min="9658" max="9658" width="10.5703125" customWidth="1"/>
    <col min="9660" max="9660" width="10.85546875" customWidth="1"/>
    <col min="9663" max="9663" width="12" customWidth="1"/>
    <col min="9907" max="9907" width="6.85546875" customWidth="1"/>
    <col min="9908" max="9908" width="29.85546875" customWidth="1"/>
    <col min="9909" max="9909" width="6.7109375" customWidth="1"/>
    <col min="9910" max="9910" width="32.28515625" customWidth="1"/>
    <col min="9911" max="9911" width="10.85546875" customWidth="1"/>
    <col min="9912" max="9912" width="11.7109375" customWidth="1"/>
    <col min="9913" max="9913" width="10.85546875" customWidth="1"/>
    <col min="9914" max="9914" width="10.5703125" customWidth="1"/>
    <col min="9916" max="9916" width="10.85546875" customWidth="1"/>
    <col min="9919" max="9919" width="12" customWidth="1"/>
    <col min="10163" max="10163" width="6.85546875" customWidth="1"/>
    <col min="10164" max="10164" width="29.85546875" customWidth="1"/>
    <col min="10165" max="10165" width="6.7109375" customWidth="1"/>
    <col min="10166" max="10166" width="32.28515625" customWidth="1"/>
    <col min="10167" max="10167" width="10.85546875" customWidth="1"/>
    <col min="10168" max="10168" width="11.7109375" customWidth="1"/>
    <col min="10169" max="10169" width="10.85546875" customWidth="1"/>
    <col min="10170" max="10170" width="10.5703125" customWidth="1"/>
    <col min="10172" max="10172" width="10.85546875" customWidth="1"/>
    <col min="10175" max="10175" width="12" customWidth="1"/>
    <col min="10419" max="10419" width="6.85546875" customWidth="1"/>
    <col min="10420" max="10420" width="29.85546875" customWidth="1"/>
    <col min="10421" max="10421" width="6.7109375" customWidth="1"/>
    <col min="10422" max="10422" width="32.28515625" customWidth="1"/>
    <col min="10423" max="10423" width="10.85546875" customWidth="1"/>
    <col min="10424" max="10424" width="11.7109375" customWidth="1"/>
    <col min="10425" max="10425" width="10.85546875" customWidth="1"/>
    <col min="10426" max="10426" width="10.5703125" customWidth="1"/>
    <col min="10428" max="10428" width="10.85546875" customWidth="1"/>
    <col min="10431" max="10431" width="12" customWidth="1"/>
    <col min="10675" max="10675" width="6.85546875" customWidth="1"/>
    <col min="10676" max="10676" width="29.85546875" customWidth="1"/>
    <col min="10677" max="10677" width="6.7109375" customWidth="1"/>
    <col min="10678" max="10678" width="32.28515625" customWidth="1"/>
    <col min="10679" max="10679" width="10.85546875" customWidth="1"/>
    <col min="10680" max="10680" width="11.7109375" customWidth="1"/>
    <col min="10681" max="10681" width="10.85546875" customWidth="1"/>
    <col min="10682" max="10682" width="10.5703125" customWidth="1"/>
    <col min="10684" max="10684" width="10.85546875" customWidth="1"/>
    <col min="10687" max="10687" width="12" customWidth="1"/>
    <col min="10931" max="10931" width="6.85546875" customWidth="1"/>
    <col min="10932" max="10932" width="29.85546875" customWidth="1"/>
    <col min="10933" max="10933" width="6.7109375" customWidth="1"/>
    <col min="10934" max="10934" width="32.28515625" customWidth="1"/>
    <col min="10935" max="10935" width="10.85546875" customWidth="1"/>
    <col min="10936" max="10936" width="11.7109375" customWidth="1"/>
    <col min="10937" max="10937" width="10.85546875" customWidth="1"/>
    <col min="10938" max="10938" width="10.5703125" customWidth="1"/>
    <col min="10940" max="10940" width="10.85546875" customWidth="1"/>
    <col min="10943" max="10943" width="12" customWidth="1"/>
    <col min="11187" max="11187" width="6.85546875" customWidth="1"/>
    <col min="11188" max="11188" width="29.85546875" customWidth="1"/>
    <col min="11189" max="11189" width="6.7109375" customWidth="1"/>
    <col min="11190" max="11190" width="32.28515625" customWidth="1"/>
    <col min="11191" max="11191" width="10.85546875" customWidth="1"/>
    <col min="11192" max="11192" width="11.7109375" customWidth="1"/>
    <col min="11193" max="11193" width="10.85546875" customWidth="1"/>
    <col min="11194" max="11194" width="10.5703125" customWidth="1"/>
    <col min="11196" max="11196" width="10.85546875" customWidth="1"/>
    <col min="11199" max="11199" width="12" customWidth="1"/>
    <col min="11443" max="11443" width="6.85546875" customWidth="1"/>
    <col min="11444" max="11444" width="29.85546875" customWidth="1"/>
    <col min="11445" max="11445" width="6.7109375" customWidth="1"/>
    <col min="11446" max="11446" width="32.28515625" customWidth="1"/>
    <col min="11447" max="11447" width="10.85546875" customWidth="1"/>
    <col min="11448" max="11448" width="11.7109375" customWidth="1"/>
    <col min="11449" max="11449" width="10.85546875" customWidth="1"/>
    <col min="11450" max="11450" width="10.5703125" customWidth="1"/>
    <col min="11452" max="11452" width="10.85546875" customWidth="1"/>
    <col min="11455" max="11455" width="12" customWidth="1"/>
    <col min="11699" max="11699" width="6.85546875" customWidth="1"/>
    <col min="11700" max="11700" width="29.85546875" customWidth="1"/>
    <col min="11701" max="11701" width="6.7109375" customWidth="1"/>
    <col min="11702" max="11702" width="32.28515625" customWidth="1"/>
    <col min="11703" max="11703" width="10.85546875" customWidth="1"/>
    <col min="11704" max="11704" width="11.7109375" customWidth="1"/>
    <col min="11705" max="11705" width="10.85546875" customWidth="1"/>
    <col min="11706" max="11706" width="10.5703125" customWidth="1"/>
    <col min="11708" max="11708" width="10.85546875" customWidth="1"/>
    <col min="11711" max="11711" width="12" customWidth="1"/>
    <col min="11955" max="11955" width="6.85546875" customWidth="1"/>
    <col min="11956" max="11956" width="29.85546875" customWidth="1"/>
    <col min="11957" max="11957" width="6.7109375" customWidth="1"/>
    <col min="11958" max="11958" width="32.28515625" customWidth="1"/>
    <col min="11959" max="11959" width="10.85546875" customWidth="1"/>
    <col min="11960" max="11960" width="11.7109375" customWidth="1"/>
    <col min="11961" max="11961" width="10.85546875" customWidth="1"/>
    <col min="11962" max="11962" width="10.5703125" customWidth="1"/>
    <col min="11964" max="11964" width="10.85546875" customWidth="1"/>
    <col min="11967" max="11967" width="12" customWidth="1"/>
    <col min="12211" max="12211" width="6.85546875" customWidth="1"/>
    <col min="12212" max="12212" width="29.85546875" customWidth="1"/>
    <col min="12213" max="12213" width="6.7109375" customWidth="1"/>
    <col min="12214" max="12214" width="32.28515625" customWidth="1"/>
    <col min="12215" max="12215" width="10.85546875" customWidth="1"/>
    <col min="12216" max="12216" width="11.7109375" customWidth="1"/>
    <col min="12217" max="12217" width="10.85546875" customWidth="1"/>
    <col min="12218" max="12218" width="10.5703125" customWidth="1"/>
    <col min="12220" max="12220" width="10.85546875" customWidth="1"/>
    <col min="12223" max="12223" width="12" customWidth="1"/>
    <col min="12467" max="12467" width="6.85546875" customWidth="1"/>
    <col min="12468" max="12468" width="29.85546875" customWidth="1"/>
    <col min="12469" max="12469" width="6.7109375" customWidth="1"/>
    <col min="12470" max="12470" width="32.28515625" customWidth="1"/>
    <col min="12471" max="12471" width="10.85546875" customWidth="1"/>
    <col min="12472" max="12472" width="11.7109375" customWidth="1"/>
    <col min="12473" max="12473" width="10.85546875" customWidth="1"/>
    <col min="12474" max="12474" width="10.5703125" customWidth="1"/>
    <col min="12476" max="12476" width="10.85546875" customWidth="1"/>
    <col min="12479" max="12479" width="12" customWidth="1"/>
    <col min="12723" max="12723" width="6.85546875" customWidth="1"/>
    <col min="12724" max="12724" width="29.85546875" customWidth="1"/>
    <col min="12725" max="12725" width="6.7109375" customWidth="1"/>
    <col min="12726" max="12726" width="32.28515625" customWidth="1"/>
    <col min="12727" max="12727" width="10.85546875" customWidth="1"/>
    <col min="12728" max="12728" width="11.7109375" customWidth="1"/>
    <col min="12729" max="12729" width="10.85546875" customWidth="1"/>
    <col min="12730" max="12730" width="10.5703125" customWidth="1"/>
    <col min="12732" max="12732" width="10.85546875" customWidth="1"/>
    <col min="12735" max="12735" width="12" customWidth="1"/>
    <col min="12979" max="12979" width="6.85546875" customWidth="1"/>
    <col min="12980" max="12980" width="29.85546875" customWidth="1"/>
    <col min="12981" max="12981" width="6.7109375" customWidth="1"/>
    <col min="12982" max="12982" width="32.28515625" customWidth="1"/>
    <col min="12983" max="12983" width="10.85546875" customWidth="1"/>
    <col min="12984" max="12984" width="11.7109375" customWidth="1"/>
    <col min="12985" max="12985" width="10.85546875" customWidth="1"/>
    <col min="12986" max="12986" width="10.5703125" customWidth="1"/>
    <col min="12988" max="12988" width="10.85546875" customWidth="1"/>
    <col min="12991" max="12991" width="12" customWidth="1"/>
    <col min="13235" max="13235" width="6.85546875" customWidth="1"/>
    <col min="13236" max="13236" width="29.85546875" customWidth="1"/>
    <col min="13237" max="13237" width="6.7109375" customWidth="1"/>
    <col min="13238" max="13238" width="32.28515625" customWidth="1"/>
    <col min="13239" max="13239" width="10.85546875" customWidth="1"/>
    <col min="13240" max="13240" width="11.7109375" customWidth="1"/>
    <col min="13241" max="13241" width="10.85546875" customWidth="1"/>
    <col min="13242" max="13242" width="10.5703125" customWidth="1"/>
    <col min="13244" max="13244" width="10.85546875" customWidth="1"/>
    <col min="13247" max="13247" width="12" customWidth="1"/>
    <col min="13491" max="13491" width="6.85546875" customWidth="1"/>
    <col min="13492" max="13492" width="29.85546875" customWidth="1"/>
    <col min="13493" max="13493" width="6.7109375" customWidth="1"/>
    <col min="13494" max="13494" width="32.28515625" customWidth="1"/>
    <col min="13495" max="13495" width="10.85546875" customWidth="1"/>
    <col min="13496" max="13496" width="11.7109375" customWidth="1"/>
    <col min="13497" max="13497" width="10.85546875" customWidth="1"/>
    <col min="13498" max="13498" width="10.5703125" customWidth="1"/>
    <col min="13500" max="13500" width="10.85546875" customWidth="1"/>
    <col min="13503" max="13503" width="12" customWidth="1"/>
    <col min="13747" max="13747" width="6.85546875" customWidth="1"/>
    <col min="13748" max="13748" width="29.85546875" customWidth="1"/>
    <col min="13749" max="13749" width="6.7109375" customWidth="1"/>
    <col min="13750" max="13750" width="32.28515625" customWidth="1"/>
    <col min="13751" max="13751" width="10.85546875" customWidth="1"/>
    <col min="13752" max="13752" width="11.7109375" customWidth="1"/>
    <col min="13753" max="13753" width="10.85546875" customWidth="1"/>
    <col min="13754" max="13754" width="10.5703125" customWidth="1"/>
    <col min="13756" max="13756" width="10.85546875" customWidth="1"/>
    <col min="13759" max="13759" width="12" customWidth="1"/>
    <col min="14003" max="14003" width="6.85546875" customWidth="1"/>
    <col min="14004" max="14004" width="29.85546875" customWidth="1"/>
    <col min="14005" max="14005" width="6.7109375" customWidth="1"/>
    <col min="14006" max="14006" width="32.28515625" customWidth="1"/>
    <col min="14007" max="14007" width="10.85546875" customWidth="1"/>
    <col min="14008" max="14008" width="11.7109375" customWidth="1"/>
    <col min="14009" max="14009" width="10.85546875" customWidth="1"/>
    <col min="14010" max="14010" width="10.5703125" customWidth="1"/>
    <col min="14012" max="14012" width="10.85546875" customWidth="1"/>
    <col min="14015" max="14015" width="12" customWidth="1"/>
    <col min="14259" max="14259" width="6.85546875" customWidth="1"/>
    <col min="14260" max="14260" width="29.85546875" customWidth="1"/>
    <col min="14261" max="14261" width="6.7109375" customWidth="1"/>
    <col min="14262" max="14262" width="32.28515625" customWidth="1"/>
    <col min="14263" max="14263" width="10.85546875" customWidth="1"/>
    <col min="14264" max="14264" width="11.7109375" customWidth="1"/>
    <col min="14265" max="14265" width="10.85546875" customWidth="1"/>
    <col min="14266" max="14266" width="10.5703125" customWidth="1"/>
    <col min="14268" max="14268" width="10.85546875" customWidth="1"/>
    <col min="14271" max="14271" width="12" customWidth="1"/>
    <col min="14515" max="14515" width="6.85546875" customWidth="1"/>
    <col min="14516" max="14516" width="29.85546875" customWidth="1"/>
    <col min="14517" max="14517" width="6.7109375" customWidth="1"/>
    <col min="14518" max="14518" width="32.28515625" customWidth="1"/>
    <col min="14519" max="14519" width="10.85546875" customWidth="1"/>
    <col min="14520" max="14520" width="11.7109375" customWidth="1"/>
    <col min="14521" max="14521" width="10.85546875" customWidth="1"/>
    <col min="14522" max="14522" width="10.5703125" customWidth="1"/>
    <col min="14524" max="14524" width="10.85546875" customWidth="1"/>
    <col min="14527" max="14527" width="12" customWidth="1"/>
    <col min="14771" max="14771" width="6.85546875" customWidth="1"/>
    <col min="14772" max="14772" width="29.85546875" customWidth="1"/>
    <col min="14773" max="14773" width="6.7109375" customWidth="1"/>
    <col min="14774" max="14774" width="32.28515625" customWidth="1"/>
    <col min="14775" max="14775" width="10.85546875" customWidth="1"/>
    <col min="14776" max="14776" width="11.7109375" customWidth="1"/>
    <col min="14777" max="14777" width="10.85546875" customWidth="1"/>
    <col min="14778" max="14778" width="10.5703125" customWidth="1"/>
    <col min="14780" max="14780" width="10.85546875" customWidth="1"/>
    <col min="14783" max="14783" width="12" customWidth="1"/>
    <col min="15027" max="15027" width="6.85546875" customWidth="1"/>
    <col min="15028" max="15028" width="29.85546875" customWidth="1"/>
    <col min="15029" max="15029" width="6.7109375" customWidth="1"/>
    <col min="15030" max="15030" width="32.28515625" customWidth="1"/>
    <col min="15031" max="15031" width="10.85546875" customWidth="1"/>
    <col min="15032" max="15032" width="11.7109375" customWidth="1"/>
    <col min="15033" max="15033" width="10.85546875" customWidth="1"/>
    <col min="15034" max="15034" width="10.5703125" customWidth="1"/>
    <col min="15036" max="15036" width="10.85546875" customWidth="1"/>
    <col min="15039" max="15039" width="12" customWidth="1"/>
    <col min="15283" max="15283" width="6.85546875" customWidth="1"/>
    <col min="15284" max="15284" width="29.85546875" customWidth="1"/>
    <col min="15285" max="15285" width="6.7109375" customWidth="1"/>
    <col min="15286" max="15286" width="32.28515625" customWidth="1"/>
    <col min="15287" max="15287" width="10.85546875" customWidth="1"/>
    <col min="15288" max="15288" width="11.7109375" customWidth="1"/>
    <col min="15289" max="15289" width="10.85546875" customWidth="1"/>
    <col min="15290" max="15290" width="10.5703125" customWidth="1"/>
    <col min="15292" max="15292" width="10.85546875" customWidth="1"/>
    <col min="15295" max="15295" width="12" customWidth="1"/>
    <col min="15539" max="15539" width="6.85546875" customWidth="1"/>
    <col min="15540" max="15540" width="29.85546875" customWidth="1"/>
    <col min="15541" max="15541" width="6.7109375" customWidth="1"/>
    <col min="15542" max="15542" width="32.28515625" customWidth="1"/>
    <col min="15543" max="15543" width="10.85546875" customWidth="1"/>
    <col min="15544" max="15544" width="11.7109375" customWidth="1"/>
    <col min="15545" max="15545" width="10.85546875" customWidth="1"/>
    <col min="15546" max="15546" width="10.5703125" customWidth="1"/>
    <col min="15548" max="15548" width="10.85546875" customWidth="1"/>
    <col min="15551" max="15551" width="12" customWidth="1"/>
    <col min="15795" max="15795" width="6.85546875" customWidth="1"/>
    <col min="15796" max="15796" width="29.85546875" customWidth="1"/>
    <col min="15797" max="15797" width="6.7109375" customWidth="1"/>
    <col min="15798" max="15798" width="32.28515625" customWidth="1"/>
    <col min="15799" max="15799" width="10.85546875" customWidth="1"/>
    <col min="15800" max="15800" width="11.7109375" customWidth="1"/>
    <col min="15801" max="15801" width="10.85546875" customWidth="1"/>
    <col min="15802" max="15802" width="10.5703125" customWidth="1"/>
    <col min="15804" max="15804" width="10.85546875" customWidth="1"/>
    <col min="15807" max="15807" width="12" customWidth="1"/>
    <col min="16051" max="16051" width="6.85546875" customWidth="1"/>
    <col min="16052" max="16052" width="29.85546875" customWidth="1"/>
    <col min="16053" max="16053" width="6.7109375" customWidth="1"/>
    <col min="16054" max="16054" width="32.28515625" customWidth="1"/>
    <col min="16055" max="16055" width="10.85546875" customWidth="1"/>
    <col min="16056" max="16056" width="11.7109375" customWidth="1"/>
    <col min="16057" max="16057" width="10.85546875" customWidth="1"/>
    <col min="16058" max="16058" width="10.5703125" customWidth="1"/>
    <col min="16060" max="16060" width="10.85546875" customWidth="1"/>
    <col min="16063" max="16063" width="12" customWidth="1"/>
  </cols>
  <sheetData>
    <row r="1" spans="1:53" ht="15" x14ac:dyDescent="0.25">
      <c r="A1" s="51" t="s">
        <v>2</v>
      </c>
      <c r="B1" s="51"/>
      <c r="C1" s="43"/>
      <c r="D1" s="51"/>
      <c r="E1" s="51"/>
      <c r="F1" s="92"/>
      <c r="G1" s="92"/>
      <c r="H1" s="92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89"/>
      <c r="AK1" s="89"/>
      <c r="AL1" s="89"/>
      <c r="AM1" s="89"/>
      <c r="AN1" s="89"/>
      <c r="AO1" s="89"/>
      <c r="AP1" s="89"/>
      <c r="AQ1" s="89"/>
      <c r="AR1" s="89"/>
    </row>
    <row r="2" spans="1:53" ht="15" x14ac:dyDescent="0.25">
      <c r="A2" s="51" t="s">
        <v>3</v>
      </c>
      <c r="B2" s="51"/>
      <c r="C2" s="43"/>
      <c r="D2" s="51"/>
      <c r="E2" s="51"/>
      <c r="F2" s="92"/>
      <c r="G2" s="92"/>
      <c r="H2" s="92"/>
    </row>
    <row r="3" spans="1:53" ht="12.75" customHeight="1" x14ac:dyDescent="0.25">
      <c r="A3" s="784" t="s">
        <v>4</v>
      </c>
      <c r="B3" s="784"/>
      <c r="C3" s="784"/>
      <c r="D3" s="784"/>
      <c r="E3" s="784"/>
      <c r="F3" s="92"/>
      <c r="G3" s="92"/>
      <c r="H3" s="92"/>
      <c r="S3" s="631"/>
      <c r="T3" s="631"/>
    </row>
    <row r="4" spans="1:53" ht="15" x14ac:dyDescent="0.25">
      <c r="A4" s="91"/>
      <c r="B4" s="51"/>
      <c r="C4" s="51"/>
      <c r="D4" s="51"/>
      <c r="E4" s="51"/>
      <c r="F4" s="92"/>
      <c r="G4" s="92"/>
      <c r="H4" s="92"/>
      <c r="R4" s="712" t="s">
        <v>839</v>
      </c>
      <c r="S4" s="630"/>
      <c r="T4" s="630"/>
    </row>
    <row r="5" spans="1:53" ht="23.25" customHeight="1" thickBot="1" x14ac:dyDescent="0.3">
      <c r="A5" s="185" t="s">
        <v>827</v>
      </c>
      <c r="B5" s="52"/>
      <c r="C5" s="52"/>
      <c r="D5" s="52"/>
      <c r="E5" s="53"/>
      <c r="F5" s="271"/>
      <c r="G5" s="271"/>
      <c r="H5" s="53"/>
      <c r="R5" s="713" t="s">
        <v>840</v>
      </c>
      <c r="S5" s="630"/>
      <c r="T5" s="630"/>
    </row>
    <row r="6" spans="1:53" ht="15" x14ac:dyDescent="0.25">
      <c r="A6" s="766" t="s">
        <v>859</v>
      </c>
      <c r="B6" s="767"/>
      <c r="C6" s="768"/>
      <c r="D6" s="768"/>
      <c r="E6" s="767"/>
      <c r="F6" s="767"/>
      <c r="G6" s="53"/>
      <c r="H6" s="92"/>
      <c r="I6" s="803" t="s">
        <v>828</v>
      </c>
      <c r="J6" s="804"/>
      <c r="K6" s="804"/>
      <c r="L6" s="804"/>
      <c r="M6" s="804"/>
      <c r="N6" s="804"/>
      <c r="O6" s="804"/>
      <c r="P6" s="805"/>
      <c r="Q6" s="809" t="s">
        <v>841</v>
      </c>
      <c r="R6" s="809"/>
      <c r="S6" s="809"/>
      <c r="T6" s="809"/>
      <c r="U6" s="809"/>
      <c r="V6" s="809"/>
      <c r="W6" s="809"/>
      <c r="X6" s="809"/>
      <c r="Y6" s="809"/>
      <c r="Z6" s="809"/>
      <c r="AA6" s="809"/>
      <c r="AB6" s="809"/>
      <c r="AC6" s="809"/>
      <c r="AD6" s="809"/>
      <c r="AE6" s="809"/>
      <c r="AF6" s="809"/>
      <c r="AG6" s="809"/>
      <c r="AH6" s="809"/>
      <c r="AI6" s="809"/>
      <c r="AJ6" s="809"/>
      <c r="AK6" s="809"/>
      <c r="AL6" s="809"/>
      <c r="AM6" s="809"/>
      <c r="AN6" s="809"/>
      <c r="AO6" s="809"/>
      <c r="AP6" s="809"/>
      <c r="AQ6" s="809"/>
      <c r="AR6" s="810"/>
      <c r="AS6" s="811" t="s">
        <v>865</v>
      </c>
      <c r="AT6" s="812"/>
      <c r="AU6" s="812"/>
      <c r="AV6" s="812"/>
      <c r="AW6" s="812"/>
      <c r="AX6" s="812"/>
      <c r="AY6" s="812"/>
      <c r="AZ6" s="812"/>
      <c r="BA6" s="813"/>
    </row>
    <row r="7" spans="1:53" ht="16.5" customHeight="1" thickBot="1" x14ac:dyDescent="0.3">
      <c r="A7" s="91"/>
      <c r="B7" s="6"/>
      <c r="D7" s="10"/>
      <c r="E7" s="6"/>
      <c r="F7" s="92"/>
      <c r="G7" s="92"/>
      <c r="H7" s="92"/>
      <c r="I7" s="806"/>
      <c r="J7" s="807"/>
      <c r="K7" s="807"/>
      <c r="L7" s="807"/>
      <c r="M7" s="807"/>
      <c r="N7" s="807"/>
      <c r="O7" s="807"/>
      <c r="P7" s="808"/>
      <c r="Q7" s="817" t="s">
        <v>282</v>
      </c>
      <c r="R7" s="817"/>
      <c r="S7" s="817"/>
      <c r="T7" s="817"/>
      <c r="U7" s="817"/>
      <c r="V7" s="818"/>
      <c r="W7" s="823" t="s">
        <v>283</v>
      </c>
      <c r="X7" s="817"/>
      <c r="Y7" s="817"/>
      <c r="Z7" s="818"/>
      <c r="AA7" s="785" t="s">
        <v>284</v>
      </c>
      <c r="AB7" s="785" t="s">
        <v>5</v>
      </c>
      <c r="AC7" s="785" t="s">
        <v>285</v>
      </c>
      <c r="AD7" s="826"/>
      <c r="AE7" s="826"/>
      <c r="AF7" s="827"/>
      <c r="AG7" s="785" t="s">
        <v>305</v>
      </c>
      <c r="AH7" s="832" t="s">
        <v>850</v>
      </c>
      <c r="AI7" s="833"/>
      <c r="AJ7" s="833"/>
      <c r="AK7" s="833"/>
      <c r="AL7" s="833"/>
      <c r="AM7" s="833"/>
      <c r="AN7" s="833"/>
      <c r="AO7" s="833"/>
      <c r="AP7" s="833"/>
      <c r="AQ7" s="833"/>
      <c r="AR7" s="834"/>
      <c r="AS7" s="814"/>
      <c r="AT7" s="815"/>
      <c r="AU7" s="815"/>
      <c r="AV7" s="815"/>
      <c r="AW7" s="815"/>
      <c r="AX7" s="815"/>
      <c r="AY7" s="815"/>
      <c r="AZ7" s="815"/>
      <c r="BA7" s="816"/>
    </row>
    <row r="8" spans="1:53" ht="15" customHeight="1" x14ac:dyDescent="0.25">
      <c r="A8" s="120"/>
      <c r="B8" s="93"/>
      <c r="C8" s="93"/>
      <c r="D8" s="93"/>
      <c r="E8" s="93"/>
      <c r="F8" s="93"/>
      <c r="G8" s="93"/>
      <c r="H8" s="93"/>
      <c r="I8" s="794" t="s">
        <v>6</v>
      </c>
      <c r="J8" s="797" t="s">
        <v>802</v>
      </c>
      <c r="K8" s="798"/>
      <c r="L8" s="798"/>
      <c r="M8" s="799"/>
      <c r="N8" s="773" t="s">
        <v>849</v>
      </c>
      <c r="O8" s="776" t="s">
        <v>803</v>
      </c>
      <c r="P8" s="777"/>
      <c r="Q8" s="819"/>
      <c r="R8" s="819"/>
      <c r="S8" s="819"/>
      <c r="T8" s="819"/>
      <c r="U8" s="819"/>
      <c r="V8" s="820"/>
      <c r="W8" s="824"/>
      <c r="X8" s="819"/>
      <c r="Y8" s="819"/>
      <c r="Z8" s="820"/>
      <c r="AA8" s="786"/>
      <c r="AB8" s="786"/>
      <c r="AC8" s="786"/>
      <c r="AD8" s="828"/>
      <c r="AE8" s="828"/>
      <c r="AF8" s="829"/>
      <c r="AG8" s="786"/>
      <c r="AH8" s="780" t="s">
        <v>286</v>
      </c>
      <c r="AI8" s="781"/>
      <c r="AJ8" s="837" t="s">
        <v>287</v>
      </c>
      <c r="AK8" s="835" t="s">
        <v>842</v>
      </c>
      <c r="AL8" s="836"/>
      <c r="AM8" s="837" t="s">
        <v>820</v>
      </c>
      <c r="AN8" s="780" t="s">
        <v>288</v>
      </c>
      <c r="AO8" s="781"/>
      <c r="AP8" s="788" t="s">
        <v>851</v>
      </c>
      <c r="AQ8" s="789"/>
      <c r="AR8" s="790"/>
      <c r="AS8" s="794" t="s">
        <v>6</v>
      </c>
      <c r="AT8" s="797" t="s">
        <v>802</v>
      </c>
      <c r="AU8" s="798"/>
      <c r="AV8" s="798"/>
      <c r="AW8" s="798"/>
      <c r="AX8" s="799"/>
      <c r="AY8" s="773" t="s">
        <v>849</v>
      </c>
      <c r="AZ8" s="776" t="s">
        <v>804</v>
      </c>
      <c r="BA8" s="777"/>
    </row>
    <row r="9" spans="1:53" ht="13.5" customHeight="1" thickBot="1" x14ac:dyDescent="0.25">
      <c r="A9" s="12" t="s">
        <v>796</v>
      </c>
      <c r="D9" s="12"/>
      <c r="F9" s="60"/>
      <c r="G9" s="61"/>
      <c r="H9" s="61"/>
      <c r="I9" s="795"/>
      <c r="J9" s="800"/>
      <c r="K9" s="801"/>
      <c r="L9" s="801"/>
      <c r="M9" s="802"/>
      <c r="N9" s="774"/>
      <c r="O9" s="778"/>
      <c r="P9" s="779"/>
      <c r="Q9" s="821"/>
      <c r="R9" s="821"/>
      <c r="S9" s="821"/>
      <c r="T9" s="821"/>
      <c r="U9" s="821"/>
      <c r="V9" s="822"/>
      <c r="W9" s="825"/>
      <c r="X9" s="821"/>
      <c r="Y9" s="821"/>
      <c r="Z9" s="822"/>
      <c r="AA9" s="786"/>
      <c r="AB9" s="786"/>
      <c r="AC9" s="786"/>
      <c r="AD9" s="830"/>
      <c r="AE9" s="830"/>
      <c r="AF9" s="831"/>
      <c r="AG9" s="786"/>
      <c r="AH9" s="782"/>
      <c r="AI9" s="783"/>
      <c r="AJ9" s="838"/>
      <c r="AK9" s="634" t="s">
        <v>817</v>
      </c>
      <c r="AL9" s="634" t="s">
        <v>818</v>
      </c>
      <c r="AM9" s="838"/>
      <c r="AN9" s="782"/>
      <c r="AO9" s="783"/>
      <c r="AP9" s="791"/>
      <c r="AQ9" s="792"/>
      <c r="AR9" s="793"/>
      <c r="AS9" s="795"/>
      <c r="AT9" s="800"/>
      <c r="AU9" s="801"/>
      <c r="AV9" s="801"/>
      <c r="AW9" s="801"/>
      <c r="AX9" s="802"/>
      <c r="AY9" s="774"/>
      <c r="AZ9" s="778"/>
      <c r="BA9" s="779"/>
    </row>
    <row r="10" spans="1:53" ht="34.5" thickBot="1" x14ac:dyDescent="0.25">
      <c r="A10" s="62" t="s">
        <v>776</v>
      </c>
      <c r="B10" s="63" t="s">
        <v>547</v>
      </c>
      <c r="C10" s="63" t="s">
        <v>548</v>
      </c>
      <c r="D10" s="63" t="s">
        <v>264</v>
      </c>
      <c r="E10" s="166" t="s">
        <v>778</v>
      </c>
      <c r="F10" s="63" t="s">
        <v>0</v>
      </c>
      <c r="G10" s="124" t="s">
        <v>265</v>
      </c>
      <c r="H10" s="37" t="s">
        <v>276</v>
      </c>
      <c r="I10" s="796"/>
      <c r="J10" s="439" t="s">
        <v>274</v>
      </c>
      <c r="K10" s="431" t="s">
        <v>5</v>
      </c>
      <c r="L10" s="431" t="s">
        <v>1</v>
      </c>
      <c r="M10" s="431" t="s">
        <v>7</v>
      </c>
      <c r="N10" s="775"/>
      <c r="O10" s="434" t="s">
        <v>280</v>
      </c>
      <c r="P10" s="435" t="s">
        <v>281</v>
      </c>
      <c r="Q10" s="642" t="s">
        <v>289</v>
      </c>
      <c r="R10" s="433" t="s">
        <v>287</v>
      </c>
      <c r="S10" s="433" t="s">
        <v>819</v>
      </c>
      <c r="T10" s="433" t="s">
        <v>820</v>
      </c>
      <c r="U10" s="433" t="s">
        <v>288</v>
      </c>
      <c r="V10" s="433" t="s">
        <v>821</v>
      </c>
      <c r="W10" s="432" t="s">
        <v>290</v>
      </c>
      <c r="X10" s="433" t="s">
        <v>801</v>
      </c>
      <c r="Y10" s="432" t="s">
        <v>291</v>
      </c>
      <c r="Z10" s="433" t="s">
        <v>768</v>
      </c>
      <c r="AA10" s="787"/>
      <c r="AB10" s="787"/>
      <c r="AC10" s="787"/>
      <c r="AD10" s="433" t="s">
        <v>287</v>
      </c>
      <c r="AE10" s="433" t="s">
        <v>292</v>
      </c>
      <c r="AF10" s="433" t="s">
        <v>769</v>
      </c>
      <c r="AG10" s="787"/>
      <c r="AH10" s="436" t="s">
        <v>280</v>
      </c>
      <c r="AI10" s="437" t="s">
        <v>281</v>
      </c>
      <c r="AJ10" s="436" t="s">
        <v>280</v>
      </c>
      <c r="AK10" s="436" t="s">
        <v>280</v>
      </c>
      <c r="AL10" s="437" t="s">
        <v>281</v>
      </c>
      <c r="AM10" s="436" t="s">
        <v>280</v>
      </c>
      <c r="AN10" s="436" t="s">
        <v>280</v>
      </c>
      <c r="AO10" s="437" t="s">
        <v>281</v>
      </c>
      <c r="AP10" s="436" t="s">
        <v>280</v>
      </c>
      <c r="AQ10" s="437" t="s">
        <v>281</v>
      </c>
      <c r="AR10" s="438" t="s">
        <v>301</v>
      </c>
      <c r="AS10" s="796"/>
      <c r="AT10" s="38" t="s">
        <v>274</v>
      </c>
      <c r="AU10" s="439" t="s">
        <v>283</v>
      </c>
      <c r="AV10" s="431" t="s">
        <v>5</v>
      </c>
      <c r="AW10" s="431" t="s">
        <v>1</v>
      </c>
      <c r="AX10" s="431" t="s">
        <v>7</v>
      </c>
      <c r="AY10" s="775"/>
      <c r="AZ10" s="434" t="s">
        <v>280</v>
      </c>
      <c r="BA10" s="435" t="s">
        <v>281</v>
      </c>
    </row>
    <row r="11" spans="1:53" s="125" customFormat="1" ht="11.25" customHeight="1" thickBot="1" x14ac:dyDescent="0.25">
      <c r="A11" s="136" t="s">
        <v>549</v>
      </c>
      <c r="B11" s="137" t="s">
        <v>550</v>
      </c>
      <c r="C11" s="137" t="s">
        <v>266</v>
      </c>
      <c r="D11" s="137" t="s">
        <v>267</v>
      </c>
      <c r="E11" s="137" t="s">
        <v>551</v>
      </c>
      <c r="F11" s="137" t="s">
        <v>0</v>
      </c>
      <c r="G11" s="137" t="s">
        <v>552</v>
      </c>
      <c r="H11" s="138" t="s">
        <v>772</v>
      </c>
      <c r="I11" s="143" t="s">
        <v>268</v>
      </c>
      <c r="J11" s="144" t="s">
        <v>269</v>
      </c>
      <c r="K11" s="144" t="s">
        <v>270</v>
      </c>
      <c r="L11" s="144" t="s">
        <v>271</v>
      </c>
      <c r="M11" s="144" t="s">
        <v>272</v>
      </c>
      <c r="N11" s="429" t="s">
        <v>273</v>
      </c>
      <c r="O11" s="145" t="s">
        <v>553</v>
      </c>
      <c r="P11" s="146" t="s">
        <v>554</v>
      </c>
      <c r="Q11" s="139" t="s">
        <v>293</v>
      </c>
      <c r="R11" s="140" t="s">
        <v>293</v>
      </c>
      <c r="S11" s="140" t="s">
        <v>293</v>
      </c>
      <c r="T11" s="140" t="s">
        <v>293</v>
      </c>
      <c r="U11" s="140" t="s">
        <v>293</v>
      </c>
      <c r="V11" s="140" t="s">
        <v>293</v>
      </c>
      <c r="W11" s="140" t="s">
        <v>294</v>
      </c>
      <c r="X11" s="140" t="s">
        <v>294</v>
      </c>
      <c r="Y11" s="140" t="s">
        <v>295</v>
      </c>
      <c r="Z11" s="140" t="s">
        <v>294</v>
      </c>
      <c r="AA11" s="140" t="s">
        <v>296</v>
      </c>
      <c r="AB11" s="140" t="s">
        <v>297</v>
      </c>
      <c r="AC11" s="140" t="s">
        <v>298</v>
      </c>
      <c r="AD11" s="140" t="s">
        <v>300</v>
      </c>
      <c r="AE11" s="140" t="s">
        <v>299</v>
      </c>
      <c r="AF11" s="140" t="s">
        <v>299</v>
      </c>
      <c r="AG11" s="140" t="s">
        <v>306</v>
      </c>
      <c r="AH11" s="193" t="s">
        <v>302</v>
      </c>
      <c r="AI11" s="193" t="s">
        <v>303</v>
      </c>
      <c r="AJ11" s="193" t="s">
        <v>302</v>
      </c>
      <c r="AK11" s="193" t="s">
        <v>302</v>
      </c>
      <c r="AL11" s="193" t="s">
        <v>303</v>
      </c>
      <c r="AM11" s="193" t="s">
        <v>302</v>
      </c>
      <c r="AN11" s="193" t="s">
        <v>302</v>
      </c>
      <c r="AO11" s="193" t="s">
        <v>303</v>
      </c>
      <c r="AP11" s="193" t="s">
        <v>302</v>
      </c>
      <c r="AQ11" s="193" t="s">
        <v>303</v>
      </c>
      <c r="AR11" s="194" t="s">
        <v>304</v>
      </c>
      <c r="AS11" s="629" t="s">
        <v>268</v>
      </c>
      <c r="AT11" s="140" t="s">
        <v>269</v>
      </c>
      <c r="AU11" s="140" t="s">
        <v>275</v>
      </c>
      <c r="AV11" s="140" t="s">
        <v>270</v>
      </c>
      <c r="AW11" s="140" t="s">
        <v>271</v>
      </c>
      <c r="AX11" s="140" t="s">
        <v>272</v>
      </c>
      <c r="AY11" s="193" t="s">
        <v>273</v>
      </c>
      <c r="AZ11" s="193" t="s">
        <v>553</v>
      </c>
      <c r="BA11" s="194" t="s">
        <v>554</v>
      </c>
    </row>
    <row r="12" spans="1:53" s="229" customFormat="1" x14ac:dyDescent="0.2">
      <c r="A12" s="245">
        <v>1</v>
      </c>
      <c r="B12" s="246">
        <v>4476</v>
      </c>
      <c r="C12" s="246">
        <v>600075184</v>
      </c>
      <c r="D12" s="246">
        <v>70200815</v>
      </c>
      <c r="E12" s="240" t="s">
        <v>149</v>
      </c>
      <c r="F12" s="246">
        <v>3233</v>
      </c>
      <c r="G12" s="247" t="s">
        <v>314</v>
      </c>
      <c r="H12" s="248" t="s">
        <v>278</v>
      </c>
      <c r="I12" s="440">
        <f>SUM(J12:M12)</f>
        <v>7340772</v>
      </c>
      <c r="J12" s="441">
        <v>5437373</v>
      </c>
      <c r="K12" s="441">
        <f t="shared" ref="K12" si="0">ROUND(J12*33.8%,0)</f>
        <v>1837832</v>
      </c>
      <c r="L12" s="441">
        <f>ROUND(J12*1%,0)</f>
        <v>54374</v>
      </c>
      <c r="M12" s="441">
        <v>11193</v>
      </c>
      <c r="N12" s="442">
        <f>O12+P12</f>
        <v>12.55</v>
      </c>
      <c r="O12" s="443">
        <v>7.5</v>
      </c>
      <c r="P12" s="467">
        <v>5.05</v>
      </c>
      <c r="Q12" s="447">
        <f t="shared" ref="Q12" si="1">W12*-1</f>
        <v>-403000</v>
      </c>
      <c r="R12" s="445">
        <v>0</v>
      </c>
      <c r="S12" s="675">
        <v>0</v>
      </c>
      <c r="T12" s="445">
        <v>0</v>
      </c>
      <c r="U12" s="445">
        <v>0</v>
      </c>
      <c r="V12" s="445">
        <f>SUM(Q12:U12)</f>
        <v>-403000</v>
      </c>
      <c r="W12" s="445">
        <v>403000</v>
      </c>
      <c r="X12" s="445">
        <v>0</v>
      </c>
      <c r="Y12" s="445">
        <v>0</v>
      </c>
      <c r="Z12" s="445">
        <f t="shared" ref="Z12" si="2">SUM(W12:Y12)</f>
        <v>403000</v>
      </c>
      <c r="AA12" s="445">
        <f t="shared" ref="AA12" si="3">V12+Z12</f>
        <v>0</v>
      </c>
      <c r="AB12" s="147">
        <f t="shared" ref="AB12" si="4">ROUND((V12+W12+X12)*33.8%,0)</f>
        <v>0</v>
      </c>
      <c r="AC12" s="147">
        <f>ROUND(V12*1%,0)</f>
        <v>-4030</v>
      </c>
      <c r="AD12" s="445">
        <v>0</v>
      </c>
      <c r="AE12" s="445">
        <v>0</v>
      </c>
      <c r="AF12" s="445">
        <f t="shared" ref="AF12" si="5">SUM(AD12:AE12)</f>
        <v>0</v>
      </c>
      <c r="AG12" s="445">
        <f t="shared" ref="AG12" si="6">AA12+AB12+AC12+AF12</f>
        <v>-4030</v>
      </c>
      <c r="AH12" s="446">
        <v>-0.52</v>
      </c>
      <c r="AI12" s="446">
        <v>-0.44</v>
      </c>
      <c r="AJ12" s="446">
        <v>0</v>
      </c>
      <c r="AK12" s="446">
        <v>0</v>
      </c>
      <c r="AL12" s="676">
        <v>0</v>
      </c>
      <c r="AM12" s="446">
        <v>0</v>
      </c>
      <c r="AN12" s="446">
        <v>0</v>
      </c>
      <c r="AO12" s="446">
        <v>0</v>
      </c>
      <c r="AP12" s="446">
        <f>AH12+AJ12+AK12+AM12+AN12</f>
        <v>-0.52</v>
      </c>
      <c r="AQ12" s="446">
        <f>AI12+AL12+AO12</f>
        <v>-0.44</v>
      </c>
      <c r="AR12" s="448">
        <f t="shared" ref="AR12" si="7">SUM(AP12:AQ12)</f>
        <v>-0.96</v>
      </c>
      <c r="AS12" s="444">
        <f>I12+AG12</f>
        <v>7336742</v>
      </c>
      <c r="AT12" s="445">
        <f>J12+V12</f>
        <v>5034373</v>
      </c>
      <c r="AU12" s="445">
        <f>Z12</f>
        <v>403000</v>
      </c>
      <c r="AV12" s="445">
        <f>K12+AB12</f>
        <v>1837832</v>
      </c>
      <c r="AW12" s="445">
        <f>L12+AC12</f>
        <v>50344</v>
      </c>
      <c r="AX12" s="445">
        <f>M12+AF12</f>
        <v>11193</v>
      </c>
      <c r="AY12" s="446">
        <f>N12+AR12</f>
        <v>11.59</v>
      </c>
      <c r="AZ12" s="446">
        <f>O12+AP12</f>
        <v>6.98</v>
      </c>
      <c r="BA12" s="448">
        <f>P12+AQ12</f>
        <v>4.6099999999999994</v>
      </c>
    </row>
    <row r="13" spans="1:53" s="229" customFormat="1" x14ac:dyDescent="0.2">
      <c r="A13" s="158">
        <v>1</v>
      </c>
      <c r="B13" s="18">
        <v>4476</v>
      </c>
      <c r="C13" s="18">
        <v>600075184</v>
      </c>
      <c r="D13" s="18">
        <v>70200815</v>
      </c>
      <c r="E13" s="167" t="s">
        <v>150</v>
      </c>
      <c r="F13" s="18"/>
      <c r="G13" s="157"/>
      <c r="H13" s="191"/>
      <c r="I13" s="505">
        <f t="shared" ref="I13:BA13" si="8">SUM(I12)</f>
        <v>7340772</v>
      </c>
      <c r="J13" s="502">
        <f t="shared" si="8"/>
        <v>5437373</v>
      </c>
      <c r="K13" s="502">
        <f t="shared" si="8"/>
        <v>1837832</v>
      </c>
      <c r="L13" s="502">
        <f t="shared" si="8"/>
        <v>54374</v>
      </c>
      <c r="M13" s="502">
        <f t="shared" si="8"/>
        <v>11193</v>
      </c>
      <c r="N13" s="503">
        <f t="shared" si="8"/>
        <v>12.55</v>
      </c>
      <c r="O13" s="503">
        <f t="shared" si="8"/>
        <v>7.5</v>
      </c>
      <c r="P13" s="507">
        <f t="shared" si="8"/>
        <v>5.05</v>
      </c>
      <c r="Q13" s="505">
        <f t="shared" si="8"/>
        <v>-403000</v>
      </c>
      <c r="R13" s="502">
        <f t="shared" si="8"/>
        <v>0</v>
      </c>
      <c r="S13" s="502">
        <f t="shared" si="8"/>
        <v>0</v>
      </c>
      <c r="T13" s="502">
        <f t="shared" si="8"/>
        <v>0</v>
      </c>
      <c r="U13" s="502">
        <f t="shared" si="8"/>
        <v>0</v>
      </c>
      <c r="V13" s="502">
        <f t="shared" si="8"/>
        <v>-403000</v>
      </c>
      <c r="W13" s="502">
        <f t="shared" si="8"/>
        <v>403000</v>
      </c>
      <c r="X13" s="502">
        <f t="shared" si="8"/>
        <v>0</v>
      </c>
      <c r="Y13" s="502">
        <f t="shared" si="8"/>
        <v>0</v>
      </c>
      <c r="Z13" s="502">
        <f t="shared" si="8"/>
        <v>403000</v>
      </c>
      <c r="AA13" s="502">
        <f t="shared" si="8"/>
        <v>0</v>
      </c>
      <c r="AB13" s="502">
        <f t="shared" si="8"/>
        <v>0</v>
      </c>
      <c r="AC13" s="502">
        <f t="shared" si="8"/>
        <v>-4030</v>
      </c>
      <c r="AD13" s="502">
        <f t="shared" si="8"/>
        <v>0</v>
      </c>
      <c r="AE13" s="502">
        <f t="shared" si="8"/>
        <v>0</v>
      </c>
      <c r="AF13" s="502">
        <f t="shared" si="8"/>
        <v>0</v>
      </c>
      <c r="AG13" s="502">
        <f t="shared" si="8"/>
        <v>-4030</v>
      </c>
      <c r="AH13" s="503">
        <f t="shared" si="8"/>
        <v>-0.52</v>
      </c>
      <c r="AI13" s="503">
        <f t="shared" si="8"/>
        <v>-0.44</v>
      </c>
      <c r="AJ13" s="503">
        <f t="shared" si="8"/>
        <v>0</v>
      </c>
      <c r="AK13" s="503">
        <f t="shared" si="8"/>
        <v>0</v>
      </c>
      <c r="AL13" s="503">
        <f t="shared" si="8"/>
        <v>0</v>
      </c>
      <c r="AM13" s="503">
        <f t="shared" si="8"/>
        <v>0</v>
      </c>
      <c r="AN13" s="503">
        <f t="shared" si="8"/>
        <v>0</v>
      </c>
      <c r="AO13" s="503">
        <f t="shared" si="8"/>
        <v>0</v>
      </c>
      <c r="AP13" s="503">
        <f t="shared" si="8"/>
        <v>-0.52</v>
      </c>
      <c r="AQ13" s="503">
        <f t="shared" si="8"/>
        <v>-0.44</v>
      </c>
      <c r="AR13" s="40">
        <f t="shared" si="8"/>
        <v>-0.96</v>
      </c>
      <c r="AS13" s="509">
        <f t="shared" si="8"/>
        <v>7336742</v>
      </c>
      <c r="AT13" s="502">
        <f t="shared" si="8"/>
        <v>5034373</v>
      </c>
      <c r="AU13" s="502">
        <f t="shared" si="8"/>
        <v>403000</v>
      </c>
      <c r="AV13" s="502">
        <f t="shared" si="8"/>
        <v>1837832</v>
      </c>
      <c r="AW13" s="502">
        <f t="shared" si="8"/>
        <v>50344</v>
      </c>
      <c r="AX13" s="502">
        <f t="shared" si="8"/>
        <v>11193</v>
      </c>
      <c r="AY13" s="503">
        <f t="shared" si="8"/>
        <v>11.59</v>
      </c>
      <c r="AZ13" s="503">
        <f t="shared" si="8"/>
        <v>6.98</v>
      </c>
      <c r="BA13" s="40">
        <f t="shared" si="8"/>
        <v>4.6099999999999994</v>
      </c>
    </row>
    <row r="14" spans="1:53" s="229" customFormat="1" x14ac:dyDescent="0.2">
      <c r="A14" s="216">
        <v>2</v>
      </c>
      <c r="B14" s="217">
        <v>4411</v>
      </c>
      <c r="C14" s="217">
        <v>600074340</v>
      </c>
      <c r="D14" s="217">
        <v>70982121</v>
      </c>
      <c r="E14" s="215" t="s">
        <v>151</v>
      </c>
      <c r="F14" s="217">
        <v>3111</v>
      </c>
      <c r="G14" s="168" t="s">
        <v>307</v>
      </c>
      <c r="H14" s="218" t="s">
        <v>277</v>
      </c>
      <c r="I14" s="462">
        <f t="shared" ref="I14:I16" si="9">SUM(J14:M14)</f>
        <v>8684789</v>
      </c>
      <c r="J14" s="457">
        <v>6413345</v>
      </c>
      <c r="K14" s="457">
        <f t="shared" ref="K14:K16" si="10">ROUND(J14*33.8%,0)</f>
        <v>2167711</v>
      </c>
      <c r="L14" s="457">
        <f>ROUND(J14*1%,0)</f>
        <v>64133</v>
      </c>
      <c r="M14" s="457">
        <v>39600</v>
      </c>
      <c r="N14" s="458">
        <f t="shared" ref="N14:N16" si="11">O14+P14</f>
        <v>13.19</v>
      </c>
      <c r="O14" s="459">
        <v>10</v>
      </c>
      <c r="P14" s="468">
        <v>3.19</v>
      </c>
      <c r="Q14" s="470">
        <f t="shared" ref="Q14:Q16" si="12">W14*-1</f>
        <v>-65000</v>
      </c>
      <c r="R14" s="460">
        <v>0</v>
      </c>
      <c r="S14" s="673">
        <v>0</v>
      </c>
      <c r="T14" s="460">
        <v>0</v>
      </c>
      <c r="U14" s="460">
        <v>0</v>
      </c>
      <c r="V14" s="460">
        <f>SUM(Q14:U14)</f>
        <v>-65000</v>
      </c>
      <c r="W14" s="460">
        <v>65000</v>
      </c>
      <c r="X14" s="460">
        <v>0</v>
      </c>
      <c r="Y14" s="460">
        <v>0</v>
      </c>
      <c r="Z14" s="460">
        <f t="shared" ref="Z14:Z16" si="13">SUM(W14:Y14)</f>
        <v>65000</v>
      </c>
      <c r="AA14" s="460">
        <f t="shared" ref="AA14:AA16" si="14">V14+Z14</f>
        <v>0</v>
      </c>
      <c r="AB14" s="69">
        <f t="shared" ref="AB14:AB16" si="15">ROUND((V14+W14+X14)*33.8%,0)</f>
        <v>0</v>
      </c>
      <c r="AC14" s="69">
        <f>ROUND(V14*1%,0)</f>
        <v>-650</v>
      </c>
      <c r="AD14" s="460">
        <v>0</v>
      </c>
      <c r="AE14" s="460">
        <v>0</v>
      </c>
      <c r="AF14" s="460">
        <f t="shared" ref="AF14:AF16" si="16">SUM(AD14:AE14)</f>
        <v>0</v>
      </c>
      <c r="AG14" s="460">
        <f t="shared" ref="AG14:AG16" si="17">AA14+AB14+AC14+AF14</f>
        <v>-650</v>
      </c>
      <c r="AH14" s="461">
        <v>-0.13</v>
      </c>
      <c r="AI14" s="461">
        <v>-0.03</v>
      </c>
      <c r="AJ14" s="461">
        <v>0</v>
      </c>
      <c r="AK14" s="461">
        <v>0</v>
      </c>
      <c r="AL14" s="674">
        <v>0</v>
      </c>
      <c r="AM14" s="461">
        <v>0</v>
      </c>
      <c r="AN14" s="461">
        <v>0</v>
      </c>
      <c r="AO14" s="461">
        <v>0</v>
      </c>
      <c r="AP14" s="461">
        <f>AH14+AJ14+AK14+AM14+AN14</f>
        <v>-0.13</v>
      </c>
      <c r="AQ14" s="461">
        <f>AI14+AL14+AO14</f>
        <v>-0.03</v>
      </c>
      <c r="AR14" s="463">
        <f t="shared" ref="AR14:AR16" si="18">SUM(AP14:AQ14)</f>
        <v>-0.16</v>
      </c>
      <c r="AS14" s="469">
        <f>I14+AG14</f>
        <v>8684139</v>
      </c>
      <c r="AT14" s="460">
        <f>J14+V14</f>
        <v>6348345</v>
      </c>
      <c r="AU14" s="460">
        <f>Z14</f>
        <v>65000</v>
      </c>
      <c r="AV14" s="460">
        <f t="shared" ref="AV14:AW16" si="19">K14+AB14</f>
        <v>2167711</v>
      </c>
      <c r="AW14" s="460">
        <f t="shared" si="19"/>
        <v>63483</v>
      </c>
      <c r="AX14" s="460">
        <f>M14+AF14</f>
        <v>39600</v>
      </c>
      <c r="AY14" s="461">
        <f>N14+AR14</f>
        <v>13.03</v>
      </c>
      <c r="AZ14" s="461">
        <f t="shared" ref="AZ14:BA16" si="20">O14+AP14</f>
        <v>9.8699999999999992</v>
      </c>
      <c r="BA14" s="463">
        <f t="shared" si="20"/>
        <v>3.16</v>
      </c>
    </row>
    <row r="15" spans="1:53" s="229" customFormat="1" x14ac:dyDescent="0.2">
      <c r="A15" s="216">
        <v>2</v>
      </c>
      <c r="B15" s="217">
        <v>4411</v>
      </c>
      <c r="C15" s="217">
        <v>600074340</v>
      </c>
      <c r="D15" s="217">
        <v>70982121</v>
      </c>
      <c r="E15" s="215" t="s">
        <v>151</v>
      </c>
      <c r="F15" s="217">
        <v>3111</v>
      </c>
      <c r="G15" s="168" t="s">
        <v>308</v>
      </c>
      <c r="H15" s="218" t="s">
        <v>278</v>
      </c>
      <c r="I15" s="462">
        <f t="shared" si="9"/>
        <v>0</v>
      </c>
      <c r="J15" s="457">
        <v>0</v>
      </c>
      <c r="K15" s="457">
        <f t="shared" si="10"/>
        <v>0</v>
      </c>
      <c r="L15" s="457">
        <f t="shared" ref="L15:L16" si="21">ROUND(J15*1%,0)</f>
        <v>0</v>
      </c>
      <c r="M15" s="457">
        <v>0</v>
      </c>
      <c r="N15" s="458">
        <f t="shared" si="11"/>
        <v>0</v>
      </c>
      <c r="O15" s="459">
        <v>0</v>
      </c>
      <c r="P15" s="468">
        <v>0</v>
      </c>
      <c r="Q15" s="470">
        <f t="shared" si="12"/>
        <v>0</v>
      </c>
      <c r="R15" s="460">
        <v>768590</v>
      </c>
      <c r="S15" s="673">
        <v>0</v>
      </c>
      <c r="T15" s="460">
        <v>0</v>
      </c>
      <c r="U15" s="460">
        <v>0</v>
      </c>
      <c r="V15" s="460">
        <f>SUM(Q15:U15)</f>
        <v>768590</v>
      </c>
      <c r="W15" s="460">
        <v>0</v>
      </c>
      <c r="X15" s="460">
        <v>0</v>
      </c>
      <c r="Y15" s="460">
        <v>0</v>
      </c>
      <c r="Z15" s="460">
        <f t="shared" si="13"/>
        <v>0</v>
      </c>
      <c r="AA15" s="460">
        <f t="shared" si="14"/>
        <v>768590</v>
      </c>
      <c r="AB15" s="69">
        <f t="shared" si="15"/>
        <v>259783</v>
      </c>
      <c r="AC15" s="69">
        <f t="shared" ref="AC15:AC16" si="22">ROUND(V15*1%,0)</f>
        <v>7686</v>
      </c>
      <c r="AD15" s="460">
        <v>0</v>
      </c>
      <c r="AE15" s="460">
        <v>0</v>
      </c>
      <c r="AF15" s="460">
        <f t="shared" si="16"/>
        <v>0</v>
      </c>
      <c r="AG15" s="460">
        <f t="shared" si="17"/>
        <v>1036059</v>
      </c>
      <c r="AH15" s="461">
        <v>0</v>
      </c>
      <c r="AI15" s="461">
        <v>0</v>
      </c>
      <c r="AJ15" s="461">
        <v>2.39</v>
      </c>
      <c r="AK15" s="461">
        <v>0</v>
      </c>
      <c r="AL15" s="674">
        <v>0</v>
      </c>
      <c r="AM15" s="461">
        <v>0</v>
      </c>
      <c r="AN15" s="461">
        <v>0</v>
      </c>
      <c r="AO15" s="461">
        <v>0</v>
      </c>
      <c r="AP15" s="461">
        <f>AH15+AJ15+AK15+AM15+AN15</f>
        <v>2.39</v>
      </c>
      <c r="AQ15" s="461">
        <f>AI15+AL15+AO15</f>
        <v>0</v>
      </c>
      <c r="AR15" s="463">
        <f t="shared" si="18"/>
        <v>2.39</v>
      </c>
      <c r="AS15" s="469">
        <f>I15+AG15</f>
        <v>1036059</v>
      </c>
      <c r="AT15" s="460">
        <f>J15+V15</f>
        <v>768590</v>
      </c>
      <c r="AU15" s="460">
        <f t="shared" ref="AU15:AU16" si="23">Z15</f>
        <v>0</v>
      </c>
      <c r="AV15" s="460">
        <f t="shared" si="19"/>
        <v>259783</v>
      </c>
      <c r="AW15" s="460">
        <f t="shared" si="19"/>
        <v>7686</v>
      </c>
      <c r="AX15" s="460">
        <f>M15+AF15</f>
        <v>0</v>
      </c>
      <c r="AY15" s="461">
        <f>N15+AR15</f>
        <v>2.39</v>
      </c>
      <c r="AZ15" s="461">
        <f t="shared" si="20"/>
        <v>2.39</v>
      </c>
      <c r="BA15" s="463">
        <f t="shared" si="20"/>
        <v>0</v>
      </c>
    </row>
    <row r="16" spans="1:53" s="229" customFormat="1" x14ac:dyDescent="0.2">
      <c r="A16" s="216">
        <v>2</v>
      </c>
      <c r="B16" s="217">
        <v>4411</v>
      </c>
      <c r="C16" s="217">
        <v>600074340</v>
      </c>
      <c r="D16" s="217">
        <v>70982121</v>
      </c>
      <c r="E16" s="215" t="s">
        <v>151</v>
      </c>
      <c r="F16" s="217">
        <v>3141</v>
      </c>
      <c r="G16" s="168" t="s">
        <v>311</v>
      </c>
      <c r="H16" s="218" t="s">
        <v>278</v>
      </c>
      <c r="I16" s="462">
        <f t="shared" si="9"/>
        <v>509870</v>
      </c>
      <c r="J16" s="457">
        <v>375795</v>
      </c>
      <c r="K16" s="457">
        <f t="shared" si="10"/>
        <v>127019</v>
      </c>
      <c r="L16" s="457">
        <f t="shared" si="21"/>
        <v>3758</v>
      </c>
      <c r="M16" s="457">
        <v>3298</v>
      </c>
      <c r="N16" s="458">
        <f t="shared" si="11"/>
        <v>1.21</v>
      </c>
      <c r="O16" s="459">
        <v>0</v>
      </c>
      <c r="P16" s="468">
        <v>1.21</v>
      </c>
      <c r="Q16" s="470">
        <f t="shared" si="12"/>
        <v>0</v>
      </c>
      <c r="R16" s="460">
        <v>0</v>
      </c>
      <c r="S16" s="673">
        <v>0</v>
      </c>
      <c r="T16" s="460">
        <v>0</v>
      </c>
      <c r="U16" s="460">
        <v>0</v>
      </c>
      <c r="V16" s="460">
        <f>SUM(Q16:U16)</f>
        <v>0</v>
      </c>
      <c r="W16" s="460">
        <v>0</v>
      </c>
      <c r="X16" s="460">
        <v>0</v>
      </c>
      <c r="Y16" s="460">
        <v>0</v>
      </c>
      <c r="Z16" s="460">
        <f t="shared" si="13"/>
        <v>0</v>
      </c>
      <c r="AA16" s="460">
        <f t="shared" si="14"/>
        <v>0</v>
      </c>
      <c r="AB16" s="69">
        <f t="shared" si="15"/>
        <v>0</v>
      </c>
      <c r="AC16" s="69">
        <f t="shared" si="22"/>
        <v>0</v>
      </c>
      <c r="AD16" s="460">
        <v>0</v>
      </c>
      <c r="AE16" s="460">
        <v>0</v>
      </c>
      <c r="AF16" s="460">
        <f t="shared" si="16"/>
        <v>0</v>
      </c>
      <c r="AG16" s="460">
        <f t="shared" si="17"/>
        <v>0</v>
      </c>
      <c r="AH16" s="461">
        <v>0</v>
      </c>
      <c r="AI16" s="461">
        <v>0</v>
      </c>
      <c r="AJ16" s="461">
        <v>0</v>
      </c>
      <c r="AK16" s="461">
        <v>0</v>
      </c>
      <c r="AL16" s="674">
        <v>0</v>
      </c>
      <c r="AM16" s="461">
        <v>0</v>
      </c>
      <c r="AN16" s="461">
        <v>0</v>
      </c>
      <c r="AO16" s="461">
        <v>0</v>
      </c>
      <c r="AP16" s="461">
        <f>AH16+AJ16+AK16+AM16+AN16</f>
        <v>0</v>
      </c>
      <c r="AQ16" s="461">
        <f>AI16+AL16+AO16</f>
        <v>0</v>
      </c>
      <c r="AR16" s="463">
        <f t="shared" si="18"/>
        <v>0</v>
      </c>
      <c r="AS16" s="469">
        <f>I16+AG16</f>
        <v>509870</v>
      </c>
      <c r="AT16" s="460">
        <f>J16+V16</f>
        <v>375795</v>
      </c>
      <c r="AU16" s="460">
        <f t="shared" si="23"/>
        <v>0</v>
      </c>
      <c r="AV16" s="460">
        <f t="shared" si="19"/>
        <v>127019</v>
      </c>
      <c r="AW16" s="460">
        <f t="shared" si="19"/>
        <v>3758</v>
      </c>
      <c r="AX16" s="460">
        <f>M16+AF16</f>
        <v>3298</v>
      </c>
      <c r="AY16" s="461">
        <f>N16+AR16</f>
        <v>1.21</v>
      </c>
      <c r="AZ16" s="461">
        <f t="shared" si="20"/>
        <v>0</v>
      </c>
      <c r="BA16" s="463">
        <f t="shared" si="20"/>
        <v>1.21</v>
      </c>
    </row>
    <row r="17" spans="1:53" s="229" customFormat="1" x14ac:dyDescent="0.2">
      <c r="A17" s="158">
        <v>2</v>
      </c>
      <c r="B17" s="18">
        <v>4411</v>
      </c>
      <c r="C17" s="18">
        <v>600074340</v>
      </c>
      <c r="D17" s="18">
        <v>70982121</v>
      </c>
      <c r="E17" s="167" t="s">
        <v>152</v>
      </c>
      <c r="F17" s="18"/>
      <c r="G17" s="157"/>
      <c r="H17" s="191"/>
      <c r="I17" s="505">
        <f t="shared" ref="I17:P17" si="24">SUM(I14:I16)</f>
        <v>9194659</v>
      </c>
      <c r="J17" s="502">
        <f t="shared" si="24"/>
        <v>6789140</v>
      </c>
      <c r="K17" s="502">
        <f t="shared" si="24"/>
        <v>2294730</v>
      </c>
      <c r="L17" s="502">
        <f t="shared" si="24"/>
        <v>67891</v>
      </c>
      <c r="M17" s="502">
        <f t="shared" si="24"/>
        <v>42898</v>
      </c>
      <c r="N17" s="503">
        <f t="shared" si="24"/>
        <v>14.399999999999999</v>
      </c>
      <c r="O17" s="503">
        <f t="shared" si="24"/>
        <v>10</v>
      </c>
      <c r="P17" s="507">
        <f t="shared" si="24"/>
        <v>4.4000000000000004</v>
      </c>
      <c r="Q17" s="505">
        <f t="shared" ref="Q17:BA17" si="25">SUM(Q14:Q16)</f>
        <v>-65000</v>
      </c>
      <c r="R17" s="502">
        <f t="shared" si="25"/>
        <v>768590</v>
      </c>
      <c r="S17" s="502">
        <f t="shared" si="25"/>
        <v>0</v>
      </c>
      <c r="T17" s="502">
        <f t="shared" si="25"/>
        <v>0</v>
      </c>
      <c r="U17" s="502">
        <f t="shared" si="25"/>
        <v>0</v>
      </c>
      <c r="V17" s="502">
        <f t="shared" si="25"/>
        <v>703590</v>
      </c>
      <c r="W17" s="502">
        <f t="shared" si="25"/>
        <v>65000</v>
      </c>
      <c r="X17" s="502">
        <f t="shared" si="25"/>
        <v>0</v>
      </c>
      <c r="Y17" s="502">
        <f t="shared" si="25"/>
        <v>0</v>
      </c>
      <c r="Z17" s="502">
        <f t="shared" si="25"/>
        <v>65000</v>
      </c>
      <c r="AA17" s="502">
        <f t="shared" si="25"/>
        <v>768590</v>
      </c>
      <c r="AB17" s="502">
        <f t="shared" si="25"/>
        <v>259783</v>
      </c>
      <c r="AC17" s="502">
        <f t="shared" si="25"/>
        <v>7036</v>
      </c>
      <c r="AD17" s="502">
        <f t="shared" si="25"/>
        <v>0</v>
      </c>
      <c r="AE17" s="502">
        <f t="shared" si="25"/>
        <v>0</v>
      </c>
      <c r="AF17" s="502">
        <f t="shared" si="25"/>
        <v>0</v>
      </c>
      <c r="AG17" s="502">
        <f t="shared" si="25"/>
        <v>1035409</v>
      </c>
      <c r="AH17" s="503">
        <f t="shared" si="25"/>
        <v>-0.13</v>
      </c>
      <c r="AI17" s="503">
        <f t="shared" si="25"/>
        <v>-0.03</v>
      </c>
      <c r="AJ17" s="503">
        <f t="shared" si="25"/>
        <v>2.39</v>
      </c>
      <c r="AK17" s="503">
        <f t="shared" si="25"/>
        <v>0</v>
      </c>
      <c r="AL17" s="503">
        <f t="shared" si="25"/>
        <v>0</v>
      </c>
      <c r="AM17" s="503">
        <f t="shared" si="25"/>
        <v>0</v>
      </c>
      <c r="AN17" s="503">
        <f t="shared" si="25"/>
        <v>0</v>
      </c>
      <c r="AO17" s="503">
        <f t="shared" si="25"/>
        <v>0</v>
      </c>
      <c r="AP17" s="503">
        <f t="shared" si="25"/>
        <v>2.2600000000000002</v>
      </c>
      <c r="AQ17" s="503">
        <f t="shared" si="25"/>
        <v>-0.03</v>
      </c>
      <c r="AR17" s="40">
        <f t="shared" si="25"/>
        <v>2.23</v>
      </c>
      <c r="AS17" s="509">
        <f t="shared" si="25"/>
        <v>10230068</v>
      </c>
      <c r="AT17" s="502">
        <f t="shared" si="25"/>
        <v>7492730</v>
      </c>
      <c r="AU17" s="502">
        <f t="shared" si="25"/>
        <v>65000</v>
      </c>
      <c r="AV17" s="502">
        <f t="shared" si="25"/>
        <v>2554513</v>
      </c>
      <c r="AW17" s="502">
        <f t="shared" si="25"/>
        <v>74927</v>
      </c>
      <c r="AX17" s="502">
        <f t="shared" si="25"/>
        <v>42898</v>
      </c>
      <c r="AY17" s="503">
        <f t="shared" si="25"/>
        <v>16.63</v>
      </c>
      <c r="AZ17" s="503">
        <f t="shared" si="25"/>
        <v>12.26</v>
      </c>
      <c r="BA17" s="40">
        <f t="shared" si="25"/>
        <v>4.37</v>
      </c>
    </row>
    <row r="18" spans="1:53" s="229" customFormat="1" x14ac:dyDescent="0.2">
      <c r="A18" s="216">
        <v>3</v>
      </c>
      <c r="B18" s="217">
        <v>4409</v>
      </c>
      <c r="C18" s="217">
        <v>600074358</v>
      </c>
      <c r="D18" s="217">
        <v>70982104</v>
      </c>
      <c r="E18" s="210" t="s">
        <v>153</v>
      </c>
      <c r="F18" s="217">
        <v>3111</v>
      </c>
      <c r="G18" s="168" t="s">
        <v>307</v>
      </c>
      <c r="H18" s="218" t="s">
        <v>277</v>
      </c>
      <c r="I18" s="462">
        <f t="shared" ref="I18:I21" si="26">SUM(J18:M18)</f>
        <v>17144717</v>
      </c>
      <c r="J18" s="457">
        <v>12641333</v>
      </c>
      <c r="K18" s="457">
        <f t="shared" ref="K18:K21" si="27">ROUND(J18*33.8%,0)</f>
        <v>4272771</v>
      </c>
      <c r="L18" s="457">
        <f t="shared" ref="L18:L21" si="28">ROUND(J18*1%,0)</f>
        <v>126413</v>
      </c>
      <c r="M18" s="457">
        <v>104200</v>
      </c>
      <c r="N18" s="458">
        <f t="shared" ref="N18:N21" si="29">O18+P18</f>
        <v>26.702000000000002</v>
      </c>
      <c r="O18" s="459">
        <v>20.292000000000002</v>
      </c>
      <c r="P18" s="468">
        <v>6.41</v>
      </c>
      <c r="Q18" s="470">
        <f t="shared" ref="Q18:Q21" si="30">W18*-1</f>
        <v>-18200</v>
      </c>
      <c r="R18" s="460">
        <v>0</v>
      </c>
      <c r="S18" s="673">
        <v>0</v>
      </c>
      <c r="T18" s="460">
        <v>0</v>
      </c>
      <c r="U18" s="460">
        <v>0</v>
      </c>
      <c r="V18" s="460">
        <f>SUM(Q18:U18)</f>
        <v>-18200</v>
      </c>
      <c r="W18" s="460">
        <v>18200</v>
      </c>
      <c r="X18" s="460">
        <v>0</v>
      </c>
      <c r="Y18" s="460">
        <v>0</v>
      </c>
      <c r="Z18" s="460">
        <f t="shared" ref="Z18:Z21" si="31">SUM(W18:Y18)</f>
        <v>18200</v>
      </c>
      <c r="AA18" s="460">
        <f t="shared" ref="AA18:AA21" si="32">V18+Z18</f>
        <v>0</v>
      </c>
      <c r="AB18" s="69">
        <f t="shared" ref="AB18:AB21" si="33">ROUND((V18+W18+X18)*33.8%,0)</f>
        <v>0</v>
      </c>
      <c r="AC18" s="69">
        <f t="shared" ref="AC18:AC21" si="34">ROUND(V18*1%,0)</f>
        <v>-182</v>
      </c>
      <c r="AD18" s="460">
        <v>0</v>
      </c>
      <c r="AE18" s="460">
        <v>0</v>
      </c>
      <c r="AF18" s="460">
        <f t="shared" ref="AF18:AF21" si="35">SUM(AD18:AE18)</f>
        <v>0</v>
      </c>
      <c r="AG18" s="460">
        <f t="shared" ref="AG18:AG21" si="36">AA18+AB18+AC18+AF18</f>
        <v>-182</v>
      </c>
      <c r="AH18" s="461">
        <v>-0.03</v>
      </c>
      <c r="AI18" s="461">
        <v>-0.02</v>
      </c>
      <c r="AJ18" s="461">
        <v>0</v>
      </c>
      <c r="AK18" s="461">
        <v>0</v>
      </c>
      <c r="AL18" s="674">
        <v>0</v>
      </c>
      <c r="AM18" s="461">
        <v>0</v>
      </c>
      <c r="AN18" s="461">
        <v>0</v>
      </c>
      <c r="AO18" s="461">
        <v>0</v>
      </c>
      <c r="AP18" s="461">
        <f>AH18+AJ18+AK18+AM18+AN18</f>
        <v>-0.03</v>
      </c>
      <c r="AQ18" s="461">
        <f>AI18+AL18+AO18</f>
        <v>-0.02</v>
      </c>
      <c r="AR18" s="463">
        <f t="shared" ref="AR18:AR21" si="37">SUM(AP18:AQ18)</f>
        <v>-0.05</v>
      </c>
      <c r="AS18" s="469">
        <f>I18+AG18</f>
        <v>17144535</v>
      </c>
      <c r="AT18" s="460">
        <f>J18+V18</f>
        <v>12623133</v>
      </c>
      <c r="AU18" s="460">
        <f t="shared" ref="AU18:AU21" si="38">Z18</f>
        <v>18200</v>
      </c>
      <c r="AV18" s="460">
        <f t="shared" ref="AV18:AW21" si="39">K18+AB18</f>
        <v>4272771</v>
      </c>
      <c r="AW18" s="460">
        <f t="shared" si="39"/>
        <v>126231</v>
      </c>
      <c r="AX18" s="460">
        <f>M18+AF18</f>
        <v>104200</v>
      </c>
      <c r="AY18" s="461">
        <f>N18+AR18</f>
        <v>26.652000000000001</v>
      </c>
      <c r="AZ18" s="461">
        <f t="shared" ref="AZ18:BA21" si="40">O18+AP18</f>
        <v>20.262</v>
      </c>
      <c r="BA18" s="463">
        <f t="shared" si="40"/>
        <v>6.3900000000000006</v>
      </c>
    </row>
    <row r="19" spans="1:53" s="229" customFormat="1" x14ac:dyDescent="0.2">
      <c r="A19" s="216">
        <v>3</v>
      </c>
      <c r="B19" s="217">
        <v>4409</v>
      </c>
      <c r="C19" s="217">
        <v>600074358</v>
      </c>
      <c r="D19" s="217">
        <v>70982104</v>
      </c>
      <c r="E19" s="210" t="s">
        <v>153</v>
      </c>
      <c r="F19" s="217">
        <v>3111</v>
      </c>
      <c r="G19" s="168" t="s">
        <v>309</v>
      </c>
      <c r="H19" s="218" t="s">
        <v>277</v>
      </c>
      <c r="I19" s="462">
        <f t="shared" si="26"/>
        <v>498981</v>
      </c>
      <c r="J19" s="457">
        <v>370164</v>
      </c>
      <c r="K19" s="457">
        <f t="shared" si="27"/>
        <v>125115</v>
      </c>
      <c r="L19" s="457">
        <f t="shared" si="28"/>
        <v>3702</v>
      </c>
      <c r="M19" s="457">
        <v>0</v>
      </c>
      <c r="N19" s="458">
        <f t="shared" si="29"/>
        <v>1</v>
      </c>
      <c r="O19" s="459">
        <v>1</v>
      </c>
      <c r="P19" s="468">
        <v>0</v>
      </c>
      <c r="Q19" s="470">
        <f t="shared" si="30"/>
        <v>0</v>
      </c>
      <c r="R19" s="460">
        <v>0</v>
      </c>
      <c r="S19" s="673">
        <v>0</v>
      </c>
      <c r="T19" s="460">
        <v>0</v>
      </c>
      <c r="U19" s="460">
        <v>0</v>
      </c>
      <c r="V19" s="460">
        <f>SUM(Q19:U19)</f>
        <v>0</v>
      </c>
      <c r="W19" s="460">
        <v>0</v>
      </c>
      <c r="X19" s="460">
        <v>0</v>
      </c>
      <c r="Y19" s="460">
        <v>0</v>
      </c>
      <c r="Z19" s="460">
        <f t="shared" si="31"/>
        <v>0</v>
      </c>
      <c r="AA19" s="460">
        <f t="shared" si="32"/>
        <v>0</v>
      </c>
      <c r="AB19" s="69">
        <f t="shared" si="33"/>
        <v>0</v>
      </c>
      <c r="AC19" s="69">
        <f t="shared" si="34"/>
        <v>0</v>
      </c>
      <c r="AD19" s="460">
        <v>0</v>
      </c>
      <c r="AE19" s="460">
        <v>0</v>
      </c>
      <c r="AF19" s="460">
        <f t="shared" si="35"/>
        <v>0</v>
      </c>
      <c r="AG19" s="460">
        <f t="shared" si="36"/>
        <v>0</v>
      </c>
      <c r="AH19" s="461">
        <v>0</v>
      </c>
      <c r="AI19" s="461">
        <v>0</v>
      </c>
      <c r="AJ19" s="461">
        <v>0</v>
      </c>
      <c r="AK19" s="461">
        <v>0</v>
      </c>
      <c r="AL19" s="674">
        <v>0</v>
      </c>
      <c r="AM19" s="461">
        <v>0</v>
      </c>
      <c r="AN19" s="461">
        <v>0</v>
      </c>
      <c r="AO19" s="461">
        <v>0</v>
      </c>
      <c r="AP19" s="461">
        <f>AH19+AJ19+AK19+AM19+AN19</f>
        <v>0</v>
      </c>
      <c r="AQ19" s="461">
        <f>AI19+AL19+AO19</f>
        <v>0</v>
      </c>
      <c r="AR19" s="463">
        <f t="shared" si="37"/>
        <v>0</v>
      </c>
      <c r="AS19" s="469">
        <f>I19+AG19</f>
        <v>498981</v>
      </c>
      <c r="AT19" s="460">
        <f>J19+V19</f>
        <v>370164</v>
      </c>
      <c r="AU19" s="460">
        <f t="shared" si="38"/>
        <v>0</v>
      </c>
      <c r="AV19" s="460">
        <f t="shared" si="39"/>
        <v>125115</v>
      </c>
      <c r="AW19" s="460">
        <f t="shared" si="39"/>
        <v>3702</v>
      </c>
      <c r="AX19" s="460">
        <f>M19+AF19</f>
        <v>0</v>
      </c>
      <c r="AY19" s="461">
        <f>N19+AR19</f>
        <v>1</v>
      </c>
      <c r="AZ19" s="461">
        <f t="shared" si="40"/>
        <v>1</v>
      </c>
      <c r="BA19" s="463">
        <f t="shared" si="40"/>
        <v>0</v>
      </c>
    </row>
    <row r="20" spans="1:53" s="229" customFormat="1" x14ac:dyDescent="0.2">
      <c r="A20" s="216">
        <v>3</v>
      </c>
      <c r="B20" s="217">
        <v>4409</v>
      </c>
      <c r="C20" s="217">
        <v>600074358</v>
      </c>
      <c r="D20" s="217">
        <v>70982104</v>
      </c>
      <c r="E20" s="210" t="s">
        <v>153</v>
      </c>
      <c r="F20" s="217">
        <v>3111</v>
      </c>
      <c r="G20" s="168" t="s">
        <v>308</v>
      </c>
      <c r="H20" s="218" t="s">
        <v>278</v>
      </c>
      <c r="I20" s="462">
        <f t="shared" si="26"/>
        <v>0</v>
      </c>
      <c r="J20" s="457">
        <v>0</v>
      </c>
      <c r="K20" s="457">
        <f t="shared" si="27"/>
        <v>0</v>
      </c>
      <c r="L20" s="457">
        <f t="shared" si="28"/>
        <v>0</v>
      </c>
      <c r="M20" s="457">
        <v>0</v>
      </c>
      <c r="N20" s="458">
        <f t="shared" si="29"/>
        <v>0</v>
      </c>
      <c r="O20" s="459">
        <v>0</v>
      </c>
      <c r="P20" s="468">
        <v>0</v>
      </c>
      <c r="Q20" s="470">
        <f t="shared" si="30"/>
        <v>0</v>
      </c>
      <c r="R20" s="460">
        <v>1472399</v>
      </c>
      <c r="S20" s="673">
        <v>0</v>
      </c>
      <c r="T20" s="460">
        <v>0</v>
      </c>
      <c r="U20" s="460">
        <v>0</v>
      </c>
      <c r="V20" s="460">
        <f>SUM(Q20:U20)</f>
        <v>1472399</v>
      </c>
      <c r="W20" s="460">
        <v>0</v>
      </c>
      <c r="X20" s="460">
        <v>0</v>
      </c>
      <c r="Y20" s="460">
        <v>0</v>
      </c>
      <c r="Z20" s="460">
        <f t="shared" si="31"/>
        <v>0</v>
      </c>
      <c r="AA20" s="460">
        <f t="shared" si="32"/>
        <v>1472399</v>
      </c>
      <c r="AB20" s="69">
        <f t="shared" si="33"/>
        <v>497671</v>
      </c>
      <c r="AC20" s="69">
        <f t="shared" si="34"/>
        <v>14724</v>
      </c>
      <c r="AD20" s="460">
        <v>0</v>
      </c>
      <c r="AE20" s="460">
        <v>0</v>
      </c>
      <c r="AF20" s="460">
        <f t="shared" si="35"/>
        <v>0</v>
      </c>
      <c r="AG20" s="460">
        <f t="shared" si="36"/>
        <v>1984794</v>
      </c>
      <c r="AH20" s="461">
        <v>0</v>
      </c>
      <c r="AI20" s="461">
        <v>0</v>
      </c>
      <c r="AJ20" s="461">
        <v>4.25</v>
      </c>
      <c r="AK20" s="461">
        <v>0</v>
      </c>
      <c r="AL20" s="674">
        <v>0</v>
      </c>
      <c r="AM20" s="461">
        <v>0</v>
      </c>
      <c r="AN20" s="461">
        <v>0</v>
      </c>
      <c r="AO20" s="461">
        <v>0</v>
      </c>
      <c r="AP20" s="461">
        <f>AH20+AJ20+AK20+AM20+AN20</f>
        <v>4.25</v>
      </c>
      <c r="AQ20" s="461">
        <f>AI20+AL20+AO20</f>
        <v>0</v>
      </c>
      <c r="AR20" s="463">
        <f t="shared" si="37"/>
        <v>4.25</v>
      </c>
      <c r="AS20" s="469">
        <f>I20+AG20</f>
        <v>1984794</v>
      </c>
      <c r="AT20" s="460">
        <f>J20+V20</f>
        <v>1472399</v>
      </c>
      <c r="AU20" s="460">
        <f t="shared" si="38"/>
        <v>0</v>
      </c>
      <c r="AV20" s="460">
        <f t="shared" si="39"/>
        <v>497671</v>
      </c>
      <c r="AW20" s="460">
        <f t="shared" si="39"/>
        <v>14724</v>
      </c>
      <c r="AX20" s="460">
        <f>M20+AF20</f>
        <v>0</v>
      </c>
      <c r="AY20" s="461">
        <f>N20+AR20</f>
        <v>4.25</v>
      </c>
      <c r="AZ20" s="461">
        <f t="shared" si="40"/>
        <v>4.25</v>
      </c>
      <c r="BA20" s="463">
        <f t="shared" si="40"/>
        <v>0</v>
      </c>
    </row>
    <row r="21" spans="1:53" s="229" customFormat="1" x14ac:dyDescent="0.2">
      <c r="A21" s="216">
        <v>3</v>
      </c>
      <c r="B21" s="217">
        <v>4409</v>
      </c>
      <c r="C21" s="217">
        <v>600074358</v>
      </c>
      <c r="D21" s="217">
        <v>70982104</v>
      </c>
      <c r="E21" s="215" t="s">
        <v>153</v>
      </c>
      <c r="F21" s="217">
        <v>3141</v>
      </c>
      <c r="G21" s="168" t="s">
        <v>311</v>
      </c>
      <c r="H21" s="218" t="s">
        <v>278</v>
      </c>
      <c r="I21" s="462">
        <f t="shared" si="26"/>
        <v>2368699</v>
      </c>
      <c r="J21" s="457">
        <v>1748978</v>
      </c>
      <c r="K21" s="457">
        <f t="shared" si="27"/>
        <v>591155</v>
      </c>
      <c r="L21" s="457">
        <f t="shared" si="28"/>
        <v>17490</v>
      </c>
      <c r="M21" s="457">
        <v>11076</v>
      </c>
      <c r="N21" s="458">
        <f t="shared" si="29"/>
        <v>5.62</v>
      </c>
      <c r="O21" s="459">
        <v>0</v>
      </c>
      <c r="P21" s="468">
        <v>5.62</v>
      </c>
      <c r="Q21" s="470">
        <f t="shared" si="30"/>
        <v>-4550</v>
      </c>
      <c r="R21" s="460">
        <v>0</v>
      </c>
      <c r="S21" s="673">
        <v>0</v>
      </c>
      <c r="T21" s="460">
        <v>0</v>
      </c>
      <c r="U21" s="460">
        <v>0</v>
      </c>
      <c r="V21" s="460">
        <f>SUM(Q21:U21)</f>
        <v>-4550</v>
      </c>
      <c r="W21" s="460">
        <v>4550</v>
      </c>
      <c r="X21" s="460">
        <v>0</v>
      </c>
      <c r="Y21" s="460">
        <v>0</v>
      </c>
      <c r="Z21" s="460">
        <f t="shared" si="31"/>
        <v>4550</v>
      </c>
      <c r="AA21" s="460">
        <f t="shared" si="32"/>
        <v>0</v>
      </c>
      <c r="AB21" s="69">
        <f t="shared" si="33"/>
        <v>0</v>
      </c>
      <c r="AC21" s="69">
        <f t="shared" si="34"/>
        <v>-46</v>
      </c>
      <c r="AD21" s="460">
        <v>0</v>
      </c>
      <c r="AE21" s="460">
        <v>0</v>
      </c>
      <c r="AF21" s="460">
        <f t="shared" si="35"/>
        <v>0</v>
      </c>
      <c r="AG21" s="460">
        <f t="shared" si="36"/>
        <v>-46</v>
      </c>
      <c r="AH21" s="461">
        <v>0</v>
      </c>
      <c r="AI21" s="461">
        <v>-0.02</v>
      </c>
      <c r="AJ21" s="461">
        <v>0</v>
      </c>
      <c r="AK21" s="461">
        <v>0</v>
      </c>
      <c r="AL21" s="674">
        <v>0</v>
      </c>
      <c r="AM21" s="461">
        <v>0</v>
      </c>
      <c r="AN21" s="461">
        <v>0</v>
      </c>
      <c r="AO21" s="461">
        <v>0</v>
      </c>
      <c r="AP21" s="461">
        <f>AH21+AJ21+AK21+AM21+AN21</f>
        <v>0</v>
      </c>
      <c r="AQ21" s="461">
        <f>AI21+AL21+AO21</f>
        <v>-0.02</v>
      </c>
      <c r="AR21" s="463">
        <f t="shared" si="37"/>
        <v>-0.02</v>
      </c>
      <c r="AS21" s="469">
        <f>I21+AG21</f>
        <v>2368653</v>
      </c>
      <c r="AT21" s="460">
        <f>J21+V21</f>
        <v>1744428</v>
      </c>
      <c r="AU21" s="460">
        <f t="shared" si="38"/>
        <v>4550</v>
      </c>
      <c r="AV21" s="460">
        <f t="shared" si="39"/>
        <v>591155</v>
      </c>
      <c r="AW21" s="460">
        <f t="shared" si="39"/>
        <v>17444</v>
      </c>
      <c r="AX21" s="460">
        <f>M21+AF21</f>
        <v>11076</v>
      </c>
      <c r="AY21" s="461">
        <f>N21+AR21</f>
        <v>5.6000000000000005</v>
      </c>
      <c r="AZ21" s="461">
        <f t="shared" si="40"/>
        <v>0</v>
      </c>
      <c r="BA21" s="463">
        <f t="shared" si="40"/>
        <v>5.6000000000000005</v>
      </c>
    </row>
    <row r="22" spans="1:53" s="229" customFormat="1" x14ac:dyDescent="0.2">
      <c r="A22" s="158">
        <v>3</v>
      </c>
      <c r="B22" s="18">
        <v>4409</v>
      </c>
      <c r="C22" s="18">
        <v>600074358</v>
      </c>
      <c r="D22" s="18">
        <v>70982104</v>
      </c>
      <c r="E22" s="167" t="s">
        <v>154</v>
      </c>
      <c r="F22" s="18"/>
      <c r="G22" s="157"/>
      <c r="H22" s="191"/>
      <c r="I22" s="505">
        <f t="shared" ref="I22:P22" si="41">SUM(I18:I21)</f>
        <v>20012397</v>
      </c>
      <c r="J22" s="502">
        <f t="shared" si="41"/>
        <v>14760475</v>
      </c>
      <c r="K22" s="502">
        <f t="shared" si="41"/>
        <v>4989041</v>
      </c>
      <c r="L22" s="502">
        <f t="shared" si="41"/>
        <v>147605</v>
      </c>
      <c r="M22" s="502">
        <f t="shared" si="41"/>
        <v>115276</v>
      </c>
      <c r="N22" s="503">
        <f t="shared" si="41"/>
        <v>33.322000000000003</v>
      </c>
      <c r="O22" s="503">
        <f t="shared" si="41"/>
        <v>21.292000000000002</v>
      </c>
      <c r="P22" s="507">
        <f t="shared" si="41"/>
        <v>12.030000000000001</v>
      </c>
      <c r="Q22" s="505">
        <f t="shared" ref="Q22:BA22" si="42">SUM(Q18:Q21)</f>
        <v>-22750</v>
      </c>
      <c r="R22" s="502">
        <f t="shared" si="42"/>
        <v>1472399</v>
      </c>
      <c r="S22" s="502">
        <f t="shared" si="42"/>
        <v>0</v>
      </c>
      <c r="T22" s="502">
        <f t="shared" si="42"/>
        <v>0</v>
      </c>
      <c r="U22" s="502">
        <f t="shared" si="42"/>
        <v>0</v>
      </c>
      <c r="V22" s="502">
        <f t="shared" si="42"/>
        <v>1449649</v>
      </c>
      <c r="W22" s="502">
        <f t="shared" si="42"/>
        <v>22750</v>
      </c>
      <c r="X22" s="502">
        <f t="shared" si="42"/>
        <v>0</v>
      </c>
      <c r="Y22" s="502">
        <f t="shared" si="42"/>
        <v>0</v>
      </c>
      <c r="Z22" s="502">
        <f t="shared" si="42"/>
        <v>22750</v>
      </c>
      <c r="AA22" s="502">
        <f t="shared" si="42"/>
        <v>1472399</v>
      </c>
      <c r="AB22" s="502">
        <f t="shared" si="42"/>
        <v>497671</v>
      </c>
      <c r="AC22" s="502">
        <f t="shared" si="42"/>
        <v>14496</v>
      </c>
      <c r="AD22" s="502">
        <f t="shared" si="42"/>
        <v>0</v>
      </c>
      <c r="AE22" s="502">
        <f t="shared" si="42"/>
        <v>0</v>
      </c>
      <c r="AF22" s="502">
        <f t="shared" si="42"/>
        <v>0</v>
      </c>
      <c r="AG22" s="502">
        <f t="shared" si="42"/>
        <v>1984566</v>
      </c>
      <c r="AH22" s="503">
        <f t="shared" si="42"/>
        <v>-0.03</v>
      </c>
      <c r="AI22" s="503">
        <f t="shared" si="42"/>
        <v>-0.04</v>
      </c>
      <c r="AJ22" s="503">
        <f t="shared" si="42"/>
        <v>4.25</v>
      </c>
      <c r="AK22" s="503">
        <f t="shared" si="42"/>
        <v>0</v>
      </c>
      <c r="AL22" s="503">
        <f t="shared" si="42"/>
        <v>0</v>
      </c>
      <c r="AM22" s="503">
        <f t="shared" si="42"/>
        <v>0</v>
      </c>
      <c r="AN22" s="503">
        <f t="shared" si="42"/>
        <v>0</v>
      </c>
      <c r="AO22" s="503">
        <f t="shared" si="42"/>
        <v>0</v>
      </c>
      <c r="AP22" s="503">
        <f t="shared" si="42"/>
        <v>4.22</v>
      </c>
      <c r="AQ22" s="503">
        <f t="shared" si="42"/>
        <v>-0.04</v>
      </c>
      <c r="AR22" s="40">
        <f t="shared" si="42"/>
        <v>4.1800000000000006</v>
      </c>
      <c r="AS22" s="509">
        <f t="shared" si="42"/>
        <v>21996963</v>
      </c>
      <c r="AT22" s="502">
        <f t="shared" si="42"/>
        <v>16210124</v>
      </c>
      <c r="AU22" s="502">
        <f t="shared" si="42"/>
        <v>22750</v>
      </c>
      <c r="AV22" s="502">
        <f t="shared" si="42"/>
        <v>5486712</v>
      </c>
      <c r="AW22" s="502">
        <f t="shared" si="42"/>
        <v>162101</v>
      </c>
      <c r="AX22" s="502">
        <f t="shared" si="42"/>
        <v>115276</v>
      </c>
      <c r="AY22" s="503">
        <f t="shared" si="42"/>
        <v>37.502000000000002</v>
      </c>
      <c r="AZ22" s="503">
        <f t="shared" si="42"/>
        <v>25.512</v>
      </c>
      <c r="BA22" s="40">
        <f t="shared" si="42"/>
        <v>11.990000000000002</v>
      </c>
    </row>
    <row r="23" spans="1:53" s="229" customFormat="1" x14ac:dyDescent="0.2">
      <c r="A23" s="216">
        <v>4</v>
      </c>
      <c r="B23" s="217">
        <v>4407</v>
      </c>
      <c r="C23" s="217">
        <v>600074552</v>
      </c>
      <c r="D23" s="217">
        <v>70982201</v>
      </c>
      <c r="E23" s="215" t="s">
        <v>155</v>
      </c>
      <c r="F23" s="217">
        <v>3111</v>
      </c>
      <c r="G23" s="168" t="s">
        <v>307</v>
      </c>
      <c r="H23" s="218" t="s">
        <v>277</v>
      </c>
      <c r="I23" s="462">
        <f t="shared" ref="I23:I26" si="43">SUM(J23:M23)</f>
        <v>7583887</v>
      </c>
      <c r="J23" s="457">
        <v>5595087</v>
      </c>
      <c r="K23" s="457">
        <f t="shared" ref="K23:K26" si="44">ROUND(J23*33.8%,0)</f>
        <v>1891139</v>
      </c>
      <c r="L23" s="457">
        <f t="shared" ref="L23:L26" si="45">ROUND(J23*1%,0)</f>
        <v>55951</v>
      </c>
      <c r="M23" s="457">
        <v>41710</v>
      </c>
      <c r="N23" s="458">
        <f t="shared" ref="N23:N26" si="46">O23+P23</f>
        <v>10.849399999999999</v>
      </c>
      <c r="O23" s="459">
        <v>8.4193999999999996</v>
      </c>
      <c r="P23" s="468">
        <v>2.4299999999999997</v>
      </c>
      <c r="Q23" s="470">
        <f t="shared" ref="Q23:Q26" si="47">W23*-1</f>
        <v>0</v>
      </c>
      <c r="R23" s="460">
        <v>0</v>
      </c>
      <c r="S23" s="673">
        <v>0</v>
      </c>
      <c r="T23" s="460">
        <v>0</v>
      </c>
      <c r="U23" s="460">
        <v>0</v>
      </c>
      <c r="V23" s="460">
        <f>SUM(Q23:U23)</f>
        <v>0</v>
      </c>
      <c r="W23" s="460">
        <v>0</v>
      </c>
      <c r="X23" s="460">
        <v>0</v>
      </c>
      <c r="Y23" s="460">
        <v>0</v>
      </c>
      <c r="Z23" s="460">
        <f t="shared" ref="Z23:Z26" si="48">SUM(W23:Y23)</f>
        <v>0</v>
      </c>
      <c r="AA23" s="460">
        <f t="shared" ref="AA23:AA26" si="49">V23+Z23</f>
        <v>0</v>
      </c>
      <c r="AB23" s="69">
        <f t="shared" ref="AB23:AB26" si="50">ROUND((V23+W23+X23)*33.8%,0)</f>
        <v>0</v>
      </c>
      <c r="AC23" s="69">
        <f t="shared" ref="AC23:AC26" si="51">ROUND(V23*1%,0)</f>
        <v>0</v>
      </c>
      <c r="AD23" s="460">
        <v>0</v>
      </c>
      <c r="AE23" s="460">
        <v>0</v>
      </c>
      <c r="AF23" s="460">
        <f t="shared" ref="AF23:AF26" si="52">SUM(AD23:AE23)</f>
        <v>0</v>
      </c>
      <c r="AG23" s="460">
        <f t="shared" ref="AG23:AG26" si="53">AA23+AB23+AC23+AF23</f>
        <v>0</v>
      </c>
      <c r="AH23" s="461">
        <v>0</v>
      </c>
      <c r="AI23" s="461">
        <v>0</v>
      </c>
      <c r="AJ23" s="461">
        <v>0</v>
      </c>
      <c r="AK23" s="461">
        <v>0</v>
      </c>
      <c r="AL23" s="674">
        <v>0</v>
      </c>
      <c r="AM23" s="461">
        <v>0</v>
      </c>
      <c r="AN23" s="461">
        <v>0</v>
      </c>
      <c r="AO23" s="461">
        <v>0</v>
      </c>
      <c r="AP23" s="461">
        <f>AH23+AJ23+AK23+AM23+AN23</f>
        <v>0</v>
      </c>
      <c r="AQ23" s="461">
        <f>AI23+AL23+AO23</f>
        <v>0</v>
      </c>
      <c r="AR23" s="463">
        <f t="shared" ref="AR23:AR26" si="54">SUM(AP23:AQ23)</f>
        <v>0</v>
      </c>
      <c r="AS23" s="469">
        <f>I23+AG23</f>
        <v>7583887</v>
      </c>
      <c r="AT23" s="460">
        <f>J23+V23</f>
        <v>5595087</v>
      </c>
      <c r="AU23" s="460">
        <f t="shared" ref="AU23:AU26" si="55">Z23</f>
        <v>0</v>
      </c>
      <c r="AV23" s="460">
        <f t="shared" ref="AV23:AW26" si="56">K23+AB23</f>
        <v>1891139</v>
      </c>
      <c r="AW23" s="460">
        <f t="shared" si="56"/>
        <v>55951</v>
      </c>
      <c r="AX23" s="460">
        <f>M23+AF23</f>
        <v>41710</v>
      </c>
      <c r="AY23" s="461">
        <f>N23+AR23</f>
        <v>10.849399999999999</v>
      </c>
      <c r="AZ23" s="461">
        <f t="shared" ref="AZ23:BA26" si="57">O23+AP23</f>
        <v>8.4193999999999996</v>
      </c>
      <c r="BA23" s="463">
        <f t="shared" si="57"/>
        <v>2.4299999999999997</v>
      </c>
    </row>
    <row r="24" spans="1:53" s="229" customFormat="1" x14ac:dyDescent="0.2">
      <c r="A24" s="216">
        <v>4</v>
      </c>
      <c r="B24" s="217">
        <v>4407</v>
      </c>
      <c r="C24" s="217">
        <v>600074552</v>
      </c>
      <c r="D24" s="217">
        <v>70982201</v>
      </c>
      <c r="E24" s="215" t="s">
        <v>155</v>
      </c>
      <c r="F24" s="217">
        <v>3111</v>
      </c>
      <c r="G24" s="168" t="s">
        <v>309</v>
      </c>
      <c r="H24" s="218" t="s">
        <v>277</v>
      </c>
      <c r="I24" s="462">
        <f t="shared" si="43"/>
        <v>571611</v>
      </c>
      <c r="J24" s="457">
        <v>424044</v>
      </c>
      <c r="K24" s="457">
        <f t="shared" si="44"/>
        <v>143327</v>
      </c>
      <c r="L24" s="457">
        <f t="shared" si="45"/>
        <v>4240</v>
      </c>
      <c r="M24" s="457">
        <v>0</v>
      </c>
      <c r="N24" s="458">
        <f t="shared" si="46"/>
        <v>1</v>
      </c>
      <c r="O24" s="459">
        <v>1</v>
      </c>
      <c r="P24" s="468">
        <v>0</v>
      </c>
      <c r="Q24" s="470">
        <f t="shared" si="47"/>
        <v>0</v>
      </c>
      <c r="R24" s="460">
        <v>0</v>
      </c>
      <c r="S24" s="673">
        <v>0</v>
      </c>
      <c r="T24" s="460">
        <v>0</v>
      </c>
      <c r="U24" s="460">
        <v>0</v>
      </c>
      <c r="V24" s="460">
        <f>SUM(Q24:U24)</f>
        <v>0</v>
      </c>
      <c r="W24" s="460">
        <v>0</v>
      </c>
      <c r="X24" s="460">
        <v>0</v>
      </c>
      <c r="Y24" s="460">
        <v>0</v>
      </c>
      <c r="Z24" s="460">
        <f t="shared" si="48"/>
        <v>0</v>
      </c>
      <c r="AA24" s="460">
        <f t="shared" si="49"/>
        <v>0</v>
      </c>
      <c r="AB24" s="69">
        <f t="shared" si="50"/>
        <v>0</v>
      </c>
      <c r="AC24" s="69">
        <f t="shared" si="51"/>
        <v>0</v>
      </c>
      <c r="AD24" s="460">
        <v>0</v>
      </c>
      <c r="AE24" s="460">
        <v>0</v>
      </c>
      <c r="AF24" s="460">
        <f t="shared" si="52"/>
        <v>0</v>
      </c>
      <c r="AG24" s="460">
        <f t="shared" si="53"/>
        <v>0</v>
      </c>
      <c r="AH24" s="461">
        <v>0</v>
      </c>
      <c r="AI24" s="461">
        <v>0</v>
      </c>
      <c r="AJ24" s="461">
        <v>0</v>
      </c>
      <c r="AK24" s="461">
        <v>0</v>
      </c>
      <c r="AL24" s="674">
        <v>0</v>
      </c>
      <c r="AM24" s="461">
        <v>0</v>
      </c>
      <c r="AN24" s="461">
        <v>0</v>
      </c>
      <c r="AO24" s="461">
        <v>0</v>
      </c>
      <c r="AP24" s="461">
        <f>AH24+AJ24+AK24+AM24+AN24</f>
        <v>0</v>
      </c>
      <c r="AQ24" s="461">
        <f>AI24+AL24+AO24</f>
        <v>0</v>
      </c>
      <c r="AR24" s="463">
        <f t="shared" si="54"/>
        <v>0</v>
      </c>
      <c r="AS24" s="469">
        <f>I24+AG24</f>
        <v>571611</v>
      </c>
      <c r="AT24" s="460">
        <f>J24+V24</f>
        <v>424044</v>
      </c>
      <c r="AU24" s="460">
        <f t="shared" si="55"/>
        <v>0</v>
      </c>
      <c r="AV24" s="460">
        <f t="shared" si="56"/>
        <v>143327</v>
      </c>
      <c r="AW24" s="460">
        <f t="shared" si="56"/>
        <v>4240</v>
      </c>
      <c r="AX24" s="460">
        <f>M24+AF24</f>
        <v>0</v>
      </c>
      <c r="AY24" s="461">
        <f>N24+AR24</f>
        <v>1</v>
      </c>
      <c r="AZ24" s="461">
        <f t="shared" si="57"/>
        <v>1</v>
      </c>
      <c r="BA24" s="463">
        <f t="shared" si="57"/>
        <v>0</v>
      </c>
    </row>
    <row r="25" spans="1:53" s="229" customFormat="1" x14ac:dyDescent="0.2">
      <c r="A25" s="216">
        <v>4</v>
      </c>
      <c r="B25" s="217">
        <v>4407</v>
      </c>
      <c r="C25" s="217">
        <v>600074552</v>
      </c>
      <c r="D25" s="217">
        <v>70982201</v>
      </c>
      <c r="E25" s="215" t="s">
        <v>155</v>
      </c>
      <c r="F25" s="217">
        <v>3111</v>
      </c>
      <c r="G25" s="168" t="s">
        <v>308</v>
      </c>
      <c r="H25" s="218" t="s">
        <v>278</v>
      </c>
      <c r="I25" s="462">
        <f t="shared" si="43"/>
        <v>0</v>
      </c>
      <c r="J25" s="457">
        <v>0</v>
      </c>
      <c r="K25" s="457">
        <f t="shared" si="44"/>
        <v>0</v>
      </c>
      <c r="L25" s="457">
        <f t="shared" si="45"/>
        <v>0</v>
      </c>
      <c r="M25" s="457">
        <v>0</v>
      </c>
      <c r="N25" s="458">
        <f t="shared" si="46"/>
        <v>0</v>
      </c>
      <c r="O25" s="459">
        <v>0</v>
      </c>
      <c r="P25" s="468">
        <v>0</v>
      </c>
      <c r="Q25" s="470">
        <f t="shared" si="47"/>
        <v>0</v>
      </c>
      <c r="R25" s="460">
        <v>1126058</v>
      </c>
      <c r="S25" s="673">
        <v>0</v>
      </c>
      <c r="T25" s="460">
        <v>0</v>
      </c>
      <c r="U25" s="460">
        <v>0</v>
      </c>
      <c r="V25" s="460">
        <f>SUM(Q25:U25)</f>
        <v>1126058</v>
      </c>
      <c r="W25" s="460">
        <v>0</v>
      </c>
      <c r="X25" s="460">
        <v>0</v>
      </c>
      <c r="Y25" s="460">
        <v>0</v>
      </c>
      <c r="Z25" s="460">
        <f t="shared" si="48"/>
        <v>0</v>
      </c>
      <c r="AA25" s="460">
        <f t="shared" si="49"/>
        <v>1126058</v>
      </c>
      <c r="AB25" s="69">
        <f t="shared" si="50"/>
        <v>380608</v>
      </c>
      <c r="AC25" s="69">
        <f t="shared" si="51"/>
        <v>11261</v>
      </c>
      <c r="AD25" s="460">
        <v>0</v>
      </c>
      <c r="AE25" s="460">
        <v>0</v>
      </c>
      <c r="AF25" s="460">
        <f t="shared" si="52"/>
        <v>0</v>
      </c>
      <c r="AG25" s="460">
        <f t="shared" si="53"/>
        <v>1517927</v>
      </c>
      <c r="AH25" s="461">
        <v>0</v>
      </c>
      <c r="AI25" s="461">
        <v>0</v>
      </c>
      <c r="AJ25" s="461">
        <v>3.4</v>
      </c>
      <c r="AK25" s="461">
        <v>0</v>
      </c>
      <c r="AL25" s="674">
        <v>0</v>
      </c>
      <c r="AM25" s="461">
        <v>0</v>
      </c>
      <c r="AN25" s="461">
        <v>0</v>
      </c>
      <c r="AO25" s="461">
        <v>0</v>
      </c>
      <c r="AP25" s="461">
        <f>AH25+AJ25+AK25+AM25+AN25</f>
        <v>3.4</v>
      </c>
      <c r="AQ25" s="461">
        <f>AI25+AL25+AO25</f>
        <v>0</v>
      </c>
      <c r="AR25" s="463">
        <f t="shared" si="54"/>
        <v>3.4</v>
      </c>
      <c r="AS25" s="469">
        <f>I25+AG25</f>
        <v>1517927</v>
      </c>
      <c r="AT25" s="460">
        <f>J25+V25</f>
        <v>1126058</v>
      </c>
      <c r="AU25" s="460">
        <f t="shared" si="55"/>
        <v>0</v>
      </c>
      <c r="AV25" s="460">
        <f t="shared" si="56"/>
        <v>380608</v>
      </c>
      <c r="AW25" s="460">
        <f t="shared" si="56"/>
        <v>11261</v>
      </c>
      <c r="AX25" s="460">
        <f>M25+AF25</f>
        <v>0</v>
      </c>
      <c r="AY25" s="461">
        <f>N25+AR25</f>
        <v>3.4</v>
      </c>
      <c r="AZ25" s="461">
        <f t="shared" si="57"/>
        <v>3.4</v>
      </c>
      <c r="BA25" s="463">
        <f t="shared" si="57"/>
        <v>0</v>
      </c>
    </row>
    <row r="26" spans="1:53" s="229" customFormat="1" x14ac:dyDescent="0.2">
      <c r="A26" s="216">
        <v>4</v>
      </c>
      <c r="B26" s="217">
        <v>4407</v>
      </c>
      <c r="C26" s="217">
        <v>600074552</v>
      </c>
      <c r="D26" s="217">
        <v>70982201</v>
      </c>
      <c r="E26" s="215" t="s">
        <v>155</v>
      </c>
      <c r="F26" s="217">
        <v>3141</v>
      </c>
      <c r="G26" s="168" t="s">
        <v>311</v>
      </c>
      <c r="H26" s="218" t="s">
        <v>278</v>
      </c>
      <c r="I26" s="462">
        <f t="shared" si="43"/>
        <v>976178</v>
      </c>
      <c r="J26" s="457">
        <v>720657</v>
      </c>
      <c r="K26" s="457">
        <f t="shared" si="44"/>
        <v>243582</v>
      </c>
      <c r="L26" s="457">
        <f t="shared" si="45"/>
        <v>7207</v>
      </c>
      <c r="M26" s="457">
        <v>4732</v>
      </c>
      <c r="N26" s="458">
        <f t="shared" si="46"/>
        <v>2.3199999999999998</v>
      </c>
      <c r="O26" s="459">
        <v>0</v>
      </c>
      <c r="P26" s="468">
        <v>2.3199999999999998</v>
      </c>
      <c r="Q26" s="470">
        <f t="shared" si="47"/>
        <v>0</v>
      </c>
      <c r="R26" s="460">
        <v>0</v>
      </c>
      <c r="S26" s="673">
        <v>0</v>
      </c>
      <c r="T26" s="460">
        <v>0</v>
      </c>
      <c r="U26" s="460">
        <v>0</v>
      </c>
      <c r="V26" s="460">
        <f>SUM(Q26:U26)</f>
        <v>0</v>
      </c>
      <c r="W26" s="460">
        <v>0</v>
      </c>
      <c r="X26" s="460">
        <v>0</v>
      </c>
      <c r="Y26" s="460">
        <v>0</v>
      </c>
      <c r="Z26" s="460">
        <f t="shared" si="48"/>
        <v>0</v>
      </c>
      <c r="AA26" s="460">
        <f t="shared" si="49"/>
        <v>0</v>
      </c>
      <c r="AB26" s="69">
        <f t="shared" si="50"/>
        <v>0</v>
      </c>
      <c r="AC26" s="69">
        <f t="shared" si="51"/>
        <v>0</v>
      </c>
      <c r="AD26" s="460">
        <v>0</v>
      </c>
      <c r="AE26" s="460">
        <v>0</v>
      </c>
      <c r="AF26" s="460">
        <f t="shared" si="52"/>
        <v>0</v>
      </c>
      <c r="AG26" s="460">
        <f t="shared" si="53"/>
        <v>0</v>
      </c>
      <c r="AH26" s="461">
        <v>0</v>
      </c>
      <c r="AI26" s="461">
        <v>0</v>
      </c>
      <c r="AJ26" s="461">
        <v>0</v>
      </c>
      <c r="AK26" s="461">
        <v>0</v>
      </c>
      <c r="AL26" s="674">
        <v>0</v>
      </c>
      <c r="AM26" s="461">
        <v>0</v>
      </c>
      <c r="AN26" s="461">
        <v>0</v>
      </c>
      <c r="AO26" s="461">
        <v>0</v>
      </c>
      <c r="AP26" s="461">
        <f>AH26+AJ26+AK26+AM26+AN26</f>
        <v>0</v>
      </c>
      <c r="AQ26" s="461">
        <f>AI26+AL26+AO26</f>
        <v>0</v>
      </c>
      <c r="AR26" s="463">
        <f t="shared" si="54"/>
        <v>0</v>
      </c>
      <c r="AS26" s="469">
        <f>I26+AG26</f>
        <v>976178</v>
      </c>
      <c r="AT26" s="460">
        <f>J26+V26</f>
        <v>720657</v>
      </c>
      <c r="AU26" s="460">
        <f t="shared" si="55"/>
        <v>0</v>
      </c>
      <c r="AV26" s="460">
        <f t="shared" si="56"/>
        <v>243582</v>
      </c>
      <c r="AW26" s="460">
        <f t="shared" si="56"/>
        <v>7207</v>
      </c>
      <c r="AX26" s="460">
        <f>M26+AF26</f>
        <v>4732</v>
      </c>
      <c r="AY26" s="461">
        <f>N26+AR26</f>
        <v>2.3199999999999998</v>
      </c>
      <c r="AZ26" s="461">
        <f t="shared" si="57"/>
        <v>0</v>
      </c>
      <c r="BA26" s="463">
        <f t="shared" si="57"/>
        <v>2.3199999999999998</v>
      </c>
    </row>
    <row r="27" spans="1:53" s="229" customFormat="1" x14ac:dyDescent="0.2">
      <c r="A27" s="158">
        <v>4</v>
      </c>
      <c r="B27" s="18">
        <v>4407</v>
      </c>
      <c r="C27" s="18">
        <v>600074552</v>
      </c>
      <c r="D27" s="18">
        <v>70982201</v>
      </c>
      <c r="E27" s="167" t="s">
        <v>156</v>
      </c>
      <c r="F27" s="18"/>
      <c r="G27" s="157"/>
      <c r="H27" s="191"/>
      <c r="I27" s="505">
        <f t="shared" ref="I27:P27" si="58">SUM(I23:I26)</f>
        <v>9131676</v>
      </c>
      <c r="J27" s="502">
        <f t="shared" si="58"/>
        <v>6739788</v>
      </c>
      <c r="K27" s="502">
        <f t="shared" si="58"/>
        <v>2278048</v>
      </c>
      <c r="L27" s="502">
        <f t="shared" si="58"/>
        <v>67398</v>
      </c>
      <c r="M27" s="502">
        <f t="shared" si="58"/>
        <v>46442</v>
      </c>
      <c r="N27" s="503">
        <f t="shared" si="58"/>
        <v>14.1694</v>
      </c>
      <c r="O27" s="503">
        <f t="shared" si="58"/>
        <v>9.4193999999999996</v>
      </c>
      <c r="P27" s="507">
        <f t="shared" si="58"/>
        <v>4.75</v>
      </c>
      <c r="Q27" s="505">
        <f t="shared" ref="Q27:BA27" si="59">SUM(Q23:Q26)</f>
        <v>0</v>
      </c>
      <c r="R27" s="502">
        <f t="shared" si="59"/>
        <v>1126058</v>
      </c>
      <c r="S27" s="502">
        <f t="shared" si="59"/>
        <v>0</v>
      </c>
      <c r="T27" s="502">
        <f t="shared" si="59"/>
        <v>0</v>
      </c>
      <c r="U27" s="502">
        <f t="shared" si="59"/>
        <v>0</v>
      </c>
      <c r="V27" s="502">
        <f t="shared" si="59"/>
        <v>1126058</v>
      </c>
      <c r="W27" s="502">
        <f t="shared" si="59"/>
        <v>0</v>
      </c>
      <c r="X27" s="502">
        <f t="shared" si="59"/>
        <v>0</v>
      </c>
      <c r="Y27" s="502">
        <f t="shared" si="59"/>
        <v>0</v>
      </c>
      <c r="Z27" s="502">
        <f t="shared" si="59"/>
        <v>0</v>
      </c>
      <c r="AA27" s="502">
        <f t="shared" si="59"/>
        <v>1126058</v>
      </c>
      <c r="AB27" s="502">
        <f t="shared" si="59"/>
        <v>380608</v>
      </c>
      <c r="AC27" s="502">
        <f t="shared" si="59"/>
        <v>11261</v>
      </c>
      <c r="AD27" s="502">
        <f t="shared" si="59"/>
        <v>0</v>
      </c>
      <c r="AE27" s="502">
        <f t="shared" si="59"/>
        <v>0</v>
      </c>
      <c r="AF27" s="502">
        <f t="shared" si="59"/>
        <v>0</v>
      </c>
      <c r="AG27" s="502">
        <f t="shared" si="59"/>
        <v>1517927</v>
      </c>
      <c r="AH27" s="503">
        <f t="shared" si="59"/>
        <v>0</v>
      </c>
      <c r="AI27" s="503">
        <f t="shared" si="59"/>
        <v>0</v>
      </c>
      <c r="AJ27" s="503">
        <f t="shared" si="59"/>
        <v>3.4</v>
      </c>
      <c r="AK27" s="503">
        <f t="shared" si="59"/>
        <v>0</v>
      </c>
      <c r="AL27" s="503">
        <f t="shared" si="59"/>
        <v>0</v>
      </c>
      <c r="AM27" s="503">
        <f t="shared" si="59"/>
        <v>0</v>
      </c>
      <c r="AN27" s="503">
        <f t="shared" si="59"/>
        <v>0</v>
      </c>
      <c r="AO27" s="503">
        <f t="shared" si="59"/>
        <v>0</v>
      </c>
      <c r="AP27" s="503">
        <f t="shared" si="59"/>
        <v>3.4</v>
      </c>
      <c r="AQ27" s="503">
        <f t="shared" si="59"/>
        <v>0</v>
      </c>
      <c r="AR27" s="40">
        <f t="shared" si="59"/>
        <v>3.4</v>
      </c>
      <c r="AS27" s="509">
        <f t="shared" si="59"/>
        <v>10649603</v>
      </c>
      <c r="AT27" s="502">
        <f t="shared" si="59"/>
        <v>7865846</v>
      </c>
      <c r="AU27" s="502">
        <f t="shared" si="59"/>
        <v>0</v>
      </c>
      <c r="AV27" s="502">
        <f t="shared" si="59"/>
        <v>2658656</v>
      </c>
      <c r="AW27" s="502">
        <f t="shared" si="59"/>
        <v>78659</v>
      </c>
      <c r="AX27" s="502">
        <f t="shared" si="59"/>
        <v>46442</v>
      </c>
      <c r="AY27" s="503">
        <f t="shared" si="59"/>
        <v>17.569399999999998</v>
      </c>
      <c r="AZ27" s="503">
        <f t="shared" si="59"/>
        <v>12.8194</v>
      </c>
      <c r="BA27" s="40">
        <f t="shared" si="59"/>
        <v>4.75</v>
      </c>
    </row>
    <row r="28" spans="1:53" s="229" customFormat="1" x14ac:dyDescent="0.2">
      <c r="A28" s="216">
        <v>5</v>
      </c>
      <c r="B28" s="217">
        <v>4492</v>
      </c>
      <c r="C28" s="217">
        <v>650065221</v>
      </c>
      <c r="D28" s="217">
        <v>71173838</v>
      </c>
      <c r="E28" s="215" t="s">
        <v>157</v>
      </c>
      <c r="F28" s="217">
        <v>3111</v>
      </c>
      <c r="G28" s="168" t="s">
        <v>307</v>
      </c>
      <c r="H28" s="218" t="s">
        <v>277</v>
      </c>
      <c r="I28" s="462">
        <f t="shared" ref="I28:I30" si="60">SUM(J28:M28)</f>
        <v>8008272</v>
      </c>
      <c r="J28" s="457">
        <v>5912368</v>
      </c>
      <c r="K28" s="457">
        <f t="shared" ref="K28:K30" si="61">ROUND(J28*33.8%,0)</f>
        <v>1998380</v>
      </c>
      <c r="L28" s="457">
        <f t="shared" ref="L28:L30" si="62">ROUND(J28*1%,0)</f>
        <v>59124</v>
      </c>
      <c r="M28" s="457">
        <v>38400</v>
      </c>
      <c r="N28" s="458">
        <f t="shared" ref="N28:N30" si="63">O28+P28</f>
        <v>12.03</v>
      </c>
      <c r="O28" s="459">
        <v>9</v>
      </c>
      <c r="P28" s="468">
        <v>3.03</v>
      </c>
      <c r="Q28" s="470">
        <f t="shared" ref="Q28:Q30" si="64">W28*-1</f>
        <v>0</v>
      </c>
      <c r="R28" s="460">
        <v>0</v>
      </c>
      <c r="S28" s="673">
        <v>0</v>
      </c>
      <c r="T28" s="460">
        <v>0</v>
      </c>
      <c r="U28" s="460">
        <v>0</v>
      </c>
      <c r="V28" s="460">
        <f>SUM(Q28:U28)</f>
        <v>0</v>
      </c>
      <c r="W28" s="460">
        <v>0</v>
      </c>
      <c r="X28" s="460">
        <v>0</v>
      </c>
      <c r="Y28" s="460">
        <v>0</v>
      </c>
      <c r="Z28" s="460">
        <f t="shared" ref="Z28:Z30" si="65">SUM(W28:Y28)</f>
        <v>0</v>
      </c>
      <c r="AA28" s="460">
        <f t="shared" ref="AA28:AA30" si="66">V28+Z28</f>
        <v>0</v>
      </c>
      <c r="AB28" s="69">
        <f t="shared" ref="AB28:AB30" si="67">ROUND((V28+W28+X28)*33.8%,0)</f>
        <v>0</v>
      </c>
      <c r="AC28" s="69">
        <f t="shared" ref="AC28:AC30" si="68">ROUND(V28*1%,0)</f>
        <v>0</v>
      </c>
      <c r="AD28" s="460">
        <v>0</v>
      </c>
      <c r="AE28" s="460">
        <v>0</v>
      </c>
      <c r="AF28" s="460">
        <f t="shared" ref="AF28:AF30" si="69">SUM(AD28:AE28)</f>
        <v>0</v>
      </c>
      <c r="AG28" s="460">
        <f t="shared" ref="AG28:AG30" si="70">AA28+AB28+AC28+AF28</f>
        <v>0</v>
      </c>
      <c r="AH28" s="461">
        <v>0</v>
      </c>
      <c r="AI28" s="461">
        <v>0</v>
      </c>
      <c r="AJ28" s="461">
        <v>0</v>
      </c>
      <c r="AK28" s="461">
        <v>0</v>
      </c>
      <c r="AL28" s="674">
        <v>0</v>
      </c>
      <c r="AM28" s="461">
        <v>0</v>
      </c>
      <c r="AN28" s="461">
        <v>0</v>
      </c>
      <c r="AO28" s="461">
        <v>0</v>
      </c>
      <c r="AP28" s="461">
        <f>AH28+AJ28+AK28+AM28+AN28</f>
        <v>0</v>
      </c>
      <c r="AQ28" s="461">
        <f>AI28+AL28+AO28</f>
        <v>0</v>
      </c>
      <c r="AR28" s="463">
        <f t="shared" ref="AR28:AR30" si="71">SUM(AP28:AQ28)</f>
        <v>0</v>
      </c>
      <c r="AS28" s="469">
        <f>I28+AG28</f>
        <v>8008272</v>
      </c>
      <c r="AT28" s="460">
        <f>J28+V28</f>
        <v>5912368</v>
      </c>
      <c r="AU28" s="460">
        <f t="shared" ref="AU28:AU30" si="72">Z28</f>
        <v>0</v>
      </c>
      <c r="AV28" s="460">
        <f t="shared" ref="AV28:AW30" si="73">K28+AB28</f>
        <v>1998380</v>
      </c>
      <c r="AW28" s="460">
        <f t="shared" si="73"/>
        <v>59124</v>
      </c>
      <c r="AX28" s="460">
        <f>M28+AF28</f>
        <v>38400</v>
      </c>
      <c r="AY28" s="461">
        <f>N28+AR28</f>
        <v>12.03</v>
      </c>
      <c r="AZ28" s="461">
        <f t="shared" ref="AZ28:BA30" si="74">O28+AP28</f>
        <v>9</v>
      </c>
      <c r="BA28" s="463">
        <f t="shared" si="74"/>
        <v>3.03</v>
      </c>
    </row>
    <row r="29" spans="1:53" s="229" customFormat="1" x14ac:dyDescent="0.2">
      <c r="A29" s="216">
        <v>5</v>
      </c>
      <c r="B29" s="217">
        <v>4492</v>
      </c>
      <c r="C29" s="217">
        <v>650065221</v>
      </c>
      <c r="D29" s="217">
        <v>71173838</v>
      </c>
      <c r="E29" s="215" t="s">
        <v>157</v>
      </c>
      <c r="F29" s="217">
        <v>3111</v>
      </c>
      <c r="G29" s="168" t="s">
        <v>308</v>
      </c>
      <c r="H29" s="218" t="s">
        <v>278</v>
      </c>
      <c r="I29" s="462">
        <f t="shared" si="60"/>
        <v>0</v>
      </c>
      <c r="J29" s="457">
        <v>0</v>
      </c>
      <c r="K29" s="457">
        <f t="shared" si="61"/>
        <v>0</v>
      </c>
      <c r="L29" s="457">
        <f t="shared" si="62"/>
        <v>0</v>
      </c>
      <c r="M29" s="457">
        <v>0</v>
      </c>
      <c r="N29" s="458">
        <f t="shared" si="63"/>
        <v>0</v>
      </c>
      <c r="O29" s="459">
        <v>0</v>
      </c>
      <c r="P29" s="468">
        <v>0</v>
      </c>
      <c r="Q29" s="470">
        <f t="shared" si="64"/>
        <v>0</v>
      </c>
      <c r="R29" s="460">
        <v>866117</v>
      </c>
      <c r="S29" s="673">
        <v>0</v>
      </c>
      <c r="T29" s="460">
        <v>0</v>
      </c>
      <c r="U29" s="460">
        <v>0</v>
      </c>
      <c r="V29" s="460">
        <f>SUM(Q29:U29)</f>
        <v>866117</v>
      </c>
      <c r="W29" s="460">
        <v>0</v>
      </c>
      <c r="X29" s="460">
        <v>0</v>
      </c>
      <c r="Y29" s="460">
        <v>0</v>
      </c>
      <c r="Z29" s="460">
        <f t="shared" si="65"/>
        <v>0</v>
      </c>
      <c r="AA29" s="460">
        <f t="shared" si="66"/>
        <v>866117</v>
      </c>
      <c r="AB29" s="69">
        <f t="shared" si="67"/>
        <v>292748</v>
      </c>
      <c r="AC29" s="69">
        <f t="shared" si="68"/>
        <v>8661</v>
      </c>
      <c r="AD29" s="460">
        <v>0</v>
      </c>
      <c r="AE29" s="460">
        <v>0</v>
      </c>
      <c r="AF29" s="460">
        <f t="shared" si="69"/>
        <v>0</v>
      </c>
      <c r="AG29" s="460">
        <f t="shared" si="70"/>
        <v>1167526</v>
      </c>
      <c r="AH29" s="461">
        <v>0</v>
      </c>
      <c r="AI29" s="461">
        <v>0</v>
      </c>
      <c r="AJ29" s="461">
        <v>2.5</v>
      </c>
      <c r="AK29" s="461">
        <v>0</v>
      </c>
      <c r="AL29" s="674">
        <v>0</v>
      </c>
      <c r="AM29" s="461">
        <v>0</v>
      </c>
      <c r="AN29" s="461">
        <v>0</v>
      </c>
      <c r="AO29" s="461">
        <v>0</v>
      </c>
      <c r="AP29" s="461">
        <f>AH29+AJ29+AK29+AM29+AN29</f>
        <v>2.5</v>
      </c>
      <c r="AQ29" s="461">
        <f>AI29+AL29+AO29</f>
        <v>0</v>
      </c>
      <c r="AR29" s="463">
        <f t="shared" si="71"/>
        <v>2.5</v>
      </c>
      <c r="AS29" s="469">
        <f>I29+AG29</f>
        <v>1167526</v>
      </c>
      <c r="AT29" s="460">
        <f>J29+V29</f>
        <v>866117</v>
      </c>
      <c r="AU29" s="460">
        <f t="shared" si="72"/>
        <v>0</v>
      </c>
      <c r="AV29" s="460">
        <f t="shared" si="73"/>
        <v>292748</v>
      </c>
      <c r="AW29" s="460">
        <f t="shared" si="73"/>
        <v>8661</v>
      </c>
      <c r="AX29" s="460">
        <f>M29+AF29</f>
        <v>0</v>
      </c>
      <c r="AY29" s="461">
        <f>N29+AR29</f>
        <v>2.5</v>
      </c>
      <c r="AZ29" s="461">
        <f t="shared" si="74"/>
        <v>2.5</v>
      </c>
      <c r="BA29" s="463">
        <f t="shared" si="74"/>
        <v>0</v>
      </c>
    </row>
    <row r="30" spans="1:53" s="229" customFormat="1" x14ac:dyDescent="0.2">
      <c r="A30" s="216">
        <v>5</v>
      </c>
      <c r="B30" s="217">
        <v>4492</v>
      </c>
      <c r="C30" s="217">
        <v>650065221</v>
      </c>
      <c r="D30" s="217">
        <v>71173838</v>
      </c>
      <c r="E30" s="215" t="s">
        <v>157</v>
      </c>
      <c r="F30" s="217">
        <v>3141</v>
      </c>
      <c r="G30" s="168" t="s">
        <v>311</v>
      </c>
      <c r="H30" s="218" t="s">
        <v>278</v>
      </c>
      <c r="I30" s="462">
        <f t="shared" si="60"/>
        <v>938397</v>
      </c>
      <c r="J30" s="457">
        <v>692823</v>
      </c>
      <c r="K30" s="457">
        <f t="shared" si="61"/>
        <v>234174</v>
      </c>
      <c r="L30" s="457">
        <f t="shared" si="62"/>
        <v>6928</v>
      </c>
      <c r="M30" s="457">
        <v>4472</v>
      </c>
      <c r="N30" s="458">
        <f t="shared" si="63"/>
        <v>2.23</v>
      </c>
      <c r="O30" s="459">
        <v>0</v>
      </c>
      <c r="P30" s="468">
        <v>2.23</v>
      </c>
      <c r="Q30" s="470">
        <f t="shared" si="64"/>
        <v>0</v>
      </c>
      <c r="R30" s="460">
        <v>0</v>
      </c>
      <c r="S30" s="673">
        <v>0</v>
      </c>
      <c r="T30" s="460">
        <v>0</v>
      </c>
      <c r="U30" s="460">
        <v>0</v>
      </c>
      <c r="V30" s="460">
        <f>SUM(Q30:U30)</f>
        <v>0</v>
      </c>
      <c r="W30" s="460">
        <v>0</v>
      </c>
      <c r="X30" s="460">
        <v>0</v>
      </c>
      <c r="Y30" s="460">
        <v>0</v>
      </c>
      <c r="Z30" s="460">
        <f t="shared" si="65"/>
        <v>0</v>
      </c>
      <c r="AA30" s="460">
        <f t="shared" si="66"/>
        <v>0</v>
      </c>
      <c r="AB30" s="69">
        <f t="shared" si="67"/>
        <v>0</v>
      </c>
      <c r="AC30" s="69">
        <f t="shared" si="68"/>
        <v>0</v>
      </c>
      <c r="AD30" s="460">
        <v>0</v>
      </c>
      <c r="AE30" s="460">
        <v>0</v>
      </c>
      <c r="AF30" s="460">
        <f t="shared" si="69"/>
        <v>0</v>
      </c>
      <c r="AG30" s="460">
        <f t="shared" si="70"/>
        <v>0</v>
      </c>
      <c r="AH30" s="461">
        <v>0</v>
      </c>
      <c r="AI30" s="461">
        <v>0</v>
      </c>
      <c r="AJ30" s="461">
        <v>0</v>
      </c>
      <c r="AK30" s="461">
        <v>0</v>
      </c>
      <c r="AL30" s="674">
        <v>0</v>
      </c>
      <c r="AM30" s="461">
        <v>0</v>
      </c>
      <c r="AN30" s="461">
        <v>0</v>
      </c>
      <c r="AO30" s="461">
        <v>0</v>
      </c>
      <c r="AP30" s="461">
        <f>AH30+AJ30+AK30+AM30+AN30</f>
        <v>0</v>
      </c>
      <c r="AQ30" s="461">
        <f>AI30+AL30+AO30</f>
        <v>0</v>
      </c>
      <c r="AR30" s="463">
        <f t="shared" si="71"/>
        <v>0</v>
      </c>
      <c r="AS30" s="469">
        <f>I30+AG30</f>
        <v>938397</v>
      </c>
      <c r="AT30" s="460">
        <f>J30+V30</f>
        <v>692823</v>
      </c>
      <c r="AU30" s="460">
        <f t="shared" si="72"/>
        <v>0</v>
      </c>
      <c r="AV30" s="460">
        <f t="shared" si="73"/>
        <v>234174</v>
      </c>
      <c r="AW30" s="460">
        <f t="shared" si="73"/>
        <v>6928</v>
      </c>
      <c r="AX30" s="460">
        <f>M30+AF30</f>
        <v>4472</v>
      </c>
      <c r="AY30" s="461">
        <f>N30+AR30</f>
        <v>2.23</v>
      </c>
      <c r="AZ30" s="461">
        <f t="shared" si="74"/>
        <v>0</v>
      </c>
      <c r="BA30" s="463">
        <f t="shared" si="74"/>
        <v>2.23</v>
      </c>
    </row>
    <row r="31" spans="1:53" s="229" customFormat="1" x14ac:dyDescent="0.2">
      <c r="A31" s="158">
        <v>5</v>
      </c>
      <c r="B31" s="18">
        <v>4492</v>
      </c>
      <c r="C31" s="18">
        <v>650065221</v>
      </c>
      <c r="D31" s="18">
        <v>71173838</v>
      </c>
      <c r="E31" s="167" t="s">
        <v>158</v>
      </c>
      <c r="F31" s="18"/>
      <c r="G31" s="157"/>
      <c r="H31" s="191"/>
      <c r="I31" s="505">
        <f t="shared" ref="I31:P31" si="75">SUM(I28:I30)</f>
        <v>8946669</v>
      </c>
      <c r="J31" s="502">
        <f t="shared" si="75"/>
        <v>6605191</v>
      </c>
      <c r="K31" s="502">
        <f t="shared" si="75"/>
        <v>2232554</v>
      </c>
      <c r="L31" s="502">
        <f t="shared" si="75"/>
        <v>66052</v>
      </c>
      <c r="M31" s="502">
        <f t="shared" si="75"/>
        <v>42872</v>
      </c>
      <c r="N31" s="503">
        <f t="shared" si="75"/>
        <v>14.26</v>
      </c>
      <c r="O31" s="503">
        <f t="shared" si="75"/>
        <v>9</v>
      </c>
      <c r="P31" s="507">
        <f t="shared" si="75"/>
        <v>5.26</v>
      </c>
      <c r="Q31" s="505">
        <f t="shared" ref="Q31:BA31" si="76">SUM(Q28:Q30)</f>
        <v>0</v>
      </c>
      <c r="R31" s="502">
        <f t="shared" si="76"/>
        <v>866117</v>
      </c>
      <c r="S31" s="502">
        <f t="shared" si="76"/>
        <v>0</v>
      </c>
      <c r="T31" s="502">
        <f t="shared" si="76"/>
        <v>0</v>
      </c>
      <c r="U31" s="502">
        <f t="shared" si="76"/>
        <v>0</v>
      </c>
      <c r="V31" s="502">
        <f t="shared" si="76"/>
        <v>866117</v>
      </c>
      <c r="W31" s="502">
        <f t="shared" si="76"/>
        <v>0</v>
      </c>
      <c r="X31" s="502">
        <f t="shared" si="76"/>
        <v>0</v>
      </c>
      <c r="Y31" s="502">
        <f t="shared" si="76"/>
        <v>0</v>
      </c>
      <c r="Z31" s="502">
        <f t="shared" si="76"/>
        <v>0</v>
      </c>
      <c r="AA31" s="502">
        <f t="shared" si="76"/>
        <v>866117</v>
      </c>
      <c r="AB31" s="502">
        <f t="shared" si="76"/>
        <v>292748</v>
      </c>
      <c r="AC31" s="502">
        <f t="shared" si="76"/>
        <v>8661</v>
      </c>
      <c r="AD31" s="502">
        <f t="shared" si="76"/>
        <v>0</v>
      </c>
      <c r="AE31" s="502">
        <f t="shared" si="76"/>
        <v>0</v>
      </c>
      <c r="AF31" s="502">
        <f t="shared" si="76"/>
        <v>0</v>
      </c>
      <c r="AG31" s="502">
        <f t="shared" si="76"/>
        <v>1167526</v>
      </c>
      <c r="AH31" s="503">
        <f t="shared" si="76"/>
        <v>0</v>
      </c>
      <c r="AI31" s="503">
        <f t="shared" si="76"/>
        <v>0</v>
      </c>
      <c r="AJ31" s="503">
        <f t="shared" si="76"/>
        <v>2.5</v>
      </c>
      <c r="AK31" s="503">
        <f t="shared" si="76"/>
        <v>0</v>
      </c>
      <c r="AL31" s="503">
        <f t="shared" si="76"/>
        <v>0</v>
      </c>
      <c r="AM31" s="503">
        <f t="shared" si="76"/>
        <v>0</v>
      </c>
      <c r="AN31" s="503">
        <f t="shared" si="76"/>
        <v>0</v>
      </c>
      <c r="AO31" s="503">
        <f t="shared" si="76"/>
        <v>0</v>
      </c>
      <c r="AP31" s="503">
        <f t="shared" si="76"/>
        <v>2.5</v>
      </c>
      <c r="AQ31" s="503">
        <f t="shared" si="76"/>
        <v>0</v>
      </c>
      <c r="AR31" s="40">
        <f t="shared" si="76"/>
        <v>2.5</v>
      </c>
      <c r="AS31" s="509">
        <f t="shared" si="76"/>
        <v>10114195</v>
      </c>
      <c r="AT31" s="502">
        <f t="shared" si="76"/>
        <v>7471308</v>
      </c>
      <c r="AU31" s="502">
        <f t="shared" si="76"/>
        <v>0</v>
      </c>
      <c r="AV31" s="502">
        <f t="shared" si="76"/>
        <v>2525302</v>
      </c>
      <c r="AW31" s="502">
        <f t="shared" si="76"/>
        <v>74713</v>
      </c>
      <c r="AX31" s="502">
        <f t="shared" si="76"/>
        <v>42872</v>
      </c>
      <c r="AY31" s="503">
        <f t="shared" si="76"/>
        <v>16.759999999999998</v>
      </c>
      <c r="AZ31" s="503">
        <f t="shared" si="76"/>
        <v>11.5</v>
      </c>
      <c r="BA31" s="40">
        <f t="shared" si="76"/>
        <v>5.26</v>
      </c>
    </row>
    <row r="32" spans="1:53" s="229" customFormat="1" x14ac:dyDescent="0.2">
      <c r="A32" s="216">
        <v>6</v>
      </c>
      <c r="B32" s="217">
        <v>4408</v>
      </c>
      <c r="C32" s="217">
        <v>600074528</v>
      </c>
      <c r="D32" s="217">
        <v>70982163</v>
      </c>
      <c r="E32" s="215" t="s">
        <v>159</v>
      </c>
      <c r="F32" s="217">
        <v>3111</v>
      </c>
      <c r="G32" s="168" t="s">
        <v>307</v>
      </c>
      <c r="H32" s="218" t="s">
        <v>277</v>
      </c>
      <c r="I32" s="462">
        <f t="shared" ref="I32:I34" si="77">SUM(J32:M32)</f>
        <v>10909126</v>
      </c>
      <c r="J32" s="457">
        <v>8053654</v>
      </c>
      <c r="K32" s="457">
        <f t="shared" ref="K32:K34" si="78">ROUND(J32*33.8%,0)</f>
        <v>2722135</v>
      </c>
      <c r="L32" s="457">
        <f t="shared" ref="L32:L34" si="79">ROUND(J32*1%,0)</f>
        <v>80537</v>
      </c>
      <c r="M32" s="457">
        <v>52800</v>
      </c>
      <c r="N32" s="458">
        <f t="shared" ref="N32:N34" si="80">O32+P32</f>
        <v>16.27</v>
      </c>
      <c r="O32" s="459">
        <v>12.74</v>
      </c>
      <c r="P32" s="468">
        <v>3.53</v>
      </c>
      <c r="Q32" s="470">
        <f t="shared" ref="Q32:Q34" si="81">W32*-1</f>
        <v>-16250</v>
      </c>
      <c r="R32" s="460">
        <v>0</v>
      </c>
      <c r="S32" s="673">
        <v>0</v>
      </c>
      <c r="T32" s="460">
        <v>0</v>
      </c>
      <c r="U32" s="460">
        <v>0</v>
      </c>
      <c r="V32" s="460">
        <f>SUM(Q32:U32)</f>
        <v>-16250</v>
      </c>
      <c r="W32" s="460">
        <v>16250</v>
      </c>
      <c r="X32" s="460">
        <v>0</v>
      </c>
      <c r="Y32" s="460">
        <v>0</v>
      </c>
      <c r="Z32" s="460">
        <f t="shared" ref="Z32:Z34" si="82">SUM(W32:Y32)</f>
        <v>16250</v>
      </c>
      <c r="AA32" s="460">
        <f t="shared" ref="AA32:AA34" si="83">V32+Z32</f>
        <v>0</v>
      </c>
      <c r="AB32" s="69">
        <f t="shared" ref="AB32:AB34" si="84">ROUND((V32+W32+X32)*33.8%,0)</f>
        <v>0</v>
      </c>
      <c r="AC32" s="69">
        <f t="shared" ref="AC32:AC34" si="85">ROUND(V32*1%,0)</f>
        <v>-163</v>
      </c>
      <c r="AD32" s="460">
        <v>0</v>
      </c>
      <c r="AE32" s="460">
        <v>0</v>
      </c>
      <c r="AF32" s="460">
        <f t="shared" ref="AF32:AF34" si="86">SUM(AD32:AE32)</f>
        <v>0</v>
      </c>
      <c r="AG32" s="460">
        <f t="shared" ref="AG32:AG34" si="87">AA32+AB32+AC32+AF32</f>
        <v>-163</v>
      </c>
      <c r="AH32" s="461">
        <v>0</v>
      </c>
      <c r="AI32" s="461">
        <v>0</v>
      </c>
      <c r="AJ32" s="461">
        <v>0</v>
      </c>
      <c r="AK32" s="461">
        <v>0</v>
      </c>
      <c r="AL32" s="674">
        <v>0</v>
      </c>
      <c r="AM32" s="461">
        <v>0</v>
      </c>
      <c r="AN32" s="461">
        <v>0</v>
      </c>
      <c r="AO32" s="461">
        <v>0</v>
      </c>
      <c r="AP32" s="461">
        <f>AH32+AJ32+AK32+AM32+AN32</f>
        <v>0</v>
      </c>
      <c r="AQ32" s="461">
        <f>AI32+AL32+AO32</f>
        <v>0</v>
      </c>
      <c r="AR32" s="463">
        <f t="shared" ref="AR32:AR34" si="88">SUM(AP32:AQ32)</f>
        <v>0</v>
      </c>
      <c r="AS32" s="469">
        <f>I32+AG32</f>
        <v>10908963</v>
      </c>
      <c r="AT32" s="460">
        <f>J32+V32</f>
        <v>8037404</v>
      </c>
      <c r="AU32" s="460">
        <f t="shared" ref="AU32:AU34" si="89">Z32</f>
        <v>16250</v>
      </c>
      <c r="AV32" s="460">
        <f t="shared" ref="AV32:AW34" si="90">K32+AB32</f>
        <v>2722135</v>
      </c>
      <c r="AW32" s="460">
        <f t="shared" si="90"/>
        <v>80374</v>
      </c>
      <c r="AX32" s="460">
        <f>M32+AF32</f>
        <v>52800</v>
      </c>
      <c r="AY32" s="461">
        <f>N32+AR32</f>
        <v>16.27</v>
      </c>
      <c r="AZ32" s="461">
        <f t="shared" ref="AZ32:BA34" si="91">O32+AP32</f>
        <v>12.74</v>
      </c>
      <c r="BA32" s="463">
        <f t="shared" si="91"/>
        <v>3.53</v>
      </c>
    </row>
    <row r="33" spans="1:53" s="229" customFormat="1" x14ac:dyDescent="0.2">
      <c r="A33" s="216">
        <v>6</v>
      </c>
      <c r="B33" s="217">
        <v>4408</v>
      </c>
      <c r="C33" s="217">
        <v>600074528</v>
      </c>
      <c r="D33" s="217">
        <v>70982163</v>
      </c>
      <c r="E33" s="215" t="s">
        <v>159</v>
      </c>
      <c r="F33" s="217">
        <v>3111</v>
      </c>
      <c r="G33" s="168" t="s">
        <v>308</v>
      </c>
      <c r="H33" s="218" t="s">
        <v>278</v>
      </c>
      <c r="I33" s="462">
        <f t="shared" si="77"/>
        <v>0</v>
      </c>
      <c r="J33" s="457">
        <v>0</v>
      </c>
      <c r="K33" s="457">
        <f t="shared" si="78"/>
        <v>0</v>
      </c>
      <c r="L33" s="457">
        <f t="shared" si="79"/>
        <v>0</v>
      </c>
      <c r="M33" s="457">
        <v>0</v>
      </c>
      <c r="N33" s="458">
        <f t="shared" si="80"/>
        <v>0</v>
      </c>
      <c r="O33" s="459">
        <v>0</v>
      </c>
      <c r="P33" s="468">
        <v>0</v>
      </c>
      <c r="Q33" s="470">
        <f t="shared" si="81"/>
        <v>0</v>
      </c>
      <c r="R33" s="460">
        <v>173223</v>
      </c>
      <c r="S33" s="673">
        <v>0</v>
      </c>
      <c r="T33" s="460">
        <v>0</v>
      </c>
      <c r="U33" s="460">
        <v>0</v>
      </c>
      <c r="V33" s="460">
        <f>SUM(Q33:U33)</f>
        <v>173223</v>
      </c>
      <c r="W33" s="460">
        <v>0</v>
      </c>
      <c r="X33" s="460">
        <v>0</v>
      </c>
      <c r="Y33" s="460">
        <v>0</v>
      </c>
      <c r="Z33" s="460">
        <f t="shared" si="82"/>
        <v>0</v>
      </c>
      <c r="AA33" s="460">
        <f t="shared" si="83"/>
        <v>173223</v>
      </c>
      <c r="AB33" s="69">
        <f t="shared" si="84"/>
        <v>58549</v>
      </c>
      <c r="AC33" s="69">
        <f t="shared" si="85"/>
        <v>1732</v>
      </c>
      <c r="AD33" s="460">
        <v>0</v>
      </c>
      <c r="AE33" s="460">
        <v>0</v>
      </c>
      <c r="AF33" s="460">
        <f t="shared" si="86"/>
        <v>0</v>
      </c>
      <c r="AG33" s="460">
        <f t="shared" si="87"/>
        <v>233504</v>
      </c>
      <c r="AH33" s="461">
        <v>0</v>
      </c>
      <c r="AI33" s="461">
        <v>0</v>
      </c>
      <c r="AJ33" s="461">
        <v>0.5</v>
      </c>
      <c r="AK33" s="461">
        <v>0</v>
      </c>
      <c r="AL33" s="674">
        <v>0</v>
      </c>
      <c r="AM33" s="461">
        <v>0</v>
      </c>
      <c r="AN33" s="461">
        <v>0</v>
      </c>
      <c r="AO33" s="461">
        <v>0</v>
      </c>
      <c r="AP33" s="461">
        <f>AH33+AJ33+AK33+AM33+AN33</f>
        <v>0.5</v>
      </c>
      <c r="AQ33" s="461">
        <f>AI33+AL33+AO33</f>
        <v>0</v>
      </c>
      <c r="AR33" s="463">
        <f t="shared" si="88"/>
        <v>0.5</v>
      </c>
      <c r="AS33" s="469">
        <f>I33+AG33</f>
        <v>233504</v>
      </c>
      <c r="AT33" s="460">
        <f>J33+V33</f>
        <v>173223</v>
      </c>
      <c r="AU33" s="460">
        <f t="shared" si="89"/>
        <v>0</v>
      </c>
      <c r="AV33" s="460">
        <f t="shared" si="90"/>
        <v>58549</v>
      </c>
      <c r="AW33" s="460">
        <f t="shared" si="90"/>
        <v>1732</v>
      </c>
      <c r="AX33" s="460">
        <f>M33+AF33</f>
        <v>0</v>
      </c>
      <c r="AY33" s="461">
        <f>N33+AR33</f>
        <v>0.5</v>
      </c>
      <c r="AZ33" s="461">
        <f t="shared" si="91"/>
        <v>0.5</v>
      </c>
      <c r="BA33" s="463">
        <f t="shared" si="91"/>
        <v>0</v>
      </c>
    </row>
    <row r="34" spans="1:53" s="229" customFormat="1" x14ac:dyDescent="0.2">
      <c r="A34" s="216">
        <v>6</v>
      </c>
      <c r="B34" s="217">
        <v>4408</v>
      </c>
      <c r="C34" s="217">
        <v>600074528</v>
      </c>
      <c r="D34" s="217">
        <v>70982163</v>
      </c>
      <c r="E34" s="215" t="s">
        <v>159</v>
      </c>
      <c r="F34" s="217">
        <v>3141</v>
      </c>
      <c r="G34" s="168" t="s">
        <v>311</v>
      </c>
      <c r="H34" s="218" t="s">
        <v>278</v>
      </c>
      <c r="I34" s="462">
        <f t="shared" si="77"/>
        <v>1295106</v>
      </c>
      <c r="J34" s="457">
        <v>955669</v>
      </c>
      <c r="K34" s="457">
        <f t="shared" si="78"/>
        <v>323016</v>
      </c>
      <c r="L34" s="457">
        <f t="shared" si="79"/>
        <v>9557</v>
      </c>
      <c r="M34" s="457">
        <v>6864</v>
      </c>
      <c r="N34" s="458">
        <f t="shared" si="80"/>
        <v>3.07</v>
      </c>
      <c r="O34" s="459">
        <v>0</v>
      </c>
      <c r="P34" s="468">
        <v>3.07</v>
      </c>
      <c r="Q34" s="470">
        <f t="shared" si="81"/>
        <v>-13000</v>
      </c>
      <c r="R34" s="460">
        <v>0</v>
      </c>
      <c r="S34" s="673">
        <v>0</v>
      </c>
      <c r="T34" s="460">
        <v>0</v>
      </c>
      <c r="U34" s="460">
        <v>0</v>
      </c>
      <c r="V34" s="460">
        <f>SUM(Q34:U34)</f>
        <v>-13000</v>
      </c>
      <c r="W34" s="460">
        <v>13000</v>
      </c>
      <c r="X34" s="460">
        <v>0</v>
      </c>
      <c r="Y34" s="460">
        <v>0</v>
      </c>
      <c r="Z34" s="460">
        <f t="shared" si="82"/>
        <v>13000</v>
      </c>
      <c r="AA34" s="460">
        <f t="shared" si="83"/>
        <v>0</v>
      </c>
      <c r="AB34" s="69">
        <f t="shared" si="84"/>
        <v>0</v>
      </c>
      <c r="AC34" s="69">
        <f t="shared" si="85"/>
        <v>-130</v>
      </c>
      <c r="AD34" s="460">
        <v>0</v>
      </c>
      <c r="AE34" s="460">
        <v>0</v>
      </c>
      <c r="AF34" s="460">
        <f t="shared" si="86"/>
        <v>0</v>
      </c>
      <c r="AG34" s="460">
        <f t="shared" si="87"/>
        <v>-130</v>
      </c>
      <c r="AH34" s="461">
        <v>0</v>
      </c>
      <c r="AI34" s="461">
        <v>0</v>
      </c>
      <c r="AJ34" s="461">
        <v>0</v>
      </c>
      <c r="AK34" s="461">
        <v>0</v>
      </c>
      <c r="AL34" s="674">
        <v>0</v>
      </c>
      <c r="AM34" s="461">
        <v>0</v>
      </c>
      <c r="AN34" s="461">
        <v>0</v>
      </c>
      <c r="AO34" s="461">
        <v>0</v>
      </c>
      <c r="AP34" s="461">
        <f>AH34+AJ34+AK34+AM34+AN34</f>
        <v>0</v>
      </c>
      <c r="AQ34" s="461">
        <f>AI34+AL34+AO34</f>
        <v>0</v>
      </c>
      <c r="AR34" s="463">
        <f t="shared" si="88"/>
        <v>0</v>
      </c>
      <c r="AS34" s="469">
        <f>I34+AG34</f>
        <v>1294976</v>
      </c>
      <c r="AT34" s="460">
        <f>J34+V34</f>
        <v>942669</v>
      </c>
      <c r="AU34" s="460">
        <f t="shared" si="89"/>
        <v>13000</v>
      </c>
      <c r="AV34" s="460">
        <f t="shared" si="90"/>
        <v>323016</v>
      </c>
      <c r="AW34" s="460">
        <f t="shared" si="90"/>
        <v>9427</v>
      </c>
      <c r="AX34" s="460">
        <f>M34+AF34</f>
        <v>6864</v>
      </c>
      <c r="AY34" s="461">
        <f>N34+AR34</f>
        <v>3.07</v>
      </c>
      <c r="AZ34" s="461">
        <f t="shared" si="91"/>
        <v>0</v>
      </c>
      <c r="BA34" s="463">
        <f t="shared" si="91"/>
        <v>3.07</v>
      </c>
    </row>
    <row r="35" spans="1:53" s="229" customFormat="1" x14ac:dyDescent="0.2">
      <c r="A35" s="158">
        <v>6</v>
      </c>
      <c r="B35" s="18">
        <v>4408</v>
      </c>
      <c r="C35" s="18">
        <v>600074528</v>
      </c>
      <c r="D35" s="18">
        <v>70982163</v>
      </c>
      <c r="E35" s="167" t="s">
        <v>160</v>
      </c>
      <c r="F35" s="18"/>
      <c r="G35" s="157"/>
      <c r="H35" s="191"/>
      <c r="I35" s="505">
        <f t="shared" ref="I35:P35" si="92">SUM(I32:I34)</f>
        <v>12204232</v>
      </c>
      <c r="J35" s="502">
        <f t="shared" si="92"/>
        <v>9009323</v>
      </c>
      <c r="K35" s="502">
        <f t="shared" si="92"/>
        <v>3045151</v>
      </c>
      <c r="L35" s="502">
        <f t="shared" si="92"/>
        <v>90094</v>
      </c>
      <c r="M35" s="502">
        <f t="shared" si="92"/>
        <v>59664</v>
      </c>
      <c r="N35" s="503">
        <f t="shared" si="92"/>
        <v>19.34</v>
      </c>
      <c r="O35" s="503">
        <f t="shared" si="92"/>
        <v>12.74</v>
      </c>
      <c r="P35" s="507">
        <f t="shared" si="92"/>
        <v>6.6</v>
      </c>
      <c r="Q35" s="505">
        <f t="shared" ref="Q35:BA35" si="93">SUM(Q32:Q34)</f>
        <v>-29250</v>
      </c>
      <c r="R35" s="502">
        <f t="shared" si="93"/>
        <v>173223</v>
      </c>
      <c r="S35" s="502">
        <f t="shared" si="93"/>
        <v>0</v>
      </c>
      <c r="T35" s="502">
        <f t="shared" si="93"/>
        <v>0</v>
      </c>
      <c r="U35" s="502">
        <f t="shared" si="93"/>
        <v>0</v>
      </c>
      <c r="V35" s="502">
        <f t="shared" si="93"/>
        <v>143973</v>
      </c>
      <c r="W35" s="502">
        <f t="shared" si="93"/>
        <v>29250</v>
      </c>
      <c r="X35" s="502">
        <f t="shared" si="93"/>
        <v>0</v>
      </c>
      <c r="Y35" s="502">
        <f t="shared" si="93"/>
        <v>0</v>
      </c>
      <c r="Z35" s="502">
        <f t="shared" si="93"/>
        <v>29250</v>
      </c>
      <c r="AA35" s="502">
        <f t="shared" si="93"/>
        <v>173223</v>
      </c>
      <c r="AB35" s="502">
        <f t="shared" si="93"/>
        <v>58549</v>
      </c>
      <c r="AC35" s="502">
        <f t="shared" si="93"/>
        <v>1439</v>
      </c>
      <c r="AD35" s="502">
        <f t="shared" si="93"/>
        <v>0</v>
      </c>
      <c r="AE35" s="502">
        <f t="shared" si="93"/>
        <v>0</v>
      </c>
      <c r="AF35" s="502">
        <f t="shared" si="93"/>
        <v>0</v>
      </c>
      <c r="AG35" s="502">
        <f t="shared" si="93"/>
        <v>233211</v>
      </c>
      <c r="AH35" s="503">
        <f t="shared" si="93"/>
        <v>0</v>
      </c>
      <c r="AI35" s="503">
        <f t="shared" si="93"/>
        <v>0</v>
      </c>
      <c r="AJ35" s="503">
        <f t="shared" si="93"/>
        <v>0.5</v>
      </c>
      <c r="AK35" s="503">
        <f t="shared" si="93"/>
        <v>0</v>
      </c>
      <c r="AL35" s="503">
        <f t="shared" si="93"/>
        <v>0</v>
      </c>
      <c r="AM35" s="503">
        <f t="shared" si="93"/>
        <v>0</v>
      </c>
      <c r="AN35" s="503">
        <f t="shared" si="93"/>
        <v>0</v>
      </c>
      <c r="AO35" s="503">
        <f t="shared" si="93"/>
        <v>0</v>
      </c>
      <c r="AP35" s="503">
        <f t="shared" si="93"/>
        <v>0.5</v>
      </c>
      <c r="AQ35" s="503">
        <f t="shared" si="93"/>
        <v>0</v>
      </c>
      <c r="AR35" s="40">
        <f t="shared" si="93"/>
        <v>0.5</v>
      </c>
      <c r="AS35" s="509">
        <f t="shared" si="93"/>
        <v>12437443</v>
      </c>
      <c r="AT35" s="502">
        <f t="shared" si="93"/>
        <v>9153296</v>
      </c>
      <c r="AU35" s="502">
        <f t="shared" si="93"/>
        <v>29250</v>
      </c>
      <c r="AV35" s="502">
        <f t="shared" si="93"/>
        <v>3103700</v>
      </c>
      <c r="AW35" s="502">
        <f t="shared" si="93"/>
        <v>91533</v>
      </c>
      <c r="AX35" s="502">
        <f t="shared" si="93"/>
        <v>59664</v>
      </c>
      <c r="AY35" s="503">
        <f t="shared" si="93"/>
        <v>19.84</v>
      </c>
      <c r="AZ35" s="503">
        <f t="shared" si="93"/>
        <v>13.24</v>
      </c>
      <c r="BA35" s="40">
        <f t="shared" si="93"/>
        <v>6.6</v>
      </c>
    </row>
    <row r="36" spans="1:53" s="229" customFormat="1" x14ac:dyDescent="0.2">
      <c r="A36" s="216">
        <v>7</v>
      </c>
      <c r="B36" s="217">
        <v>4423</v>
      </c>
      <c r="C36" s="217">
        <v>600074439</v>
      </c>
      <c r="D36" s="217">
        <v>70982155</v>
      </c>
      <c r="E36" s="215" t="s">
        <v>161</v>
      </c>
      <c r="F36" s="217">
        <v>3111</v>
      </c>
      <c r="G36" s="168" t="s">
        <v>307</v>
      </c>
      <c r="H36" s="218" t="s">
        <v>277</v>
      </c>
      <c r="I36" s="462">
        <f t="shared" ref="I36:I38" si="94">SUM(J36:M36)</f>
        <v>7142802</v>
      </c>
      <c r="J36" s="457">
        <v>5272108</v>
      </c>
      <c r="K36" s="457">
        <f t="shared" ref="K36:K38" si="95">ROUND(J36*33.8%,0)</f>
        <v>1781973</v>
      </c>
      <c r="L36" s="457">
        <f t="shared" ref="L36:L38" si="96">ROUND(J36*1%,0)</f>
        <v>52721</v>
      </c>
      <c r="M36" s="457">
        <v>36000</v>
      </c>
      <c r="N36" s="458">
        <f t="shared" ref="N36:N38" si="97">O36+P36</f>
        <v>10.8</v>
      </c>
      <c r="O36" s="459">
        <v>8</v>
      </c>
      <c r="P36" s="468">
        <v>2.8</v>
      </c>
      <c r="Q36" s="470">
        <f t="shared" ref="Q36:Q38" si="98">W36*-1</f>
        <v>-48100</v>
      </c>
      <c r="R36" s="460">
        <v>0</v>
      </c>
      <c r="S36" s="673">
        <v>0</v>
      </c>
      <c r="T36" s="460">
        <v>0</v>
      </c>
      <c r="U36" s="460">
        <v>0</v>
      </c>
      <c r="V36" s="460">
        <f>SUM(Q36:U36)</f>
        <v>-48100</v>
      </c>
      <c r="W36" s="460">
        <v>48100</v>
      </c>
      <c r="X36" s="460">
        <v>0</v>
      </c>
      <c r="Y36" s="460">
        <v>0</v>
      </c>
      <c r="Z36" s="460">
        <f t="shared" ref="Z36:Z38" si="99">SUM(W36:Y36)</f>
        <v>48100</v>
      </c>
      <c r="AA36" s="460">
        <f t="shared" ref="AA36:AA38" si="100">V36+Z36</f>
        <v>0</v>
      </c>
      <c r="AB36" s="69">
        <f t="shared" ref="AB36:AB38" si="101">ROUND((V36+W36+X36)*33.8%,0)</f>
        <v>0</v>
      </c>
      <c r="AC36" s="69">
        <f t="shared" ref="AC36:AC38" si="102">ROUND(V36*1%,0)</f>
        <v>-481</v>
      </c>
      <c r="AD36" s="460">
        <v>0</v>
      </c>
      <c r="AE36" s="460">
        <v>0</v>
      </c>
      <c r="AF36" s="460">
        <f t="shared" ref="AF36:AF38" si="103">SUM(AD36:AE36)</f>
        <v>0</v>
      </c>
      <c r="AG36" s="460">
        <f t="shared" ref="AG36:AG38" si="104">AA36+AB36+AC36+AF36</f>
        <v>-481</v>
      </c>
      <c r="AH36" s="461">
        <v>0</v>
      </c>
      <c r="AI36" s="461">
        <v>-0.21</v>
      </c>
      <c r="AJ36" s="461">
        <v>0</v>
      </c>
      <c r="AK36" s="461">
        <v>0</v>
      </c>
      <c r="AL36" s="674">
        <v>0</v>
      </c>
      <c r="AM36" s="461">
        <v>0</v>
      </c>
      <c r="AN36" s="461">
        <v>0</v>
      </c>
      <c r="AO36" s="461">
        <v>0</v>
      </c>
      <c r="AP36" s="461">
        <f>AH36+AJ36+AK36+AM36+AN36</f>
        <v>0</v>
      </c>
      <c r="AQ36" s="461">
        <f>AI36+AL36+AO36</f>
        <v>-0.21</v>
      </c>
      <c r="AR36" s="463">
        <f t="shared" ref="AR36:AR38" si="105">SUM(AP36:AQ36)</f>
        <v>-0.21</v>
      </c>
      <c r="AS36" s="469">
        <f>I36+AG36</f>
        <v>7142321</v>
      </c>
      <c r="AT36" s="460">
        <f>J36+V36</f>
        <v>5224008</v>
      </c>
      <c r="AU36" s="460">
        <f t="shared" ref="AU36:AU38" si="106">Z36</f>
        <v>48100</v>
      </c>
      <c r="AV36" s="460">
        <f t="shared" ref="AV36:AW38" si="107">K36+AB36</f>
        <v>1781973</v>
      </c>
      <c r="AW36" s="460">
        <f t="shared" si="107"/>
        <v>52240</v>
      </c>
      <c r="AX36" s="460">
        <f>M36+AF36</f>
        <v>36000</v>
      </c>
      <c r="AY36" s="461">
        <f>N36+AR36</f>
        <v>10.59</v>
      </c>
      <c r="AZ36" s="461">
        <f t="shared" ref="AZ36:BA38" si="108">O36+AP36</f>
        <v>8</v>
      </c>
      <c r="BA36" s="463">
        <f t="shared" si="108"/>
        <v>2.59</v>
      </c>
    </row>
    <row r="37" spans="1:53" s="229" customFormat="1" x14ac:dyDescent="0.2">
      <c r="A37" s="216">
        <v>7</v>
      </c>
      <c r="B37" s="217">
        <v>4423</v>
      </c>
      <c r="C37" s="217">
        <v>600074439</v>
      </c>
      <c r="D37" s="217">
        <v>70982155</v>
      </c>
      <c r="E37" s="215" t="s">
        <v>161</v>
      </c>
      <c r="F37" s="217">
        <v>3111</v>
      </c>
      <c r="G37" s="168" t="s">
        <v>308</v>
      </c>
      <c r="H37" s="218" t="s">
        <v>278</v>
      </c>
      <c r="I37" s="462">
        <f t="shared" si="94"/>
        <v>0</v>
      </c>
      <c r="J37" s="457">
        <v>0</v>
      </c>
      <c r="K37" s="457">
        <f t="shared" si="95"/>
        <v>0</v>
      </c>
      <c r="L37" s="457">
        <f t="shared" si="96"/>
        <v>0</v>
      </c>
      <c r="M37" s="457">
        <v>0</v>
      </c>
      <c r="N37" s="458">
        <f t="shared" si="97"/>
        <v>0</v>
      </c>
      <c r="O37" s="459">
        <v>0</v>
      </c>
      <c r="P37" s="468">
        <v>0</v>
      </c>
      <c r="Q37" s="470">
        <f t="shared" si="98"/>
        <v>0</v>
      </c>
      <c r="R37" s="460">
        <v>221345</v>
      </c>
      <c r="S37" s="673">
        <v>0</v>
      </c>
      <c r="T37" s="460">
        <v>0</v>
      </c>
      <c r="U37" s="460">
        <v>0</v>
      </c>
      <c r="V37" s="460">
        <f>SUM(Q37:U37)</f>
        <v>221345</v>
      </c>
      <c r="W37" s="460">
        <v>0</v>
      </c>
      <c r="X37" s="460">
        <v>0</v>
      </c>
      <c r="Y37" s="460">
        <v>0</v>
      </c>
      <c r="Z37" s="460">
        <f t="shared" si="99"/>
        <v>0</v>
      </c>
      <c r="AA37" s="460">
        <f t="shared" si="100"/>
        <v>221345</v>
      </c>
      <c r="AB37" s="69">
        <f t="shared" si="101"/>
        <v>74815</v>
      </c>
      <c r="AC37" s="69">
        <f t="shared" si="102"/>
        <v>2213</v>
      </c>
      <c r="AD37" s="460">
        <v>0</v>
      </c>
      <c r="AE37" s="460">
        <v>0</v>
      </c>
      <c r="AF37" s="460">
        <f t="shared" si="103"/>
        <v>0</v>
      </c>
      <c r="AG37" s="460">
        <f t="shared" si="104"/>
        <v>298373</v>
      </c>
      <c r="AH37" s="461">
        <v>0</v>
      </c>
      <c r="AI37" s="461">
        <v>0</v>
      </c>
      <c r="AJ37" s="461">
        <v>0.64</v>
      </c>
      <c r="AK37" s="461">
        <v>0</v>
      </c>
      <c r="AL37" s="674">
        <v>0</v>
      </c>
      <c r="AM37" s="461">
        <v>0</v>
      </c>
      <c r="AN37" s="461">
        <v>0</v>
      </c>
      <c r="AO37" s="461">
        <v>0</v>
      </c>
      <c r="AP37" s="461">
        <f>AH37+AJ37+AK37+AM37+AN37</f>
        <v>0.64</v>
      </c>
      <c r="AQ37" s="461">
        <f>AI37+AL37+AO37</f>
        <v>0</v>
      </c>
      <c r="AR37" s="463">
        <f t="shared" si="105"/>
        <v>0.64</v>
      </c>
      <c r="AS37" s="469">
        <f>I37+AG37</f>
        <v>298373</v>
      </c>
      <c r="AT37" s="460">
        <f>J37+V37</f>
        <v>221345</v>
      </c>
      <c r="AU37" s="460">
        <f t="shared" si="106"/>
        <v>0</v>
      </c>
      <c r="AV37" s="460">
        <f t="shared" si="107"/>
        <v>74815</v>
      </c>
      <c r="AW37" s="460">
        <f t="shared" si="107"/>
        <v>2213</v>
      </c>
      <c r="AX37" s="460">
        <f>M37+AF37</f>
        <v>0</v>
      </c>
      <c r="AY37" s="461">
        <f>N37+AR37</f>
        <v>0.64</v>
      </c>
      <c r="AZ37" s="461">
        <f t="shared" si="108"/>
        <v>0.64</v>
      </c>
      <c r="BA37" s="463">
        <f t="shared" si="108"/>
        <v>0</v>
      </c>
    </row>
    <row r="38" spans="1:53" s="229" customFormat="1" x14ac:dyDescent="0.2">
      <c r="A38" s="216">
        <v>7</v>
      </c>
      <c r="B38" s="217">
        <v>4423</v>
      </c>
      <c r="C38" s="217">
        <v>600074439</v>
      </c>
      <c r="D38" s="217">
        <v>70982155</v>
      </c>
      <c r="E38" s="215" t="s">
        <v>161</v>
      </c>
      <c r="F38" s="217">
        <v>3141</v>
      </c>
      <c r="G38" s="168" t="s">
        <v>311</v>
      </c>
      <c r="H38" s="218" t="s">
        <v>278</v>
      </c>
      <c r="I38" s="462">
        <f t="shared" si="94"/>
        <v>1198846</v>
      </c>
      <c r="J38" s="457">
        <v>885649</v>
      </c>
      <c r="K38" s="457">
        <f t="shared" si="95"/>
        <v>299349</v>
      </c>
      <c r="L38" s="457">
        <f t="shared" si="96"/>
        <v>8856</v>
      </c>
      <c r="M38" s="457">
        <v>4992</v>
      </c>
      <c r="N38" s="458">
        <f t="shared" si="97"/>
        <v>2.85</v>
      </c>
      <c r="O38" s="459">
        <v>0</v>
      </c>
      <c r="P38" s="468">
        <v>2.85</v>
      </c>
      <c r="Q38" s="470">
        <f t="shared" si="98"/>
        <v>-23400</v>
      </c>
      <c r="R38" s="460">
        <v>0</v>
      </c>
      <c r="S38" s="673">
        <v>0</v>
      </c>
      <c r="T38" s="460">
        <v>0</v>
      </c>
      <c r="U38" s="460">
        <v>0</v>
      </c>
      <c r="V38" s="460">
        <f>SUM(Q38:U38)</f>
        <v>-23400</v>
      </c>
      <c r="W38" s="460">
        <v>23400</v>
      </c>
      <c r="X38" s="460">
        <v>0</v>
      </c>
      <c r="Y38" s="460">
        <v>0</v>
      </c>
      <c r="Z38" s="460">
        <f t="shared" si="99"/>
        <v>23400</v>
      </c>
      <c r="AA38" s="460">
        <f t="shared" si="100"/>
        <v>0</v>
      </c>
      <c r="AB38" s="69">
        <f t="shared" si="101"/>
        <v>0</v>
      </c>
      <c r="AC38" s="69">
        <f t="shared" si="102"/>
        <v>-234</v>
      </c>
      <c r="AD38" s="460">
        <v>0</v>
      </c>
      <c r="AE38" s="460">
        <v>0</v>
      </c>
      <c r="AF38" s="460">
        <f t="shared" si="103"/>
        <v>0</v>
      </c>
      <c r="AG38" s="460">
        <f t="shared" si="104"/>
        <v>-234</v>
      </c>
      <c r="AH38" s="461">
        <v>0</v>
      </c>
      <c r="AI38" s="461">
        <v>-0.09</v>
      </c>
      <c r="AJ38" s="461">
        <v>0</v>
      </c>
      <c r="AK38" s="461">
        <v>0</v>
      </c>
      <c r="AL38" s="674">
        <v>0</v>
      </c>
      <c r="AM38" s="461">
        <v>0</v>
      </c>
      <c r="AN38" s="461">
        <v>0</v>
      </c>
      <c r="AO38" s="461">
        <v>0</v>
      </c>
      <c r="AP38" s="461">
        <f>AH38+AJ38+AK38+AM38+AN38</f>
        <v>0</v>
      </c>
      <c r="AQ38" s="461">
        <f>AI38+AL38+AO38</f>
        <v>-0.09</v>
      </c>
      <c r="AR38" s="463">
        <f t="shared" si="105"/>
        <v>-0.09</v>
      </c>
      <c r="AS38" s="469">
        <f>I38+AG38</f>
        <v>1198612</v>
      </c>
      <c r="AT38" s="460">
        <f>J38+V38</f>
        <v>862249</v>
      </c>
      <c r="AU38" s="460">
        <f t="shared" si="106"/>
        <v>23400</v>
      </c>
      <c r="AV38" s="460">
        <f t="shared" si="107"/>
        <v>299349</v>
      </c>
      <c r="AW38" s="460">
        <f t="shared" si="107"/>
        <v>8622</v>
      </c>
      <c r="AX38" s="460">
        <f>M38+AF38</f>
        <v>4992</v>
      </c>
      <c r="AY38" s="461">
        <f>N38+AR38</f>
        <v>2.7600000000000002</v>
      </c>
      <c r="AZ38" s="461">
        <f t="shared" si="108"/>
        <v>0</v>
      </c>
      <c r="BA38" s="463">
        <f t="shared" si="108"/>
        <v>2.7600000000000002</v>
      </c>
    </row>
    <row r="39" spans="1:53" s="229" customFormat="1" x14ac:dyDescent="0.2">
      <c r="A39" s="158">
        <v>7</v>
      </c>
      <c r="B39" s="18">
        <v>4423</v>
      </c>
      <c r="C39" s="18">
        <v>600074439</v>
      </c>
      <c r="D39" s="18">
        <v>70982155</v>
      </c>
      <c r="E39" s="167" t="s">
        <v>162</v>
      </c>
      <c r="F39" s="18"/>
      <c r="G39" s="157"/>
      <c r="H39" s="191"/>
      <c r="I39" s="505">
        <f t="shared" ref="I39:P39" si="109">SUM(I36:I38)</f>
        <v>8341648</v>
      </c>
      <c r="J39" s="502">
        <f t="shared" si="109"/>
        <v>6157757</v>
      </c>
      <c r="K39" s="502">
        <f t="shared" si="109"/>
        <v>2081322</v>
      </c>
      <c r="L39" s="502">
        <f t="shared" si="109"/>
        <v>61577</v>
      </c>
      <c r="M39" s="502">
        <f t="shared" si="109"/>
        <v>40992</v>
      </c>
      <c r="N39" s="503">
        <f t="shared" si="109"/>
        <v>13.65</v>
      </c>
      <c r="O39" s="503">
        <f t="shared" si="109"/>
        <v>8</v>
      </c>
      <c r="P39" s="507">
        <f t="shared" si="109"/>
        <v>5.65</v>
      </c>
      <c r="Q39" s="505">
        <f t="shared" ref="Q39:BA39" si="110">SUM(Q36:Q38)</f>
        <v>-71500</v>
      </c>
      <c r="R39" s="502">
        <f t="shared" si="110"/>
        <v>221345</v>
      </c>
      <c r="S39" s="502">
        <f t="shared" si="110"/>
        <v>0</v>
      </c>
      <c r="T39" s="502">
        <f t="shared" si="110"/>
        <v>0</v>
      </c>
      <c r="U39" s="502">
        <f t="shared" si="110"/>
        <v>0</v>
      </c>
      <c r="V39" s="502">
        <f t="shared" si="110"/>
        <v>149845</v>
      </c>
      <c r="W39" s="502">
        <f t="shared" si="110"/>
        <v>71500</v>
      </c>
      <c r="X39" s="502">
        <f t="shared" si="110"/>
        <v>0</v>
      </c>
      <c r="Y39" s="502">
        <f t="shared" si="110"/>
        <v>0</v>
      </c>
      <c r="Z39" s="502">
        <f t="shared" si="110"/>
        <v>71500</v>
      </c>
      <c r="AA39" s="502">
        <f t="shared" si="110"/>
        <v>221345</v>
      </c>
      <c r="AB39" s="502">
        <f t="shared" si="110"/>
        <v>74815</v>
      </c>
      <c r="AC39" s="502">
        <f t="shared" si="110"/>
        <v>1498</v>
      </c>
      <c r="AD39" s="502">
        <f t="shared" si="110"/>
        <v>0</v>
      </c>
      <c r="AE39" s="502">
        <f t="shared" si="110"/>
        <v>0</v>
      </c>
      <c r="AF39" s="502">
        <f t="shared" si="110"/>
        <v>0</v>
      </c>
      <c r="AG39" s="502">
        <f t="shared" si="110"/>
        <v>297658</v>
      </c>
      <c r="AH39" s="503">
        <f t="shared" si="110"/>
        <v>0</v>
      </c>
      <c r="AI39" s="503">
        <f t="shared" si="110"/>
        <v>-0.3</v>
      </c>
      <c r="AJ39" s="503">
        <f t="shared" si="110"/>
        <v>0.64</v>
      </c>
      <c r="AK39" s="503">
        <f t="shared" si="110"/>
        <v>0</v>
      </c>
      <c r="AL39" s="503">
        <f t="shared" si="110"/>
        <v>0</v>
      </c>
      <c r="AM39" s="503">
        <f t="shared" si="110"/>
        <v>0</v>
      </c>
      <c r="AN39" s="503">
        <f t="shared" si="110"/>
        <v>0</v>
      </c>
      <c r="AO39" s="503">
        <f t="shared" si="110"/>
        <v>0</v>
      </c>
      <c r="AP39" s="503">
        <f t="shared" si="110"/>
        <v>0.64</v>
      </c>
      <c r="AQ39" s="503">
        <f t="shared" si="110"/>
        <v>-0.3</v>
      </c>
      <c r="AR39" s="40">
        <f t="shared" si="110"/>
        <v>0.34000000000000008</v>
      </c>
      <c r="AS39" s="509">
        <f t="shared" si="110"/>
        <v>8639306</v>
      </c>
      <c r="AT39" s="502">
        <f t="shared" si="110"/>
        <v>6307602</v>
      </c>
      <c r="AU39" s="502">
        <f t="shared" si="110"/>
        <v>71500</v>
      </c>
      <c r="AV39" s="502">
        <f t="shared" si="110"/>
        <v>2156137</v>
      </c>
      <c r="AW39" s="502">
        <f t="shared" si="110"/>
        <v>63075</v>
      </c>
      <c r="AX39" s="502">
        <f t="shared" si="110"/>
        <v>40992</v>
      </c>
      <c r="AY39" s="503">
        <f t="shared" si="110"/>
        <v>13.99</v>
      </c>
      <c r="AZ39" s="503">
        <f t="shared" si="110"/>
        <v>8.64</v>
      </c>
      <c r="BA39" s="40">
        <f t="shared" si="110"/>
        <v>5.35</v>
      </c>
    </row>
    <row r="40" spans="1:53" s="229" customFormat="1" x14ac:dyDescent="0.2">
      <c r="A40" s="216">
        <v>8</v>
      </c>
      <c r="B40" s="217">
        <v>4404</v>
      </c>
      <c r="C40" s="217">
        <v>600074331</v>
      </c>
      <c r="D40" s="217">
        <v>831298</v>
      </c>
      <c r="E40" s="215" t="s">
        <v>163</v>
      </c>
      <c r="F40" s="217">
        <v>3111</v>
      </c>
      <c r="G40" s="168" t="s">
        <v>307</v>
      </c>
      <c r="H40" s="218" t="s">
        <v>277</v>
      </c>
      <c r="I40" s="462">
        <f t="shared" ref="I40:I42" si="111">SUM(J40:M40)</f>
        <v>22272318</v>
      </c>
      <c r="J40" s="457">
        <v>16439108</v>
      </c>
      <c r="K40" s="457">
        <f t="shared" ref="K40:K42" si="112">ROUND(J40*33.8%,0)</f>
        <v>5556419</v>
      </c>
      <c r="L40" s="457">
        <f t="shared" ref="L40:L42" si="113">ROUND(J40*1%,0)</f>
        <v>164391</v>
      </c>
      <c r="M40" s="457">
        <v>112400</v>
      </c>
      <c r="N40" s="458">
        <f t="shared" ref="N40:N42" si="114">O40+P40</f>
        <v>34.130000000000003</v>
      </c>
      <c r="O40" s="459">
        <v>26</v>
      </c>
      <c r="P40" s="468">
        <v>8.1300000000000008</v>
      </c>
      <c r="Q40" s="470">
        <f t="shared" ref="Q40:Q42" si="115">W40*-1</f>
        <v>0</v>
      </c>
      <c r="R40" s="460">
        <v>0</v>
      </c>
      <c r="S40" s="673">
        <v>0</v>
      </c>
      <c r="T40" s="460">
        <v>0</v>
      </c>
      <c r="U40" s="460">
        <v>0</v>
      </c>
      <c r="V40" s="460">
        <f>SUM(Q40:U40)</f>
        <v>0</v>
      </c>
      <c r="W40" s="460">
        <v>0</v>
      </c>
      <c r="X40" s="460">
        <v>0</v>
      </c>
      <c r="Y40" s="460">
        <v>0</v>
      </c>
      <c r="Z40" s="460">
        <f t="shared" ref="Z40:Z42" si="116">SUM(W40:Y40)</f>
        <v>0</v>
      </c>
      <c r="AA40" s="460">
        <f t="shared" ref="AA40:AA42" si="117">V40+Z40</f>
        <v>0</v>
      </c>
      <c r="AB40" s="69">
        <f t="shared" ref="AB40:AB42" si="118">ROUND((V40+W40+X40)*33.8%,0)</f>
        <v>0</v>
      </c>
      <c r="AC40" s="69">
        <f t="shared" ref="AC40:AC42" si="119">ROUND(V40*1%,0)</f>
        <v>0</v>
      </c>
      <c r="AD40" s="460">
        <v>0</v>
      </c>
      <c r="AE40" s="460">
        <v>0</v>
      </c>
      <c r="AF40" s="460">
        <f t="shared" ref="AF40:AF42" si="120">SUM(AD40:AE40)</f>
        <v>0</v>
      </c>
      <c r="AG40" s="460">
        <f t="shared" ref="AG40:AG42" si="121">AA40+AB40+AC40+AF40</f>
        <v>0</v>
      </c>
      <c r="AH40" s="461">
        <v>0</v>
      </c>
      <c r="AI40" s="461">
        <v>0</v>
      </c>
      <c r="AJ40" s="461">
        <v>0</v>
      </c>
      <c r="AK40" s="461">
        <v>0</v>
      </c>
      <c r="AL40" s="674">
        <v>0</v>
      </c>
      <c r="AM40" s="461">
        <v>0</v>
      </c>
      <c r="AN40" s="461">
        <v>0</v>
      </c>
      <c r="AO40" s="461">
        <v>0</v>
      </c>
      <c r="AP40" s="461">
        <f>AH40+AJ40+AK40+AM40+AN40</f>
        <v>0</v>
      </c>
      <c r="AQ40" s="461">
        <f>AI40+AL40+AO40</f>
        <v>0</v>
      </c>
      <c r="AR40" s="463">
        <f t="shared" ref="AR40:AR42" si="122">SUM(AP40:AQ40)</f>
        <v>0</v>
      </c>
      <c r="AS40" s="469">
        <f>I40+AG40</f>
        <v>22272318</v>
      </c>
      <c r="AT40" s="460">
        <f>J40+V40</f>
        <v>16439108</v>
      </c>
      <c r="AU40" s="460">
        <f t="shared" ref="AU40:AU42" si="123">Z40</f>
        <v>0</v>
      </c>
      <c r="AV40" s="460">
        <f t="shared" ref="AV40:AW42" si="124">K40+AB40</f>
        <v>5556419</v>
      </c>
      <c r="AW40" s="460">
        <f t="shared" si="124"/>
        <v>164391</v>
      </c>
      <c r="AX40" s="460">
        <f>M40+AF40</f>
        <v>112400</v>
      </c>
      <c r="AY40" s="461">
        <f>N40+AR40</f>
        <v>34.130000000000003</v>
      </c>
      <c r="AZ40" s="461">
        <f t="shared" ref="AZ40:BA42" si="125">O40+AP40</f>
        <v>26</v>
      </c>
      <c r="BA40" s="463">
        <f t="shared" si="125"/>
        <v>8.1300000000000008</v>
      </c>
    </row>
    <row r="41" spans="1:53" s="229" customFormat="1" x14ac:dyDescent="0.2">
      <c r="A41" s="216">
        <v>8</v>
      </c>
      <c r="B41" s="217">
        <v>4404</v>
      </c>
      <c r="C41" s="217">
        <v>600074331</v>
      </c>
      <c r="D41" s="217">
        <v>831298</v>
      </c>
      <c r="E41" s="215" t="s">
        <v>163</v>
      </c>
      <c r="F41" s="217">
        <v>3111</v>
      </c>
      <c r="G41" s="168" t="s">
        <v>308</v>
      </c>
      <c r="H41" s="218" t="s">
        <v>278</v>
      </c>
      <c r="I41" s="462">
        <f t="shared" si="111"/>
        <v>0</v>
      </c>
      <c r="J41" s="457">
        <v>0</v>
      </c>
      <c r="K41" s="457">
        <f t="shared" si="112"/>
        <v>0</v>
      </c>
      <c r="L41" s="457">
        <f t="shared" si="113"/>
        <v>0</v>
      </c>
      <c r="M41" s="457">
        <v>0</v>
      </c>
      <c r="N41" s="458">
        <f t="shared" si="114"/>
        <v>0</v>
      </c>
      <c r="O41" s="459">
        <v>0</v>
      </c>
      <c r="P41" s="468">
        <v>0</v>
      </c>
      <c r="Q41" s="470">
        <f t="shared" si="115"/>
        <v>0</v>
      </c>
      <c r="R41" s="460">
        <v>173223</v>
      </c>
      <c r="S41" s="673">
        <v>0</v>
      </c>
      <c r="T41" s="460">
        <v>0</v>
      </c>
      <c r="U41" s="460">
        <v>0</v>
      </c>
      <c r="V41" s="460">
        <f>SUM(Q41:U41)</f>
        <v>173223</v>
      </c>
      <c r="W41" s="460">
        <v>0</v>
      </c>
      <c r="X41" s="460">
        <v>0</v>
      </c>
      <c r="Y41" s="460">
        <v>0</v>
      </c>
      <c r="Z41" s="460">
        <f t="shared" si="116"/>
        <v>0</v>
      </c>
      <c r="AA41" s="460">
        <f t="shared" si="117"/>
        <v>173223</v>
      </c>
      <c r="AB41" s="69">
        <f t="shared" si="118"/>
        <v>58549</v>
      </c>
      <c r="AC41" s="69">
        <f t="shared" si="119"/>
        <v>1732</v>
      </c>
      <c r="AD41" s="460">
        <v>0</v>
      </c>
      <c r="AE41" s="460">
        <v>0</v>
      </c>
      <c r="AF41" s="460">
        <f t="shared" si="120"/>
        <v>0</v>
      </c>
      <c r="AG41" s="460">
        <f t="shared" si="121"/>
        <v>233504</v>
      </c>
      <c r="AH41" s="461">
        <v>0</v>
      </c>
      <c r="AI41" s="461">
        <v>0</v>
      </c>
      <c r="AJ41" s="461">
        <v>0.5</v>
      </c>
      <c r="AK41" s="461">
        <v>0</v>
      </c>
      <c r="AL41" s="674">
        <v>0</v>
      </c>
      <c r="AM41" s="461">
        <v>0</v>
      </c>
      <c r="AN41" s="461">
        <v>0</v>
      </c>
      <c r="AO41" s="461">
        <v>0</v>
      </c>
      <c r="AP41" s="461">
        <f>AH41+AJ41+AK41+AM41+AN41</f>
        <v>0.5</v>
      </c>
      <c r="AQ41" s="461">
        <f>AI41+AL41+AO41</f>
        <v>0</v>
      </c>
      <c r="AR41" s="463">
        <f t="shared" si="122"/>
        <v>0.5</v>
      </c>
      <c r="AS41" s="469">
        <f>I41+AG41</f>
        <v>233504</v>
      </c>
      <c r="AT41" s="460">
        <f>J41+V41</f>
        <v>173223</v>
      </c>
      <c r="AU41" s="460">
        <f t="shared" si="123"/>
        <v>0</v>
      </c>
      <c r="AV41" s="460">
        <f t="shared" si="124"/>
        <v>58549</v>
      </c>
      <c r="AW41" s="460">
        <f t="shared" si="124"/>
        <v>1732</v>
      </c>
      <c r="AX41" s="460">
        <f>M41+AF41</f>
        <v>0</v>
      </c>
      <c r="AY41" s="461">
        <f>N41+AR41</f>
        <v>0.5</v>
      </c>
      <c r="AZ41" s="461">
        <f t="shared" si="125"/>
        <v>0.5</v>
      </c>
      <c r="BA41" s="463">
        <f t="shared" si="125"/>
        <v>0</v>
      </c>
    </row>
    <row r="42" spans="1:53" s="229" customFormat="1" x14ac:dyDescent="0.2">
      <c r="A42" s="216">
        <v>8</v>
      </c>
      <c r="B42" s="217">
        <v>4404</v>
      </c>
      <c r="C42" s="217">
        <v>600074331</v>
      </c>
      <c r="D42" s="217">
        <v>831298</v>
      </c>
      <c r="E42" s="215" t="s">
        <v>163</v>
      </c>
      <c r="F42" s="217">
        <v>3141</v>
      </c>
      <c r="G42" s="168" t="s">
        <v>311</v>
      </c>
      <c r="H42" s="218" t="s">
        <v>278</v>
      </c>
      <c r="I42" s="462">
        <f t="shared" si="111"/>
        <v>3233089</v>
      </c>
      <c r="J42" s="457">
        <v>2387671</v>
      </c>
      <c r="K42" s="457">
        <f t="shared" si="112"/>
        <v>807033</v>
      </c>
      <c r="L42" s="457">
        <f t="shared" si="113"/>
        <v>23877</v>
      </c>
      <c r="M42" s="457">
        <v>14508</v>
      </c>
      <c r="N42" s="458">
        <f t="shared" si="114"/>
        <v>7.67</v>
      </c>
      <c r="O42" s="459">
        <v>0</v>
      </c>
      <c r="P42" s="468">
        <v>7.67</v>
      </c>
      <c r="Q42" s="470">
        <f t="shared" si="115"/>
        <v>0</v>
      </c>
      <c r="R42" s="460">
        <v>0</v>
      </c>
      <c r="S42" s="673">
        <v>0</v>
      </c>
      <c r="T42" s="460">
        <v>0</v>
      </c>
      <c r="U42" s="460">
        <v>0</v>
      </c>
      <c r="V42" s="460">
        <f>SUM(Q42:U42)</f>
        <v>0</v>
      </c>
      <c r="W42" s="460">
        <v>0</v>
      </c>
      <c r="X42" s="460">
        <v>0</v>
      </c>
      <c r="Y42" s="460">
        <v>0</v>
      </c>
      <c r="Z42" s="460">
        <f t="shared" si="116"/>
        <v>0</v>
      </c>
      <c r="AA42" s="460">
        <f t="shared" si="117"/>
        <v>0</v>
      </c>
      <c r="AB42" s="69">
        <f t="shared" si="118"/>
        <v>0</v>
      </c>
      <c r="AC42" s="69">
        <f t="shared" si="119"/>
        <v>0</v>
      </c>
      <c r="AD42" s="460">
        <v>0</v>
      </c>
      <c r="AE42" s="460">
        <v>0</v>
      </c>
      <c r="AF42" s="460">
        <f t="shared" si="120"/>
        <v>0</v>
      </c>
      <c r="AG42" s="460">
        <f t="shared" si="121"/>
        <v>0</v>
      </c>
      <c r="AH42" s="461">
        <v>0</v>
      </c>
      <c r="AI42" s="461">
        <v>0</v>
      </c>
      <c r="AJ42" s="461">
        <v>0</v>
      </c>
      <c r="AK42" s="461">
        <v>0</v>
      </c>
      <c r="AL42" s="674">
        <v>0</v>
      </c>
      <c r="AM42" s="461">
        <v>0</v>
      </c>
      <c r="AN42" s="461">
        <v>0</v>
      </c>
      <c r="AO42" s="461">
        <v>0</v>
      </c>
      <c r="AP42" s="461">
        <f>AH42+AJ42+AK42+AM42+AN42</f>
        <v>0</v>
      </c>
      <c r="AQ42" s="461">
        <f>AI42+AL42+AO42</f>
        <v>0</v>
      </c>
      <c r="AR42" s="463">
        <f t="shared" si="122"/>
        <v>0</v>
      </c>
      <c r="AS42" s="469">
        <f>I42+AG42</f>
        <v>3233089</v>
      </c>
      <c r="AT42" s="460">
        <f>J42+V42</f>
        <v>2387671</v>
      </c>
      <c r="AU42" s="460">
        <f t="shared" si="123"/>
        <v>0</v>
      </c>
      <c r="AV42" s="460">
        <f t="shared" si="124"/>
        <v>807033</v>
      </c>
      <c r="AW42" s="460">
        <f t="shared" si="124"/>
        <v>23877</v>
      </c>
      <c r="AX42" s="460">
        <f>M42+AF42</f>
        <v>14508</v>
      </c>
      <c r="AY42" s="461">
        <f>N42+AR42</f>
        <v>7.67</v>
      </c>
      <c r="AZ42" s="461">
        <f t="shared" si="125"/>
        <v>0</v>
      </c>
      <c r="BA42" s="463">
        <f t="shared" si="125"/>
        <v>7.67</v>
      </c>
    </row>
    <row r="43" spans="1:53" s="229" customFormat="1" x14ac:dyDescent="0.2">
      <c r="A43" s="158">
        <v>8</v>
      </c>
      <c r="B43" s="18">
        <v>4404</v>
      </c>
      <c r="C43" s="18">
        <v>600074331</v>
      </c>
      <c r="D43" s="18">
        <v>831298</v>
      </c>
      <c r="E43" s="167" t="s">
        <v>164</v>
      </c>
      <c r="F43" s="18"/>
      <c r="G43" s="157"/>
      <c r="H43" s="191"/>
      <c r="I43" s="505">
        <f t="shared" ref="I43:P43" si="126">SUM(I40:I42)</f>
        <v>25505407</v>
      </c>
      <c r="J43" s="502">
        <f t="shared" si="126"/>
        <v>18826779</v>
      </c>
      <c r="K43" s="502">
        <f t="shared" si="126"/>
        <v>6363452</v>
      </c>
      <c r="L43" s="502">
        <f t="shared" si="126"/>
        <v>188268</v>
      </c>
      <c r="M43" s="502">
        <f t="shared" si="126"/>
        <v>126908</v>
      </c>
      <c r="N43" s="503">
        <f t="shared" si="126"/>
        <v>41.800000000000004</v>
      </c>
      <c r="O43" s="503">
        <f t="shared" si="126"/>
        <v>26</v>
      </c>
      <c r="P43" s="507">
        <f t="shared" si="126"/>
        <v>15.8</v>
      </c>
      <c r="Q43" s="505">
        <f t="shared" ref="Q43:BA43" si="127">SUM(Q40:Q42)</f>
        <v>0</v>
      </c>
      <c r="R43" s="502">
        <f t="shared" si="127"/>
        <v>173223</v>
      </c>
      <c r="S43" s="502">
        <f t="shared" si="127"/>
        <v>0</v>
      </c>
      <c r="T43" s="502">
        <f t="shared" si="127"/>
        <v>0</v>
      </c>
      <c r="U43" s="502">
        <f t="shared" si="127"/>
        <v>0</v>
      </c>
      <c r="V43" s="502">
        <f t="shared" si="127"/>
        <v>173223</v>
      </c>
      <c r="W43" s="502">
        <f t="shared" si="127"/>
        <v>0</v>
      </c>
      <c r="X43" s="502">
        <f t="shared" si="127"/>
        <v>0</v>
      </c>
      <c r="Y43" s="502">
        <f t="shared" si="127"/>
        <v>0</v>
      </c>
      <c r="Z43" s="502">
        <f t="shared" si="127"/>
        <v>0</v>
      </c>
      <c r="AA43" s="502">
        <f t="shared" si="127"/>
        <v>173223</v>
      </c>
      <c r="AB43" s="502">
        <f t="shared" si="127"/>
        <v>58549</v>
      </c>
      <c r="AC43" s="502">
        <f t="shared" si="127"/>
        <v>1732</v>
      </c>
      <c r="AD43" s="502">
        <f t="shared" si="127"/>
        <v>0</v>
      </c>
      <c r="AE43" s="502">
        <f t="shared" si="127"/>
        <v>0</v>
      </c>
      <c r="AF43" s="502">
        <f t="shared" si="127"/>
        <v>0</v>
      </c>
      <c r="AG43" s="502">
        <f t="shared" si="127"/>
        <v>233504</v>
      </c>
      <c r="AH43" s="503">
        <f t="shared" si="127"/>
        <v>0</v>
      </c>
      <c r="AI43" s="503">
        <f t="shared" si="127"/>
        <v>0</v>
      </c>
      <c r="AJ43" s="503">
        <f t="shared" si="127"/>
        <v>0.5</v>
      </c>
      <c r="AK43" s="503">
        <f t="shared" si="127"/>
        <v>0</v>
      </c>
      <c r="AL43" s="503">
        <f t="shared" si="127"/>
        <v>0</v>
      </c>
      <c r="AM43" s="503">
        <f t="shared" si="127"/>
        <v>0</v>
      </c>
      <c r="AN43" s="503">
        <f t="shared" si="127"/>
        <v>0</v>
      </c>
      <c r="AO43" s="503">
        <f t="shared" si="127"/>
        <v>0</v>
      </c>
      <c r="AP43" s="503">
        <f t="shared" si="127"/>
        <v>0.5</v>
      </c>
      <c r="AQ43" s="503">
        <f t="shared" si="127"/>
        <v>0</v>
      </c>
      <c r="AR43" s="40">
        <f t="shared" si="127"/>
        <v>0.5</v>
      </c>
      <c r="AS43" s="509">
        <f t="shared" si="127"/>
        <v>25738911</v>
      </c>
      <c r="AT43" s="502">
        <f t="shared" si="127"/>
        <v>19000002</v>
      </c>
      <c r="AU43" s="502">
        <f t="shared" si="127"/>
        <v>0</v>
      </c>
      <c r="AV43" s="502">
        <f t="shared" si="127"/>
        <v>6422001</v>
      </c>
      <c r="AW43" s="502">
        <f t="shared" si="127"/>
        <v>190000</v>
      </c>
      <c r="AX43" s="502">
        <f t="shared" si="127"/>
        <v>126908</v>
      </c>
      <c r="AY43" s="503">
        <f t="shared" si="127"/>
        <v>42.300000000000004</v>
      </c>
      <c r="AZ43" s="503">
        <f t="shared" si="127"/>
        <v>26.5</v>
      </c>
      <c r="BA43" s="40">
        <f t="shared" si="127"/>
        <v>15.8</v>
      </c>
    </row>
    <row r="44" spans="1:53" s="229" customFormat="1" x14ac:dyDescent="0.2">
      <c r="A44" s="216">
        <v>9</v>
      </c>
      <c r="B44" s="217">
        <v>4480</v>
      </c>
      <c r="C44" s="217">
        <v>600075249</v>
      </c>
      <c r="D44" s="217">
        <v>49864548</v>
      </c>
      <c r="E44" s="215" t="s">
        <v>165</v>
      </c>
      <c r="F44" s="217">
        <v>3141</v>
      </c>
      <c r="G44" s="168" t="s">
        <v>311</v>
      </c>
      <c r="H44" s="218" t="s">
        <v>278</v>
      </c>
      <c r="I44" s="462">
        <f t="shared" ref="I44" si="128">SUM(J44:M44)</f>
        <v>3774339</v>
      </c>
      <c r="J44" s="457">
        <v>2774965</v>
      </c>
      <c r="K44" s="457">
        <f t="shared" ref="K44" si="129">ROUND(J44*33.8%,0)</f>
        <v>937938</v>
      </c>
      <c r="L44" s="457">
        <f>ROUND(J44*1%,0)</f>
        <v>27750</v>
      </c>
      <c r="M44" s="457">
        <v>33686</v>
      </c>
      <c r="N44" s="458">
        <f t="shared" ref="N44" si="130">O44+P44</f>
        <v>8.92</v>
      </c>
      <c r="O44" s="459">
        <v>0</v>
      </c>
      <c r="P44" s="468">
        <v>8.92</v>
      </c>
      <c r="Q44" s="470">
        <f t="shared" ref="Q44" si="131">W44*-1</f>
        <v>0</v>
      </c>
      <c r="R44" s="460">
        <v>0</v>
      </c>
      <c r="S44" s="673">
        <v>0</v>
      </c>
      <c r="T44" s="460">
        <v>0</v>
      </c>
      <c r="U44" s="460">
        <v>0</v>
      </c>
      <c r="V44" s="460">
        <f>SUM(Q44:U44)</f>
        <v>0</v>
      </c>
      <c r="W44" s="460">
        <v>0</v>
      </c>
      <c r="X44" s="460">
        <v>0</v>
      </c>
      <c r="Y44" s="460">
        <v>0</v>
      </c>
      <c r="Z44" s="460">
        <f t="shared" ref="Z44" si="132">SUM(W44:Y44)</f>
        <v>0</v>
      </c>
      <c r="AA44" s="460">
        <f t="shared" ref="AA44" si="133">V44+Z44</f>
        <v>0</v>
      </c>
      <c r="AB44" s="69">
        <f t="shared" ref="AB44" si="134">ROUND((V44+W44+X44)*33.8%,0)</f>
        <v>0</v>
      </c>
      <c r="AC44" s="69">
        <f>ROUND(V44*1%,0)</f>
        <v>0</v>
      </c>
      <c r="AD44" s="460">
        <v>0</v>
      </c>
      <c r="AE44" s="460">
        <v>0</v>
      </c>
      <c r="AF44" s="460">
        <f t="shared" ref="AF44" si="135">SUM(AD44:AE44)</f>
        <v>0</v>
      </c>
      <c r="AG44" s="460">
        <f t="shared" ref="AG44" si="136">AA44+AB44+AC44+AF44</f>
        <v>0</v>
      </c>
      <c r="AH44" s="461">
        <v>0</v>
      </c>
      <c r="AI44" s="461">
        <v>0</v>
      </c>
      <c r="AJ44" s="461">
        <v>0</v>
      </c>
      <c r="AK44" s="461">
        <v>0</v>
      </c>
      <c r="AL44" s="674">
        <v>0</v>
      </c>
      <c r="AM44" s="461">
        <v>0</v>
      </c>
      <c r="AN44" s="461">
        <v>0</v>
      </c>
      <c r="AO44" s="461">
        <v>0</v>
      </c>
      <c r="AP44" s="461">
        <f>AH44+AJ44+AK44+AM44+AN44</f>
        <v>0</v>
      </c>
      <c r="AQ44" s="461">
        <f>AI44+AL44+AO44</f>
        <v>0</v>
      </c>
      <c r="AR44" s="463">
        <f t="shared" ref="AR44" si="137">SUM(AP44:AQ44)</f>
        <v>0</v>
      </c>
      <c r="AS44" s="469">
        <f>I44+AG44</f>
        <v>3774339</v>
      </c>
      <c r="AT44" s="460">
        <f>J44+V44</f>
        <v>2774965</v>
      </c>
      <c r="AU44" s="460">
        <f>Z44</f>
        <v>0</v>
      </c>
      <c r="AV44" s="460">
        <f>K44+AB44</f>
        <v>937938</v>
      </c>
      <c r="AW44" s="460">
        <f>L44+AC44</f>
        <v>27750</v>
      </c>
      <c r="AX44" s="460">
        <f>M44+AF44</f>
        <v>33686</v>
      </c>
      <c r="AY44" s="461">
        <f>N44+AR44</f>
        <v>8.92</v>
      </c>
      <c r="AZ44" s="461">
        <f>O44+AP44</f>
        <v>0</v>
      </c>
      <c r="BA44" s="463">
        <f>P44+AQ44</f>
        <v>8.92</v>
      </c>
    </row>
    <row r="45" spans="1:53" s="229" customFormat="1" x14ac:dyDescent="0.2">
      <c r="A45" s="158">
        <v>9</v>
      </c>
      <c r="B45" s="18">
        <v>4480</v>
      </c>
      <c r="C45" s="18">
        <v>600075249</v>
      </c>
      <c r="D45" s="18">
        <v>49864548</v>
      </c>
      <c r="E45" s="167" t="s">
        <v>166</v>
      </c>
      <c r="F45" s="18"/>
      <c r="G45" s="157"/>
      <c r="H45" s="191"/>
      <c r="I45" s="505">
        <f t="shared" ref="I45:BA45" si="138">SUM(I44)</f>
        <v>3774339</v>
      </c>
      <c r="J45" s="502">
        <f t="shared" si="138"/>
        <v>2774965</v>
      </c>
      <c r="K45" s="502">
        <f t="shared" si="138"/>
        <v>937938</v>
      </c>
      <c r="L45" s="502">
        <f t="shared" si="138"/>
        <v>27750</v>
      </c>
      <c r="M45" s="502">
        <f t="shared" si="138"/>
        <v>33686</v>
      </c>
      <c r="N45" s="503">
        <f t="shared" si="138"/>
        <v>8.92</v>
      </c>
      <c r="O45" s="503">
        <f t="shared" si="138"/>
        <v>0</v>
      </c>
      <c r="P45" s="507">
        <f t="shared" si="138"/>
        <v>8.92</v>
      </c>
      <c r="Q45" s="505">
        <f t="shared" si="138"/>
        <v>0</v>
      </c>
      <c r="R45" s="502">
        <f t="shared" si="138"/>
        <v>0</v>
      </c>
      <c r="S45" s="502">
        <f t="shared" si="138"/>
        <v>0</v>
      </c>
      <c r="T45" s="502">
        <f t="shared" si="138"/>
        <v>0</v>
      </c>
      <c r="U45" s="502">
        <f t="shared" si="138"/>
        <v>0</v>
      </c>
      <c r="V45" s="502">
        <f t="shared" si="138"/>
        <v>0</v>
      </c>
      <c r="W45" s="502">
        <f t="shared" si="138"/>
        <v>0</v>
      </c>
      <c r="X45" s="502">
        <f t="shared" si="138"/>
        <v>0</v>
      </c>
      <c r="Y45" s="502">
        <f t="shared" si="138"/>
        <v>0</v>
      </c>
      <c r="Z45" s="502">
        <f t="shared" si="138"/>
        <v>0</v>
      </c>
      <c r="AA45" s="502">
        <f t="shared" si="138"/>
        <v>0</v>
      </c>
      <c r="AB45" s="502">
        <f t="shared" si="138"/>
        <v>0</v>
      </c>
      <c r="AC45" s="502">
        <f t="shared" si="138"/>
        <v>0</v>
      </c>
      <c r="AD45" s="502">
        <f t="shared" si="138"/>
        <v>0</v>
      </c>
      <c r="AE45" s="502">
        <f t="shared" si="138"/>
        <v>0</v>
      </c>
      <c r="AF45" s="502">
        <f t="shared" si="138"/>
        <v>0</v>
      </c>
      <c r="AG45" s="502">
        <f t="shared" si="138"/>
        <v>0</v>
      </c>
      <c r="AH45" s="503">
        <f t="shared" si="138"/>
        <v>0</v>
      </c>
      <c r="AI45" s="503">
        <f t="shared" si="138"/>
        <v>0</v>
      </c>
      <c r="AJ45" s="503">
        <f t="shared" si="138"/>
        <v>0</v>
      </c>
      <c r="AK45" s="503">
        <f t="shared" si="138"/>
        <v>0</v>
      </c>
      <c r="AL45" s="503">
        <f t="shared" si="138"/>
        <v>0</v>
      </c>
      <c r="AM45" s="503">
        <f t="shared" si="138"/>
        <v>0</v>
      </c>
      <c r="AN45" s="503">
        <f t="shared" si="138"/>
        <v>0</v>
      </c>
      <c r="AO45" s="503">
        <f t="shared" si="138"/>
        <v>0</v>
      </c>
      <c r="AP45" s="503">
        <f t="shared" si="138"/>
        <v>0</v>
      </c>
      <c r="AQ45" s="503">
        <f t="shared" si="138"/>
        <v>0</v>
      </c>
      <c r="AR45" s="40">
        <f t="shared" si="138"/>
        <v>0</v>
      </c>
      <c r="AS45" s="509">
        <f t="shared" si="138"/>
        <v>3774339</v>
      </c>
      <c r="AT45" s="502">
        <f t="shared" si="138"/>
        <v>2774965</v>
      </c>
      <c r="AU45" s="502">
        <f t="shared" si="138"/>
        <v>0</v>
      </c>
      <c r="AV45" s="502">
        <f t="shared" si="138"/>
        <v>937938</v>
      </c>
      <c r="AW45" s="502">
        <f t="shared" si="138"/>
        <v>27750</v>
      </c>
      <c r="AX45" s="502">
        <f t="shared" si="138"/>
        <v>33686</v>
      </c>
      <c r="AY45" s="503">
        <f t="shared" si="138"/>
        <v>8.92</v>
      </c>
      <c r="AZ45" s="503">
        <f t="shared" si="138"/>
        <v>0</v>
      </c>
      <c r="BA45" s="40">
        <f t="shared" si="138"/>
        <v>8.92</v>
      </c>
    </row>
    <row r="46" spans="1:53" s="229" customFormat="1" x14ac:dyDescent="0.2">
      <c r="A46" s="216">
        <v>10</v>
      </c>
      <c r="B46" s="217">
        <v>4439</v>
      </c>
      <c r="C46" s="217">
        <v>600074951</v>
      </c>
      <c r="D46" s="217">
        <v>48283088</v>
      </c>
      <c r="E46" s="215" t="s">
        <v>167</v>
      </c>
      <c r="F46" s="217">
        <v>3111</v>
      </c>
      <c r="G46" s="168" t="s">
        <v>307</v>
      </c>
      <c r="H46" s="218" t="s">
        <v>277</v>
      </c>
      <c r="I46" s="462">
        <f t="shared" ref="I46:I51" si="139">SUM(J46:M46)</f>
        <v>4784651</v>
      </c>
      <c r="J46" s="457">
        <v>3528969</v>
      </c>
      <c r="K46" s="457">
        <f t="shared" ref="K46:K51" si="140">ROUND(J46*33.8%,0)</f>
        <v>1192792</v>
      </c>
      <c r="L46" s="457">
        <f t="shared" ref="L46:L51" si="141">ROUND(J46*1%,0)</f>
        <v>35290</v>
      </c>
      <c r="M46" s="457">
        <v>27600</v>
      </c>
      <c r="N46" s="458">
        <f t="shared" ref="N46:N51" si="142">O46+P46</f>
        <v>7.2</v>
      </c>
      <c r="O46" s="459">
        <v>6</v>
      </c>
      <c r="P46" s="468">
        <v>1.2</v>
      </c>
      <c r="Q46" s="470">
        <f t="shared" ref="Q46:Q51" si="143">W46*-1</f>
        <v>0</v>
      </c>
      <c r="R46" s="460">
        <v>0</v>
      </c>
      <c r="S46" s="673">
        <v>0</v>
      </c>
      <c r="T46" s="460">
        <v>0</v>
      </c>
      <c r="U46" s="460">
        <v>0</v>
      </c>
      <c r="V46" s="460">
        <f t="shared" ref="V46:V51" si="144">SUM(Q46:U46)</f>
        <v>0</v>
      </c>
      <c r="W46" s="460">
        <v>0</v>
      </c>
      <c r="X46" s="460">
        <v>0</v>
      </c>
      <c r="Y46" s="460">
        <v>0</v>
      </c>
      <c r="Z46" s="460">
        <f t="shared" ref="Z46:Z51" si="145">SUM(W46:Y46)</f>
        <v>0</v>
      </c>
      <c r="AA46" s="460">
        <f t="shared" ref="AA46:AA51" si="146">V46+Z46</f>
        <v>0</v>
      </c>
      <c r="AB46" s="69">
        <f t="shared" ref="AB46:AB51" si="147">ROUND((V46+W46+X46)*33.8%,0)</f>
        <v>0</v>
      </c>
      <c r="AC46" s="69">
        <f t="shared" ref="AC46:AC51" si="148">ROUND(V46*1%,0)</f>
        <v>0</v>
      </c>
      <c r="AD46" s="460">
        <v>0</v>
      </c>
      <c r="AE46" s="460">
        <v>0</v>
      </c>
      <c r="AF46" s="460">
        <f t="shared" ref="AF46:AF51" si="149">SUM(AD46:AE46)</f>
        <v>0</v>
      </c>
      <c r="AG46" s="460">
        <f t="shared" ref="AG46:AG51" si="150">AA46+AB46+AC46+AF46</f>
        <v>0</v>
      </c>
      <c r="AH46" s="461">
        <v>0</v>
      </c>
      <c r="AI46" s="461">
        <v>0</v>
      </c>
      <c r="AJ46" s="461">
        <v>0</v>
      </c>
      <c r="AK46" s="461">
        <v>0</v>
      </c>
      <c r="AL46" s="674">
        <v>0</v>
      </c>
      <c r="AM46" s="461">
        <v>0</v>
      </c>
      <c r="AN46" s="461">
        <v>0</v>
      </c>
      <c r="AO46" s="461">
        <v>0</v>
      </c>
      <c r="AP46" s="461">
        <f t="shared" ref="AP46:AP51" si="151">AH46+AJ46+AK46+AM46+AN46</f>
        <v>0</v>
      </c>
      <c r="AQ46" s="461">
        <f t="shared" ref="AQ46:AQ51" si="152">AI46+AL46+AO46</f>
        <v>0</v>
      </c>
      <c r="AR46" s="463">
        <f t="shared" ref="AR46:AR51" si="153">SUM(AP46:AQ46)</f>
        <v>0</v>
      </c>
      <c r="AS46" s="469">
        <f t="shared" ref="AS46:AS51" si="154">I46+AG46</f>
        <v>4784651</v>
      </c>
      <c r="AT46" s="460">
        <f t="shared" ref="AT46:AT51" si="155">J46+V46</f>
        <v>3528969</v>
      </c>
      <c r="AU46" s="460">
        <f t="shared" ref="AU46:AU51" si="156">Z46</f>
        <v>0</v>
      </c>
      <c r="AV46" s="460">
        <f t="shared" ref="AV46:AW51" si="157">K46+AB46</f>
        <v>1192792</v>
      </c>
      <c r="AW46" s="460">
        <f t="shared" si="157"/>
        <v>35290</v>
      </c>
      <c r="AX46" s="460">
        <f t="shared" ref="AX46:AX51" si="158">M46+AF46</f>
        <v>27600</v>
      </c>
      <c r="AY46" s="461">
        <f t="shared" ref="AY46:AY51" si="159">N46+AR46</f>
        <v>7.2</v>
      </c>
      <c r="AZ46" s="461">
        <f t="shared" ref="AZ46:BA51" si="160">O46+AP46</f>
        <v>6</v>
      </c>
      <c r="BA46" s="463">
        <f t="shared" si="160"/>
        <v>1.2</v>
      </c>
    </row>
    <row r="47" spans="1:53" s="229" customFormat="1" x14ac:dyDescent="0.2">
      <c r="A47" s="216">
        <v>10</v>
      </c>
      <c r="B47" s="217">
        <v>4439</v>
      </c>
      <c r="C47" s="217">
        <v>600074951</v>
      </c>
      <c r="D47" s="217">
        <v>48283088</v>
      </c>
      <c r="E47" s="215" t="s">
        <v>167</v>
      </c>
      <c r="F47" s="217">
        <v>3113</v>
      </c>
      <c r="G47" s="168" t="s">
        <v>310</v>
      </c>
      <c r="H47" s="218" t="s">
        <v>277</v>
      </c>
      <c r="I47" s="462">
        <f t="shared" si="139"/>
        <v>24101017</v>
      </c>
      <c r="J47" s="457">
        <v>17539086</v>
      </c>
      <c r="K47" s="457">
        <f>ROUND(J47*33.8%,0)-1</f>
        <v>5928210</v>
      </c>
      <c r="L47" s="457">
        <f t="shared" si="141"/>
        <v>175391</v>
      </c>
      <c r="M47" s="457">
        <v>458330</v>
      </c>
      <c r="N47" s="458">
        <f t="shared" si="142"/>
        <v>31.358999999999998</v>
      </c>
      <c r="O47" s="459">
        <v>24.908999999999999</v>
      </c>
      <c r="P47" s="468">
        <v>6.45</v>
      </c>
      <c r="Q47" s="470">
        <f t="shared" si="143"/>
        <v>-9750</v>
      </c>
      <c r="R47" s="460">
        <v>0</v>
      </c>
      <c r="S47" s="673">
        <v>0</v>
      </c>
      <c r="T47" s="460">
        <v>0</v>
      </c>
      <c r="U47" s="460">
        <v>0</v>
      </c>
      <c r="V47" s="460">
        <f t="shared" si="144"/>
        <v>-9750</v>
      </c>
      <c r="W47" s="460">
        <v>9750</v>
      </c>
      <c r="X47" s="460">
        <v>0</v>
      </c>
      <c r="Y47" s="460">
        <v>0</v>
      </c>
      <c r="Z47" s="460">
        <f t="shared" si="145"/>
        <v>9750</v>
      </c>
      <c r="AA47" s="460">
        <f t="shared" si="146"/>
        <v>0</v>
      </c>
      <c r="AB47" s="69">
        <f t="shared" si="147"/>
        <v>0</v>
      </c>
      <c r="AC47" s="69">
        <f t="shared" si="148"/>
        <v>-98</v>
      </c>
      <c r="AD47" s="460">
        <v>0</v>
      </c>
      <c r="AE47" s="460">
        <v>0</v>
      </c>
      <c r="AF47" s="460">
        <f t="shared" si="149"/>
        <v>0</v>
      </c>
      <c r="AG47" s="460">
        <f t="shared" si="150"/>
        <v>-98</v>
      </c>
      <c r="AH47" s="461">
        <v>-0.02</v>
      </c>
      <c r="AI47" s="461">
        <v>0</v>
      </c>
      <c r="AJ47" s="461">
        <v>0</v>
      </c>
      <c r="AK47" s="461">
        <v>0</v>
      </c>
      <c r="AL47" s="674">
        <v>0</v>
      </c>
      <c r="AM47" s="461">
        <v>0</v>
      </c>
      <c r="AN47" s="461">
        <v>0</v>
      </c>
      <c r="AO47" s="461">
        <v>0</v>
      </c>
      <c r="AP47" s="461">
        <f t="shared" si="151"/>
        <v>-0.02</v>
      </c>
      <c r="AQ47" s="461">
        <f t="shared" si="152"/>
        <v>0</v>
      </c>
      <c r="AR47" s="463">
        <f t="shared" si="153"/>
        <v>-0.02</v>
      </c>
      <c r="AS47" s="469">
        <f t="shared" si="154"/>
        <v>24100919</v>
      </c>
      <c r="AT47" s="460">
        <f t="shared" si="155"/>
        <v>17529336</v>
      </c>
      <c r="AU47" s="460">
        <f t="shared" si="156"/>
        <v>9750</v>
      </c>
      <c r="AV47" s="460">
        <f t="shared" si="157"/>
        <v>5928210</v>
      </c>
      <c r="AW47" s="460">
        <f t="shared" si="157"/>
        <v>175293</v>
      </c>
      <c r="AX47" s="460">
        <f t="shared" si="158"/>
        <v>458330</v>
      </c>
      <c r="AY47" s="461">
        <f t="shared" si="159"/>
        <v>31.338999999999999</v>
      </c>
      <c r="AZ47" s="461">
        <f t="shared" si="160"/>
        <v>24.888999999999999</v>
      </c>
      <c r="BA47" s="463">
        <f t="shared" si="160"/>
        <v>6.45</v>
      </c>
    </row>
    <row r="48" spans="1:53" s="229" customFormat="1" x14ac:dyDescent="0.2">
      <c r="A48" s="216">
        <v>10</v>
      </c>
      <c r="B48" s="217">
        <v>4439</v>
      </c>
      <c r="C48" s="217">
        <v>600074951</v>
      </c>
      <c r="D48" s="217">
        <v>48283088</v>
      </c>
      <c r="E48" s="215" t="s">
        <v>167</v>
      </c>
      <c r="F48" s="217">
        <v>3113</v>
      </c>
      <c r="G48" s="168" t="s">
        <v>308</v>
      </c>
      <c r="H48" s="218" t="s">
        <v>278</v>
      </c>
      <c r="I48" s="462">
        <f t="shared" si="139"/>
        <v>0</v>
      </c>
      <c r="J48" s="457">
        <v>0</v>
      </c>
      <c r="K48" s="457">
        <f t="shared" si="140"/>
        <v>0</v>
      </c>
      <c r="L48" s="457">
        <f t="shared" si="141"/>
        <v>0</v>
      </c>
      <c r="M48" s="457">
        <v>0</v>
      </c>
      <c r="N48" s="458">
        <f t="shared" si="142"/>
        <v>0</v>
      </c>
      <c r="O48" s="459">
        <v>0</v>
      </c>
      <c r="P48" s="468">
        <v>0</v>
      </c>
      <c r="Q48" s="470">
        <f t="shared" si="143"/>
        <v>0</v>
      </c>
      <c r="R48" s="460">
        <v>2627243</v>
      </c>
      <c r="S48" s="673">
        <v>0</v>
      </c>
      <c r="T48" s="460">
        <v>0</v>
      </c>
      <c r="U48" s="460">
        <v>0</v>
      </c>
      <c r="V48" s="460">
        <f t="shared" si="144"/>
        <v>2627243</v>
      </c>
      <c r="W48" s="460">
        <v>0</v>
      </c>
      <c r="X48" s="460">
        <v>0</v>
      </c>
      <c r="Y48" s="460">
        <v>0</v>
      </c>
      <c r="Z48" s="460">
        <f t="shared" si="145"/>
        <v>0</v>
      </c>
      <c r="AA48" s="460">
        <f t="shared" si="146"/>
        <v>2627243</v>
      </c>
      <c r="AB48" s="69">
        <f t="shared" si="147"/>
        <v>888008</v>
      </c>
      <c r="AC48" s="69">
        <f t="shared" si="148"/>
        <v>26272</v>
      </c>
      <c r="AD48" s="460">
        <f>2500+2500</f>
        <v>5000</v>
      </c>
      <c r="AE48" s="460">
        <v>0</v>
      </c>
      <c r="AF48" s="460">
        <f t="shared" si="149"/>
        <v>5000</v>
      </c>
      <c r="AG48" s="460">
        <f t="shared" si="150"/>
        <v>3546523</v>
      </c>
      <c r="AH48" s="461">
        <v>0</v>
      </c>
      <c r="AI48" s="461">
        <v>0</v>
      </c>
      <c r="AJ48" s="461">
        <v>7.59</v>
      </c>
      <c r="AK48" s="461">
        <v>0</v>
      </c>
      <c r="AL48" s="674">
        <v>0</v>
      </c>
      <c r="AM48" s="461">
        <v>0</v>
      </c>
      <c r="AN48" s="461">
        <v>0</v>
      </c>
      <c r="AO48" s="461">
        <v>0</v>
      </c>
      <c r="AP48" s="461">
        <f t="shared" si="151"/>
        <v>7.59</v>
      </c>
      <c r="AQ48" s="461">
        <f t="shared" si="152"/>
        <v>0</v>
      </c>
      <c r="AR48" s="463">
        <f t="shared" si="153"/>
        <v>7.59</v>
      </c>
      <c r="AS48" s="469">
        <f t="shared" si="154"/>
        <v>3546523</v>
      </c>
      <c r="AT48" s="460">
        <f t="shared" si="155"/>
        <v>2627243</v>
      </c>
      <c r="AU48" s="460">
        <f t="shared" si="156"/>
        <v>0</v>
      </c>
      <c r="AV48" s="460">
        <f t="shared" si="157"/>
        <v>888008</v>
      </c>
      <c r="AW48" s="460">
        <f t="shared" si="157"/>
        <v>26272</v>
      </c>
      <c r="AX48" s="460">
        <f t="shared" si="158"/>
        <v>5000</v>
      </c>
      <c r="AY48" s="461">
        <f t="shared" si="159"/>
        <v>7.59</v>
      </c>
      <c r="AZ48" s="461">
        <f t="shared" si="160"/>
        <v>7.59</v>
      </c>
      <c r="BA48" s="463">
        <f t="shared" si="160"/>
        <v>0</v>
      </c>
    </row>
    <row r="49" spans="1:53" s="229" customFormat="1" x14ac:dyDescent="0.2">
      <c r="A49" s="216">
        <v>10</v>
      </c>
      <c r="B49" s="217">
        <v>4439</v>
      </c>
      <c r="C49" s="217">
        <v>600074951</v>
      </c>
      <c r="D49" s="217">
        <v>48283088</v>
      </c>
      <c r="E49" s="215" t="s">
        <v>167</v>
      </c>
      <c r="F49" s="217">
        <v>3141</v>
      </c>
      <c r="G49" s="168" t="s">
        <v>311</v>
      </c>
      <c r="H49" s="218" t="s">
        <v>278</v>
      </c>
      <c r="I49" s="462">
        <f t="shared" si="139"/>
        <v>2535458</v>
      </c>
      <c r="J49" s="457">
        <v>1868482</v>
      </c>
      <c r="K49" s="457">
        <f t="shared" si="140"/>
        <v>631547</v>
      </c>
      <c r="L49" s="457">
        <f t="shared" si="141"/>
        <v>18685</v>
      </c>
      <c r="M49" s="457">
        <v>16744</v>
      </c>
      <c r="N49" s="458">
        <f t="shared" si="142"/>
        <v>6</v>
      </c>
      <c r="O49" s="459">
        <v>0</v>
      </c>
      <c r="P49" s="468">
        <v>6</v>
      </c>
      <c r="Q49" s="470">
        <f t="shared" si="143"/>
        <v>0</v>
      </c>
      <c r="R49" s="460">
        <v>0</v>
      </c>
      <c r="S49" s="673">
        <v>0</v>
      </c>
      <c r="T49" s="460">
        <v>0</v>
      </c>
      <c r="U49" s="460">
        <v>0</v>
      </c>
      <c r="V49" s="460">
        <f t="shared" si="144"/>
        <v>0</v>
      </c>
      <c r="W49" s="460">
        <v>0</v>
      </c>
      <c r="X49" s="460">
        <v>0</v>
      </c>
      <c r="Y49" s="460">
        <v>0</v>
      </c>
      <c r="Z49" s="460">
        <f t="shared" si="145"/>
        <v>0</v>
      </c>
      <c r="AA49" s="460">
        <f t="shared" si="146"/>
        <v>0</v>
      </c>
      <c r="AB49" s="69">
        <f t="shared" si="147"/>
        <v>0</v>
      </c>
      <c r="AC49" s="69">
        <f t="shared" si="148"/>
        <v>0</v>
      </c>
      <c r="AD49" s="460">
        <v>0</v>
      </c>
      <c r="AE49" s="460">
        <v>0</v>
      </c>
      <c r="AF49" s="460">
        <f t="shared" si="149"/>
        <v>0</v>
      </c>
      <c r="AG49" s="460">
        <f t="shared" si="150"/>
        <v>0</v>
      </c>
      <c r="AH49" s="461">
        <v>0</v>
      </c>
      <c r="AI49" s="461">
        <v>0</v>
      </c>
      <c r="AJ49" s="461">
        <v>0</v>
      </c>
      <c r="AK49" s="461">
        <v>0</v>
      </c>
      <c r="AL49" s="674">
        <v>0</v>
      </c>
      <c r="AM49" s="461">
        <v>0</v>
      </c>
      <c r="AN49" s="461">
        <v>0</v>
      </c>
      <c r="AO49" s="461">
        <v>0</v>
      </c>
      <c r="AP49" s="461">
        <f t="shared" si="151"/>
        <v>0</v>
      </c>
      <c r="AQ49" s="461">
        <f t="shared" si="152"/>
        <v>0</v>
      </c>
      <c r="AR49" s="463">
        <f t="shared" si="153"/>
        <v>0</v>
      </c>
      <c r="AS49" s="469">
        <f t="shared" si="154"/>
        <v>2535458</v>
      </c>
      <c r="AT49" s="460">
        <f t="shared" si="155"/>
        <v>1868482</v>
      </c>
      <c r="AU49" s="460">
        <f t="shared" si="156"/>
        <v>0</v>
      </c>
      <c r="AV49" s="460">
        <f t="shared" si="157"/>
        <v>631547</v>
      </c>
      <c r="AW49" s="460">
        <f t="shared" si="157"/>
        <v>18685</v>
      </c>
      <c r="AX49" s="460">
        <f t="shared" si="158"/>
        <v>16744</v>
      </c>
      <c r="AY49" s="461">
        <f t="shared" si="159"/>
        <v>6</v>
      </c>
      <c r="AZ49" s="461">
        <f t="shared" si="160"/>
        <v>0</v>
      </c>
      <c r="BA49" s="463">
        <f t="shared" si="160"/>
        <v>6</v>
      </c>
    </row>
    <row r="50" spans="1:53" s="229" customFormat="1" x14ac:dyDescent="0.2">
      <c r="A50" s="216">
        <v>10</v>
      </c>
      <c r="B50" s="217">
        <v>4439</v>
      </c>
      <c r="C50" s="217">
        <v>600074951</v>
      </c>
      <c r="D50" s="217">
        <v>48283088</v>
      </c>
      <c r="E50" s="215" t="s">
        <v>167</v>
      </c>
      <c r="F50" s="217">
        <v>3143</v>
      </c>
      <c r="G50" s="168" t="s">
        <v>616</v>
      </c>
      <c r="H50" s="234" t="s">
        <v>277</v>
      </c>
      <c r="I50" s="462">
        <f t="shared" si="139"/>
        <v>1970137</v>
      </c>
      <c r="J50" s="457">
        <v>1461526</v>
      </c>
      <c r="K50" s="457">
        <f t="shared" si="140"/>
        <v>493996</v>
      </c>
      <c r="L50" s="457">
        <f t="shared" si="141"/>
        <v>14615</v>
      </c>
      <c r="M50" s="457">
        <v>0</v>
      </c>
      <c r="N50" s="458">
        <f t="shared" si="142"/>
        <v>3.2498999999999998</v>
      </c>
      <c r="O50" s="459">
        <v>3.2498999999999998</v>
      </c>
      <c r="P50" s="468">
        <v>0</v>
      </c>
      <c r="Q50" s="470">
        <f t="shared" si="143"/>
        <v>0</v>
      </c>
      <c r="R50" s="460">
        <v>0</v>
      </c>
      <c r="S50" s="673">
        <v>0</v>
      </c>
      <c r="T50" s="460">
        <v>0</v>
      </c>
      <c r="U50" s="460">
        <v>0</v>
      </c>
      <c r="V50" s="460">
        <f t="shared" si="144"/>
        <v>0</v>
      </c>
      <c r="W50" s="460">
        <v>0</v>
      </c>
      <c r="X50" s="460">
        <v>0</v>
      </c>
      <c r="Y50" s="460">
        <v>0</v>
      </c>
      <c r="Z50" s="460">
        <f t="shared" si="145"/>
        <v>0</v>
      </c>
      <c r="AA50" s="460">
        <f t="shared" si="146"/>
        <v>0</v>
      </c>
      <c r="AB50" s="69">
        <f t="shared" si="147"/>
        <v>0</v>
      </c>
      <c r="AC50" s="69">
        <f t="shared" si="148"/>
        <v>0</v>
      </c>
      <c r="AD50" s="460">
        <v>0</v>
      </c>
      <c r="AE50" s="460">
        <v>0</v>
      </c>
      <c r="AF50" s="460">
        <f t="shared" si="149"/>
        <v>0</v>
      </c>
      <c r="AG50" s="460">
        <f t="shared" si="150"/>
        <v>0</v>
      </c>
      <c r="AH50" s="461">
        <v>0</v>
      </c>
      <c r="AI50" s="461">
        <v>0</v>
      </c>
      <c r="AJ50" s="461">
        <v>0</v>
      </c>
      <c r="AK50" s="461">
        <v>0</v>
      </c>
      <c r="AL50" s="674">
        <v>0</v>
      </c>
      <c r="AM50" s="461">
        <v>0</v>
      </c>
      <c r="AN50" s="461">
        <v>0</v>
      </c>
      <c r="AO50" s="461">
        <v>0</v>
      </c>
      <c r="AP50" s="461">
        <f t="shared" si="151"/>
        <v>0</v>
      </c>
      <c r="AQ50" s="461">
        <f t="shared" si="152"/>
        <v>0</v>
      </c>
      <c r="AR50" s="463">
        <f t="shared" si="153"/>
        <v>0</v>
      </c>
      <c r="AS50" s="469">
        <f t="shared" si="154"/>
        <v>1970137</v>
      </c>
      <c r="AT50" s="460">
        <f t="shared" si="155"/>
        <v>1461526</v>
      </c>
      <c r="AU50" s="460">
        <f t="shared" si="156"/>
        <v>0</v>
      </c>
      <c r="AV50" s="460">
        <f t="shared" si="157"/>
        <v>493996</v>
      </c>
      <c r="AW50" s="460">
        <f t="shared" si="157"/>
        <v>14615</v>
      </c>
      <c r="AX50" s="460">
        <f t="shared" si="158"/>
        <v>0</v>
      </c>
      <c r="AY50" s="461">
        <f t="shared" si="159"/>
        <v>3.2498999999999998</v>
      </c>
      <c r="AZ50" s="461">
        <f t="shared" si="160"/>
        <v>3.2498999999999998</v>
      </c>
      <c r="BA50" s="463">
        <f t="shared" si="160"/>
        <v>0</v>
      </c>
    </row>
    <row r="51" spans="1:53" s="229" customFormat="1" x14ac:dyDescent="0.2">
      <c r="A51" s="216">
        <v>10</v>
      </c>
      <c r="B51" s="217">
        <v>4439</v>
      </c>
      <c r="C51" s="217">
        <v>600074951</v>
      </c>
      <c r="D51" s="217">
        <v>48283088</v>
      </c>
      <c r="E51" s="215" t="s">
        <v>167</v>
      </c>
      <c r="F51" s="217">
        <v>3143</v>
      </c>
      <c r="G51" s="168" t="s">
        <v>617</v>
      </c>
      <c r="H51" s="234" t="s">
        <v>278</v>
      </c>
      <c r="I51" s="462">
        <f t="shared" si="139"/>
        <v>64504</v>
      </c>
      <c r="J51" s="457">
        <v>46089</v>
      </c>
      <c r="K51" s="457">
        <f t="shared" si="140"/>
        <v>15578</v>
      </c>
      <c r="L51" s="457">
        <f t="shared" si="141"/>
        <v>461</v>
      </c>
      <c r="M51" s="457">
        <v>2376</v>
      </c>
      <c r="N51" s="458">
        <f t="shared" si="142"/>
        <v>0.18</v>
      </c>
      <c r="O51" s="459">
        <v>0</v>
      </c>
      <c r="P51" s="468">
        <v>0.18</v>
      </c>
      <c r="Q51" s="470">
        <f t="shared" si="143"/>
        <v>0</v>
      </c>
      <c r="R51" s="460">
        <v>0</v>
      </c>
      <c r="S51" s="673">
        <v>0</v>
      </c>
      <c r="T51" s="460">
        <v>0</v>
      </c>
      <c r="U51" s="460">
        <v>0</v>
      </c>
      <c r="V51" s="460">
        <f t="shared" si="144"/>
        <v>0</v>
      </c>
      <c r="W51" s="460">
        <v>0</v>
      </c>
      <c r="X51" s="460">
        <v>0</v>
      </c>
      <c r="Y51" s="460">
        <v>0</v>
      </c>
      <c r="Z51" s="460">
        <f t="shared" si="145"/>
        <v>0</v>
      </c>
      <c r="AA51" s="460">
        <f t="shared" si="146"/>
        <v>0</v>
      </c>
      <c r="AB51" s="69">
        <f t="shared" si="147"/>
        <v>0</v>
      </c>
      <c r="AC51" s="69">
        <f t="shared" si="148"/>
        <v>0</v>
      </c>
      <c r="AD51" s="460">
        <v>0</v>
      </c>
      <c r="AE51" s="460">
        <v>0</v>
      </c>
      <c r="AF51" s="460">
        <f t="shared" si="149"/>
        <v>0</v>
      </c>
      <c r="AG51" s="460">
        <f t="shared" si="150"/>
        <v>0</v>
      </c>
      <c r="AH51" s="461">
        <v>0</v>
      </c>
      <c r="AI51" s="461">
        <v>0</v>
      </c>
      <c r="AJ51" s="461">
        <v>0</v>
      </c>
      <c r="AK51" s="461">
        <v>0</v>
      </c>
      <c r="AL51" s="674">
        <v>0</v>
      </c>
      <c r="AM51" s="461">
        <v>0</v>
      </c>
      <c r="AN51" s="461">
        <v>0</v>
      </c>
      <c r="AO51" s="461">
        <v>0</v>
      </c>
      <c r="AP51" s="461">
        <f t="shared" si="151"/>
        <v>0</v>
      </c>
      <c r="AQ51" s="461">
        <f t="shared" si="152"/>
        <v>0</v>
      </c>
      <c r="AR51" s="463">
        <f t="shared" si="153"/>
        <v>0</v>
      </c>
      <c r="AS51" s="469">
        <f t="shared" si="154"/>
        <v>64504</v>
      </c>
      <c r="AT51" s="460">
        <f t="shared" si="155"/>
        <v>46089</v>
      </c>
      <c r="AU51" s="460">
        <f t="shared" si="156"/>
        <v>0</v>
      </c>
      <c r="AV51" s="460">
        <f t="shared" si="157"/>
        <v>15578</v>
      </c>
      <c r="AW51" s="460">
        <f t="shared" si="157"/>
        <v>461</v>
      </c>
      <c r="AX51" s="460">
        <f t="shared" si="158"/>
        <v>2376</v>
      </c>
      <c r="AY51" s="461">
        <f t="shared" si="159"/>
        <v>0.18</v>
      </c>
      <c r="AZ51" s="461">
        <f t="shared" si="160"/>
        <v>0</v>
      </c>
      <c r="BA51" s="463">
        <f t="shared" si="160"/>
        <v>0.18</v>
      </c>
    </row>
    <row r="52" spans="1:53" s="229" customFormat="1" x14ac:dyDescent="0.2">
      <c r="A52" s="158">
        <v>10</v>
      </c>
      <c r="B52" s="18">
        <v>4439</v>
      </c>
      <c r="C52" s="18">
        <v>600074951</v>
      </c>
      <c r="D52" s="18">
        <v>48283088</v>
      </c>
      <c r="E52" s="167" t="s">
        <v>168</v>
      </c>
      <c r="F52" s="18"/>
      <c r="G52" s="157"/>
      <c r="H52" s="191"/>
      <c r="I52" s="505">
        <f t="shared" ref="I52:P52" si="161">SUM(I46:I51)</f>
        <v>33455767</v>
      </c>
      <c r="J52" s="502">
        <f t="shared" si="161"/>
        <v>24444152</v>
      </c>
      <c r="K52" s="502">
        <f t="shared" si="161"/>
        <v>8262123</v>
      </c>
      <c r="L52" s="502">
        <f t="shared" si="161"/>
        <v>244442</v>
      </c>
      <c r="M52" s="502">
        <f t="shared" si="161"/>
        <v>505050</v>
      </c>
      <c r="N52" s="503">
        <f t="shared" si="161"/>
        <v>47.988899999999994</v>
      </c>
      <c r="O52" s="503">
        <f t="shared" si="161"/>
        <v>34.158899999999996</v>
      </c>
      <c r="P52" s="507">
        <f t="shared" si="161"/>
        <v>13.83</v>
      </c>
      <c r="Q52" s="505">
        <f t="shared" ref="Q52:BA52" si="162">SUM(Q46:Q51)</f>
        <v>-9750</v>
      </c>
      <c r="R52" s="502">
        <f t="shared" si="162"/>
        <v>2627243</v>
      </c>
      <c r="S52" s="502">
        <f t="shared" si="162"/>
        <v>0</v>
      </c>
      <c r="T52" s="502">
        <f t="shared" si="162"/>
        <v>0</v>
      </c>
      <c r="U52" s="502">
        <f t="shared" si="162"/>
        <v>0</v>
      </c>
      <c r="V52" s="502">
        <f t="shared" si="162"/>
        <v>2617493</v>
      </c>
      <c r="W52" s="502">
        <f t="shared" si="162"/>
        <v>9750</v>
      </c>
      <c r="X52" s="502">
        <f t="shared" si="162"/>
        <v>0</v>
      </c>
      <c r="Y52" s="502">
        <f t="shared" si="162"/>
        <v>0</v>
      </c>
      <c r="Z52" s="502">
        <f t="shared" si="162"/>
        <v>9750</v>
      </c>
      <c r="AA52" s="502">
        <f t="shared" si="162"/>
        <v>2627243</v>
      </c>
      <c r="AB52" s="502">
        <f t="shared" si="162"/>
        <v>888008</v>
      </c>
      <c r="AC52" s="502">
        <f t="shared" si="162"/>
        <v>26174</v>
      </c>
      <c r="AD52" s="502">
        <f t="shared" si="162"/>
        <v>5000</v>
      </c>
      <c r="AE52" s="502">
        <f t="shared" si="162"/>
        <v>0</v>
      </c>
      <c r="AF52" s="502">
        <f t="shared" si="162"/>
        <v>5000</v>
      </c>
      <c r="AG52" s="502">
        <f t="shared" si="162"/>
        <v>3546425</v>
      </c>
      <c r="AH52" s="503">
        <f t="shared" si="162"/>
        <v>-0.02</v>
      </c>
      <c r="AI52" s="503">
        <f t="shared" si="162"/>
        <v>0</v>
      </c>
      <c r="AJ52" s="503">
        <f t="shared" si="162"/>
        <v>7.59</v>
      </c>
      <c r="AK52" s="503">
        <f t="shared" si="162"/>
        <v>0</v>
      </c>
      <c r="AL52" s="503">
        <f t="shared" si="162"/>
        <v>0</v>
      </c>
      <c r="AM52" s="503">
        <f t="shared" si="162"/>
        <v>0</v>
      </c>
      <c r="AN52" s="503">
        <f t="shared" si="162"/>
        <v>0</v>
      </c>
      <c r="AO52" s="503">
        <f t="shared" si="162"/>
        <v>0</v>
      </c>
      <c r="AP52" s="503">
        <f t="shared" si="162"/>
        <v>7.57</v>
      </c>
      <c r="AQ52" s="503">
        <f t="shared" si="162"/>
        <v>0</v>
      </c>
      <c r="AR52" s="40">
        <f t="shared" si="162"/>
        <v>7.57</v>
      </c>
      <c r="AS52" s="509">
        <f t="shared" si="162"/>
        <v>37002192</v>
      </c>
      <c r="AT52" s="502">
        <f t="shared" si="162"/>
        <v>27061645</v>
      </c>
      <c r="AU52" s="502">
        <f t="shared" si="162"/>
        <v>9750</v>
      </c>
      <c r="AV52" s="502">
        <f t="shared" si="162"/>
        <v>9150131</v>
      </c>
      <c r="AW52" s="502">
        <f t="shared" si="162"/>
        <v>270616</v>
      </c>
      <c r="AX52" s="502">
        <f t="shared" si="162"/>
        <v>510050</v>
      </c>
      <c r="AY52" s="503">
        <f t="shared" si="162"/>
        <v>55.558900000000001</v>
      </c>
      <c r="AZ52" s="503">
        <f t="shared" si="162"/>
        <v>41.728899999999996</v>
      </c>
      <c r="BA52" s="40">
        <f t="shared" si="162"/>
        <v>13.83</v>
      </c>
    </row>
    <row r="53" spans="1:53" s="229" customFormat="1" x14ac:dyDescent="0.2">
      <c r="A53" s="216">
        <v>11</v>
      </c>
      <c r="B53" s="217">
        <v>4443</v>
      </c>
      <c r="C53" s="217">
        <v>600074994</v>
      </c>
      <c r="D53" s="217">
        <v>46750045</v>
      </c>
      <c r="E53" s="215" t="s">
        <v>169</v>
      </c>
      <c r="F53" s="217">
        <v>3113</v>
      </c>
      <c r="G53" s="168" t="s">
        <v>310</v>
      </c>
      <c r="H53" s="218" t="s">
        <v>277</v>
      </c>
      <c r="I53" s="462">
        <f t="shared" ref="I53:I57" si="163">SUM(J53:M53)</f>
        <v>56108487</v>
      </c>
      <c r="J53" s="457">
        <v>40840280</v>
      </c>
      <c r="K53" s="457">
        <f t="shared" ref="K53:K57" si="164">ROUND(J53*33.8%,0)</f>
        <v>13804015</v>
      </c>
      <c r="L53" s="457">
        <f>ROUND(J53*1%,0)-1</f>
        <v>408402</v>
      </c>
      <c r="M53" s="457">
        <v>1055790</v>
      </c>
      <c r="N53" s="458">
        <f t="shared" ref="N53:N57" si="165">O53+P53</f>
        <v>67.009699999999995</v>
      </c>
      <c r="O53" s="459">
        <v>55.419699999999999</v>
      </c>
      <c r="P53" s="468">
        <v>11.59</v>
      </c>
      <c r="Q53" s="470">
        <f t="shared" ref="Q53:Q57" si="166">W53*-1</f>
        <v>-105950</v>
      </c>
      <c r="R53" s="460">
        <v>0</v>
      </c>
      <c r="S53" s="673">
        <v>0</v>
      </c>
      <c r="T53" s="460">
        <v>185700</v>
      </c>
      <c r="U53" s="460">
        <v>0</v>
      </c>
      <c r="V53" s="460">
        <f>SUM(Q53:U53)</f>
        <v>79750</v>
      </c>
      <c r="W53" s="460">
        <v>105950</v>
      </c>
      <c r="X53" s="460">
        <v>0</v>
      </c>
      <c r="Y53" s="460">
        <v>0</v>
      </c>
      <c r="Z53" s="460">
        <f t="shared" ref="Z53:Z57" si="167">SUM(W53:Y53)</f>
        <v>105950</v>
      </c>
      <c r="AA53" s="460">
        <f t="shared" ref="AA53:AA57" si="168">V53+Z53</f>
        <v>185700</v>
      </c>
      <c r="AB53" s="69">
        <f t="shared" ref="AB53:AB57" si="169">ROUND((V53+W53+X53)*33.8%,0)</f>
        <v>62767</v>
      </c>
      <c r="AC53" s="69">
        <f t="shared" ref="AC53:AC57" si="170">ROUND(V53*1%,0)</f>
        <v>798</v>
      </c>
      <c r="AD53" s="460">
        <v>0</v>
      </c>
      <c r="AE53" s="460">
        <v>0</v>
      </c>
      <c r="AF53" s="460">
        <f t="shared" ref="AF53:AF57" si="171">SUM(AD53:AE53)</f>
        <v>0</v>
      </c>
      <c r="AG53" s="460">
        <f t="shared" ref="AG53:AG57" si="172">AA53+AB53+AC53+AF53</f>
        <v>249265</v>
      </c>
      <c r="AH53" s="461">
        <v>-0.14000000000000001</v>
      </c>
      <c r="AI53" s="461">
        <v>-0.02</v>
      </c>
      <c r="AJ53" s="461">
        <v>0</v>
      </c>
      <c r="AK53" s="461">
        <v>0</v>
      </c>
      <c r="AL53" s="674">
        <v>0</v>
      </c>
      <c r="AM53" s="461">
        <v>0.28000000000000003</v>
      </c>
      <c r="AN53" s="461">
        <v>0</v>
      </c>
      <c r="AO53" s="461">
        <v>0</v>
      </c>
      <c r="AP53" s="461">
        <f>AH53+AJ53+AK53+AM53+AN53</f>
        <v>0.14000000000000001</v>
      </c>
      <c r="AQ53" s="461">
        <f>AI53+AL53+AO53</f>
        <v>-0.02</v>
      </c>
      <c r="AR53" s="463">
        <f t="shared" ref="AR53:AR57" si="173">SUM(AP53:AQ53)</f>
        <v>0.12000000000000001</v>
      </c>
      <c r="AS53" s="469">
        <f>I53+AG53</f>
        <v>56357752</v>
      </c>
      <c r="AT53" s="460">
        <f>J53+V53</f>
        <v>40920030</v>
      </c>
      <c r="AU53" s="460">
        <f t="shared" ref="AU53:AU57" si="174">Z53</f>
        <v>105950</v>
      </c>
      <c r="AV53" s="460">
        <f t="shared" ref="AV53:AW57" si="175">K53+AB53</f>
        <v>13866782</v>
      </c>
      <c r="AW53" s="460">
        <f t="shared" si="175"/>
        <v>409200</v>
      </c>
      <c r="AX53" s="460">
        <f>M53+AF53</f>
        <v>1055790</v>
      </c>
      <c r="AY53" s="461">
        <f>N53+AR53</f>
        <v>67.1297</v>
      </c>
      <c r="AZ53" s="461">
        <f t="shared" ref="AZ53:BA57" si="176">O53+AP53</f>
        <v>55.559699999999999</v>
      </c>
      <c r="BA53" s="463">
        <f t="shared" si="176"/>
        <v>11.57</v>
      </c>
    </row>
    <row r="54" spans="1:53" s="229" customFormat="1" x14ac:dyDescent="0.2">
      <c r="A54" s="216">
        <v>11</v>
      </c>
      <c r="B54" s="217">
        <v>4443</v>
      </c>
      <c r="C54" s="217">
        <v>600074994</v>
      </c>
      <c r="D54" s="217">
        <v>46750045</v>
      </c>
      <c r="E54" s="215" t="s">
        <v>169</v>
      </c>
      <c r="F54" s="217">
        <v>3113</v>
      </c>
      <c r="G54" s="168" t="s">
        <v>308</v>
      </c>
      <c r="H54" s="218" t="s">
        <v>278</v>
      </c>
      <c r="I54" s="462">
        <f t="shared" si="163"/>
        <v>0</v>
      </c>
      <c r="J54" s="457">
        <v>0</v>
      </c>
      <c r="K54" s="457">
        <f t="shared" si="164"/>
        <v>0</v>
      </c>
      <c r="L54" s="457">
        <f t="shared" ref="L54:L57" si="177">ROUND(J54*1%,0)</f>
        <v>0</v>
      </c>
      <c r="M54" s="457">
        <v>0</v>
      </c>
      <c r="N54" s="458">
        <f t="shared" si="165"/>
        <v>0</v>
      </c>
      <c r="O54" s="459">
        <v>0</v>
      </c>
      <c r="P54" s="468">
        <v>0</v>
      </c>
      <c r="Q54" s="470">
        <f t="shared" si="166"/>
        <v>0</v>
      </c>
      <c r="R54" s="460">
        <f>5860732+238182+19280</f>
        <v>6118194</v>
      </c>
      <c r="S54" s="673">
        <v>0</v>
      </c>
      <c r="T54" s="460">
        <v>0</v>
      </c>
      <c r="U54" s="460">
        <v>0</v>
      </c>
      <c r="V54" s="460">
        <f>SUM(Q54:U54)</f>
        <v>6118194</v>
      </c>
      <c r="W54" s="460">
        <v>0</v>
      </c>
      <c r="X54" s="460">
        <v>0</v>
      </c>
      <c r="Y54" s="460">
        <v>0</v>
      </c>
      <c r="Z54" s="460">
        <f t="shared" si="167"/>
        <v>0</v>
      </c>
      <c r="AA54" s="460">
        <f t="shared" si="168"/>
        <v>6118194</v>
      </c>
      <c r="AB54" s="69">
        <f t="shared" si="169"/>
        <v>2067950</v>
      </c>
      <c r="AC54" s="69">
        <f t="shared" si="170"/>
        <v>61182</v>
      </c>
      <c r="AD54" s="460">
        <v>0</v>
      </c>
      <c r="AE54" s="460">
        <v>0</v>
      </c>
      <c r="AF54" s="460">
        <f t="shared" si="171"/>
        <v>0</v>
      </c>
      <c r="AG54" s="460">
        <f t="shared" si="172"/>
        <v>8247326</v>
      </c>
      <c r="AH54" s="461">
        <v>0</v>
      </c>
      <c r="AI54" s="461">
        <v>0</v>
      </c>
      <c r="AJ54" s="461">
        <f>16.92+0.69+0.04</f>
        <v>17.650000000000002</v>
      </c>
      <c r="AK54" s="461">
        <v>0</v>
      </c>
      <c r="AL54" s="674">
        <v>0</v>
      </c>
      <c r="AM54" s="461">
        <v>0</v>
      </c>
      <c r="AN54" s="461">
        <v>0</v>
      </c>
      <c r="AO54" s="461">
        <v>0</v>
      </c>
      <c r="AP54" s="461">
        <f>AH54+AJ54+AK54+AM54+AN54</f>
        <v>17.650000000000002</v>
      </c>
      <c r="AQ54" s="461">
        <f>AI54+AL54+AO54</f>
        <v>0</v>
      </c>
      <c r="AR54" s="463">
        <f t="shared" si="173"/>
        <v>17.650000000000002</v>
      </c>
      <c r="AS54" s="469">
        <f>I54+AG54</f>
        <v>8247326</v>
      </c>
      <c r="AT54" s="460">
        <f>J54+V54</f>
        <v>6118194</v>
      </c>
      <c r="AU54" s="460">
        <f t="shared" si="174"/>
        <v>0</v>
      </c>
      <c r="AV54" s="460">
        <f t="shared" si="175"/>
        <v>2067950</v>
      </c>
      <c r="AW54" s="460">
        <f t="shared" si="175"/>
        <v>61182</v>
      </c>
      <c r="AX54" s="460">
        <f>M54+AF54</f>
        <v>0</v>
      </c>
      <c r="AY54" s="461">
        <f>N54+AR54</f>
        <v>17.650000000000002</v>
      </c>
      <c r="AZ54" s="461">
        <f t="shared" si="176"/>
        <v>17.650000000000002</v>
      </c>
      <c r="BA54" s="463">
        <f t="shared" si="176"/>
        <v>0</v>
      </c>
    </row>
    <row r="55" spans="1:53" s="229" customFormat="1" x14ac:dyDescent="0.2">
      <c r="A55" s="216">
        <v>11</v>
      </c>
      <c r="B55" s="217">
        <v>4443</v>
      </c>
      <c r="C55" s="217">
        <v>600074994</v>
      </c>
      <c r="D55" s="217">
        <v>46750045</v>
      </c>
      <c r="E55" s="215" t="s">
        <v>169</v>
      </c>
      <c r="F55" s="217">
        <v>3143</v>
      </c>
      <c r="G55" s="168" t="s">
        <v>616</v>
      </c>
      <c r="H55" s="234" t="s">
        <v>277</v>
      </c>
      <c r="I55" s="462">
        <f t="shared" si="163"/>
        <v>4843987</v>
      </c>
      <c r="J55" s="457">
        <v>3593462</v>
      </c>
      <c r="K55" s="457">
        <f t="shared" si="164"/>
        <v>1214590</v>
      </c>
      <c r="L55" s="457">
        <f t="shared" si="177"/>
        <v>35935</v>
      </c>
      <c r="M55" s="457">
        <v>0</v>
      </c>
      <c r="N55" s="458">
        <f t="shared" si="165"/>
        <v>7.2142999999999997</v>
      </c>
      <c r="O55" s="459">
        <v>7.2142999999999997</v>
      </c>
      <c r="P55" s="468">
        <v>0</v>
      </c>
      <c r="Q55" s="470">
        <f t="shared" si="166"/>
        <v>-30550</v>
      </c>
      <c r="R55" s="460">
        <v>0</v>
      </c>
      <c r="S55" s="673">
        <v>0</v>
      </c>
      <c r="T55" s="460">
        <v>0</v>
      </c>
      <c r="U55" s="460">
        <v>0</v>
      </c>
      <c r="V55" s="460">
        <f>SUM(Q55:U55)</f>
        <v>-30550</v>
      </c>
      <c r="W55" s="460">
        <v>30550</v>
      </c>
      <c r="X55" s="460">
        <v>0</v>
      </c>
      <c r="Y55" s="460">
        <v>0</v>
      </c>
      <c r="Z55" s="460">
        <f t="shared" si="167"/>
        <v>30550</v>
      </c>
      <c r="AA55" s="460">
        <f t="shared" si="168"/>
        <v>0</v>
      </c>
      <c r="AB55" s="69">
        <f t="shared" si="169"/>
        <v>0</v>
      </c>
      <c r="AC55" s="69">
        <f t="shared" si="170"/>
        <v>-306</v>
      </c>
      <c r="AD55" s="460">
        <v>0</v>
      </c>
      <c r="AE55" s="460">
        <v>0</v>
      </c>
      <c r="AF55" s="460">
        <f t="shared" si="171"/>
        <v>0</v>
      </c>
      <c r="AG55" s="460">
        <f t="shared" si="172"/>
        <v>-306</v>
      </c>
      <c r="AH55" s="461">
        <v>0</v>
      </c>
      <c r="AI55" s="461">
        <v>0</v>
      </c>
      <c r="AJ55" s="461">
        <v>0</v>
      </c>
      <c r="AK55" s="461">
        <v>0</v>
      </c>
      <c r="AL55" s="674">
        <v>0</v>
      </c>
      <c r="AM55" s="461">
        <v>0</v>
      </c>
      <c r="AN55" s="461">
        <v>0</v>
      </c>
      <c r="AO55" s="461">
        <v>0</v>
      </c>
      <c r="AP55" s="461">
        <f>AH55+AJ55+AK55+AM55+AN55</f>
        <v>0</v>
      </c>
      <c r="AQ55" s="461">
        <f>AI55+AL55+AO55</f>
        <v>0</v>
      </c>
      <c r="AR55" s="463">
        <f t="shared" si="173"/>
        <v>0</v>
      </c>
      <c r="AS55" s="469">
        <f>I55+AG55</f>
        <v>4843681</v>
      </c>
      <c r="AT55" s="460">
        <f>J55+V55</f>
        <v>3562912</v>
      </c>
      <c r="AU55" s="460">
        <f t="shared" si="174"/>
        <v>30550</v>
      </c>
      <c r="AV55" s="460">
        <f t="shared" si="175"/>
        <v>1214590</v>
      </c>
      <c r="AW55" s="460">
        <f t="shared" si="175"/>
        <v>35629</v>
      </c>
      <c r="AX55" s="460">
        <f>M55+AF55</f>
        <v>0</v>
      </c>
      <c r="AY55" s="461">
        <f>N55+AR55</f>
        <v>7.2142999999999997</v>
      </c>
      <c r="AZ55" s="461">
        <f t="shared" si="176"/>
        <v>7.2142999999999997</v>
      </c>
      <c r="BA55" s="463">
        <f t="shared" si="176"/>
        <v>0</v>
      </c>
    </row>
    <row r="56" spans="1:53" s="229" customFormat="1" x14ac:dyDescent="0.2">
      <c r="A56" s="216">
        <v>11</v>
      </c>
      <c r="B56" s="217">
        <v>4443</v>
      </c>
      <c r="C56" s="217">
        <v>600074994</v>
      </c>
      <c r="D56" s="217">
        <v>46750045</v>
      </c>
      <c r="E56" s="215" t="s">
        <v>169</v>
      </c>
      <c r="F56" s="217">
        <v>3143</v>
      </c>
      <c r="G56" s="168" t="s">
        <v>617</v>
      </c>
      <c r="H56" s="234" t="s">
        <v>278</v>
      </c>
      <c r="I56" s="462">
        <f t="shared" si="163"/>
        <v>157595</v>
      </c>
      <c r="J56" s="457">
        <v>112604</v>
      </c>
      <c r="K56" s="457">
        <f t="shared" si="164"/>
        <v>38060</v>
      </c>
      <c r="L56" s="457">
        <f t="shared" si="177"/>
        <v>1126</v>
      </c>
      <c r="M56" s="457">
        <v>5805</v>
      </c>
      <c r="N56" s="458">
        <f t="shared" si="165"/>
        <v>0.45</v>
      </c>
      <c r="O56" s="459">
        <v>0</v>
      </c>
      <c r="P56" s="468">
        <v>0.45</v>
      </c>
      <c r="Q56" s="470">
        <f t="shared" si="166"/>
        <v>0</v>
      </c>
      <c r="R56" s="460">
        <v>0</v>
      </c>
      <c r="S56" s="673">
        <v>0</v>
      </c>
      <c r="T56" s="460">
        <v>0</v>
      </c>
      <c r="U56" s="460">
        <v>0</v>
      </c>
      <c r="V56" s="460">
        <f>SUM(Q56:U56)</f>
        <v>0</v>
      </c>
      <c r="W56" s="460">
        <v>0</v>
      </c>
      <c r="X56" s="460">
        <v>0</v>
      </c>
      <c r="Y56" s="460">
        <v>0</v>
      </c>
      <c r="Z56" s="460">
        <f t="shared" si="167"/>
        <v>0</v>
      </c>
      <c r="AA56" s="460">
        <f t="shared" si="168"/>
        <v>0</v>
      </c>
      <c r="AB56" s="69">
        <f t="shared" si="169"/>
        <v>0</v>
      </c>
      <c r="AC56" s="69">
        <f t="shared" si="170"/>
        <v>0</v>
      </c>
      <c r="AD56" s="460">
        <v>0</v>
      </c>
      <c r="AE56" s="460">
        <v>0</v>
      </c>
      <c r="AF56" s="460">
        <f t="shared" si="171"/>
        <v>0</v>
      </c>
      <c r="AG56" s="460">
        <f t="shared" si="172"/>
        <v>0</v>
      </c>
      <c r="AH56" s="461">
        <v>0</v>
      </c>
      <c r="AI56" s="461">
        <v>0</v>
      </c>
      <c r="AJ56" s="461">
        <v>0</v>
      </c>
      <c r="AK56" s="461">
        <v>0</v>
      </c>
      <c r="AL56" s="674">
        <v>0</v>
      </c>
      <c r="AM56" s="461">
        <v>0</v>
      </c>
      <c r="AN56" s="461">
        <v>0</v>
      </c>
      <c r="AO56" s="461">
        <v>0</v>
      </c>
      <c r="AP56" s="461">
        <f>AH56+AJ56+AK56+AM56+AN56</f>
        <v>0</v>
      </c>
      <c r="AQ56" s="461">
        <f>AI56+AL56+AO56</f>
        <v>0</v>
      </c>
      <c r="AR56" s="463">
        <f t="shared" si="173"/>
        <v>0</v>
      </c>
      <c r="AS56" s="469">
        <f>I56+AG56</f>
        <v>157595</v>
      </c>
      <c r="AT56" s="460">
        <f>J56+V56</f>
        <v>112604</v>
      </c>
      <c r="AU56" s="460">
        <f t="shared" si="174"/>
        <v>0</v>
      </c>
      <c r="AV56" s="460">
        <f t="shared" si="175"/>
        <v>38060</v>
      </c>
      <c r="AW56" s="460">
        <f t="shared" si="175"/>
        <v>1126</v>
      </c>
      <c r="AX56" s="460">
        <f>M56+AF56</f>
        <v>5805</v>
      </c>
      <c r="AY56" s="461">
        <f>N56+AR56</f>
        <v>0.45</v>
      </c>
      <c r="AZ56" s="461">
        <f t="shared" si="176"/>
        <v>0</v>
      </c>
      <c r="BA56" s="463">
        <f t="shared" si="176"/>
        <v>0.45</v>
      </c>
    </row>
    <row r="57" spans="1:53" s="229" customFormat="1" x14ac:dyDescent="0.2">
      <c r="A57" s="216">
        <v>11</v>
      </c>
      <c r="B57" s="217">
        <v>4443</v>
      </c>
      <c r="C57" s="217">
        <v>600074994</v>
      </c>
      <c r="D57" s="217">
        <v>46750045</v>
      </c>
      <c r="E57" s="215" t="s">
        <v>169</v>
      </c>
      <c r="F57" s="217">
        <v>3143</v>
      </c>
      <c r="G57" s="168" t="s">
        <v>313</v>
      </c>
      <c r="H57" s="234" t="s">
        <v>278</v>
      </c>
      <c r="I57" s="462">
        <f t="shared" si="163"/>
        <v>384420</v>
      </c>
      <c r="J57" s="457">
        <v>284777</v>
      </c>
      <c r="K57" s="457">
        <f t="shared" si="164"/>
        <v>96255</v>
      </c>
      <c r="L57" s="457">
        <f t="shared" si="177"/>
        <v>2848</v>
      </c>
      <c r="M57" s="457">
        <v>540</v>
      </c>
      <c r="N57" s="458">
        <f t="shared" si="165"/>
        <v>0.62000000000000011</v>
      </c>
      <c r="O57" s="459">
        <v>0.56000000000000005</v>
      </c>
      <c r="P57" s="468">
        <v>0.06</v>
      </c>
      <c r="Q57" s="470">
        <f t="shared" si="166"/>
        <v>0</v>
      </c>
      <c r="R57" s="460">
        <v>0</v>
      </c>
      <c r="S57" s="673">
        <v>0</v>
      </c>
      <c r="T57" s="460">
        <v>0</v>
      </c>
      <c r="U57" s="460">
        <v>0</v>
      </c>
      <c r="V57" s="460">
        <f>SUM(Q57:U57)</f>
        <v>0</v>
      </c>
      <c r="W57" s="460">
        <v>0</v>
      </c>
      <c r="X57" s="460">
        <v>0</v>
      </c>
      <c r="Y57" s="460">
        <v>0</v>
      </c>
      <c r="Z57" s="460">
        <f t="shared" si="167"/>
        <v>0</v>
      </c>
      <c r="AA57" s="460">
        <f t="shared" si="168"/>
        <v>0</v>
      </c>
      <c r="AB57" s="69">
        <f t="shared" si="169"/>
        <v>0</v>
      </c>
      <c r="AC57" s="69">
        <f t="shared" si="170"/>
        <v>0</v>
      </c>
      <c r="AD57" s="460">
        <v>0</v>
      </c>
      <c r="AE57" s="460">
        <v>0</v>
      </c>
      <c r="AF57" s="460">
        <f t="shared" si="171"/>
        <v>0</v>
      </c>
      <c r="AG57" s="460">
        <f t="shared" si="172"/>
        <v>0</v>
      </c>
      <c r="AH57" s="461">
        <v>0</v>
      </c>
      <c r="AI57" s="461">
        <v>0</v>
      </c>
      <c r="AJ57" s="461">
        <v>0</v>
      </c>
      <c r="AK57" s="461">
        <v>0</v>
      </c>
      <c r="AL57" s="674">
        <v>0</v>
      </c>
      <c r="AM57" s="461">
        <v>0</v>
      </c>
      <c r="AN57" s="461">
        <v>0</v>
      </c>
      <c r="AO57" s="461">
        <v>0</v>
      </c>
      <c r="AP57" s="461">
        <f>AH57+AJ57+AK57+AM57+AN57</f>
        <v>0</v>
      </c>
      <c r="AQ57" s="461">
        <f>AI57+AL57+AO57</f>
        <v>0</v>
      </c>
      <c r="AR57" s="463">
        <f t="shared" si="173"/>
        <v>0</v>
      </c>
      <c r="AS57" s="469">
        <f>I57+AG57</f>
        <v>384420</v>
      </c>
      <c r="AT57" s="460">
        <f>J57+V57</f>
        <v>284777</v>
      </c>
      <c r="AU57" s="460">
        <f t="shared" si="174"/>
        <v>0</v>
      </c>
      <c r="AV57" s="460">
        <f t="shared" si="175"/>
        <v>96255</v>
      </c>
      <c r="AW57" s="460">
        <f t="shared" si="175"/>
        <v>2848</v>
      </c>
      <c r="AX57" s="460">
        <f>M57+AF57</f>
        <v>540</v>
      </c>
      <c r="AY57" s="461">
        <f>N57+AR57</f>
        <v>0.62000000000000011</v>
      </c>
      <c r="AZ57" s="461">
        <f t="shared" si="176"/>
        <v>0.56000000000000005</v>
      </c>
      <c r="BA57" s="463">
        <f t="shared" si="176"/>
        <v>0.06</v>
      </c>
    </row>
    <row r="58" spans="1:53" s="229" customFormat="1" x14ac:dyDescent="0.2">
      <c r="A58" s="158">
        <v>11</v>
      </c>
      <c r="B58" s="18">
        <v>4443</v>
      </c>
      <c r="C58" s="18">
        <v>600074994</v>
      </c>
      <c r="D58" s="18">
        <v>46750045</v>
      </c>
      <c r="E58" s="167" t="s">
        <v>170</v>
      </c>
      <c r="F58" s="18"/>
      <c r="G58" s="157"/>
      <c r="H58" s="191"/>
      <c r="I58" s="505">
        <f t="shared" ref="I58:P58" si="178">SUM(I53:I57)</f>
        <v>61494489</v>
      </c>
      <c r="J58" s="502">
        <f t="shared" si="178"/>
        <v>44831123</v>
      </c>
      <c r="K58" s="502">
        <f t="shared" si="178"/>
        <v>15152920</v>
      </c>
      <c r="L58" s="502">
        <f t="shared" si="178"/>
        <v>448311</v>
      </c>
      <c r="M58" s="502">
        <f t="shared" si="178"/>
        <v>1062135</v>
      </c>
      <c r="N58" s="503">
        <f t="shared" si="178"/>
        <v>75.293999999999997</v>
      </c>
      <c r="O58" s="503">
        <f t="shared" si="178"/>
        <v>63.194000000000003</v>
      </c>
      <c r="P58" s="507">
        <f t="shared" si="178"/>
        <v>12.1</v>
      </c>
      <c r="Q58" s="505">
        <f t="shared" ref="Q58:BA58" si="179">SUM(Q53:Q57)</f>
        <v>-136500</v>
      </c>
      <c r="R58" s="502">
        <f t="shared" si="179"/>
        <v>6118194</v>
      </c>
      <c r="S58" s="502">
        <f t="shared" si="179"/>
        <v>0</v>
      </c>
      <c r="T58" s="502">
        <f t="shared" si="179"/>
        <v>185700</v>
      </c>
      <c r="U58" s="502">
        <f t="shared" si="179"/>
        <v>0</v>
      </c>
      <c r="V58" s="502">
        <f t="shared" si="179"/>
        <v>6167394</v>
      </c>
      <c r="W58" s="502">
        <f t="shared" si="179"/>
        <v>136500</v>
      </c>
      <c r="X58" s="502">
        <f t="shared" si="179"/>
        <v>0</v>
      </c>
      <c r="Y58" s="502">
        <f t="shared" si="179"/>
        <v>0</v>
      </c>
      <c r="Z58" s="502">
        <f t="shared" si="179"/>
        <v>136500</v>
      </c>
      <c r="AA58" s="502">
        <f t="shared" si="179"/>
        <v>6303894</v>
      </c>
      <c r="AB58" s="502">
        <f t="shared" si="179"/>
        <v>2130717</v>
      </c>
      <c r="AC58" s="502">
        <f t="shared" si="179"/>
        <v>61674</v>
      </c>
      <c r="AD58" s="502">
        <f t="shared" si="179"/>
        <v>0</v>
      </c>
      <c r="AE58" s="502">
        <f t="shared" si="179"/>
        <v>0</v>
      </c>
      <c r="AF58" s="502">
        <f t="shared" si="179"/>
        <v>0</v>
      </c>
      <c r="AG58" s="502">
        <f t="shared" si="179"/>
        <v>8496285</v>
      </c>
      <c r="AH58" s="503">
        <f t="shared" si="179"/>
        <v>-0.14000000000000001</v>
      </c>
      <c r="AI58" s="503">
        <f t="shared" si="179"/>
        <v>-0.02</v>
      </c>
      <c r="AJ58" s="503">
        <f t="shared" si="179"/>
        <v>17.650000000000002</v>
      </c>
      <c r="AK58" s="503">
        <f t="shared" si="179"/>
        <v>0</v>
      </c>
      <c r="AL58" s="503">
        <f t="shared" si="179"/>
        <v>0</v>
      </c>
      <c r="AM58" s="503">
        <f t="shared" si="179"/>
        <v>0.28000000000000003</v>
      </c>
      <c r="AN58" s="503">
        <f t="shared" si="179"/>
        <v>0</v>
      </c>
      <c r="AO58" s="503">
        <f t="shared" si="179"/>
        <v>0</v>
      </c>
      <c r="AP58" s="503">
        <f t="shared" si="179"/>
        <v>17.790000000000003</v>
      </c>
      <c r="AQ58" s="503">
        <f t="shared" si="179"/>
        <v>-0.02</v>
      </c>
      <c r="AR58" s="40">
        <f t="shared" si="179"/>
        <v>17.770000000000003</v>
      </c>
      <c r="AS58" s="509">
        <f t="shared" si="179"/>
        <v>69990774</v>
      </c>
      <c r="AT58" s="502">
        <f t="shared" si="179"/>
        <v>50998517</v>
      </c>
      <c r="AU58" s="502">
        <f t="shared" si="179"/>
        <v>136500</v>
      </c>
      <c r="AV58" s="502">
        <f t="shared" si="179"/>
        <v>17283637</v>
      </c>
      <c r="AW58" s="502">
        <f t="shared" si="179"/>
        <v>509985</v>
      </c>
      <c r="AX58" s="502">
        <f t="shared" si="179"/>
        <v>1062135</v>
      </c>
      <c r="AY58" s="503">
        <f t="shared" si="179"/>
        <v>93.064000000000007</v>
      </c>
      <c r="AZ58" s="503">
        <f t="shared" si="179"/>
        <v>80.983999999999995</v>
      </c>
      <c r="BA58" s="40">
        <f t="shared" si="179"/>
        <v>12.08</v>
      </c>
    </row>
    <row r="59" spans="1:53" s="229" customFormat="1" x14ac:dyDescent="0.2">
      <c r="A59" s="216">
        <v>12</v>
      </c>
      <c r="B59" s="217">
        <v>4438</v>
      </c>
      <c r="C59" s="217">
        <v>600074871</v>
      </c>
      <c r="D59" s="217">
        <v>49864599</v>
      </c>
      <c r="E59" s="215" t="s">
        <v>171</v>
      </c>
      <c r="F59" s="217">
        <v>3113</v>
      </c>
      <c r="G59" s="168" t="s">
        <v>310</v>
      </c>
      <c r="H59" s="218" t="s">
        <v>277</v>
      </c>
      <c r="I59" s="462">
        <f t="shared" ref="I59:I64" si="180">SUM(J59:M59)</f>
        <v>37392355</v>
      </c>
      <c r="J59" s="457">
        <v>27242040</v>
      </c>
      <c r="K59" s="457">
        <f t="shared" ref="K59:K64" si="181">ROUND(J59*33.8%,0)</f>
        <v>9207810</v>
      </c>
      <c r="L59" s="457">
        <f t="shared" ref="L59:L64" si="182">ROUND(J59*1%,0)</f>
        <v>272420</v>
      </c>
      <c r="M59" s="457">
        <v>670085</v>
      </c>
      <c r="N59" s="458">
        <f t="shared" ref="N59:N64" si="183">O59+P59</f>
        <v>45.963100000000004</v>
      </c>
      <c r="O59" s="459">
        <v>37.863100000000003</v>
      </c>
      <c r="P59" s="468">
        <v>8.1</v>
      </c>
      <c r="Q59" s="470">
        <f t="shared" ref="Q59:Q64" si="184">W59*-1</f>
        <v>-97500</v>
      </c>
      <c r="R59" s="460">
        <v>0</v>
      </c>
      <c r="S59" s="673">
        <v>0</v>
      </c>
      <c r="T59" s="460">
        <v>139894</v>
      </c>
      <c r="U59" s="460">
        <v>0</v>
      </c>
      <c r="V59" s="460">
        <f t="shared" ref="V59:V64" si="185">SUM(Q59:U59)</f>
        <v>42394</v>
      </c>
      <c r="W59" s="460">
        <v>97500</v>
      </c>
      <c r="X59" s="460">
        <v>0</v>
      </c>
      <c r="Y59" s="460">
        <v>0</v>
      </c>
      <c r="Z59" s="460">
        <f t="shared" ref="Z59:Z64" si="186">SUM(W59:Y59)</f>
        <v>97500</v>
      </c>
      <c r="AA59" s="460">
        <f t="shared" ref="AA59:AA64" si="187">V59+Z59</f>
        <v>139894</v>
      </c>
      <c r="AB59" s="69">
        <f t="shared" ref="AB59:AB64" si="188">ROUND((V59+W59+X59)*33.8%,0)</f>
        <v>47284</v>
      </c>
      <c r="AC59" s="69">
        <f t="shared" ref="AC59:AC64" si="189">ROUND(V59*1%,0)</f>
        <v>424</v>
      </c>
      <c r="AD59" s="460">
        <v>0</v>
      </c>
      <c r="AE59" s="460">
        <v>0</v>
      </c>
      <c r="AF59" s="460">
        <f t="shared" ref="AF59:AF64" si="190">SUM(AD59:AE59)</f>
        <v>0</v>
      </c>
      <c r="AG59" s="460">
        <f t="shared" ref="AG59:AG64" si="191">AA59+AB59+AC59+AF59</f>
        <v>187602</v>
      </c>
      <c r="AH59" s="461">
        <v>-0.14000000000000001</v>
      </c>
      <c r="AI59" s="461">
        <v>-7.0000000000000007E-2</v>
      </c>
      <c r="AJ59" s="461">
        <v>0</v>
      </c>
      <c r="AK59" s="461">
        <v>0</v>
      </c>
      <c r="AL59" s="674">
        <v>0</v>
      </c>
      <c r="AM59" s="461">
        <v>0.21</v>
      </c>
      <c r="AN59" s="461">
        <v>0</v>
      </c>
      <c r="AO59" s="461">
        <v>0</v>
      </c>
      <c r="AP59" s="461">
        <f t="shared" ref="AP59:AP64" si="192">AH59+AJ59+AK59+AM59+AN59</f>
        <v>6.9999999999999979E-2</v>
      </c>
      <c r="AQ59" s="461">
        <f t="shared" ref="AQ59:AQ64" si="193">AI59+AL59+AO59</f>
        <v>-7.0000000000000007E-2</v>
      </c>
      <c r="AR59" s="463">
        <f t="shared" ref="AR59:AR64" si="194">SUM(AP59:AQ59)</f>
        <v>0</v>
      </c>
      <c r="AS59" s="469">
        <f t="shared" ref="AS59:AS64" si="195">I59+AG59</f>
        <v>37579957</v>
      </c>
      <c r="AT59" s="460">
        <f t="shared" ref="AT59:AT64" si="196">J59+V59</f>
        <v>27284434</v>
      </c>
      <c r="AU59" s="460">
        <f t="shared" ref="AU59:AU64" si="197">Z59</f>
        <v>97500</v>
      </c>
      <c r="AV59" s="460">
        <f t="shared" ref="AV59:AW64" si="198">K59+AB59</f>
        <v>9255094</v>
      </c>
      <c r="AW59" s="460">
        <f t="shared" si="198"/>
        <v>272844</v>
      </c>
      <c r="AX59" s="460">
        <f t="shared" ref="AX59:AX64" si="199">M59+AF59</f>
        <v>670085</v>
      </c>
      <c r="AY59" s="461">
        <f t="shared" ref="AY59:AY64" si="200">N59+AR59</f>
        <v>45.963100000000004</v>
      </c>
      <c r="AZ59" s="461">
        <f t="shared" ref="AZ59:BA64" si="201">O59+AP59</f>
        <v>37.933100000000003</v>
      </c>
      <c r="BA59" s="463">
        <f t="shared" si="201"/>
        <v>8.0299999999999994</v>
      </c>
    </row>
    <row r="60" spans="1:53" s="229" customFormat="1" x14ac:dyDescent="0.2">
      <c r="A60" s="216">
        <v>12</v>
      </c>
      <c r="B60" s="217">
        <v>4438</v>
      </c>
      <c r="C60" s="217">
        <v>600074871</v>
      </c>
      <c r="D60" s="217">
        <v>49864599</v>
      </c>
      <c r="E60" s="215" t="s">
        <v>171</v>
      </c>
      <c r="F60" s="217">
        <v>3113</v>
      </c>
      <c r="G60" s="168" t="s">
        <v>308</v>
      </c>
      <c r="H60" s="218" t="s">
        <v>278</v>
      </c>
      <c r="I60" s="462">
        <f t="shared" si="180"/>
        <v>0</v>
      </c>
      <c r="J60" s="457">
        <v>0</v>
      </c>
      <c r="K60" s="457">
        <f t="shared" si="181"/>
        <v>0</v>
      </c>
      <c r="L60" s="457">
        <f t="shared" si="182"/>
        <v>0</v>
      </c>
      <c r="M60" s="457">
        <v>0</v>
      </c>
      <c r="N60" s="458">
        <f t="shared" si="183"/>
        <v>0</v>
      </c>
      <c r="O60" s="459">
        <v>0</v>
      </c>
      <c r="P60" s="468">
        <v>0</v>
      </c>
      <c r="Q60" s="470">
        <f t="shared" si="184"/>
        <v>0</v>
      </c>
      <c r="R60" s="460">
        <f>4236399+158788</f>
        <v>4395187</v>
      </c>
      <c r="S60" s="673">
        <v>0</v>
      </c>
      <c r="T60" s="460">
        <v>0</v>
      </c>
      <c r="U60" s="460">
        <v>0</v>
      </c>
      <c r="V60" s="460">
        <f t="shared" si="185"/>
        <v>4395187</v>
      </c>
      <c r="W60" s="460">
        <v>0</v>
      </c>
      <c r="X60" s="460">
        <v>0</v>
      </c>
      <c r="Y60" s="460">
        <v>0</v>
      </c>
      <c r="Z60" s="460">
        <f t="shared" si="186"/>
        <v>0</v>
      </c>
      <c r="AA60" s="460">
        <f t="shared" si="187"/>
        <v>4395187</v>
      </c>
      <c r="AB60" s="69">
        <f t="shared" si="188"/>
        <v>1485573</v>
      </c>
      <c r="AC60" s="69">
        <f t="shared" si="189"/>
        <v>43952</v>
      </c>
      <c r="AD60" s="460">
        <v>3000</v>
      </c>
      <c r="AE60" s="460">
        <v>0</v>
      </c>
      <c r="AF60" s="460">
        <f t="shared" si="190"/>
        <v>3000</v>
      </c>
      <c r="AG60" s="460">
        <f t="shared" si="191"/>
        <v>5927712</v>
      </c>
      <c r="AH60" s="461">
        <v>0</v>
      </c>
      <c r="AI60" s="461">
        <v>0</v>
      </c>
      <c r="AJ60" s="461">
        <f>12.18+0.46</f>
        <v>12.64</v>
      </c>
      <c r="AK60" s="461">
        <v>0</v>
      </c>
      <c r="AL60" s="674">
        <v>0</v>
      </c>
      <c r="AM60" s="461">
        <v>0</v>
      </c>
      <c r="AN60" s="461">
        <v>0</v>
      </c>
      <c r="AO60" s="461">
        <v>0</v>
      </c>
      <c r="AP60" s="461">
        <f t="shared" si="192"/>
        <v>12.64</v>
      </c>
      <c r="AQ60" s="461">
        <f t="shared" si="193"/>
        <v>0</v>
      </c>
      <c r="AR60" s="463">
        <f t="shared" si="194"/>
        <v>12.64</v>
      </c>
      <c r="AS60" s="469">
        <f t="shared" si="195"/>
        <v>5927712</v>
      </c>
      <c r="AT60" s="460">
        <f t="shared" si="196"/>
        <v>4395187</v>
      </c>
      <c r="AU60" s="460">
        <f t="shared" si="197"/>
        <v>0</v>
      </c>
      <c r="AV60" s="460">
        <f t="shared" si="198"/>
        <v>1485573</v>
      </c>
      <c r="AW60" s="460">
        <f t="shared" si="198"/>
        <v>43952</v>
      </c>
      <c r="AX60" s="460">
        <f t="shared" si="199"/>
        <v>3000</v>
      </c>
      <c r="AY60" s="461">
        <f t="shared" si="200"/>
        <v>12.64</v>
      </c>
      <c r="AZ60" s="461">
        <f t="shared" si="201"/>
        <v>12.64</v>
      </c>
      <c r="BA60" s="463">
        <f t="shared" si="201"/>
        <v>0</v>
      </c>
    </row>
    <row r="61" spans="1:53" s="229" customFormat="1" x14ac:dyDescent="0.2">
      <c r="A61" s="216">
        <v>12</v>
      </c>
      <c r="B61" s="217">
        <v>4438</v>
      </c>
      <c r="C61" s="217">
        <v>600074871</v>
      </c>
      <c r="D61" s="217">
        <v>49864599</v>
      </c>
      <c r="E61" s="215" t="s">
        <v>171</v>
      </c>
      <c r="F61" s="217">
        <v>3141</v>
      </c>
      <c r="G61" s="168" t="s">
        <v>311</v>
      </c>
      <c r="H61" s="218" t="s">
        <v>278</v>
      </c>
      <c r="I61" s="462">
        <f t="shared" si="180"/>
        <v>2920209</v>
      </c>
      <c r="J61" s="457">
        <v>2149302</v>
      </c>
      <c r="K61" s="457">
        <f t="shared" si="181"/>
        <v>726464</v>
      </c>
      <c r="L61" s="457">
        <f t="shared" si="182"/>
        <v>21493</v>
      </c>
      <c r="M61" s="457">
        <v>22950</v>
      </c>
      <c r="N61" s="458">
        <f t="shared" si="183"/>
        <v>6.91</v>
      </c>
      <c r="O61" s="459">
        <v>0</v>
      </c>
      <c r="P61" s="468">
        <v>6.91</v>
      </c>
      <c r="Q61" s="470">
        <f t="shared" si="184"/>
        <v>-19500</v>
      </c>
      <c r="R61" s="460">
        <v>0</v>
      </c>
      <c r="S61" s="673">
        <v>0</v>
      </c>
      <c r="T61" s="460">
        <v>0</v>
      </c>
      <c r="U61" s="460">
        <v>0</v>
      </c>
      <c r="V61" s="460">
        <f t="shared" si="185"/>
        <v>-19500</v>
      </c>
      <c r="W61" s="460">
        <v>19500</v>
      </c>
      <c r="X61" s="460">
        <v>0</v>
      </c>
      <c r="Y61" s="460">
        <v>0</v>
      </c>
      <c r="Z61" s="460">
        <f t="shared" si="186"/>
        <v>19500</v>
      </c>
      <c r="AA61" s="460">
        <f t="shared" si="187"/>
        <v>0</v>
      </c>
      <c r="AB61" s="69">
        <f t="shared" si="188"/>
        <v>0</v>
      </c>
      <c r="AC61" s="69">
        <f t="shared" si="189"/>
        <v>-195</v>
      </c>
      <c r="AD61" s="460">
        <v>0</v>
      </c>
      <c r="AE61" s="460">
        <v>0</v>
      </c>
      <c r="AF61" s="460">
        <f t="shared" si="190"/>
        <v>0</v>
      </c>
      <c r="AG61" s="460">
        <f t="shared" si="191"/>
        <v>-195</v>
      </c>
      <c r="AH61" s="461">
        <v>0</v>
      </c>
      <c r="AI61" s="461">
        <v>0</v>
      </c>
      <c r="AJ61" s="461">
        <v>0</v>
      </c>
      <c r="AK61" s="461">
        <v>0</v>
      </c>
      <c r="AL61" s="674">
        <v>0</v>
      </c>
      <c r="AM61" s="461">
        <v>0</v>
      </c>
      <c r="AN61" s="461">
        <v>0</v>
      </c>
      <c r="AO61" s="461">
        <v>0</v>
      </c>
      <c r="AP61" s="461">
        <f t="shared" si="192"/>
        <v>0</v>
      </c>
      <c r="AQ61" s="461">
        <f t="shared" si="193"/>
        <v>0</v>
      </c>
      <c r="AR61" s="463">
        <f t="shared" si="194"/>
        <v>0</v>
      </c>
      <c r="AS61" s="469">
        <f t="shared" si="195"/>
        <v>2920014</v>
      </c>
      <c r="AT61" s="460">
        <f t="shared" si="196"/>
        <v>2129802</v>
      </c>
      <c r="AU61" s="460">
        <f t="shared" si="197"/>
        <v>19500</v>
      </c>
      <c r="AV61" s="460">
        <f t="shared" si="198"/>
        <v>726464</v>
      </c>
      <c r="AW61" s="460">
        <f t="shared" si="198"/>
        <v>21298</v>
      </c>
      <c r="AX61" s="460">
        <f t="shared" si="199"/>
        <v>22950</v>
      </c>
      <c r="AY61" s="461">
        <f t="shared" si="200"/>
        <v>6.91</v>
      </c>
      <c r="AZ61" s="461">
        <f t="shared" si="201"/>
        <v>0</v>
      </c>
      <c r="BA61" s="463">
        <f t="shared" si="201"/>
        <v>6.91</v>
      </c>
    </row>
    <row r="62" spans="1:53" s="229" customFormat="1" x14ac:dyDescent="0.2">
      <c r="A62" s="216">
        <v>12</v>
      </c>
      <c r="B62" s="217">
        <v>4438</v>
      </c>
      <c r="C62" s="217">
        <v>600074871</v>
      </c>
      <c r="D62" s="217">
        <v>49864599</v>
      </c>
      <c r="E62" s="215" t="s">
        <v>171</v>
      </c>
      <c r="F62" s="217">
        <v>3143</v>
      </c>
      <c r="G62" s="168" t="s">
        <v>616</v>
      </c>
      <c r="H62" s="234" t="s">
        <v>277</v>
      </c>
      <c r="I62" s="462">
        <f t="shared" si="180"/>
        <v>3043877</v>
      </c>
      <c r="J62" s="457">
        <v>2258069</v>
      </c>
      <c r="K62" s="457">
        <f t="shared" si="181"/>
        <v>763227</v>
      </c>
      <c r="L62" s="457">
        <f t="shared" si="182"/>
        <v>22581</v>
      </c>
      <c r="M62" s="457">
        <v>0</v>
      </c>
      <c r="N62" s="458">
        <f t="shared" si="183"/>
        <v>4.9617000000000004</v>
      </c>
      <c r="O62" s="459">
        <v>4.9617000000000004</v>
      </c>
      <c r="P62" s="468">
        <v>0</v>
      </c>
      <c r="Q62" s="470">
        <f t="shared" si="184"/>
        <v>0</v>
      </c>
      <c r="R62" s="460">
        <v>0</v>
      </c>
      <c r="S62" s="673">
        <v>0</v>
      </c>
      <c r="T62" s="460">
        <v>0</v>
      </c>
      <c r="U62" s="460">
        <v>0</v>
      </c>
      <c r="V62" s="460">
        <f t="shared" si="185"/>
        <v>0</v>
      </c>
      <c r="W62" s="460">
        <v>0</v>
      </c>
      <c r="X62" s="460">
        <v>0</v>
      </c>
      <c r="Y62" s="460">
        <v>0</v>
      </c>
      <c r="Z62" s="460">
        <f t="shared" si="186"/>
        <v>0</v>
      </c>
      <c r="AA62" s="460">
        <f t="shared" si="187"/>
        <v>0</v>
      </c>
      <c r="AB62" s="69">
        <f t="shared" si="188"/>
        <v>0</v>
      </c>
      <c r="AC62" s="69">
        <f t="shared" si="189"/>
        <v>0</v>
      </c>
      <c r="AD62" s="460">
        <v>0</v>
      </c>
      <c r="AE62" s="460">
        <v>0</v>
      </c>
      <c r="AF62" s="460">
        <f t="shared" si="190"/>
        <v>0</v>
      </c>
      <c r="AG62" s="460">
        <f t="shared" si="191"/>
        <v>0</v>
      </c>
      <c r="AH62" s="461">
        <v>0</v>
      </c>
      <c r="AI62" s="461">
        <v>0</v>
      </c>
      <c r="AJ62" s="461">
        <v>0</v>
      </c>
      <c r="AK62" s="461">
        <v>0</v>
      </c>
      <c r="AL62" s="674">
        <v>0</v>
      </c>
      <c r="AM62" s="461">
        <v>0</v>
      </c>
      <c r="AN62" s="461">
        <v>0</v>
      </c>
      <c r="AO62" s="461">
        <v>0</v>
      </c>
      <c r="AP62" s="461">
        <f t="shared" si="192"/>
        <v>0</v>
      </c>
      <c r="AQ62" s="461">
        <f t="shared" si="193"/>
        <v>0</v>
      </c>
      <c r="AR62" s="463">
        <f t="shared" si="194"/>
        <v>0</v>
      </c>
      <c r="AS62" s="469">
        <f t="shared" si="195"/>
        <v>3043877</v>
      </c>
      <c r="AT62" s="460">
        <f t="shared" si="196"/>
        <v>2258069</v>
      </c>
      <c r="AU62" s="460">
        <f t="shared" si="197"/>
        <v>0</v>
      </c>
      <c r="AV62" s="460">
        <f t="shared" si="198"/>
        <v>763227</v>
      </c>
      <c r="AW62" s="460">
        <f t="shared" si="198"/>
        <v>22581</v>
      </c>
      <c r="AX62" s="460">
        <f t="shared" si="199"/>
        <v>0</v>
      </c>
      <c r="AY62" s="461">
        <f t="shared" si="200"/>
        <v>4.9617000000000004</v>
      </c>
      <c r="AZ62" s="461">
        <f t="shared" si="201"/>
        <v>4.9617000000000004</v>
      </c>
      <c r="BA62" s="463">
        <f t="shared" si="201"/>
        <v>0</v>
      </c>
    </row>
    <row r="63" spans="1:53" s="229" customFormat="1" x14ac:dyDescent="0.2">
      <c r="A63" s="216">
        <v>12</v>
      </c>
      <c r="B63" s="217">
        <v>4438</v>
      </c>
      <c r="C63" s="217">
        <v>600074871</v>
      </c>
      <c r="D63" s="217">
        <v>49864599</v>
      </c>
      <c r="E63" s="215" t="s">
        <v>171</v>
      </c>
      <c r="F63" s="217">
        <v>3143</v>
      </c>
      <c r="G63" s="168" t="s">
        <v>617</v>
      </c>
      <c r="H63" s="234" t="s">
        <v>278</v>
      </c>
      <c r="I63" s="462">
        <f t="shared" si="180"/>
        <v>102621</v>
      </c>
      <c r="J63" s="457">
        <v>73324</v>
      </c>
      <c r="K63" s="457">
        <f t="shared" si="181"/>
        <v>24784</v>
      </c>
      <c r="L63" s="457">
        <f t="shared" si="182"/>
        <v>733</v>
      </c>
      <c r="M63" s="457">
        <v>3780</v>
      </c>
      <c r="N63" s="458">
        <f t="shared" si="183"/>
        <v>0.28999999999999998</v>
      </c>
      <c r="O63" s="459">
        <v>0</v>
      </c>
      <c r="P63" s="468">
        <v>0.28999999999999998</v>
      </c>
      <c r="Q63" s="470">
        <f t="shared" si="184"/>
        <v>0</v>
      </c>
      <c r="R63" s="460">
        <v>0</v>
      </c>
      <c r="S63" s="673">
        <v>0</v>
      </c>
      <c r="T63" s="460">
        <v>0</v>
      </c>
      <c r="U63" s="460">
        <v>0</v>
      </c>
      <c r="V63" s="460">
        <f t="shared" si="185"/>
        <v>0</v>
      </c>
      <c r="W63" s="460">
        <v>0</v>
      </c>
      <c r="X63" s="460">
        <v>0</v>
      </c>
      <c r="Y63" s="460">
        <v>0</v>
      </c>
      <c r="Z63" s="460">
        <f t="shared" si="186"/>
        <v>0</v>
      </c>
      <c r="AA63" s="460">
        <f t="shared" si="187"/>
        <v>0</v>
      </c>
      <c r="AB63" s="69">
        <f t="shared" si="188"/>
        <v>0</v>
      </c>
      <c r="AC63" s="69">
        <f t="shared" si="189"/>
        <v>0</v>
      </c>
      <c r="AD63" s="460">
        <v>0</v>
      </c>
      <c r="AE63" s="460">
        <v>0</v>
      </c>
      <c r="AF63" s="460">
        <f t="shared" si="190"/>
        <v>0</v>
      </c>
      <c r="AG63" s="460">
        <f t="shared" si="191"/>
        <v>0</v>
      </c>
      <c r="AH63" s="461">
        <v>0</v>
      </c>
      <c r="AI63" s="461">
        <v>0</v>
      </c>
      <c r="AJ63" s="461">
        <v>0</v>
      </c>
      <c r="AK63" s="461">
        <v>0</v>
      </c>
      <c r="AL63" s="674">
        <v>0</v>
      </c>
      <c r="AM63" s="461">
        <v>0</v>
      </c>
      <c r="AN63" s="461">
        <v>0</v>
      </c>
      <c r="AO63" s="461">
        <v>0</v>
      </c>
      <c r="AP63" s="461">
        <f t="shared" si="192"/>
        <v>0</v>
      </c>
      <c r="AQ63" s="461">
        <f t="shared" si="193"/>
        <v>0</v>
      </c>
      <c r="AR63" s="463">
        <f t="shared" si="194"/>
        <v>0</v>
      </c>
      <c r="AS63" s="469">
        <f t="shared" si="195"/>
        <v>102621</v>
      </c>
      <c r="AT63" s="460">
        <f t="shared" si="196"/>
        <v>73324</v>
      </c>
      <c r="AU63" s="460">
        <f t="shared" si="197"/>
        <v>0</v>
      </c>
      <c r="AV63" s="460">
        <f t="shared" si="198"/>
        <v>24784</v>
      </c>
      <c r="AW63" s="460">
        <f t="shared" si="198"/>
        <v>733</v>
      </c>
      <c r="AX63" s="460">
        <f t="shared" si="199"/>
        <v>3780</v>
      </c>
      <c r="AY63" s="461">
        <f t="shared" si="200"/>
        <v>0.28999999999999998</v>
      </c>
      <c r="AZ63" s="461">
        <f t="shared" si="201"/>
        <v>0</v>
      </c>
      <c r="BA63" s="463">
        <f t="shared" si="201"/>
        <v>0.28999999999999998</v>
      </c>
    </row>
    <row r="64" spans="1:53" s="229" customFormat="1" x14ac:dyDescent="0.2">
      <c r="A64" s="216">
        <v>12</v>
      </c>
      <c r="B64" s="217">
        <v>4438</v>
      </c>
      <c r="C64" s="217">
        <v>600074871</v>
      </c>
      <c r="D64" s="217">
        <v>49864599</v>
      </c>
      <c r="E64" s="215" t="s">
        <v>171</v>
      </c>
      <c r="F64" s="217">
        <v>3143</v>
      </c>
      <c r="G64" s="168" t="s">
        <v>313</v>
      </c>
      <c r="H64" s="234" t="s">
        <v>278</v>
      </c>
      <c r="I64" s="462">
        <f t="shared" si="180"/>
        <v>508727</v>
      </c>
      <c r="J64" s="457">
        <v>376513</v>
      </c>
      <c r="K64" s="457">
        <f t="shared" si="181"/>
        <v>127261</v>
      </c>
      <c r="L64" s="457">
        <f t="shared" si="182"/>
        <v>3765</v>
      </c>
      <c r="M64" s="457">
        <v>1188</v>
      </c>
      <c r="N64" s="458">
        <f t="shared" si="183"/>
        <v>0.85</v>
      </c>
      <c r="O64" s="459">
        <v>0.71</v>
      </c>
      <c r="P64" s="468">
        <v>0.14000000000000001</v>
      </c>
      <c r="Q64" s="470">
        <f t="shared" si="184"/>
        <v>0</v>
      </c>
      <c r="R64" s="460">
        <v>0</v>
      </c>
      <c r="S64" s="673">
        <v>0</v>
      </c>
      <c r="T64" s="460">
        <v>0</v>
      </c>
      <c r="U64" s="460">
        <v>0</v>
      </c>
      <c r="V64" s="460">
        <f t="shared" si="185"/>
        <v>0</v>
      </c>
      <c r="W64" s="460">
        <v>0</v>
      </c>
      <c r="X64" s="460">
        <v>0</v>
      </c>
      <c r="Y64" s="460">
        <v>0</v>
      </c>
      <c r="Z64" s="460">
        <f t="shared" si="186"/>
        <v>0</v>
      </c>
      <c r="AA64" s="460">
        <f t="shared" si="187"/>
        <v>0</v>
      </c>
      <c r="AB64" s="69">
        <f t="shared" si="188"/>
        <v>0</v>
      </c>
      <c r="AC64" s="69">
        <f t="shared" si="189"/>
        <v>0</v>
      </c>
      <c r="AD64" s="460">
        <v>0</v>
      </c>
      <c r="AE64" s="460">
        <v>0</v>
      </c>
      <c r="AF64" s="460">
        <f t="shared" si="190"/>
        <v>0</v>
      </c>
      <c r="AG64" s="460">
        <f t="shared" si="191"/>
        <v>0</v>
      </c>
      <c r="AH64" s="461">
        <v>0</v>
      </c>
      <c r="AI64" s="461">
        <v>0</v>
      </c>
      <c r="AJ64" s="461">
        <v>0</v>
      </c>
      <c r="AK64" s="461">
        <v>0</v>
      </c>
      <c r="AL64" s="674">
        <v>0</v>
      </c>
      <c r="AM64" s="461">
        <v>0</v>
      </c>
      <c r="AN64" s="461">
        <v>0</v>
      </c>
      <c r="AO64" s="461">
        <v>0</v>
      </c>
      <c r="AP64" s="461">
        <f t="shared" si="192"/>
        <v>0</v>
      </c>
      <c r="AQ64" s="461">
        <f t="shared" si="193"/>
        <v>0</v>
      </c>
      <c r="AR64" s="463">
        <f t="shared" si="194"/>
        <v>0</v>
      </c>
      <c r="AS64" s="469">
        <f t="shared" si="195"/>
        <v>508727</v>
      </c>
      <c r="AT64" s="460">
        <f t="shared" si="196"/>
        <v>376513</v>
      </c>
      <c r="AU64" s="460">
        <f t="shared" si="197"/>
        <v>0</v>
      </c>
      <c r="AV64" s="460">
        <f t="shared" si="198"/>
        <v>127261</v>
      </c>
      <c r="AW64" s="460">
        <f t="shared" si="198"/>
        <v>3765</v>
      </c>
      <c r="AX64" s="460">
        <f t="shared" si="199"/>
        <v>1188</v>
      </c>
      <c r="AY64" s="461">
        <f t="shared" si="200"/>
        <v>0.85</v>
      </c>
      <c r="AZ64" s="461">
        <f t="shared" si="201"/>
        <v>0.71</v>
      </c>
      <c r="BA64" s="463">
        <f t="shared" si="201"/>
        <v>0.14000000000000001</v>
      </c>
    </row>
    <row r="65" spans="1:53" s="229" customFormat="1" x14ac:dyDescent="0.2">
      <c r="A65" s="158">
        <v>12</v>
      </c>
      <c r="B65" s="18">
        <v>4438</v>
      </c>
      <c r="C65" s="18">
        <v>600074871</v>
      </c>
      <c r="D65" s="18">
        <v>49864599</v>
      </c>
      <c r="E65" s="167" t="s">
        <v>172</v>
      </c>
      <c r="F65" s="18"/>
      <c r="G65" s="157"/>
      <c r="H65" s="191"/>
      <c r="I65" s="505">
        <f t="shared" ref="I65:P65" si="202">SUM(I59:I64)</f>
        <v>43967789</v>
      </c>
      <c r="J65" s="502">
        <f t="shared" si="202"/>
        <v>32099248</v>
      </c>
      <c r="K65" s="502">
        <f t="shared" si="202"/>
        <v>10849546</v>
      </c>
      <c r="L65" s="502">
        <f t="shared" si="202"/>
        <v>320992</v>
      </c>
      <c r="M65" s="502">
        <f t="shared" si="202"/>
        <v>698003</v>
      </c>
      <c r="N65" s="503">
        <f t="shared" si="202"/>
        <v>58.974800000000009</v>
      </c>
      <c r="O65" s="503">
        <f t="shared" si="202"/>
        <v>43.534800000000004</v>
      </c>
      <c r="P65" s="507">
        <f t="shared" si="202"/>
        <v>15.44</v>
      </c>
      <c r="Q65" s="505">
        <f t="shared" ref="Q65:BA65" si="203">SUM(Q59:Q64)</f>
        <v>-117000</v>
      </c>
      <c r="R65" s="502">
        <f t="shared" si="203"/>
        <v>4395187</v>
      </c>
      <c r="S65" s="502">
        <f t="shared" si="203"/>
        <v>0</v>
      </c>
      <c r="T65" s="502">
        <f t="shared" si="203"/>
        <v>139894</v>
      </c>
      <c r="U65" s="502">
        <f t="shared" si="203"/>
        <v>0</v>
      </c>
      <c r="V65" s="502">
        <f t="shared" si="203"/>
        <v>4418081</v>
      </c>
      <c r="W65" s="502">
        <f t="shared" si="203"/>
        <v>117000</v>
      </c>
      <c r="X65" s="502">
        <f t="shared" si="203"/>
        <v>0</v>
      </c>
      <c r="Y65" s="502">
        <f t="shared" si="203"/>
        <v>0</v>
      </c>
      <c r="Z65" s="502">
        <f t="shared" si="203"/>
        <v>117000</v>
      </c>
      <c r="AA65" s="502">
        <f t="shared" si="203"/>
        <v>4535081</v>
      </c>
      <c r="AB65" s="502">
        <f t="shared" si="203"/>
        <v>1532857</v>
      </c>
      <c r="AC65" s="502">
        <f t="shared" si="203"/>
        <v>44181</v>
      </c>
      <c r="AD65" s="502">
        <f t="shared" si="203"/>
        <v>3000</v>
      </c>
      <c r="AE65" s="502">
        <f t="shared" si="203"/>
        <v>0</v>
      </c>
      <c r="AF65" s="502">
        <f t="shared" si="203"/>
        <v>3000</v>
      </c>
      <c r="AG65" s="502">
        <f t="shared" si="203"/>
        <v>6115119</v>
      </c>
      <c r="AH65" s="503">
        <f t="shared" si="203"/>
        <v>-0.14000000000000001</v>
      </c>
      <c r="AI65" s="503">
        <f t="shared" si="203"/>
        <v>-7.0000000000000007E-2</v>
      </c>
      <c r="AJ65" s="503">
        <f t="shared" si="203"/>
        <v>12.64</v>
      </c>
      <c r="AK65" s="503">
        <f t="shared" si="203"/>
        <v>0</v>
      </c>
      <c r="AL65" s="503">
        <f t="shared" si="203"/>
        <v>0</v>
      </c>
      <c r="AM65" s="503">
        <f t="shared" si="203"/>
        <v>0.21</v>
      </c>
      <c r="AN65" s="503">
        <f t="shared" si="203"/>
        <v>0</v>
      </c>
      <c r="AO65" s="503">
        <f t="shared" si="203"/>
        <v>0</v>
      </c>
      <c r="AP65" s="503">
        <f t="shared" si="203"/>
        <v>12.71</v>
      </c>
      <c r="AQ65" s="503">
        <f t="shared" si="203"/>
        <v>-7.0000000000000007E-2</v>
      </c>
      <c r="AR65" s="40">
        <f t="shared" si="203"/>
        <v>12.64</v>
      </c>
      <c r="AS65" s="509">
        <f t="shared" si="203"/>
        <v>50082908</v>
      </c>
      <c r="AT65" s="502">
        <f t="shared" si="203"/>
        <v>36517329</v>
      </c>
      <c r="AU65" s="502">
        <f t="shared" si="203"/>
        <v>117000</v>
      </c>
      <c r="AV65" s="502">
        <f t="shared" si="203"/>
        <v>12382403</v>
      </c>
      <c r="AW65" s="502">
        <f t="shared" si="203"/>
        <v>365173</v>
      </c>
      <c r="AX65" s="502">
        <f t="shared" si="203"/>
        <v>701003</v>
      </c>
      <c r="AY65" s="503">
        <f t="shared" si="203"/>
        <v>71.614800000000017</v>
      </c>
      <c r="AZ65" s="503">
        <f t="shared" si="203"/>
        <v>56.244800000000005</v>
      </c>
      <c r="BA65" s="40">
        <f t="shared" si="203"/>
        <v>15.37</v>
      </c>
    </row>
    <row r="66" spans="1:53" s="229" customFormat="1" x14ac:dyDescent="0.2">
      <c r="A66" s="216">
        <v>13</v>
      </c>
      <c r="B66" s="217">
        <v>4455</v>
      </c>
      <c r="C66" s="217">
        <v>600074889</v>
      </c>
      <c r="D66" s="217">
        <v>49864611</v>
      </c>
      <c r="E66" s="215" t="s">
        <v>173</v>
      </c>
      <c r="F66" s="217">
        <v>3113</v>
      </c>
      <c r="G66" s="168" t="s">
        <v>310</v>
      </c>
      <c r="H66" s="218" t="s">
        <v>277</v>
      </c>
      <c r="I66" s="462">
        <f t="shared" ref="I66:I71" si="204">SUM(J66:M66)</f>
        <v>42995698</v>
      </c>
      <c r="J66" s="457">
        <v>31305262</v>
      </c>
      <c r="K66" s="457">
        <f>ROUND(J66*33.8%,0)-1</f>
        <v>10581178</v>
      </c>
      <c r="L66" s="457">
        <f t="shared" ref="L66:L71" si="205">ROUND(J66*1%,0)</f>
        <v>313053</v>
      </c>
      <c r="M66" s="457">
        <v>796205</v>
      </c>
      <c r="N66" s="458">
        <f t="shared" ref="N66:N71" si="206">O66+P66</f>
        <v>50.501800000000003</v>
      </c>
      <c r="O66" s="459">
        <v>41.681800000000003</v>
      </c>
      <c r="P66" s="468">
        <v>8.82</v>
      </c>
      <c r="Q66" s="470">
        <f t="shared" ref="Q66:Q71" si="207">W66*-1</f>
        <v>-58500</v>
      </c>
      <c r="R66" s="460">
        <v>0</v>
      </c>
      <c r="S66" s="673">
        <v>0</v>
      </c>
      <c r="T66" s="460">
        <v>129990</v>
      </c>
      <c r="U66" s="460">
        <v>0</v>
      </c>
      <c r="V66" s="460">
        <f t="shared" ref="V66:V71" si="208">SUM(Q66:U66)</f>
        <v>71490</v>
      </c>
      <c r="W66" s="460">
        <v>58500</v>
      </c>
      <c r="X66" s="460">
        <v>0</v>
      </c>
      <c r="Y66" s="460">
        <v>0</v>
      </c>
      <c r="Z66" s="460">
        <f t="shared" ref="Z66:Z71" si="209">SUM(W66:Y66)</f>
        <v>58500</v>
      </c>
      <c r="AA66" s="460">
        <f t="shared" ref="AA66:AA71" si="210">V66+Z66</f>
        <v>129990</v>
      </c>
      <c r="AB66" s="69">
        <f t="shared" ref="AB66:AB71" si="211">ROUND((V66+W66+X66)*33.8%,0)</f>
        <v>43937</v>
      </c>
      <c r="AC66" s="69">
        <f t="shared" ref="AC66:AC71" si="212">ROUND(V66*1%,0)</f>
        <v>715</v>
      </c>
      <c r="AD66" s="460">
        <v>0</v>
      </c>
      <c r="AE66" s="460">
        <v>0</v>
      </c>
      <c r="AF66" s="460">
        <f t="shared" ref="AF66:AF71" si="213">SUM(AD66:AE66)</f>
        <v>0</v>
      </c>
      <c r="AG66" s="460">
        <f t="shared" ref="AG66:AG71" si="214">AA66+AB66+AC66+AF66</f>
        <v>174642</v>
      </c>
      <c r="AH66" s="461">
        <v>-0.02</v>
      </c>
      <c r="AI66" s="461">
        <v>-0.15</v>
      </c>
      <c r="AJ66" s="461">
        <v>0</v>
      </c>
      <c r="AK66" s="461">
        <v>0</v>
      </c>
      <c r="AL66" s="674">
        <v>0</v>
      </c>
      <c r="AM66" s="461">
        <v>0.2</v>
      </c>
      <c r="AN66" s="461">
        <v>0</v>
      </c>
      <c r="AO66" s="461">
        <v>0</v>
      </c>
      <c r="AP66" s="461">
        <f t="shared" ref="AP66:AP71" si="215">AH66+AJ66+AK66+AM66+AN66</f>
        <v>0.18000000000000002</v>
      </c>
      <c r="AQ66" s="461">
        <f t="shared" ref="AQ66:AQ71" si="216">AI66+AL66+AO66</f>
        <v>-0.15</v>
      </c>
      <c r="AR66" s="463">
        <f t="shared" ref="AR66:AR71" si="217">SUM(AP66:AQ66)</f>
        <v>3.0000000000000027E-2</v>
      </c>
      <c r="AS66" s="469">
        <f t="shared" ref="AS66:AS71" si="218">I66+AG66</f>
        <v>43170340</v>
      </c>
      <c r="AT66" s="460">
        <f t="shared" ref="AT66:AT71" si="219">J66+V66</f>
        <v>31376752</v>
      </c>
      <c r="AU66" s="460">
        <f t="shared" ref="AU66:AU71" si="220">Z66</f>
        <v>58500</v>
      </c>
      <c r="AV66" s="460">
        <f t="shared" ref="AV66:AW71" si="221">K66+AB66</f>
        <v>10625115</v>
      </c>
      <c r="AW66" s="460">
        <f t="shared" si="221"/>
        <v>313768</v>
      </c>
      <c r="AX66" s="460">
        <f t="shared" ref="AX66:AX71" si="222">M66+AF66</f>
        <v>796205</v>
      </c>
      <c r="AY66" s="461">
        <f t="shared" ref="AY66:AY71" si="223">N66+AR66</f>
        <v>50.531800000000004</v>
      </c>
      <c r="AZ66" s="461">
        <f t="shared" ref="AZ66:BA71" si="224">O66+AP66</f>
        <v>41.861800000000002</v>
      </c>
      <c r="BA66" s="463">
        <f t="shared" si="224"/>
        <v>8.67</v>
      </c>
    </row>
    <row r="67" spans="1:53" s="229" customFormat="1" x14ac:dyDescent="0.2">
      <c r="A67" s="216">
        <v>13</v>
      </c>
      <c r="B67" s="217">
        <v>4455</v>
      </c>
      <c r="C67" s="217">
        <v>600074889</v>
      </c>
      <c r="D67" s="217">
        <v>49864611</v>
      </c>
      <c r="E67" s="215" t="s">
        <v>173</v>
      </c>
      <c r="F67" s="217">
        <v>3113</v>
      </c>
      <c r="G67" s="168" t="s">
        <v>308</v>
      </c>
      <c r="H67" s="218" t="s">
        <v>278</v>
      </c>
      <c r="I67" s="462">
        <f t="shared" si="204"/>
        <v>0</v>
      </c>
      <c r="J67" s="457">
        <v>0</v>
      </c>
      <c r="K67" s="457">
        <f t="shared" ref="K67:K71" si="225">ROUND(J67*33.8%,0)</f>
        <v>0</v>
      </c>
      <c r="L67" s="457">
        <f t="shared" si="205"/>
        <v>0</v>
      </c>
      <c r="M67" s="457">
        <v>0</v>
      </c>
      <c r="N67" s="458">
        <f t="shared" si="206"/>
        <v>0</v>
      </c>
      <c r="O67" s="459">
        <v>0</v>
      </c>
      <c r="P67" s="468">
        <v>0</v>
      </c>
      <c r="Q67" s="470">
        <f t="shared" si="207"/>
        <v>0</v>
      </c>
      <c r="R67" s="460">
        <v>2196208</v>
      </c>
      <c r="S67" s="673">
        <v>0</v>
      </c>
      <c r="T67" s="460">
        <v>0</v>
      </c>
      <c r="U67" s="460">
        <v>0</v>
      </c>
      <c r="V67" s="460">
        <f t="shared" si="208"/>
        <v>2196208</v>
      </c>
      <c r="W67" s="460">
        <v>0</v>
      </c>
      <c r="X67" s="460">
        <v>0</v>
      </c>
      <c r="Y67" s="460">
        <v>0</v>
      </c>
      <c r="Z67" s="460">
        <f t="shared" si="209"/>
        <v>0</v>
      </c>
      <c r="AA67" s="460">
        <f t="shared" si="210"/>
        <v>2196208</v>
      </c>
      <c r="AB67" s="69">
        <f t="shared" si="211"/>
        <v>742318</v>
      </c>
      <c r="AC67" s="69">
        <f t="shared" si="212"/>
        <v>21962</v>
      </c>
      <c r="AD67" s="460">
        <v>10000</v>
      </c>
      <c r="AE67" s="460">
        <v>0</v>
      </c>
      <c r="AF67" s="460">
        <f t="shared" si="213"/>
        <v>10000</v>
      </c>
      <c r="AG67" s="460">
        <f t="shared" si="214"/>
        <v>2970488</v>
      </c>
      <c r="AH67" s="461">
        <v>0</v>
      </c>
      <c r="AI67" s="461">
        <v>0</v>
      </c>
      <c r="AJ67" s="461">
        <v>6.29</v>
      </c>
      <c r="AK67" s="461">
        <v>0</v>
      </c>
      <c r="AL67" s="674">
        <v>0</v>
      </c>
      <c r="AM67" s="461">
        <v>0</v>
      </c>
      <c r="AN67" s="461">
        <v>0</v>
      </c>
      <c r="AO67" s="461">
        <v>0</v>
      </c>
      <c r="AP67" s="461">
        <f t="shared" si="215"/>
        <v>6.29</v>
      </c>
      <c r="AQ67" s="461">
        <f t="shared" si="216"/>
        <v>0</v>
      </c>
      <c r="AR67" s="463">
        <f t="shared" si="217"/>
        <v>6.29</v>
      </c>
      <c r="AS67" s="469">
        <f t="shared" si="218"/>
        <v>2970488</v>
      </c>
      <c r="AT67" s="460">
        <f t="shared" si="219"/>
        <v>2196208</v>
      </c>
      <c r="AU67" s="460">
        <f t="shared" si="220"/>
        <v>0</v>
      </c>
      <c r="AV67" s="460">
        <f t="shared" si="221"/>
        <v>742318</v>
      </c>
      <c r="AW67" s="460">
        <f t="shared" si="221"/>
        <v>21962</v>
      </c>
      <c r="AX67" s="460">
        <f t="shared" si="222"/>
        <v>10000</v>
      </c>
      <c r="AY67" s="461">
        <f t="shared" si="223"/>
        <v>6.29</v>
      </c>
      <c r="AZ67" s="461">
        <f t="shared" si="224"/>
        <v>6.29</v>
      </c>
      <c r="BA67" s="463">
        <f t="shared" si="224"/>
        <v>0</v>
      </c>
    </row>
    <row r="68" spans="1:53" s="229" customFormat="1" x14ac:dyDescent="0.2">
      <c r="A68" s="216">
        <v>13</v>
      </c>
      <c r="B68" s="217">
        <v>4455</v>
      </c>
      <c r="C68" s="217">
        <v>600074889</v>
      </c>
      <c r="D68" s="217">
        <v>49864611</v>
      </c>
      <c r="E68" s="215" t="s">
        <v>173</v>
      </c>
      <c r="F68" s="217">
        <v>3141</v>
      </c>
      <c r="G68" s="168" t="s">
        <v>311</v>
      </c>
      <c r="H68" s="218" t="s">
        <v>278</v>
      </c>
      <c r="I68" s="462">
        <f t="shared" si="204"/>
        <v>2927943</v>
      </c>
      <c r="J68" s="457">
        <v>2154895</v>
      </c>
      <c r="K68" s="457">
        <f t="shared" si="225"/>
        <v>728355</v>
      </c>
      <c r="L68" s="457">
        <f t="shared" si="205"/>
        <v>21549</v>
      </c>
      <c r="M68" s="457">
        <v>23144</v>
      </c>
      <c r="N68" s="458">
        <f t="shared" si="206"/>
        <v>6.93</v>
      </c>
      <c r="O68" s="459">
        <v>0</v>
      </c>
      <c r="P68" s="468">
        <v>6.93</v>
      </c>
      <c r="Q68" s="470">
        <f t="shared" si="207"/>
        <v>0</v>
      </c>
      <c r="R68" s="460">
        <v>0</v>
      </c>
      <c r="S68" s="673">
        <v>0</v>
      </c>
      <c r="T68" s="460">
        <v>0</v>
      </c>
      <c r="U68" s="460">
        <v>0</v>
      </c>
      <c r="V68" s="460">
        <f t="shared" si="208"/>
        <v>0</v>
      </c>
      <c r="W68" s="460">
        <v>0</v>
      </c>
      <c r="X68" s="460">
        <v>0</v>
      </c>
      <c r="Y68" s="460">
        <v>0</v>
      </c>
      <c r="Z68" s="460">
        <f t="shared" si="209"/>
        <v>0</v>
      </c>
      <c r="AA68" s="460">
        <f t="shared" si="210"/>
        <v>0</v>
      </c>
      <c r="AB68" s="69">
        <f t="shared" si="211"/>
        <v>0</v>
      </c>
      <c r="AC68" s="69">
        <f t="shared" si="212"/>
        <v>0</v>
      </c>
      <c r="AD68" s="460">
        <v>0</v>
      </c>
      <c r="AE68" s="460">
        <v>0</v>
      </c>
      <c r="AF68" s="460">
        <f t="shared" si="213"/>
        <v>0</v>
      </c>
      <c r="AG68" s="460">
        <f t="shared" si="214"/>
        <v>0</v>
      </c>
      <c r="AH68" s="461">
        <v>0</v>
      </c>
      <c r="AI68" s="461">
        <v>0</v>
      </c>
      <c r="AJ68" s="461">
        <v>0</v>
      </c>
      <c r="AK68" s="461">
        <v>0</v>
      </c>
      <c r="AL68" s="674">
        <v>0</v>
      </c>
      <c r="AM68" s="461">
        <v>0</v>
      </c>
      <c r="AN68" s="461">
        <v>0</v>
      </c>
      <c r="AO68" s="461">
        <v>0</v>
      </c>
      <c r="AP68" s="461">
        <f t="shared" si="215"/>
        <v>0</v>
      </c>
      <c r="AQ68" s="461">
        <f t="shared" si="216"/>
        <v>0</v>
      </c>
      <c r="AR68" s="463">
        <f t="shared" si="217"/>
        <v>0</v>
      </c>
      <c r="AS68" s="469">
        <f t="shared" si="218"/>
        <v>2927943</v>
      </c>
      <c r="AT68" s="460">
        <f t="shared" si="219"/>
        <v>2154895</v>
      </c>
      <c r="AU68" s="460">
        <f t="shared" si="220"/>
        <v>0</v>
      </c>
      <c r="AV68" s="460">
        <f t="shared" si="221"/>
        <v>728355</v>
      </c>
      <c r="AW68" s="460">
        <f t="shared" si="221"/>
        <v>21549</v>
      </c>
      <c r="AX68" s="460">
        <f t="shared" si="222"/>
        <v>23144</v>
      </c>
      <c r="AY68" s="461">
        <f t="shared" si="223"/>
        <v>6.93</v>
      </c>
      <c r="AZ68" s="461">
        <f t="shared" si="224"/>
        <v>0</v>
      </c>
      <c r="BA68" s="463">
        <f t="shared" si="224"/>
        <v>6.93</v>
      </c>
    </row>
    <row r="69" spans="1:53" s="229" customFormat="1" x14ac:dyDescent="0.2">
      <c r="A69" s="216">
        <v>13</v>
      </c>
      <c r="B69" s="217">
        <v>4455</v>
      </c>
      <c r="C69" s="217">
        <v>600074889</v>
      </c>
      <c r="D69" s="217">
        <v>49864611</v>
      </c>
      <c r="E69" s="215" t="s">
        <v>173</v>
      </c>
      <c r="F69" s="217">
        <v>3143</v>
      </c>
      <c r="G69" s="168" t="s">
        <v>616</v>
      </c>
      <c r="H69" s="234" t="s">
        <v>277</v>
      </c>
      <c r="I69" s="462">
        <f t="shared" si="204"/>
        <v>3682224</v>
      </c>
      <c r="J69" s="457">
        <v>2731620</v>
      </c>
      <c r="K69" s="457">
        <f t="shared" si="225"/>
        <v>923288</v>
      </c>
      <c r="L69" s="457">
        <f t="shared" si="205"/>
        <v>27316</v>
      </c>
      <c r="M69" s="457">
        <v>0</v>
      </c>
      <c r="N69" s="458">
        <f t="shared" si="206"/>
        <v>5.6429999999999998</v>
      </c>
      <c r="O69" s="459">
        <v>5.6429999999999998</v>
      </c>
      <c r="P69" s="468">
        <v>0</v>
      </c>
      <c r="Q69" s="470">
        <f t="shared" si="207"/>
        <v>0</v>
      </c>
      <c r="R69" s="460">
        <v>0</v>
      </c>
      <c r="S69" s="673">
        <v>0</v>
      </c>
      <c r="T69" s="460">
        <v>0</v>
      </c>
      <c r="U69" s="460">
        <v>0</v>
      </c>
      <c r="V69" s="460">
        <f t="shared" si="208"/>
        <v>0</v>
      </c>
      <c r="W69" s="460">
        <v>0</v>
      </c>
      <c r="X69" s="460">
        <v>0</v>
      </c>
      <c r="Y69" s="460">
        <v>0</v>
      </c>
      <c r="Z69" s="460">
        <f t="shared" si="209"/>
        <v>0</v>
      </c>
      <c r="AA69" s="460">
        <f t="shared" si="210"/>
        <v>0</v>
      </c>
      <c r="AB69" s="69">
        <f t="shared" si="211"/>
        <v>0</v>
      </c>
      <c r="AC69" s="69">
        <f t="shared" si="212"/>
        <v>0</v>
      </c>
      <c r="AD69" s="460">
        <v>0</v>
      </c>
      <c r="AE69" s="460">
        <v>0</v>
      </c>
      <c r="AF69" s="460">
        <f t="shared" si="213"/>
        <v>0</v>
      </c>
      <c r="AG69" s="460">
        <f t="shared" si="214"/>
        <v>0</v>
      </c>
      <c r="AH69" s="461">
        <v>0</v>
      </c>
      <c r="AI69" s="461">
        <v>0</v>
      </c>
      <c r="AJ69" s="461">
        <v>0</v>
      </c>
      <c r="AK69" s="461">
        <v>0</v>
      </c>
      <c r="AL69" s="674">
        <v>0</v>
      </c>
      <c r="AM69" s="461">
        <v>0</v>
      </c>
      <c r="AN69" s="461">
        <v>0</v>
      </c>
      <c r="AO69" s="461">
        <v>0</v>
      </c>
      <c r="AP69" s="461">
        <f t="shared" si="215"/>
        <v>0</v>
      </c>
      <c r="AQ69" s="461">
        <f t="shared" si="216"/>
        <v>0</v>
      </c>
      <c r="AR69" s="463">
        <f t="shared" si="217"/>
        <v>0</v>
      </c>
      <c r="AS69" s="469">
        <f t="shared" si="218"/>
        <v>3682224</v>
      </c>
      <c r="AT69" s="460">
        <f t="shared" si="219"/>
        <v>2731620</v>
      </c>
      <c r="AU69" s="460">
        <f t="shared" si="220"/>
        <v>0</v>
      </c>
      <c r="AV69" s="460">
        <f t="shared" si="221"/>
        <v>923288</v>
      </c>
      <c r="AW69" s="460">
        <f t="shared" si="221"/>
        <v>27316</v>
      </c>
      <c r="AX69" s="460">
        <f t="shared" si="222"/>
        <v>0</v>
      </c>
      <c r="AY69" s="461">
        <f t="shared" si="223"/>
        <v>5.6429999999999998</v>
      </c>
      <c r="AZ69" s="461">
        <f t="shared" si="224"/>
        <v>5.6429999999999998</v>
      </c>
      <c r="BA69" s="463">
        <f t="shared" si="224"/>
        <v>0</v>
      </c>
    </row>
    <row r="70" spans="1:53" s="229" customFormat="1" x14ac:dyDescent="0.2">
      <c r="A70" s="216">
        <v>13</v>
      </c>
      <c r="B70" s="217">
        <v>4455</v>
      </c>
      <c r="C70" s="217">
        <v>600074889</v>
      </c>
      <c r="D70" s="217">
        <v>49864611</v>
      </c>
      <c r="E70" s="215" t="s">
        <v>173</v>
      </c>
      <c r="F70" s="217">
        <v>3143</v>
      </c>
      <c r="G70" s="168" t="s">
        <v>617</v>
      </c>
      <c r="H70" s="234" t="s">
        <v>278</v>
      </c>
      <c r="I70" s="462">
        <f t="shared" si="204"/>
        <v>101887</v>
      </c>
      <c r="J70" s="457">
        <v>72800</v>
      </c>
      <c r="K70" s="457">
        <f t="shared" si="225"/>
        <v>24606</v>
      </c>
      <c r="L70" s="457">
        <f t="shared" si="205"/>
        <v>728</v>
      </c>
      <c r="M70" s="457">
        <v>3753</v>
      </c>
      <c r="N70" s="458">
        <f t="shared" si="206"/>
        <v>0.28999999999999998</v>
      </c>
      <c r="O70" s="459">
        <v>0</v>
      </c>
      <c r="P70" s="468">
        <v>0.28999999999999998</v>
      </c>
      <c r="Q70" s="470">
        <f t="shared" si="207"/>
        <v>0</v>
      </c>
      <c r="R70" s="460">
        <v>0</v>
      </c>
      <c r="S70" s="673">
        <v>0</v>
      </c>
      <c r="T70" s="460">
        <v>0</v>
      </c>
      <c r="U70" s="460">
        <v>0</v>
      </c>
      <c r="V70" s="460">
        <f t="shared" si="208"/>
        <v>0</v>
      </c>
      <c r="W70" s="460">
        <v>0</v>
      </c>
      <c r="X70" s="460">
        <v>0</v>
      </c>
      <c r="Y70" s="460">
        <v>0</v>
      </c>
      <c r="Z70" s="460">
        <f t="shared" si="209"/>
        <v>0</v>
      </c>
      <c r="AA70" s="460">
        <f t="shared" si="210"/>
        <v>0</v>
      </c>
      <c r="AB70" s="69">
        <f t="shared" si="211"/>
        <v>0</v>
      </c>
      <c r="AC70" s="69">
        <f t="shared" si="212"/>
        <v>0</v>
      </c>
      <c r="AD70" s="460">
        <v>0</v>
      </c>
      <c r="AE70" s="460">
        <v>0</v>
      </c>
      <c r="AF70" s="460">
        <f t="shared" si="213"/>
        <v>0</v>
      </c>
      <c r="AG70" s="460">
        <f t="shared" si="214"/>
        <v>0</v>
      </c>
      <c r="AH70" s="461">
        <v>0</v>
      </c>
      <c r="AI70" s="461">
        <v>0</v>
      </c>
      <c r="AJ70" s="461">
        <v>0</v>
      </c>
      <c r="AK70" s="461">
        <v>0</v>
      </c>
      <c r="AL70" s="674">
        <v>0</v>
      </c>
      <c r="AM70" s="461">
        <v>0</v>
      </c>
      <c r="AN70" s="461">
        <v>0</v>
      </c>
      <c r="AO70" s="461">
        <v>0</v>
      </c>
      <c r="AP70" s="461">
        <f t="shared" si="215"/>
        <v>0</v>
      </c>
      <c r="AQ70" s="461">
        <f t="shared" si="216"/>
        <v>0</v>
      </c>
      <c r="AR70" s="463">
        <f t="shared" si="217"/>
        <v>0</v>
      </c>
      <c r="AS70" s="469">
        <f t="shared" si="218"/>
        <v>101887</v>
      </c>
      <c r="AT70" s="460">
        <f t="shared" si="219"/>
        <v>72800</v>
      </c>
      <c r="AU70" s="460">
        <f t="shared" si="220"/>
        <v>0</v>
      </c>
      <c r="AV70" s="460">
        <f t="shared" si="221"/>
        <v>24606</v>
      </c>
      <c r="AW70" s="460">
        <f t="shared" si="221"/>
        <v>728</v>
      </c>
      <c r="AX70" s="460">
        <f t="shared" si="222"/>
        <v>3753</v>
      </c>
      <c r="AY70" s="461">
        <f t="shared" si="223"/>
        <v>0.28999999999999998</v>
      </c>
      <c r="AZ70" s="461">
        <f t="shared" si="224"/>
        <v>0</v>
      </c>
      <c r="BA70" s="463">
        <f t="shared" si="224"/>
        <v>0.28999999999999998</v>
      </c>
    </row>
    <row r="71" spans="1:53" s="229" customFormat="1" x14ac:dyDescent="0.2">
      <c r="A71" s="216">
        <v>13</v>
      </c>
      <c r="B71" s="217">
        <v>4455</v>
      </c>
      <c r="C71" s="217">
        <v>600074889</v>
      </c>
      <c r="D71" s="217">
        <v>49864611</v>
      </c>
      <c r="E71" s="215" t="s">
        <v>173</v>
      </c>
      <c r="F71" s="217">
        <v>3143</v>
      </c>
      <c r="G71" s="168" t="s">
        <v>313</v>
      </c>
      <c r="H71" s="234" t="s">
        <v>278</v>
      </c>
      <c r="I71" s="462">
        <f t="shared" si="204"/>
        <v>251099</v>
      </c>
      <c r="J71" s="457">
        <v>186008</v>
      </c>
      <c r="K71" s="457">
        <f t="shared" si="225"/>
        <v>62871</v>
      </c>
      <c r="L71" s="457">
        <f t="shared" si="205"/>
        <v>1860</v>
      </c>
      <c r="M71" s="457">
        <v>360</v>
      </c>
      <c r="N71" s="458">
        <f t="shared" si="206"/>
        <v>0.41</v>
      </c>
      <c r="O71" s="459">
        <v>0.37</v>
      </c>
      <c r="P71" s="468">
        <v>0.04</v>
      </c>
      <c r="Q71" s="470">
        <f t="shared" si="207"/>
        <v>0</v>
      </c>
      <c r="R71" s="460">
        <v>0</v>
      </c>
      <c r="S71" s="673">
        <v>0</v>
      </c>
      <c r="T71" s="460">
        <v>0</v>
      </c>
      <c r="U71" s="460">
        <v>0</v>
      </c>
      <c r="V71" s="460">
        <f t="shared" si="208"/>
        <v>0</v>
      </c>
      <c r="W71" s="460">
        <v>0</v>
      </c>
      <c r="X71" s="460">
        <v>0</v>
      </c>
      <c r="Y71" s="460">
        <v>0</v>
      </c>
      <c r="Z71" s="460">
        <f t="shared" si="209"/>
        <v>0</v>
      </c>
      <c r="AA71" s="460">
        <f t="shared" si="210"/>
        <v>0</v>
      </c>
      <c r="AB71" s="69">
        <f t="shared" si="211"/>
        <v>0</v>
      </c>
      <c r="AC71" s="69">
        <f t="shared" si="212"/>
        <v>0</v>
      </c>
      <c r="AD71" s="460">
        <v>0</v>
      </c>
      <c r="AE71" s="460">
        <v>0</v>
      </c>
      <c r="AF71" s="460">
        <f t="shared" si="213"/>
        <v>0</v>
      </c>
      <c r="AG71" s="460">
        <f t="shared" si="214"/>
        <v>0</v>
      </c>
      <c r="AH71" s="461">
        <v>0</v>
      </c>
      <c r="AI71" s="461">
        <v>0</v>
      </c>
      <c r="AJ71" s="461">
        <v>0</v>
      </c>
      <c r="AK71" s="461">
        <v>0</v>
      </c>
      <c r="AL71" s="674">
        <v>0</v>
      </c>
      <c r="AM71" s="461">
        <v>0</v>
      </c>
      <c r="AN71" s="461">
        <v>0</v>
      </c>
      <c r="AO71" s="461">
        <v>0</v>
      </c>
      <c r="AP71" s="461">
        <f t="shared" si="215"/>
        <v>0</v>
      </c>
      <c r="AQ71" s="461">
        <f t="shared" si="216"/>
        <v>0</v>
      </c>
      <c r="AR71" s="463">
        <f t="shared" si="217"/>
        <v>0</v>
      </c>
      <c r="AS71" s="469">
        <f t="shared" si="218"/>
        <v>251099</v>
      </c>
      <c r="AT71" s="460">
        <f t="shared" si="219"/>
        <v>186008</v>
      </c>
      <c r="AU71" s="460">
        <f t="shared" si="220"/>
        <v>0</v>
      </c>
      <c r="AV71" s="460">
        <f t="shared" si="221"/>
        <v>62871</v>
      </c>
      <c r="AW71" s="460">
        <f t="shared" si="221"/>
        <v>1860</v>
      </c>
      <c r="AX71" s="460">
        <f t="shared" si="222"/>
        <v>360</v>
      </c>
      <c r="AY71" s="461">
        <f t="shared" si="223"/>
        <v>0.41</v>
      </c>
      <c r="AZ71" s="461">
        <f t="shared" si="224"/>
        <v>0.37</v>
      </c>
      <c r="BA71" s="463">
        <f t="shared" si="224"/>
        <v>0.04</v>
      </c>
    </row>
    <row r="72" spans="1:53" s="229" customFormat="1" x14ac:dyDescent="0.2">
      <c r="A72" s="158">
        <v>13</v>
      </c>
      <c r="B72" s="18">
        <v>4455</v>
      </c>
      <c r="C72" s="18">
        <v>600074889</v>
      </c>
      <c r="D72" s="18">
        <v>49864611</v>
      </c>
      <c r="E72" s="167" t="s">
        <v>174</v>
      </c>
      <c r="F72" s="18"/>
      <c r="G72" s="157"/>
      <c r="H72" s="191"/>
      <c r="I72" s="505">
        <f t="shared" ref="I72:P72" si="226">SUM(I66:I71)</f>
        <v>49958851</v>
      </c>
      <c r="J72" s="502">
        <f t="shared" si="226"/>
        <v>36450585</v>
      </c>
      <c r="K72" s="502">
        <f t="shared" si="226"/>
        <v>12320298</v>
      </c>
      <c r="L72" s="502">
        <f t="shared" si="226"/>
        <v>364506</v>
      </c>
      <c r="M72" s="502">
        <f t="shared" si="226"/>
        <v>823462</v>
      </c>
      <c r="N72" s="503">
        <f t="shared" si="226"/>
        <v>63.774799999999999</v>
      </c>
      <c r="O72" s="503">
        <f t="shared" si="226"/>
        <v>47.694800000000001</v>
      </c>
      <c r="P72" s="507">
        <f t="shared" si="226"/>
        <v>16.079999999999998</v>
      </c>
      <c r="Q72" s="505">
        <f t="shared" ref="Q72:BA72" si="227">SUM(Q66:Q71)</f>
        <v>-58500</v>
      </c>
      <c r="R72" s="502">
        <f t="shared" si="227"/>
        <v>2196208</v>
      </c>
      <c r="S72" s="502">
        <f t="shared" si="227"/>
        <v>0</v>
      </c>
      <c r="T72" s="502">
        <f t="shared" si="227"/>
        <v>129990</v>
      </c>
      <c r="U72" s="502">
        <f t="shared" si="227"/>
        <v>0</v>
      </c>
      <c r="V72" s="502">
        <f t="shared" si="227"/>
        <v>2267698</v>
      </c>
      <c r="W72" s="502">
        <f t="shared" si="227"/>
        <v>58500</v>
      </c>
      <c r="X72" s="502">
        <f t="shared" si="227"/>
        <v>0</v>
      </c>
      <c r="Y72" s="502">
        <f t="shared" si="227"/>
        <v>0</v>
      </c>
      <c r="Z72" s="502">
        <f t="shared" si="227"/>
        <v>58500</v>
      </c>
      <c r="AA72" s="502">
        <f t="shared" si="227"/>
        <v>2326198</v>
      </c>
      <c r="AB72" s="502">
        <f t="shared" si="227"/>
        <v>786255</v>
      </c>
      <c r="AC72" s="502">
        <f t="shared" si="227"/>
        <v>22677</v>
      </c>
      <c r="AD72" s="502">
        <f t="shared" si="227"/>
        <v>10000</v>
      </c>
      <c r="AE72" s="502">
        <f t="shared" si="227"/>
        <v>0</v>
      </c>
      <c r="AF72" s="502">
        <f t="shared" si="227"/>
        <v>10000</v>
      </c>
      <c r="AG72" s="502">
        <f t="shared" si="227"/>
        <v>3145130</v>
      </c>
      <c r="AH72" s="503">
        <f t="shared" si="227"/>
        <v>-0.02</v>
      </c>
      <c r="AI72" s="503">
        <f t="shared" si="227"/>
        <v>-0.15</v>
      </c>
      <c r="AJ72" s="503">
        <f t="shared" si="227"/>
        <v>6.29</v>
      </c>
      <c r="AK72" s="503">
        <f t="shared" si="227"/>
        <v>0</v>
      </c>
      <c r="AL72" s="503">
        <f t="shared" si="227"/>
        <v>0</v>
      </c>
      <c r="AM72" s="503">
        <f t="shared" si="227"/>
        <v>0.2</v>
      </c>
      <c r="AN72" s="503">
        <f t="shared" si="227"/>
        <v>0</v>
      </c>
      <c r="AO72" s="503">
        <f t="shared" si="227"/>
        <v>0</v>
      </c>
      <c r="AP72" s="503">
        <f t="shared" si="227"/>
        <v>6.47</v>
      </c>
      <c r="AQ72" s="503">
        <f t="shared" si="227"/>
        <v>-0.15</v>
      </c>
      <c r="AR72" s="40">
        <f t="shared" si="227"/>
        <v>6.32</v>
      </c>
      <c r="AS72" s="509">
        <f t="shared" si="227"/>
        <v>53103981</v>
      </c>
      <c r="AT72" s="502">
        <f t="shared" si="227"/>
        <v>38718283</v>
      </c>
      <c r="AU72" s="502">
        <f t="shared" si="227"/>
        <v>58500</v>
      </c>
      <c r="AV72" s="502">
        <f t="shared" si="227"/>
        <v>13106553</v>
      </c>
      <c r="AW72" s="502">
        <f t="shared" si="227"/>
        <v>387183</v>
      </c>
      <c r="AX72" s="502">
        <f t="shared" si="227"/>
        <v>833462</v>
      </c>
      <c r="AY72" s="503">
        <f t="shared" si="227"/>
        <v>70.094800000000006</v>
      </c>
      <c r="AZ72" s="503">
        <f t="shared" si="227"/>
        <v>54.1648</v>
      </c>
      <c r="BA72" s="40">
        <f t="shared" si="227"/>
        <v>15.929999999999998</v>
      </c>
    </row>
    <row r="73" spans="1:53" s="229" customFormat="1" x14ac:dyDescent="0.2">
      <c r="A73" s="216">
        <v>14</v>
      </c>
      <c r="B73" s="217">
        <v>4440</v>
      </c>
      <c r="C73" s="217">
        <v>600074897</v>
      </c>
      <c r="D73" s="217">
        <v>48283029</v>
      </c>
      <c r="E73" s="215" t="s">
        <v>175</v>
      </c>
      <c r="F73" s="217">
        <v>3113</v>
      </c>
      <c r="G73" s="168" t="s">
        <v>310</v>
      </c>
      <c r="H73" s="218" t="s">
        <v>277</v>
      </c>
      <c r="I73" s="462">
        <f t="shared" ref="I73:I77" si="228">SUM(J73:M73)</f>
        <v>29409378</v>
      </c>
      <c r="J73" s="457">
        <v>21415214</v>
      </c>
      <c r="K73" s="457">
        <f t="shared" ref="K73:K77" si="229">ROUND(J73*33.8%,0)</f>
        <v>7238342</v>
      </c>
      <c r="L73" s="457">
        <f t="shared" ref="L73:L77" si="230">ROUND(J73*1%,0)</f>
        <v>214152</v>
      </c>
      <c r="M73" s="457">
        <v>541670</v>
      </c>
      <c r="N73" s="458">
        <f t="shared" ref="N73:N77" si="231">O73+P73</f>
        <v>36.2318</v>
      </c>
      <c r="O73" s="459">
        <v>29.181799999999999</v>
      </c>
      <c r="P73" s="468">
        <v>7.05</v>
      </c>
      <c r="Q73" s="470">
        <f t="shared" ref="Q73:Q77" si="232">W73*-1</f>
        <v>-97500</v>
      </c>
      <c r="R73" s="460">
        <v>0</v>
      </c>
      <c r="S73" s="673">
        <v>0</v>
      </c>
      <c r="T73" s="460">
        <v>0</v>
      </c>
      <c r="U73" s="460">
        <v>0</v>
      </c>
      <c r="V73" s="460">
        <f>SUM(Q73:U73)</f>
        <v>-97500</v>
      </c>
      <c r="W73" s="460">
        <v>97500</v>
      </c>
      <c r="X73" s="460">
        <v>0</v>
      </c>
      <c r="Y73" s="460">
        <v>0</v>
      </c>
      <c r="Z73" s="460">
        <f t="shared" ref="Z73:Z77" si="233">SUM(W73:Y73)</f>
        <v>97500</v>
      </c>
      <c r="AA73" s="460">
        <f t="shared" ref="AA73:AA77" si="234">V73+Z73</f>
        <v>0</v>
      </c>
      <c r="AB73" s="69">
        <f t="shared" ref="AB73:AB77" si="235">ROUND((V73+W73+X73)*33.8%,0)</f>
        <v>0</v>
      </c>
      <c r="AC73" s="69">
        <f t="shared" ref="AC73:AC77" si="236">ROUND(V73*1%,0)</f>
        <v>-975</v>
      </c>
      <c r="AD73" s="460">
        <v>0</v>
      </c>
      <c r="AE73" s="460">
        <v>0</v>
      </c>
      <c r="AF73" s="460">
        <f t="shared" ref="AF73:AF77" si="237">SUM(AD73:AE73)</f>
        <v>0</v>
      </c>
      <c r="AG73" s="460">
        <f t="shared" ref="AG73:AG77" si="238">AA73+AB73+AC73+AF73</f>
        <v>-975</v>
      </c>
      <c r="AH73" s="461">
        <v>-7.0000000000000007E-2</v>
      </c>
      <c r="AI73" s="461">
        <v>-0.12</v>
      </c>
      <c r="AJ73" s="461">
        <v>0</v>
      </c>
      <c r="AK73" s="461">
        <v>0</v>
      </c>
      <c r="AL73" s="674">
        <v>0</v>
      </c>
      <c r="AM73" s="461">
        <v>0</v>
      </c>
      <c r="AN73" s="461">
        <v>0</v>
      </c>
      <c r="AO73" s="461">
        <v>0</v>
      </c>
      <c r="AP73" s="461">
        <f>AH73+AJ73+AK73+AM73+AN73</f>
        <v>-7.0000000000000007E-2</v>
      </c>
      <c r="AQ73" s="461">
        <f>AI73+AL73+AO73</f>
        <v>-0.12</v>
      </c>
      <c r="AR73" s="463">
        <f t="shared" ref="AR73:AR77" si="239">SUM(AP73:AQ73)</f>
        <v>-0.19</v>
      </c>
      <c r="AS73" s="469">
        <f>I73+AG73</f>
        <v>29408403</v>
      </c>
      <c r="AT73" s="460">
        <f>J73+V73</f>
        <v>21317714</v>
      </c>
      <c r="AU73" s="460">
        <f t="shared" ref="AU73:AU77" si="240">Z73</f>
        <v>97500</v>
      </c>
      <c r="AV73" s="460">
        <f t="shared" ref="AV73:AW77" si="241">K73+AB73</f>
        <v>7238342</v>
      </c>
      <c r="AW73" s="460">
        <f t="shared" si="241"/>
        <v>213177</v>
      </c>
      <c r="AX73" s="460">
        <f>M73+AF73</f>
        <v>541670</v>
      </c>
      <c r="AY73" s="461">
        <f>N73+AR73</f>
        <v>36.041800000000002</v>
      </c>
      <c r="AZ73" s="461">
        <f t="shared" ref="AZ73:BA77" si="242">O73+AP73</f>
        <v>29.111799999999999</v>
      </c>
      <c r="BA73" s="463">
        <f t="shared" si="242"/>
        <v>6.93</v>
      </c>
    </row>
    <row r="74" spans="1:53" s="229" customFormat="1" x14ac:dyDescent="0.2">
      <c r="A74" s="216">
        <v>14</v>
      </c>
      <c r="B74" s="217">
        <v>4440</v>
      </c>
      <c r="C74" s="217">
        <v>600074897</v>
      </c>
      <c r="D74" s="217">
        <v>48283029</v>
      </c>
      <c r="E74" s="215" t="s">
        <v>175</v>
      </c>
      <c r="F74" s="217">
        <v>3113</v>
      </c>
      <c r="G74" s="168" t="s">
        <v>308</v>
      </c>
      <c r="H74" s="218" t="s">
        <v>278</v>
      </c>
      <c r="I74" s="462">
        <f t="shared" si="228"/>
        <v>0</v>
      </c>
      <c r="J74" s="457">
        <v>0</v>
      </c>
      <c r="K74" s="457">
        <f t="shared" si="229"/>
        <v>0</v>
      </c>
      <c r="L74" s="457">
        <f t="shared" si="230"/>
        <v>0</v>
      </c>
      <c r="M74" s="457">
        <v>0</v>
      </c>
      <c r="N74" s="458">
        <f t="shared" si="231"/>
        <v>0</v>
      </c>
      <c r="O74" s="459">
        <v>0</v>
      </c>
      <c r="P74" s="468">
        <v>0</v>
      </c>
      <c r="Q74" s="470">
        <f t="shared" si="232"/>
        <v>0</v>
      </c>
      <c r="R74" s="460">
        <v>2434756</v>
      </c>
      <c r="S74" s="673">
        <v>0</v>
      </c>
      <c r="T74" s="460">
        <v>0</v>
      </c>
      <c r="U74" s="460">
        <v>0</v>
      </c>
      <c r="V74" s="460">
        <f>SUM(Q74:U74)</f>
        <v>2434756</v>
      </c>
      <c r="W74" s="460">
        <v>0</v>
      </c>
      <c r="X74" s="460">
        <v>0</v>
      </c>
      <c r="Y74" s="460">
        <v>0</v>
      </c>
      <c r="Z74" s="460">
        <f t="shared" si="233"/>
        <v>0</v>
      </c>
      <c r="AA74" s="460">
        <f t="shared" si="234"/>
        <v>2434756</v>
      </c>
      <c r="AB74" s="69">
        <f t="shared" si="235"/>
        <v>822948</v>
      </c>
      <c r="AC74" s="69">
        <f t="shared" si="236"/>
        <v>24348</v>
      </c>
      <c r="AD74" s="460">
        <v>0</v>
      </c>
      <c r="AE74" s="460">
        <v>0</v>
      </c>
      <c r="AF74" s="460">
        <f t="shared" si="237"/>
        <v>0</v>
      </c>
      <c r="AG74" s="460">
        <f t="shared" si="238"/>
        <v>3282052</v>
      </c>
      <c r="AH74" s="461">
        <v>0</v>
      </c>
      <c r="AI74" s="461">
        <v>0</v>
      </c>
      <c r="AJ74" s="461">
        <v>7.03</v>
      </c>
      <c r="AK74" s="461">
        <v>0</v>
      </c>
      <c r="AL74" s="674">
        <v>0</v>
      </c>
      <c r="AM74" s="461">
        <v>0</v>
      </c>
      <c r="AN74" s="461">
        <v>0</v>
      </c>
      <c r="AO74" s="461">
        <v>0</v>
      </c>
      <c r="AP74" s="461">
        <f>AH74+AJ74+AK74+AM74+AN74</f>
        <v>7.03</v>
      </c>
      <c r="AQ74" s="461">
        <f>AI74+AL74+AO74</f>
        <v>0</v>
      </c>
      <c r="AR74" s="463">
        <f t="shared" si="239"/>
        <v>7.03</v>
      </c>
      <c r="AS74" s="469">
        <f>I74+AG74</f>
        <v>3282052</v>
      </c>
      <c r="AT74" s="460">
        <f>J74+V74</f>
        <v>2434756</v>
      </c>
      <c r="AU74" s="460">
        <f t="shared" si="240"/>
        <v>0</v>
      </c>
      <c r="AV74" s="460">
        <f t="shared" si="241"/>
        <v>822948</v>
      </c>
      <c r="AW74" s="460">
        <f t="shared" si="241"/>
        <v>24348</v>
      </c>
      <c r="AX74" s="460">
        <f>M74+AF74</f>
        <v>0</v>
      </c>
      <c r="AY74" s="461">
        <f>N74+AR74</f>
        <v>7.03</v>
      </c>
      <c r="AZ74" s="461">
        <f t="shared" si="242"/>
        <v>7.03</v>
      </c>
      <c r="BA74" s="463">
        <f t="shared" si="242"/>
        <v>0</v>
      </c>
    </row>
    <row r="75" spans="1:53" s="229" customFormat="1" x14ac:dyDescent="0.2">
      <c r="A75" s="216">
        <v>14</v>
      </c>
      <c r="B75" s="217">
        <v>4440</v>
      </c>
      <c r="C75" s="217">
        <v>600074897</v>
      </c>
      <c r="D75" s="217">
        <v>48283029</v>
      </c>
      <c r="E75" s="215" t="s">
        <v>175</v>
      </c>
      <c r="F75" s="217">
        <v>3141</v>
      </c>
      <c r="G75" s="168" t="s">
        <v>311</v>
      </c>
      <c r="H75" s="218" t="s">
        <v>278</v>
      </c>
      <c r="I75" s="462">
        <f t="shared" si="228"/>
        <v>2709215</v>
      </c>
      <c r="J75" s="457">
        <v>1994385</v>
      </c>
      <c r="K75" s="457">
        <f t="shared" si="229"/>
        <v>674102</v>
      </c>
      <c r="L75" s="457">
        <f t="shared" si="230"/>
        <v>19944</v>
      </c>
      <c r="M75" s="457">
        <v>20784</v>
      </c>
      <c r="N75" s="458">
        <f t="shared" si="231"/>
        <v>6.41</v>
      </c>
      <c r="O75" s="459">
        <v>0</v>
      </c>
      <c r="P75" s="468">
        <v>6.41</v>
      </c>
      <c r="Q75" s="470">
        <f t="shared" si="232"/>
        <v>0</v>
      </c>
      <c r="R75" s="460">
        <v>0</v>
      </c>
      <c r="S75" s="673">
        <v>0</v>
      </c>
      <c r="T75" s="460">
        <v>0</v>
      </c>
      <c r="U75" s="460">
        <v>0</v>
      </c>
      <c r="V75" s="460">
        <f>SUM(Q75:U75)</f>
        <v>0</v>
      </c>
      <c r="W75" s="460">
        <v>0</v>
      </c>
      <c r="X75" s="460">
        <v>0</v>
      </c>
      <c r="Y75" s="460">
        <v>0</v>
      </c>
      <c r="Z75" s="460">
        <f t="shared" si="233"/>
        <v>0</v>
      </c>
      <c r="AA75" s="460">
        <f t="shared" si="234"/>
        <v>0</v>
      </c>
      <c r="AB75" s="69">
        <f t="shared" si="235"/>
        <v>0</v>
      </c>
      <c r="AC75" s="69">
        <f t="shared" si="236"/>
        <v>0</v>
      </c>
      <c r="AD75" s="460">
        <v>0</v>
      </c>
      <c r="AE75" s="460">
        <v>0</v>
      </c>
      <c r="AF75" s="460">
        <f t="shared" si="237"/>
        <v>0</v>
      </c>
      <c r="AG75" s="460">
        <f t="shared" si="238"/>
        <v>0</v>
      </c>
      <c r="AH75" s="461">
        <v>0</v>
      </c>
      <c r="AI75" s="461">
        <v>0</v>
      </c>
      <c r="AJ75" s="461">
        <v>0</v>
      </c>
      <c r="AK75" s="461">
        <v>0</v>
      </c>
      <c r="AL75" s="674">
        <v>0</v>
      </c>
      <c r="AM75" s="461">
        <v>0</v>
      </c>
      <c r="AN75" s="461">
        <v>0</v>
      </c>
      <c r="AO75" s="461">
        <v>0</v>
      </c>
      <c r="AP75" s="461">
        <f>AH75+AJ75+AK75+AM75+AN75</f>
        <v>0</v>
      </c>
      <c r="AQ75" s="461">
        <f>AI75+AL75+AO75</f>
        <v>0</v>
      </c>
      <c r="AR75" s="463">
        <f t="shared" si="239"/>
        <v>0</v>
      </c>
      <c r="AS75" s="469">
        <f>I75+AG75</f>
        <v>2709215</v>
      </c>
      <c r="AT75" s="460">
        <f>J75+V75</f>
        <v>1994385</v>
      </c>
      <c r="AU75" s="460">
        <f t="shared" si="240"/>
        <v>0</v>
      </c>
      <c r="AV75" s="460">
        <f t="shared" si="241"/>
        <v>674102</v>
      </c>
      <c r="AW75" s="460">
        <f t="shared" si="241"/>
        <v>19944</v>
      </c>
      <c r="AX75" s="460">
        <f>M75+AF75</f>
        <v>20784</v>
      </c>
      <c r="AY75" s="461">
        <f>N75+AR75</f>
        <v>6.41</v>
      </c>
      <c r="AZ75" s="461">
        <f t="shared" si="242"/>
        <v>0</v>
      </c>
      <c r="BA75" s="463">
        <f t="shared" si="242"/>
        <v>6.41</v>
      </c>
    </row>
    <row r="76" spans="1:53" s="229" customFormat="1" x14ac:dyDescent="0.2">
      <c r="A76" s="216">
        <v>14</v>
      </c>
      <c r="B76" s="217">
        <v>4440</v>
      </c>
      <c r="C76" s="217">
        <v>600074897</v>
      </c>
      <c r="D76" s="217">
        <v>48283029</v>
      </c>
      <c r="E76" s="215" t="s">
        <v>175</v>
      </c>
      <c r="F76" s="217">
        <v>3143</v>
      </c>
      <c r="G76" s="168" t="s">
        <v>616</v>
      </c>
      <c r="H76" s="234" t="s">
        <v>277</v>
      </c>
      <c r="I76" s="462">
        <f t="shared" si="228"/>
        <v>1995817</v>
      </c>
      <c r="J76" s="457">
        <v>1480576</v>
      </c>
      <c r="K76" s="457">
        <f t="shared" si="229"/>
        <v>500435</v>
      </c>
      <c r="L76" s="457">
        <f t="shared" si="230"/>
        <v>14806</v>
      </c>
      <c r="M76" s="457">
        <v>0</v>
      </c>
      <c r="N76" s="458">
        <f t="shared" si="231"/>
        <v>3.2856999999999998</v>
      </c>
      <c r="O76" s="459">
        <v>3.2856999999999998</v>
      </c>
      <c r="P76" s="468">
        <v>0</v>
      </c>
      <c r="Q76" s="470">
        <f t="shared" si="232"/>
        <v>0</v>
      </c>
      <c r="R76" s="460">
        <v>0</v>
      </c>
      <c r="S76" s="673">
        <v>0</v>
      </c>
      <c r="T76" s="460">
        <v>0</v>
      </c>
      <c r="U76" s="460">
        <v>0</v>
      </c>
      <c r="V76" s="460">
        <f>SUM(Q76:U76)</f>
        <v>0</v>
      </c>
      <c r="W76" s="460">
        <v>0</v>
      </c>
      <c r="X76" s="460">
        <v>0</v>
      </c>
      <c r="Y76" s="460">
        <v>0</v>
      </c>
      <c r="Z76" s="460">
        <f t="shared" si="233"/>
        <v>0</v>
      </c>
      <c r="AA76" s="460">
        <f t="shared" si="234"/>
        <v>0</v>
      </c>
      <c r="AB76" s="69">
        <f t="shared" si="235"/>
        <v>0</v>
      </c>
      <c r="AC76" s="69">
        <f t="shared" si="236"/>
        <v>0</v>
      </c>
      <c r="AD76" s="460">
        <v>0</v>
      </c>
      <c r="AE76" s="460">
        <v>0</v>
      </c>
      <c r="AF76" s="460">
        <f t="shared" si="237"/>
        <v>0</v>
      </c>
      <c r="AG76" s="460">
        <f t="shared" si="238"/>
        <v>0</v>
      </c>
      <c r="AH76" s="461">
        <v>0</v>
      </c>
      <c r="AI76" s="461">
        <v>0</v>
      </c>
      <c r="AJ76" s="461">
        <v>0</v>
      </c>
      <c r="AK76" s="461">
        <v>0</v>
      </c>
      <c r="AL76" s="674">
        <v>0</v>
      </c>
      <c r="AM76" s="461">
        <v>0</v>
      </c>
      <c r="AN76" s="461">
        <v>0</v>
      </c>
      <c r="AO76" s="461">
        <v>0</v>
      </c>
      <c r="AP76" s="461">
        <f>AH76+AJ76+AK76+AM76+AN76</f>
        <v>0</v>
      </c>
      <c r="AQ76" s="461">
        <f>AI76+AL76+AO76</f>
        <v>0</v>
      </c>
      <c r="AR76" s="463">
        <f t="shared" si="239"/>
        <v>0</v>
      </c>
      <c r="AS76" s="469">
        <f>I76+AG76</f>
        <v>1995817</v>
      </c>
      <c r="AT76" s="460">
        <f>J76+V76</f>
        <v>1480576</v>
      </c>
      <c r="AU76" s="460">
        <f t="shared" si="240"/>
        <v>0</v>
      </c>
      <c r="AV76" s="460">
        <f t="shared" si="241"/>
        <v>500435</v>
      </c>
      <c r="AW76" s="460">
        <f t="shared" si="241"/>
        <v>14806</v>
      </c>
      <c r="AX76" s="460">
        <f>M76+AF76</f>
        <v>0</v>
      </c>
      <c r="AY76" s="461">
        <f>N76+AR76</f>
        <v>3.2856999999999998</v>
      </c>
      <c r="AZ76" s="461">
        <f t="shared" si="242"/>
        <v>3.2856999999999998</v>
      </c>
      <c r="BA76" s="463">
        <f t="shared" si="242"/>
        <v>0</v>
      </c>
    </row>
    <row r="77" spans="1:53" s="229" customFormat="1" x14ac:dyDescent="0.2">
      <c r="A77" s="216">
        <v>14</v>
      </c>
      <c r="B77" s="217">
        <v>4440</v>
      </c>
      <c r="C77" s="217">
        <v>600074897</v>
      </c>
      <c r="D77" s="217">
        <v>48283029</v>
      </c>
      <c r="E77" s="215" t="s">
        <v>175</v>
      </c>
      <c r="F77" s="217">
        <v>3143</v>
      </c>
      <c r="G77" s="168" t="s">
        <v>617</v>
      </c>
      <c r="H77" s="234" t="s">
        <v>278</v>
      </c>
      <c r="I77" s="462">
        <f t="shared" si="228"/>
        <v>81363</v>
      </c>
      <c r="J77" s="457">
        <v>58135</v>
      </c>
      <c r="K77" s="457">
        <f t="shared" si="229"/>
        <v>19650</v>
      </c>
      <c r="L77" s="457">
        <f t="shared" si="230"/>
        <v>581</v>
      </c>
      <c r="M77" s="457">
        <v>2997</v>
      </c>
      <c r="N77" s="458">
        <f t="shared" si="231"/>
        <v>0.23</v>
      </c>
      <c r="O77" s="459">
        <v>0</v>
      </c>
      <c r="P77" s="468">
        <v>0.23</v>
      </c>
      <c r="Q77" s="470">
        <f t="shared" si="232"/>
        <v>0</v>
      </c>
      <c r="R77" s="460">
        <v>0</v>
      </c>
      <c r="S77" s="673">
        <v>0</v>
      </c>
      <c r="T77" s="460">
        <v>0</v>
      </c>
      <c r="U77" s="460">
        <v>0</v>
      </c>
      <c r="V77" s="460">
        <f>SUM(Q77:U77)</f>
        <v>0</v>
      </c>
      <c r="W77" s="460">
        <v>0</v>
      </c>
      <c r="X77" s="460">
        <v>0</v>
      </c>
      <c r="Y77" s="460">
        <v>0</v>
      </c>
      <c r="Z77" s="460">
        <f t="shared" si="233"/>
        <v>0</v>
      </c>
      <c r="AA77" s="460">
        <f t="shared" si="234"/>
        <v>0</v>
      </c>
      <c r="AB77" s="69">
        <f t="shared" si="235"/>
        <v>0</v>
      </c>
      <c r="AC77" s="69">
        <f t="shared" si="236"/>
        <v>0</v>
      </c>
      <c r="AD77" s="460">
        <v>0</v>
      </c>
      <c r="AE77" s="460">
        <v>0</v>
      </c>
      <c r="AF77" s="460">
        <f t="shared" si="237"/>
        <v>0</v>
      </c>
      <c r="AG77" s="460">
        <f t="shared" si="238"/>
        <v>0</v>
      </c>
      <c r="AH77" s="461">
        <v>0</v>
      </c>
      <c r="AI77" s="461">
        <v>0</v>
      </c>
      <c r="AJ77" s="461">
        <v>0</v>
      </c>
      <c r="AK77" s="461">
        <v>0</v>
      </c>
      <c r="AL77" s="674">
        <v>0</v>
      </c>
      <c r="AM77" s="461">
        <v>0</v>
      </c>
      <c r="AN77" s="461">
        <v>0</v>
      </c>
      <c r="AO77" s="461">
        <v>0</v>
      </c>
      <c r="AP77" s="461">
        <f>AH77+AJ77+AK77+AM77+AN77</f>
        <v>0</v>
      </c>
      <c r="AQ77" s="461">
        <f>AI77+AL77+AO77</f>
        <v>0</v>
      </c>
      <c r="AR77" s="463">
        <f t="shared" si="239"/>
        <v>0</v>
      </c>
      <c r="AS77" s="469">
        <f>I77+AG77</f>
        <v>81363</v>
      </c>
      <c r="AT77" s="460">
        <f>J77+V77</f>
        <v>58135</v>
      </c>
      <c r="AU77" s="460">
        <f t="shared" si="240"/>
        <v>0</v>
      </c>
      <c r="AV77" s="460">
        <f t="shared" si="241"/>
        <v>19650</v>
      </c>
      <c r="AW77" s="460">
        <f t="shared" si="241"/>
        <v>581</v>
      </c>
      <c r="AX77" s="460">
        <f>M77+AF77</f>
        <v>2997</v>
      </c>
      <c r="AY77" s="461">
        <f>N77+AR77</f>
        <v>0.23</v>
      </c>
      <c r="AZ77" s="461">
        <f t="shared" si="242"/>
        <v>0</v>
      </c>
      <c r="BA77" s="463">
        <f t="shared" si="242"/>
        <v>0.23</v>
      </c>
    </row>
    <row r="78" spans="1:53" s="229" customFormat="1" x14ac:dyDescent="0.2">
      <c r="A78" s="158">
        <v>14</v>
      </c>
      <c r="B78" s="18">
        <v>4440</v>
      </c>
      <c r="C78" s="18">
        <v>600074897</v>
      </c>
      <c r="D78" s="18">
        <v>48283029</v>
      </c>
      <c r="E78" s="167" t="s">
        <v>176</v>
      </c>
      <c r="F78" s="18"/>
      <c r="G78" s="157"/>
      <c r="H78" s="191"/>
      <c r="I78" s="505">
        <f t="shared" ref="I78:P78" si="243">SUM(I73:I77)</f>
        <v>34195773</v>
      </c>
      <c r="J78" s="502">
        <f t="shared" si="243"/>
        <v>24948310</v>
      </c>
      <c r="K78" s="502">
        <f t="shared" si="243"/>
        <v>8432529</v>
      </c>
      <c r="L78" s="502">
        <f t="shared" si="243"/>
        <v>249483</v>
      </c>
      <c r="M78" s="502">
        <f t="shared" si="243"/>
        <v>565451</v>
      </c>
      <c r="N78" s="503">
        <f t="shared" si="243"/>
        <v>46.157499999999999</v>
      </c>
      <c r="O78" s="503">
        <f t="shared" si="243"/>
        <v>32.467500000000001</v>
      </c>
      <c r="P78" s="507">
        <f t="shared" si="243"/>
        <v>13.690000000000001</v>
      </c>
      <c r="Q78" s="505">
        <f t="shared" ref="Q78:BA78" si="244">SUM(Q73:Q77)</f>
        <v>-97500</v>
      </c>
      <c r="R78" s="502">
        <f t="shared" si="244"/>
        <v>2434756</v>
      </c>
      <c r="S78" s="502">
        <f t="shared" si="244"/>
        <v>0</v>
      </c>
      <c r="T78" s="502">
        <f t="shared" si="244"/>
        <v>0</v>
      </c>
      <c r="U78" s="502">
        <f t="shared" si="244"/>
        <v>0</v>
      </c>
      <c r="V78" s="502">
        <f t="shared" si="244"/>
        <v>2337256</v>
      </c>
      <c r="W78" s="502">
        <f t="shared" si="244"/>
        <v>97500</v>
      </c>
      <c r="X78" s="502">
        <f t="shared" si="244"/>
        <v>0</v>
      </c>
      <c r="Y78" s="502">
        <f t="shared" si="244"/>
        <v>0</v>
      </c>
      <c r="Z78" s="502">
        <f t="shared" si="244"/>
        <v>97500</v>
      </c>
      <c r="AA78" s="502">
        <f t="shared" si="244"/>
        <v>2434756</v>
      </c>
      <c r="AB78" s="502">
        <f t="shared" si="244"/>
        <v>822948</v>
      </c>
      <c r="AC78" s="502">
        <f t="shared" si="244"/>
        <v>23373</v>
      </c>
      <c r="AD78" s="502">
        <f t="shared" si="244"/>
        <v>0</v>
      </c>
      <c r="AE78" s="502">
        <f t="shared" si="244"/>
        <v>0</v>
      </c>
      <c r="AF78" s="502">
        <f t="shared" si="244"/>
        <v>0</v>
      </c>
      <c r="AG78" s="502">
        <f t="shared" si="244"/>
        <v>3281077</v>
      </c>
      <c r="AH78" s="503">
        <f t="shared" si="244"/>
        <v>-7.0000000000000007E-2</v>
      </c>
      <c r="AI78" s="503">
        <f t="shared" si="244"/>
        <v>-0.12</v>
      </c>
      <c r="AJ78" s="503">
        <f t="shared" si="244"/>
        <v>7.03</v>
      </c>
      <c r="AK78" s="503">
        <f t="shared" si="244"/>
        <v>0</v>
      </c>
      <c r="AL78" s="503">
        <f t="shared" si="244"/>
        <v>0</v>
      </c>
      <c r="AM78" s="503">
        <f t="shared" si="244"/>
        <v>0</v>
      </c>
      <c r="AN78" s="503">
        <f t="shared" si="244"/>
        <v>0</v>
      </c>
      <c r="AO78" s="503">
        <f t="shared" si="244"/>
        <v>0</v>
      </c>
      <c r="AP78" s="503">
        <f t="shared" si="244"/>
        <v>6.96</v>
      </c>
      <c r="AQ78" s="503">
        <f t="shared" si="244"/>
        <v>-0.12</v>
      </c>
      <c r="AR78" s="40">
        <f t="shared" si="244"/>
        <v>6.84</v>
      </c>
      <c r="AS78" s="509">
        <f t="shared" si="244"/>
        <v>37476850</v>
      </c>
      <c r="AT78" s="502">
        <f t="shared" si="244"/>
        <v>27285566</v>
      </c>
      <c r="AU78" s="502">
        <f t="shared" si="244"/>
        <v>97500</v>
      </c>
      <c r="AV78" s="502">
        <f t="shared" si="244"/>
        <v>9255477</v>
      </c>
      <c r="AW78" s="502">
        <f t="shared" si="244"/>
        <v>272856</v>
      </c>
      <c r="AX78" s="502">
        <f t="shared" si="244"/>
        <v>565451</v>
      </c>
      <c r="AY78" s="503">
        <f t="shared" si="244"/>
        <v>52.997500000000002</v>
      </c>
      <c r="AZ78" s="503">
        <f t="shared" si="244"/>
        <v>39.427499999999995</v>
      </c>
      <c r="BA78" s="40">
        <f t="shared" si="244"/>
        <v>13.57</v>
      </c>
    </row>
    <row r="79" spans="1:53" s="229" customFormat="1" x14ac:dyDescent="0.2">
      <c r="A79" s="216">
        <v>15</v>
      </c>
      <c r="B79" s="217">
        <v>4442</v>
      </c>
      <c r="C79" s="217">
        <v>600074901</v>
      </c>
      <c r="D79" s="217">
        <v>48283061</v>
      </c>
      <c r="E79" s="215" t="s">
        <v>177</v>
      </c>
      <c r="F79" s="217">
        <v>3113</v>
      </c>
      <c r="G79" s="168" t="s">
        <v>310</v>
      </c>
      <c r="H79" s="218" t="s">
        <v>277</v>
      </c>
      <c r="I79" s="462">
        <f t="shared" ref="I79:I84" si="245">SUM(J79:M79)</f>
        <v>20341783</v>
      </c>
      <c r="J79" s="457">
        <v>14839476</v>
      </c>
      <c r="K79" s="457">
        <f t="shared" ref="K79:K84" si="246">ROUND(J79*33.8%,0)</f>
        <v>5015743</v>
      </c>
      <c r="L79" s="457">
        <f>ROUND(J79*1%,0)-1</f>
        <v>148394</v>
      </c>
      <c r="M79" s="457">
        <v>338170</v>
      </c>
      <c r="N79" s="458">
        <f t="shared" ref="N79:N84" si="247">O79+P79</f>
        <v>23.522500000000001</v>
      </c>
      <c r="O79" s="459">
        <v>18.732500000000002</v>
      </c>
      <c r="P79" s="468">
        <v>4.79</v>
      </c>
      <c r="Q79" s="470">
        <f t="shared" ref="Q79:Q84" si="248">W79*-1</f>
        <v>-26000</v>
      </c>
      <c r="R79" s="460">
        <v>0</v>
      </c>
      <c r="S79" s="673">
        <v>0</v>
      </c>
      <c r="T79" s="460">
        <v>0</v>
      </c>
      <c r="U79" s="460">
        <v>0</v>
      </c>
      <c r="V79" s="460">
        <f t="shared" ref="V79:V84" si="249">SUM(Q79:U79)</f>
        <v>-26000</v>
      </c>
      <c r="W79" s="460">
        <v>26000</v>
      </c>
      <c r="X79" s="460">
        <v>0</v>
      </c>
      <c r="Y79" s="460">
        <v>0</v>
      </c>
      <c r="Z79" s="460">
        <f t="shared" ref="Z79:Z84" si="250">SUM(W79:Y79)</f>
        <v>26000</v>
      </c>
      <c r="AA79" s="460">
        <f t="shared" ref="AA79:AA84" si="251">V79+Z79</f>
        <v>0</v>
      </c>
      <c r="AB79" s="69">
        <f t="shared" ref="AB79:AB84" si="252">ROUND((V79+W79+X79)*33.8%,0)</f>
        <v>0</v>
      </c>
      <c r="AC79" s="69">
        <f t="shared" ref="AC79:AC84" si="253">ROUND(V79*1%,0)</f>
        <v>-260</v>
      </c>
      <c r="AD79" s="460">
        <v>0</v>
      </c>
      <c r="AE79" s="460">
        <v>0</v>
      </c>
      <c r="AF79" s="460">
        <f t="shared" ref="AF79:AF84" si="254">SUM(AD79:AE79)</f>
        <v>0</v>
      </c>
      <c r="AG79" s="460">
        <f t="shared" ref="AG79:AG84" si="255">AA79+AB79+AC79+AF79</f>
        <v>-260</v>
      </c>
      <c r="AH79" s="461">
        <v>0</v>
      </c>
      <c r="AI79" s="461">
        <v>0</v>
      </c>
      <c r="AJ79" s="461">
        <v>0</v>
      </c>
      <c r="AK79" s="461">
        <v>0</v>
      </c>
      <c r="AL79" s="674">
        <v>0</v>
      </c>
      <c r="AM79" s="461">
        <v>0</v>
      </c>
      <c r="AN79" s="461">
        <v>0</v>
      </c>
      <c r="AO79" s="461">
        <v>0</v>
      </c>
      <c r="AP79" s="461">
        <f t="shared" ref="AP79:AP84" si="256">AH79+AJ79+AK79+AM79+AN79</f>
        <v>0</v>
      </c>
      <c r="AQ79" s="461">
        <f t="shared" ref="AQ79:AQ84" si="257">AI79+AL79+AO79</f>
        <v>0</v>
      </c>
      <c r="AR79" s="463">
        <f t="shared" ref="AR79:AR84" si="258">SUM(AP79:AQ79)</f>
        <v>0</v>
      </c>
      <c r="AS79" s="469">
        <f t="shared" ref="AS79:AS84" si="259">I79+AG79</f>
        <v>20341523</v>
      </c>
      <c r="AT79" s="460">
        <f t="shared" ref="AT79:AT84" si="260">J79+V79</f>
        <v>14813476</v>
      </c>
      <c r="AU79" s="460">
        <f t="shared" ref="AU79:AU84" si="261">Z79</f>
        <v>26000</v>
      </c>
      <c r="AV79" s="460">
        <f t="shared" ref="AV79:AW84" si="262">K79+AB79</f>
        <v>5015743</v>
      </c>
      <c r="AW79" s="460">
        <f t="shared" si="262"/>
        <v>148134</v>
      </c>
      <c r="AX79" s="460">
        <f t="shared" ref="AX79:AX84" si="263">M79+AF79</f>
        <v>338170</v>
      </c>
      <c r="AY79" s="461">
        <f t="shared" ref="AY79:AY84" si="264">N79+AR79</f>
        <v>23.522500000000001</v>
      </c>
      <c r="AZ79" s="461">
        <f t="shared" ref="AZ79:BA84" si="265">O79+AP79</f>
        <v>18.732500000000002</v>
      </c>
      <c r="BA79" s="463">
        <f t="shared" si="265"/>
        <v>4.79</v>
      </c>
    </row>
    <row r="80" spans="1:53" s="229" customFormat="1" x14ac:dyDescent="0.2">
      <c r="A80" s="216">
        <v>15</v>
      </c>
      <c r="B80" s="217">
        <v>4442</v>
      </c>
      <c r="C80" s="217">
        <v>600074901</v>
      </c>
      <c r="D80" s="217">
        <v>48283061</v>
      </c>
      <c r="E80" s="215" t="s">
        <v>177</v>
      </c>
      <c r="F80" s="217">
        <v>3113</v>
      </c>
      <c r="G80" s="168" t="s">
        <v>308</v>
      </c>
      <c r="H80" s="218" t="s">
        <v>278</v>
      </c>
      <c r="I80" s="462">
        <f t="shared" si="245"/>
        <v>0</v>
      </c>
      <c r="J80" s="457">
        <v>0</v>
      </c>
      <c r="K80" s="457">
        <f t="shared" si="246"/>
        <v>0</v>
      </c>
      <c r="L80" s="457">
        <f t="shared" ref="L80:L84" si="266">ROUND(J80*1%,0)</f>
        <v>0</v>
      </c>
      <c r="M80" s="457">
        <v>0</v>
      </c>
      <c r="N80" s="458">
        <f t="shared" si="247"/>
        <v>0</v>
      </c>
      <c r="O80" s="459">
        <v>0</v>
      </c>
      <c r="P80" s="468">
        <v>0</v>
      </c>
      <c r="Q80" s="470">
        <f t="shared" si="248"/>
        <v>0</v>
      </c>
      <c r="R80" s="460">
        <f>1260684+44112</f>
        <v>1304796</v>
      </c>
      <c r="S80" s="673">
        <v>0</v>
      </c>
      <c r="T80" s="460">
        <v>0</v>
      </c>
      <c r="U80" s="460">
        <v>0</v>
      </c>
      <c r="V80" s="460">
        <f t="shared" si="249"/>
        <v>1304796</v>
      </c>
      <c r="W80" s="460">
        <v>0</v>
      </c>
      <c r="X80" s="460">
        <v>0</v>
      </c>
      <c r="Y80" s="460">
        <v>0</v>
      </c>
      <c r="Z80" s="460">
        <f t="shared" si="250"/>
        <v>0</v>
      </c>
      <c r="AA80" s="460">
        <f t="shared" si="251"/>
        <v>1304796</v>
      </c>
      <c r="AB80" s="69">
        <f t="shared" si="252"/>
        <v>441021</v>
      </c>
      <c r="AC80" s="69">
        <f t="shared" si="253"/>
        <v>13048</v>
      </c>
      <c r="AD80" s="460">
        <v>0</v>
      </c>
      <c r="AE80" s="460">
        <v>0</v>
      </c>
      <c r="AF80" s="460">
        <f t="shared" si="254"/>
        <v>0</v>
      </c>
      <c r="AG80" s="460">
        <f t="shared" si="255"/>
        <v>1758865</v>
      </c>
      <c r="AH80" s="461">
        <v>0</v>
      </c>
      <c r="AI80" s="461">
        <v>0</v>
      </c>
      <c r="AJ80" s="461">
        <f>3.64+0.13</f>
        <v>3.77</v>
      </c>
      <c r="AK80" s="461">
        <v>0</v>
      </c>
      <c r="AL80" s="674">
        <v>0</v>
      </c>
      <c r="AM80" s="461">
        <v>0</v>
      </c>
      <c r="AN80" s="461">
        <v>0</v>
      </c>
      <c r="AO80" s="461">
        <v>0</v>
      </c>
      <c r="AP80" s="461">
        <f t="shared" si="256"/>
        <v>3.77</v>
      </c>
      <c r="AQ80" s="461">
        <f t="shared" si="257"/>
        <v>0</v>
      </c>
      <c r="AR80" s="463">
        <f t="shared" si="258"/>
        <v>3.77</v>
      </c>
      <c r="AS80" s="469">
        <f t="shared" si="259"/>
        <v>1758865</v>
      </c>
      <c r="AT80" s="460">
        <f t="shared" si="260"/>
        <v>1304796</v>
      </c>
      <c r="AU80" s="460">
        <f t="shared" si="261"/>
        <v>0</v>
      </c>
      <c r="AV80" s="460">
        <f t="shared" si="262"/>
        <v>441021</v>
      </c>
      <c r="AW80" s="460">
        <f t="shared" si="262"/>
        <v>13048</v>
      </c>
      <c r="AX80" s="460">
        <f t="shared" si="263"/>
        <v>0</v>
      </c>
      <c r="AY80" s="461">
        <f t="shared" si="264"/>
        <v>3.77</v>
      </c>
      <c r="AZ80" s="461">
        <f t="shared" si="265"/>
        <v>3.77</v>
      </c>
      <c r="BA80" s="463">
        <f t="shared" si="265"/>
        <v>0</v>
      </c>
    </row>
    <row r="81" spans="1:53" s="229" customFormat="1" x14ac:dyDescent="0.2">
      <c r="A81" s="216">
        <v>15</v>
      </c>
      <c r="B81" s="217">
        <v>4442</v>
      </c>
      <c r="C81" s="217">
        <v>600074901</v>
      </c>
      <c r="D81" s="217">
        <v>48283061</v>
      </c>
      <c r="E81" s="215" t="s">
        <v>177</v>
      </c>
      <c r="F81" s="217">
        <v>3141</v>
      </c>
      <c r="G81" s="168" t="s">
        <v>311</v>
      </c>
      <c r="H81" s="218" t="s">
        <v>278</v>
      </c>
      <c r="I81" s="462">
        <f t="shared" si="245"/>
        <v>1441362</v>
      </c>
      <c r="J81" s="457">
        <v>1061467</v>
      </c>
      <c r="K81" s="457">
        <f t="shared" si="246"/>
        <v>358776</v>
      </c>
      <c r="L81" s="457">
        <f t="shared" si="266"/>
        <v>10615</v>
      </c>
      <c r="M81" s="457">
        <v>10504</v>
      </c>
      <c r="N81" s="458">
        <f t="shared" si="247"/>
        <v>3.41</v>
      </c>
      <c r="O81" s="459">
        <v>0</v>
      </c>
      <c r="P81" s="468">
        <v>3.41</v>
      </c>
      <c r="Q81" s="470">
        <f t="shared" si="248"/>
        <v>-6500</v>
      </c>
      <c r="R81" s="460">
        <v>0</v>
      </c>
      <c r="S81" s="673">
        <v>0</v>
      </c>
      <c r="T81" s="460">
        <v>0</v>
      </c>
      <c r="U81" s="460">
        <v>0</v>
      </c>
      <c r="V81" s="460">
        <f t="shared" si="249"/>
        <v>-6500</v>
      </c>
      <c r="W81" s="460">
        <v>6500</v>
      </c>
      <c r="X81" s="460">
        <v>0</v>
      </c>
      <c r="Y81" s="460">
        <v>0</v>
      </c>
      <c r="Z81" s="460">
        <f t="shared" si="250"/>
        <v>6500</v>
      </c>
      <c r="AA81" s="460">
        <f t="shared" si="251"/>
        <v>0</v>
      </c>
      <c r="AB81" s="69">
        <f t="shared" si="252"/>
        <v>0</v>
      </c>
      <c r="AC81" s="69">
        <f t="shared" si="253"/>
        <v>-65</v>
      </c>
      <c r="AD81" s="460">
        <v>0</v>
      </c>
      <c r="AE81" s="460">
        <v>0</v>
      </c>
      <c r="AF81" s="460">
        <f t="shared" si="254"/>
        <v>0</v>
      </c>
      <c r="AG81" s="460">
        <f t="shared" si="255"/>
        <v>-65</v>
      </c>
      <c r="AH81" s="461">
        <v>0</v>
      </c>
      <c r="AI81" s="461">
        <v>0</v>
      </c>
      <c r="AJ81" s="461">
        <v>0</v>
      </c>
      <c r="AK81" s="461">
        <v>0</v>
      </c>
      <c r="AL81" s="674">
        <v>0</v>
      </c>
      <c r="AM81" s="461">
        <v>0</v>
      </c>
      <c r="AN81" s="461">
        <v>0</v>
      </c>
      <c r="AO81" s="461">
        <v>0</v>
      </c>
      <c r="AP81" s="461">
        <f t="shared" si="256"/>
        <v>0</v>
      </c>
      <c r="AQ81" s="461">
        <f t="shared" si="257"/>
        <v>0</v>
      </c>
      <c r="AR81" s="463">
        <f t="shared" si="258"/>
        <v>0</v>
      </c>
      <c r="AS81" s="469">
        <f t="shared" si="259"/>
        <v>1441297</v>
      </c>
      <c r="AT81" s="460">
        <f t="shared" si="260"/>
        <v>1054967</v>
      </c>
      <c r="AU81" s="460">
        <f t="shared" si="261"/>
        <v>6500</v>
      </c>
      <c r="AV81" s="460">
        <f t="shared" si="262"/>
        <v>358776</v>
      </c>
      <c r="AW81" s="460">
        <f t="shared" si="262"/>
        <v>10550</v>
      </c>
      <c r="AX81" s="460">
        <f t="shared" si="263"/>
        <v>10504</v>
      </c>
      <c r="AY81" s="461">
        <f t="shared" si="264"/>
        <v>3.41</v>
      </c>
      <c r="AZ81" s="461">
        <f t="shared" si="265"/>
        <v>0</v>
      </c>
      <c r="BA81" s="463">
        <f t="shared" si="265"/>
        <v>3.41</v>
      </c>
    </row>
    <row r="82" spans="1:53" s="229" customFormat="1" x14ac:dyDescent="0.2">
      <c r="A82" s="216">
        <v>15</v>
      </c>
      <c r="B82" s="217">
        <v>4442</v>
      </c>
      <c r="C82" s="217">
        <v>600074901</v>
      </c>
      <c r="D82" s="217">
        <v>48283061</v>
      </c>
      <c r="E82" s="210" t="s">
        <v>177</v>
      </c>
      <c r="F82" s="217">
        <v>3143</v>
      </c>
      <c r="G82" s="168" t="s">
        <v>616</v>
      </c>
      <c r="H82" s="234" t="s">
        <v>277</v>
      </c>
      <c r="I82" s="462">
        <f t="shared" si="245"/>
        <v>1798449</v>
      </c>
      <c r="J82" s="457">
        <v>1334161</v>
      </c>
      <c r="K82" s="457">
        <f t="shared" si="246"/>
        <v>450946</v>
      </c>
      <c r="L82" s="457">
        <f t="shared" si="266"/>
        <v>13342</v>
      </c>
      <c r="M82" s="457">
        <v>0</v>
      </c>
      <c r="N82" s="458">
        <f t="shared" si="247"/>
        <v>2.6551</v>
      </c>
      <c r="O82" s="459">
        <v>2.6551</v>
      </c>
      <c r="P82" s="468">
        <v>0</v>
      </c>
      <c r="Q82" s="470">
        <f t="shared" si="248"/>
        <v>-6500</v>
      </c>
      <c r="R82" s="460">
        <v>0</v>
      </c>
      <c r="S82" s="673">
        <v>0</v>
      </c>
      <c r="T82" s="460">
        <v>0</v>
      </c>
      <c r="U82" s="460">
        <v>0</v>
      </c>
      <c r="V82" s="460">
        <f t="shared" si="249"/>
        <v>-6500</v>
      </c>
      <c r="W82" s="460">
        <v>6500</v>
      </c>
      <c r="X82" s="460">
        <v>0</v>
      </c>
      <c r="Y82" s="460">
        <v>0</v>
      </c>
      <c r="Z82" s="460">
        <f t="shared" si="250"/>
        <v>6500</v>
      </c>
      <c r="AA82" s="460">
        <f t="shared" si="251"/>
        <v>0</v>
      </c>
      <c r="AB82" s="69">
        <f t="shared" si="252"/>
        <v>0</v>
      </c>
      <c r="AC82" s="69">
        <f t="shared" si="253"/>
        <v>-65</v>
      </c>
      <c r="AD82" s="460">
        <v>0</v>
      </c>
      <c r="AE82" s="460">
        <v>0</v>
      </c>
      <c r="AF82" s="460">
        <f t="shared" si="254"/>
        <v>0</v>
      </c>
      <c r="AG82" s="460">
        <f t="shared" si="255"/>
        <v>-65</v>
      </c>
      <c r="AH82" s="461">
        <v>0</v>
      </c>
      <c r="AI82" s="461">
        <v>0</v>
      </c>
      <c r="AJ82" s="461">
        <v>0</v>
      </c>
      <c r="AK82" s="461">
        <v>0</v>
      </c>
      <c r="AL82" s="674">
        <v>0</v>
      </c>
      <c r="AM82" s="461">
        <v>0</v>
      </c>
      <c r="AN82" s="461">
        <v>0</v>
      </c>
      <c r="AO82" s="461">
        <v>0</v>
      </c>
      <c r="AP82" s="461">
        <f t="shared" si="256"/>
        <v>0</v>
      </c>
      <c r="AQ82" s="461">
        <f t="shared" si="257"/>
        <v>0</v>
      </c>
      <c r="AR82" s="463">
        <f t="shared" si="258"/>
        <v>0</v>
      </c>
      <c r="AS82" s="469">
        <f t="shared" si="259"/>
        <v>1798384</v>
      </c>
      <c r="AT82" s="460">
        <f t="shared" si="260"/>
        <v>1327661</v>
      </c>
      <c r="AU82" s="460">
        <f t="shared" si="261"/>
        <v>6500</v>
      </c>
      <c r="AV82" s="460">
        <f t="shared" si="262"/>
        <v>450946</v>
      </c>
      <c r="AW82" s="460">
        <f t="shared" si="262"/>
        <v>13277</v>
      </c>
      <c r="AX82" s="460">
        <f t="shared" si="263"/>
        <v>0</v>
      </c>
      <c r="AY82" s="461">
        <f t="shared" si="264"/>
        <v>2.6551</v>
      </c>
      <c r="AZ82" s="461">
        <f t="shared" si="265"/>
        <v>2.6551</v>
      </c>
      <c r="BA82" s="463">
        <f t="shared" si="265"/>
        <v>0</v>
      </c>
    </row>
    <row r="83" spans="1:53" s="229" customFormat="1" x14ac:dyDescent="0.2">
      <c r="A83" s="216">
        <v>15</v>
      </c>
      <c r="B83" s="217">
        <v>4442</v>
      </c>
      <c r="C83" s="217">
        <v>600074901</v>
      </c>
      <c r="D83" s="217">
        <v>48283061</v>
      </c>
      <c r="E83" s="210" t="s">
        <v>177</v>
      </c>
      <c r="F83" s="217">
        <v>3143</v>
      </c>
      <c r="G83" s="168" t="s">
        <v>617</v>
      </c>
      <c r="H83" s="234" t="s">
        <v>278</v>
      </c>
      <c r="I83" s="462">
        <f t="shared" si="245"/>
        <v>56441</v>
      </c>
      <c r="J83" s="457">
        <v>40328</v>
      </c>
      <c r="K83" s="457">
        <f t="shared" si="246"/>
        <v>13631</v>
      </c>
      <c r="L83" s="457">
        <f t="shared" si="266"/>
        <v>403</v>
      </c>
      <c r="M83" s="457">
        <v>2079</v>
      </c>
      <c r="N83" s="458">
        <f t="shared" si="247"/>
        <v>0.16</v>
      </c>
      <c r="O83" s="459">
        <v>0</v>
      </c>
      <c r="P83" s="468">
        <v>0.16</v>
      </c>
      <c r="Q83" s="470">
        <f t="shared" si="248"/>
        <v>0</v>
      </c>
      <c r="R83" s="460">
        <v>0</v>
      </c>
      <c r="S83" s="673">
        <v>0</v>
      </c>
      <c r="T83" s="460">
        <v>0</v>
      </c>
      <c r="U83" s="460">
        <v>0</v>
      </c>
      <c r="V83" s="460">
        <f t="shared" si="249"/>
        <v>0</v>
      </c>
      <c r="W83" s="460">
        <v>0</v>
      </c>
      <c r="X83" s="460">
        <v>0</v>
      </c>
      <c r="Y83" s="460">
        <v>0</v>
      </c>
      <c r="Z83" s="460">
        <f t="shared" si="250"/>
        <v>0</v>
      </c>
      <c r="AA83" s="460">
        <f t="shared" si="251"/>
        <v>0</v>
      </c>
      <c r="AB83" s="69">
        <f t="shared" si="252"/>
        <v>0</v>
      </c>
      <c r="AC83" s="69">
        <f t="shared" si="253"/>
        <v>0</v>
      </c>
      <c r="AD83" s="460">
        <v>0</v>
      </c>
      <c r="AE83" s="460">
        <v>0</v>
      </c>
      <c r="AF83" s="460">
        <f t="shared" si="254"/>
        <v>0</v>
      </c>
      <c r="AG83" s="460">
        <f t="shared" si="255"/>
        <v>0</v>
      </c>
      <c r="AH83" s="461">
        <v>0</v>
      </c>
      <c r="AI83" s="461">
        <v>0</v>
      </c>
      <c r="AJ83" s="461">
        <v>0</v>
      </c>
      <c r="AK83" s="461">
        <v>0</v>
      </c>
      <c r="AL83" s="674">
        <v>0</v>
      </c>
      <c r="AM83" s="461">
        <v>0</v>
      </c>
      <c r="AN83" s="461">
        <v>0</v>
      </c>
      <c r="AO83" s="461">
        <v>0</v>
      </c>
      <c r="AP83" s="461">
        <f t="shared" si="256"/>
        <v>0</v>
      </c>
      <c r="AQ83" s="461">
        <f t="shared" si="257"/>
        <v>0</v>
      </c>
      <c r="AR83" s="463">
        <f t="shared" si="258"/>
        <v>0</v>
      </c>
      <c r="AS83" s="469">
        <f t="shared" si="259"/>
        <v>56441</v>
      </c>
      <c r="AT83" s="460">
        <f t="shared" si="260"/>
        <v>40328</v>
      </c>
      <c r="AU83" s="460">
        <f t="shared" si="261"/>
        <v>0</v>
      </c>
      <c r="AV83" s="460">
        <f t="shared" si="262"/>
        <v>13631</v>
      </c>
      <c r="AW83" s="460">
        <f t="shared" si="262"/>
        <v>403</v>
      </c>
      <c r="AX83" s="460">
        <f t="shared" si="263"/>
        <v>2079</v>
      </c>
      <c r="AY83" s="461">
        <f t="shared" si="264"/>
        <v>0.16</v>
      </c>
      <c r="AZ83" s="461">
        <f t="shared" si="265"/>
        <v>0</v>
      </c>
      <c r="BA83" s="463">
        <f t="shared" si="265"/>
        <v>0.16</v>
      </c>
    </row>
    <row r="84" spans="1:53" s="229" customFormat="1" x14ac:dyDescent="0.2">
      <c r="A84" s="216">
        <v>15</v>
      </c>
      <c r="B84" s="217">
        <v>4442</v>
      </c>
      <c r="C84" s="217">
        <v>600074901</v>
      </c>
      <c r="D84" s="217">
        <v>48283061</v>
      </c>
      <c r="E84" s="210" t="s">
        <v>177</v>
      </c>
      <c r="F84" s="217">
        <v>3143</v>
      </c>
      <c r="G84" s="168" t="s">
        <v>313</v>
      </c>
      <c r="H84" s="234" t="s">
        <v>278</v>
      </c>
      <c r="I84" s="462">
        <f t="shared" si="245"/>
        <v>281908</v>
      </c>
      <c r="J84" s="457">
        <v>208837</v>
      </c>
      <c r="K84" s="457">
        <f t="shared" si="246"/>
        <v>70587</v>
      </c>
      <c r="L84" s="457">
        <f t="shared" si="266"/>
        <v>2088</v>
      </c>
      <c r="M84" s="457">
        <v>396</v>
      </c>
      <c r="N84" s="458">
        <f t="shared" si="247"/>
        <v>0.45999999999999996</v>
      </c>
      <c r="O84" s="459">
        <v>0.41</v>
      </c>
      <c r="P84" s="468">
        <v>0.05</v>
      </c>
      <c r="Q84" s="470">
        <f t="shared" si="248"/>
        <v>0</v>
      </c>
      <c r="R84" s="460">
        <v>0</v>
      </c>
      <c r="S84" s="673">
        <v>0</v>
      </c>
      <c r="T84" s="460">
        <v>0</v>
      </c>
      <c r="U84" s="460">
        <v>0</v>
      </c>
      <c r="V84" s="460">
        <f t="shared" si="249"/>
        <v>0</v>
      </c>
      <c r="W84" s="460">
        <v>0</v>
      </c>
      <c r="X84" s="460">
        <v>0</v>
      </c>
      <c r="Y84" s="460">
        <v>0</v>
      </c>
      <c r="Z84" s="460">
        <f t="shared" si="250"/>
        <v>0</v>
      </c>
      <c r="AA84" s="460">
        <f t="shared" si="251"/>
        <v>0</v>
      </c>
      <c r="AB84" s="69">
        <f t="shared" si="252"/>
        <v>0</v>
      </c>
      <c r="AC84" s="69">
        <f t="shared" si="253"/>
        <v>0</v>
      </c>
      <c r="AD84" s="460">
        <v>0</v>
      </c>
      <c r="AE84" s="460">
        <v>0</v>
      </c>
      <c r="AF84" s="460">
        <f t="shared" si="254"/>
        <v>0</v>
      </c>
      <c r="AG84" s="460">
        <f t="shared" si="255"/>
        <v>0</v>
      </c>
      <c r="AH84" s="461">
        <v>0</v>
      </c>
      <c r="AI84" s="461">
        <v>0</v>
      </c>
      <c r="AJ84" s="461">
        <v>0</v>
      </c>
      <c r="AK84" s="461">
        <v>0</v>
      </c>
      <c r="AL84" s="674">
        <v>0</v>
      </c>
      <c r="AM84" s="461">
        <v>0</v>
      </c>
      <c r="AN84" s="461">
        <v>0</v>
      </c>
      <c r="AO84" s="461">
        <v>0</v>
      </c>
      <c r="AP84" s="461">
        <f t="shared" si="256"/>
        <v>0</v>
      </c>
      <c r="AQ84" s="461">
        <f t="shared" si="257"/>
        <v>0</v>
      </c>
      <c r="AR84" s="463">
        <f t="shared" si="258"/>
        <v>0</v>
      </c>
      <c r="AS84" s="469">
        <f t="shared" si="259"/>
        <v>281908</v>
      </c>
      <c r="AT84" s="460">
        <f t="shared" si="260"/>
        <v>208837</v>
      </c>
      <c r="AU84" s="460">
        <f t="shared" si="261"/>
        <v>0</v>
      </c>
      <c r="AV84" s="460">
        <f t="shared" si="262"/>
        <v>70587</v>
      </c>
      <c r="AW84" s="460">
        <f t="shared" si="262"/>
        <v>2088</v>
      </c>
      <c r="AX84" s="460">
        <f t="shared" si="263"/>
        <v>396</v>
      </c>
      <c r="AY84" s="461">
        <f t="shared" si="264"/>
        <v>0.45999999999999996</v>
      </c>
      <c r="AZ84" s="461">
        <f t="shared" si="265"/>
        <v>0.41</v>
      </c>
      <c r="BA84" s="463">
        <f t="shared" si="265"/>
        <v>0.05</v>
      </c>
    </row>
    <row r="85" spans="1:53" s="229" customFormat="1" x14ac:dyDescent="0.2">
      <c r="A85" s="158">
        <v>15</v>
      </c>
      <c r="B85" s="18">
        <v>4442</v>
      </c>
      <c r="C85" s="18">
        <v>600074901</v>
      </c>
      <c r="D85" s="18">
        <v>48283061</v>
      </c>
      <c r="E85" s="167" t="s">
        <v>178</v>
      </c>
      <c r="F85" s="18"/>
      <c r="G85" s="157"/>
      <c r="H85" s="191"/>
      <c r="I85" s="505">
        <f t="shared" ref="I85:P85" si="267">SUM(I79:I84)</f>
        <v>23919943</v>
      </c>
      <c r="J85" s="502">
        <f t="shared" si="267"/>
        <v>17484269</v>
      </c>
      <c r="K85" s="502">
        <f t="shared" si="267"/>
        <v>5909683</v>
      </c>
      <c r="L85" s="502">
        <f t="shared" si="267"/>
        <v>174842</v>
      </c>
      <c r="M85" s="502">
        <f t="shared" si="267"/>
        <v>351149</v>
      </c>
      <c r="N85" s="503">
        <f t="shared" si="267"/>
        <v>30.207600000000003</v>
      </c>
      <c r="O85" s="503">
        <f t="shared" si="267"/>
        <v>21.797600000000003</v>
      </c>
      <c r="P85" s="507">
        <f t="shared" si="267"/>
        <v>8.41</v>
      </c>
      <c r="Q85" s="505">
        <f t="shared" ref="Q85:BA85" si="268">SUM(Q79:Q84)</f>
        <v>-39000</v>
      </c>
      <c r="R85" s="502">
        <f t="shared" si="268"/>
        <v>1304796</v>
      </c>
      <c r="S85" s="502">
        <f t="shared" si="268"/>
        <v>0</v>
      </c>
      <c r="T85" s="502">
        <f t="shared" si="268"/>
        <v>0</v>
      </c>
      <c r="U85" s="502">
        <f t="shared" si="268"/>
        <v>0</v>
      </c>
      <c r="V85" s="502">
        <f t="shared" si="268"/>
        <v>1265796</v>
      </c>
      <c r="W85" s="502">
        <f t="shared" si="268"/>
        <v>39000</v>
      </c>
      <c r="X85" s="502">
        <f t="shared" si="268"/>
        <v>0</v>
      </c>
      <c r="Y85" s="502">
        <f t="shared" si="268"/>
        <v>0</v>
      </c>
      <c r="Z85" s="502">
        <f t="shared" si="268"/>
        <v>39000</v>
      </c>
      <c r="AA85" s="502">
        <f t="shared" si="268"/>
        <v>1304796</v>
      </c>
      <c r="AB85" s="502">
        <f t="shared" si="268"/>
        <v>441021</v>
      </c>
      <c r="AC85" s="502">
        <f t="shared" si="268"/>
        <v>12658</v>
      </c>
      <c r="AD85" s="502">
        <f t="shared" si="268"/>
        <v>0</v>
      </c>
      <c r="AE85" s="502">
        <f t="shared" si="268"/>
        <v>0</v>
      </c>
      <c r="AF85" s="502">
        <f t="shared" si="268"/>
        <v>0</v>
      </c>
      <c r="AG85" s="502">
        <f t="shared" si="268"/>
        <v>1758475</v>
      </c>
      <c r="AH85" s="503">
        <f t="shared" si="268"/>
        <v>0</v>
      </c>
      <c r="AI85" s="503">
        <f t="shared" si="268"/>
        <v>0</v>
      </c>
      <c r="AJ85" s="503">
        <f t="shared" si="268"/>
        <v>3.77</v>
      </c>
      <c r="AK85" s="503">
        <f t="shared" si="268"/>
        <v>0</v>
      </c>
      <c r="AL85" s="503">
        <f t="shared" si="268"/>
        <v>0</v>
      </c>
      <c r="AM85" s="503">
        <f t="shared" si="268"/>
        <v>0</v>
      </c>
      <c r="AN85" s="503">
        <f t="shared" si="268"/>
        <v>0</v>
      </c>
      <c r="AO85" s="503">
        <f t="shared" si="268"/>
        <v>0</v>
      </c>
      <c r="AP85" s="503">
        <f t="shared" si="268"/>
        <v>3.77</v>
      </c>
      <c r="AQ85" s="503">
        <f t="shared" si="268"/>
        <v>0</v>
      </c>
      <c r="AR85" s="40">
        <f t="shared" si="268"/>
        <v>3.77</v>
      </c>
      <c r="AS85" s="509">
        <f t="shared" si="268"/>
        <v>25678418</v>
      </c>
      <c r="AT85" s="502">
        <f t="shared" si="268"/>
        <v>18750065</v>
      </c>
      <c r="AU85" s="502">
        <f t="shared" si="268"/>
        <v>39000</v>
      </c>
      <c r="AV85" s="502">
        <f t="shared" si="268"/>
        <v>6350704</v>
      </c>
      <c r="AW85" s="502">
        <f t="shared" si="268"/>
        <v>187500</v>
      </c>
      <c r="AX85" s="502">
        <f t="shared" si="268"/>
        <v>351149</v>
      </c>
      <c r="AY85" s="503">
        <f t="shared" si="268"/>
        <v>33.977599999999995</v>
      </c>
      <c r="AZ85" s="503">
        <f t="shared" si="268"/>
        <v>25.567600000000002</v>
      </c>
      <c r="BA85" s="40">
        <f t="shared" si="268"/>
        <v>8.41</v>
      </c>
    </row>
    <row r="86" spans="1:53" s="229" customFormat="1" x14ac:dyDescent="0.2">
      <c r="A86" s="216">
        <v>16</v>
      </c>
      <c r="B86" s="217">
        <v>4436</v>
      </c>
      <c r="C86" s="217">
        <v>600074986</v>
      </c>
      <c r="D86" s="217">
        <v>70982198</v>
      </c>
      <c r="E86" s="215" t="s">
        <v>179</v>
      </c>
      <c r="F86" s="217">
        <v>3113</v>
      </c>
      <c r="G86" s="168" t="s">
        <v>310</v>
      </c>
      <c r="H86" s="218" t="s">
        <v>277</v>
      </c>
      <c r="I86" s="462">
        <f t="shared" ref="I86:I90" si="269">SUM(J86:M86)</f>
        <v>30610786</v>
      </c>
      <c r="J86" s="457">
        <v>22323566</v>
      </c>
      <c r="K86" s="457">
        <f t="shared" ref="K86:K90" si="270">ROUND(J86*33.8%,0)</f>
        <v>7545365</v>
      </c>
      <c r="L86" s="457">
        <f>ROUND(J86*1%,0)-1</f>
        <v>223235</v>
      </c>
      <c r="M86" s="457">
        <v>518620</v>
      </c>
      <c r="N86" s="458">
        <f t="shared" ref="N86:N90" si="271">O86+P86</f>
        <v>38.564399999999999</v>
      </c>
      <c r="O86" s="459">
        <v>31.4544</v>
      </c>
      <c r="P86" s="468">
        <v>7.1099999999999994</v>
      </c>
      <c r="Q86" s="470">
        <f t="shared" ref="Q86:Q90" si="272">W86*-1</f>
        <v>-19500</v>
      </c>
      <c r="R86" s="460">
        <v>0</v>
      </c>
      <c r="S86" s="673">
        <v>0</v>
      </c>
      <c r="T86" s="460">
        <v>50758</v>
      </c>
      <c r="U86" s="460">
        <v>0</v>
      </c>
      <c r="V86" s="460">
        <f>SUM(Q86:U86)</f>
        <v>31258</v>
      </c>
      <c r="W86" s="460">
        <v>19500</v>
      </c>
      <c r="X86" s="460">
        <v>0</v>
      </c>
      <c r="Y86" s="460">
        <v>118449</v>
      </c>
      <c r="Z86" s="460">
        <f t="shared" ref="Z86:Z90" si="273">SUM(W86:Y86)</f>
        <v>137949</v>
      </c>
      <c r="AA86" s="460">
        <f t="shared" ref="AA86:AA90" si="274">V86+Z86</f>
        <v>169207</v>
      </c>
      <c r="AB86" s="69">
        <f t="shared" ref="AB86:AB90" si="275">ROUND((V86+W86+X86)*33.8%,0)</f>
        <v>17156</v>
      </c>
      <c r="AC86" s="69">
        <f t="shared" ref="AC86:AC90" si="276">ROUND(V86*1%,0)</f>
        <v>313</v>
      </c>
      <c r="AD86" s="460">
        <v>0</v>
      </c>
      <c r="AE86" s="460">
        <v>0</v>
      </c>
      <c r="AF86" s="460">
        <f t="shared" ref="AF86:AF90" si="277">SUM(AD86:AE86)</f>
        <v>0</v>
      </c>
      <c r="AG86" s="460">
        <f t="shared" ref="AG86:AG90" si="278">AA86+AB86+AC86+AF86</f>
        <v>186676</v>
      </c>
      <c r="AH86" s="461">
        <v>0</v>
      </c>
      <c r="AI86" s="461">
        <v>0</v>
      </c>
      <c r="AJ86" s="461">
        <v>0</v>
      </c>
      <c r="AK86" s="461">
        <v>0</v>
      </c>
      <c r="AL86" s="674">
        <v>0</v>
      </c>
      <c r="AM86" s="461">
        <v>0.08</v>
      </c>
      <c r="AN86" s="461">
        <v>0</v>
      </c>
      <c r="AO86" s="461">
        <v>0</v>
      </c>
      <c r="AP86" s="461">
        <f>AH86+AJ86+AK86+AM86+AN86</f>
        <v>0.08</v>
      </c>
      <c r="AQ86" s="461">
        <f>AI86+AL86+AO86</f>
        <v>0</v>
      </c>
      <c r="AR86" s="463">
        <f t="shared" ref="AR86:AR90" si="279">SUM(AP86:AQ86)</f>
        <v>0.08</v>
      </c>
      <c r="AS86" s="469">
        <f>I86+AG86</f>
        <v>30797462</v>
      </c>
      <c r="AT86" s="460">
        <f>J86+V86</f>
        <v>22354824</v>
      </c>
      <c r="AU86" s="460">
        <f t="shared" ref="AU86:AU90" si="280">Z86</f>
        <v>137949</v>
      </c>
      <c r="AV86" s="460">
        <f t="shared" ref="AV86:AW90" si="281">K86+AB86</f>
        <v>7562521</v>
      </c>
      <c r="AW86" s="460">
        <f t="shared" si="281"/>
        <v>223548</v>
      </c>
      <c r="AX86" s="460">
        <f>M86+AF86</f>
        <v>518620</v>
      </c>
      <c r="AY86" s="461">
        <f>N86+AR86</f>
        <v>38.644399999999997</v>
      </c>
      <c r="AZ86" s="461">
        <f t="shared" ref="AZ86:BA90" si="282">O86+AP86</f>
        <v>31.534399999999998</v>
      </c>
      <c r="BA86" s="463">
        <f t="shared" si="282"/>
        <v>7.1099999999999994</v>
      </c>
    </row>
    <row r="87" spans="1:53" s="229" customFormat="1" x14ac:dyDescent="0.2">
      <c r="A87" s="216">
        <v>16</v>
      </c>
      <c r="B87" s="217">
        <v>4436</v>
      </c>
      <c r="C87" s="217">
        <v>600074986</v>
      </c>
      <c r="D87" s="217">
        <v>70982198</v>
      </c>
      <c r="E87" s="215" t="s">
        <v>179</v>
      </c>
      <c r="F87" s="217">
        <v>3113</v>
      </c>
      <c r="G87" s="168" t="s">
        <v>308</v>
      </c>
      <c r="H87" s="218" t="s">
        <v>278</v>
      </c>
      <c r="I87" s="462">
        <f t="shared" si="269"/>
        <v>0</v>
      </c>
      <c r="J87" s="457">
        <v>0</v>
      </c>
      <c r="K87" s="457">
        <f t="shared" si="270"/>
        <v>0</v>
      </c>
      <c r="L87" s="457">
        <f t="shared" ref="L87:L90" si="283">ROUND(J87*1%,0)</f>
        <v>0</v>
      </c>
      <c r="M87" s="457">
        <v>0</v>
      </c>
      <c r="N87" s="458">
        <f t="shared" si="271"/>
        <v>0</v>
      </c>
      <c r="O87" s="459">
        <v>0</v>
      </c>
      <c r="P87" s="468">
        <v>0</v>
      </c>
      <c r="Q87" s="470">
        <f t="shared" si="272"/>
        <v>0</v>
      </c>
      <c r="R87" s="460">
        <f>1385785-158788</f>
        <v>1226997</v>
      </c>
      <c r="S87" s="673">
        <v>0</v>
      </c>
      <c r="T87" s="460">
        <v>0</v>
      </c>
      <c r="U87" s="460">
        <v>0</v>
      </c>
      <c r="V87" s="460">
        <f>SUM(Q87:U87)</f>
        <v>1226997</v>
      </c>
      <c r="W87" s="460">
        <v>0</v>
      </c>
      <c r="X87" s="460">
        <v>0</v>
      </c>
      <c r="Y87" s="460">
        <v>0</v>
      </c>
      <c r="Z87" s="460">
        <f t="shared" si="273"/>
        <v>0</v>
      </c>
      <c r="AA87" s="460">
        <f t="shared" si="274"/>
        <v>1226997</v>
      </c>
      <c r="AB87" s="69">
        <f t="shared" si="275"/>
        <v>414725</v>
      </c>
      <c r="AC87" s="69">
        <f t="shared" si="276"/>
        <v>12270</v>
      </c>
      <c r="AD87" s="460">
        <v>2500</v>
      </c>
      <c r="AE87" s="460">
        <v>0</v>
      </c>
      <c r="AF87" s="460">
        <f t="shared" si="277"/>
        <v>2500</v>
      </c>
      <c r="AG87" s="460">
        <f t="shared" si="278"/>
        <v>1656492</v>
      </c>
      <c r="AH87" s="461">
        <v>0</v>
      </c>
      <c r="AI87" s="461">
        <v>0</v>
      </c>
      <c r="AJ87" s="461">
        <f>4-0.46</f>
        <v>3.54</v>
      </c>
      <c r="AK87" s="461">
        <v>0</v>
      </c>
      <c r="AL87" s="674">
        <v>0</v>
      </c>
      <c r="AM87" s="461">
        <v>0</v>
      </c>
      <c r="AN87" s="461">
        <v>0</v>
      </c>
      <c r="AO87" s="461">
        <v>0</v>
      </c>
      <c r="AP87" s="461">
        <f>AH87+AJ87+AK87+AM87+AN87</f>
        <v>3.54</v>
      </c>
      <c r="AQ87" s="461">
        <f>AI87+AL87+AO87</f>
        <v>0</v>
      </c>
      <c r="AR87" s="463">
        <f t="shared" si="279"/>
        <v>3.54</v>
      </c>
      <c r="AS87" s="469">
        <f>I87+AG87</f>
        <v>1656492</v>
      </c>
      <c r="AT87" s="460">
        <f>J87+V87</f>
        <v>1226997</v>
      </c>
      <c r="AU87" s="460">
        <f t="shared" si="280"/>
        <v>0</v>
      </c>
      <c r="AV87" s="460">
        <f t="shared" si="281"/>
        <v>414725</v>
      </c>
      <c r="AW87" s="460">
        <f t="shared" si="281"/>
        <v>12270</v>
      </c>
      <c r="AX87" s="460">
        <f>M87+AF87</f>
        <v>2500</v>
      </c>
      <c r="AY87" s="461">
        <f>N87+AR87</f>
        <v>3.54</v>
      </c>
      <c r="AZ87" s="461">
        <f t="shared" si="282"/>
        <v>3.54</v>
      </c>
      <c r="BA87" s="463">
        <f t="shared" si="282"/>
        <v>0</v>
      </c>
    </row>
    <row r="88" spans="1:53" s="229" customFormat="1" x14ac:dyDescent="0.2">
      <c r="A88" s="216">
        <v>16</v>
      </c>
      <c r="B88" s="217">
        <v>4436</v>
      </c>
      <c r="C88" s="217">
        <v>600074986</v>
      </c>
      <c r="D88" s="217">
        <v>70982198</v>
      </c>
      <c r="E88" s="215" t="s">
        <v>179</v>
      </c>
      <c r="F88" s="217">
        <v>3141</v>
      </c>
      <c r="G88" s="168" t="s">
        <v>311</v>
      </c>
      <c r="H88" s="218" t="s">
        <v>278</v>
      </c>
      <c r="I88" s="462">
        <f t="shared" si="269"/>
        <v>1958064</v>
      </c>
      <c r="J88" s="457">
        <v>1441113</v>
      </c>
      <c r="K88" s="457">
        <f t="shared" si="270"/>
        <v>487096</v>
      </c>
      <c r="L88" s="457">
        <f t="shared" si="283"/>
        <v>14411</v>
      </c>
      <c r="M88" s="457">
        <v>15444</v>
      </c>
      <c r="N88" s="458">
        <f t="shared" si="271"/>
        <v>4.63</v>
      </c>
      <c r="O88" s="459">
        <v>0</v>
      </c>
      <c r="P88" s="468">
        <v>4.63</v>
      </c>
      <c r="Q88" s="470">
        <f t="shared" si="272"/>
        <v>-16250</v>
      </c>
      <c r="R88" s="460">
        <v>0</v>
      </c>
      <c r="S88" s="673">
        <v>0</v>
      </c>
      <c r="T88" s="460">
        <v>0</v>
      </c>
      <c r="U88" s="460">
        <v>0</v>
      </c>
      <c r="V88" s="460">
        <f>SUM(Q88:U88)</f>
        <v>-16250</v>
      </c>
      <c r="W88" s="460">
        <v>16250</v>
      </c>
      <c r="X88" s="460">
        <v>0</v>
      </c>
      <c r="Y88" s="460">
        <v>0</v>
      </c>
      <c r="Z88" s="460">
        <f t="shared" si="273"/>
        <v>16250</v>
      </c>
      <c r="AA88" s="460">
        <f t="shared" si="274"/>
        <v>0</v>
      </c>
      <c r="AB88" s="69">
        <f t="shared" si="275"/>
        <v>0</v>
      </c>
      <c r="AC88" s="69">
        <f t="shared" si="276"/>
        <v>-163</v>
      </c>
      <c r="AD88" s="460">
        <v>0</v>
      </c>
      <c r="AE88" s="460">
        <v>0</v>
      </c>
      <c r="AF88" s="460">
        <f t="shared" si="277"/>
        <v>0</v>
      </c>
      <c r="AG88" s="460">
        <f t="shared" si="278"/>
        <v>-163</v>
      </c>
      <c r="AH88" s="461">
        <v>0</v>
      </c>
      <c r="AI88" s="461">
        <v>0</v>
      </c>
      <c r="AJ88" s="461">
        <v>0</v>
      </c>
      <c r="AK88" s="461">
        <v>0</v>
      </c>
      <c r="AL88" s="674">
        <v>0</v>
      </c>
      <c r="AM88" s="461">
        <v>0</v>
      </c>
      <c r="AN88" s="461">
        <v>0</v>
      </c>
      <c r="AO88" s="461">
        <v>0</v>
      </c>
      <c r="AP88" s="461">
        <f>AH88+AJ88+AK88+AM88+AN88</f>
        <v>0</v>
      </c>
      <c r="AQ88" s="461">
        <f>AI88+AL88+AO88</f>
        <v>0</v>
      </c>
      <c r="AR88" s="463">
        <f t="shared" si="279"/>
        <v>0</v>
      </c>
      <c r="AS88" s="469">
        <f>I88+AG88</f>
        <v>1957901</v>
      </c>
      <c r="AT88" s="460">
        <f>J88+V88</f>
        <v>1424863</v>
      </c>
      <c r="AU88" s="460">
        <f t="shared" si="280"/>
        <v>16250</v>
      </c>
      <c r="AV88" s="460">
        <f t="shared" si="281"/>
        <v>487096</v>
      </c>
      <c r="AW88" s="460">
        <f t="shared" si="281"/>
        <v>14248</v>
      </c>
      <c r="AX88" s="460">
        <f>M88+AF88</f>
        <v>15444</v>
      </c>
      <c r="AY88" s="461">
        <f>N88+AR88</f>
        <v>4.63</v>
      </c>
      <c r="AZ88" s="461">
        <f t="shared" si="282"/>
        <v>0</v>
      </c>
      <c r="BA88" s="463">
        <f t="shared" si="282"/>
        <v>4.63</v>
      </c>
    </row>
    <row r="89" spans="1:53" s="229" customFormat="1" x14ac:dyDescent="0.2">
      <c r="A89" s="216">
        <v>16</v>
      </c>
      <c r="B89" s="217">
        <v>4436</v>
      </c>
      <c r="C89" s="217">
        <v>600074986</v>
      </c>
      <c r="D89" s="217">
        <v>70982198</v>
      </c>
      <c r="E89" s="210" t="s">
        <v>179</v>
      </c>
      <c r="F89" s="217">
        <v>3143</v>
      </c>
      <c r="G89" s="168" t="s">
        <v>616</v>
      </c>
      <c r="H89" s="234" t="s">
        <v>277</v>
      </c>
      <c r="I89" s="462">
        <f t="shared" si="269"/>
        <v>2962597</v>
      </c>
      <c r="J89" s="457">
        <v>2197772</v>
      </c>
      <c r="K89" s="457">
        <f t="shared" si="270"/>
        <v>742847</v>
      </c>
      <c r="L89" s="457">
        <f t="shared" si="283"/>
        <v>21978</v>
      </c>
      <c r="M89" s="457">
        <v>0</v>
      </c>
      <c r="N89" s="458">
        <f t="shared" si="271"/>
        <v>4.6607000000000003</v>
      </c>
      <c r="O89" s="459">
        <v>4.6607000000000003</v>
      </c>
      <c r="P89" s="468">
        <v>0</v>
      </c>
      <c r="Q89" s="470">
        <f t="shared" si="272"/>
        <v>0</v>
      </c>
      <c r="R89" s="460">
        <v>0</v>
      </c>
      <c r="S89" s="673">
        <v>0</v>
      </c>
      <c r="T89" s="460">
        <v>0</v>
      </c>
      <c r="U89" s="460">
        <v>0</v>
      </c>
      <c r="V89" s="460">
        <f>SUM(Q89:U89)</f>
        <v>0</v>
      </c>
      <c r="W89" s="460">
        <v>0</v>
      </c>
      <c r="X89" s="460">
        <v>0</v>
      </c>
      <c r="Y89" s="460">
        <v>0</v>
      </c>
      <c r="Z89" s="460">
        <f t="shared" si="273"/>
        <v>0</v>
      </c>
      <c r="AA89" s="460">
        <f t="shared" si="274"/>
        <v>0</v>
      </c>
      <c r="AB89" s="69">
        <f t="shared" si="275"/>
        <v>0</v>
      </c>
      <c r="AC89" s="69">
        <f t="shared" si="276"/>
        <v>0</v>
      </c>
      <c r="AD89" s="460">
        <v>0</v>
      </c>
      <c r="AE89" s="460">
        <v>0</v>
      </c>
      <c r="AF89" s="460">
        <f t="shared" si="277"/>
        <v>0</v>
      </c>
      <c r="AG89" s="460">
        <f t="shared" si="278"/>
        <v>0</v>
      </c>
      <c r="AH89" s="461">
        <v>0</v>
      </c>
      <c r="AI89" s="461">
        <v>0</v>
      </c>
      <c r="AJ89" s="461">
        <v>0</v>
      </c>
      <c r="AK89" s="461">
        <v>0</v>
      </c>
      <c r="AL89" s="674">
        <v>0</v>
      </c>
      <c r="AM89" s="461">
        <v>0</v>
      </c>
      <c r="AN89" s="461">
        <v>0</v>
      </c>
      <c r="AO89" s="461">
        <v>0</v>
      </c>
      <c r="AP89" s="461">
        <f>AH89+AJ89+AK89+AM89+AN89</f>
        <v>0</v>
      </c>
      <c r="AQ89" s="461">
        <f>AI89+AL89+AO89</f>
        <v>0</v>
      </c>
      <c r="AR89" s="463">
        <f t="shared" si="279"/>
        <v>0</v>
      </c>
      <c r="AS89" s="469">
        <f>I89+AG89</f>
        <v>2962597</v>
      </c>
      <c r="AT89" s="460">
        <f>J89+V89</f>
        <v>2197772</v>
      </c>
      <c r="AU89" s="460">
        <f t="shared" si="280"/>
        <v>0</v>
      </c>
      <c r="AV89" s="460">
        <f t="shared" si="281"/>
        <v>742847</v>
      </c>
      <c r="AW89" s="460">
        <f t="shared" si="281"/>
        <v>21978</v>
      </c>
      <c r="AX89" s="460">
        <f>M89+AF89</f>
        <v>0</v>
      </c>
      <c r="AY89" s="461">
        <f>N89+AR89</f>
        <v>4.6607000000000003</v>
      </c>
      <c r="AZ89" s="461">
        <f t="shared" si="282"/>
        <v>4.6607000000000003</v>
      </c>
      <c r="BA89" s="463">
        <f t="shared" si="282"/>
        <v>0</v>
      </c>
    </row>
    <row r="90" spans="1:53" s="229" customFormat="1" x14ac:dyDescent="0.2">
      <c r="A90" s="216">
        <v>16</v>
      </c>
      <c r="B90" s="217">
        <v>4436</v>
      </c>
      <c r="C90" s="217">
        <v>600074986</v>
      </c>
      <c r="D90" s="217">
        <v>70982198</v>
      </c>
      <c r="E90" s="210" t="s">
        <v>179</v>
      </c>
      <c r="F90" s="217">
        <v>3143</v>
      </c>
      <c r="G90" s="168" t="s">
        <v>617</v>
      </c>
      <c r="H90" s="234" t="s">
        <v>278</v>
      </c>
      <c r="I90" s="462">
        <f t="shared" si="269"/>
        <v>87227</v>
      </c>
      <c r="J90" s="457">
        <v>62325</v>
      </c>
      <c r="K90" s="457">
        <f t="shared" si="270"/>
        <v>21066</v>
      </c>
      <c r="L90" s="457">
        <f t="shared" si="283"/>
        <v>623</v>
      </c>
      <c r="M90" s="457">
        <v>3213</v>
      </c>
      <c r="N90" s="458">
        <f t="shared" si="271"/>
        <v>0.25</v>
      </c>
      <c r="O90" s="459">
        <v>0</v>
      </c>
      <c r="P90" s="468">
        <v>0.25</v>
      </c>
      <c r="Q90" s="470">
        <f t="shared" si="272"/>
        <v>0</v>
      </c>
      <c r="R90" s="460">
        <v>0</v>
      </c>
      <c r="S90" s="673">
        <v>0</v>
      </c>
      <c r="T90" s="460">
        <v>0</v>
      </c>
      <c r="U90" s="460">
        <v>0</v>
      </c>
      <c r="V90" s="460">
        <f>SUM(Q90:U90)</f>
        <v>0</v>
      </c>
      <c r="W90" s="460">
        <v>0</v>
      </c>
      <c r="X90" s="460">
        <v>0</v>
      </c>
      <c r="Y90" s="460">
        <v>0</v>
      </c>
      <c r="Z90" s="460">
        <f t="shared" si="273"/>
        <v>0</v>
      </c>
      <c r="AA90" s="460">
        <f t="shared" si="274"/>
        <v>0</v>
      </c>
      <c r="AB90" s="69">
        <f t="shared" si="275"/>
        <v>0</v>
      </c>
      <c r="AC90" s="69">
        <f t="shared" si="276"/>
        <v>0</v>
      </c>
      <c r="AD90" s="460">
        <v>0</v>
      </c>
      <c r="AE90" s="460">
        <v>0</v>
      </c>
      <c r="AF90" s="460">
        <f t="shared" si="277"/>
        <v>0</v>
      </c>
      <c r="AG90" s="460">
        <f t="shared" si="278"/>
        <v>0</v>
      </c>
      <c r="AH90" s="461">
        <v>0</v>
      </c>
      <c r="AI90" s="461">
        <v>0</v>
      </c>
      <c r="AJ90" s="461">
        <v>0</v>
      </c>
      <c r="AK90" s="461">
        <v>0</v>
      </c>
      <c r="AL90" s="674">
        <v>0</v>
      </c>
      <c r="AM90" s="461">
        <v>0</v>
      </c>
      <c r="AN90" s="461">
        <v>0</v>
      </c>
      <c r="AO90" s="461">
        <v>0</v>
      </c>
      <c r="AP90" s="461">
        <f>AH90+AJ90+AK90+AM90+AN90</f>
        <v>0</v>
      </c>
      <c r="AQ90" s="461">
        <f>AI90+AL90+AO90</f>
        <v>0</v>
      </c>
      <c r="AR90" s="463">
        <f t="shared" si="279"/>
        <v>0</v>
      </c>
      <c r="AS90" s="469">
        <f>I90+AG90</f>
        <v>87227</v>
      </c>
      <c r="AT90" s="460">
        <f>J90+V90</f>
        <v>62325</v>
      </c>
      <c r="AU90" s="460">
        <f t="shared" si="280"/>
        <v>0</v>
      </c>
      <c r="AV90" s="460">
        <f t="shared" si="281"/>
        <v>21066</v>
      </c>
      <c r="AW90" s="460">
        <f t="shared" si="281"/>
        <v>623</v>
      </c>
      <c r="AX90" s="460">
        <f>M90+AF90</f>
        <v>3213</v>
      </c>
      <c r="AY90" s="461">
        <f>N90+AR90</f>
        <v>0.25</v>
      </c>
      <c r="AZ90" s="461">
        <f t="shared" si="282"/>
        <v>0</v>
      </c>
      <c r="BA90" s="463">
        <f t="shared" si="282"/>
        <v>0.25</v>
      </c>
    </row>
    <row r="91" spans="1:53" s="229" customFormat="1" x14ac:dyDescent="0.2">
      <c r="A91" s="158">
        <v>16</v>
      </c>
      <c r="B91" s="18">
        <v>4436</v>
      </c>
      <c r="C91" s="18">
        <v>600074986</v>
      </c>
      <c r="D91" s="18">
        <v>70982198</v>
      </c>
      <c r="E91" s="167" t="s">
        <v>180</v>
      </c>
      <c r="F91" s="18"/>
      <c r="G91" s="157"/>
      <c r="H91" s="191"/>
      <c r="I91" s="505">
        <f t="shared" ref="I91:P91" si="284">SUM(I86:I90)</f>
        <v>35618674</v>
      </c>
      <c r="J91" s="502">
        <f t="shared" si="284"/>
        <v>26024776</v>
      </c>
      <c r="K91" s="502">
        <f t="shared" si="284"/>
        <v>8796374</v>
      </c>
      <c r="L91" s="502">
        <f t="shared" si="284"/>
        <v>260247</v>
      </c>
      <c r="M91" s="502">
        <f t="shared" si="284"/>
        <v>537277</v>
      </c>
      <c r="N91" s="503">
        <f t="shared" si="284"/>
        <v>48.1051</v>
      </c>
      <c r="O91" s="503">
        <f t="shared" si="284"/>
        <v>36.115099999999998</v>
      </c>
      <c r="P91" s="507">
        <f t="shared" si="284"/>
        <v>11.989999999999998</v>
      </c>
      <c r="Q91" s="505">
        <f t="shared" ref="Q91:BA91" si="285">SUM(Q86:Q90)</f>
        <v>-35750</v>
      </c>
      <c r="R91" s="502">
        <f t="shared" si="285"/>
        <v>1226997</v>
      </c>
      <c r="S91" s="502">
        <f t="shared" si="285"/>
        <v>0</v>
      </c>
      <c r="T91" s="502">
        <f t="shared" si="285"/>
        <v>50758</v>
      </c>
      <c r="U91" s="502">
        <f t="shared" si="285"/>
        <v>0</v>
      </c>
      <c r="V91" s="502">
        <f t="shared" si="285"/>
        <v>1242005</v>
      </c>
      <c r="W91" s="502">
        <f t="shared" si="285"/>
        <v>35750</v>
      </c>
      <c r="X91" s="502">
        <f t="shared" si="285"/>
        <v>0</v>
      </c>
      <c r="Y91" s="502">
        <f t="shared" si="285"/>
        <v>118449</v>
      </c>
      <c r="Z91" s="502">
        <f t="shared" si="285"/>
        <v>154199</v>
      </c>
      <c r="AA91" s="502">
        <f t="shared" si="285"/>
        <v>1396204</v>
      </c>
      <c r="AB91" s="502">
        <f t="shared" si="285"/>
        <v>431881</v>
      </c>
      <c r="AC91" s="502">
        <f t="shared" si="285"/>
        <v>12420</v>
      </c>
      <c r="AD91" s="502">
        <f t="shared" si="285"/>
        <v>2500</v>
      </c>
      <c r="AE91" s="502">
        <f t="shared" si="285"/>
        <v>0</v>
      </c>
      <c r="AF91" s="502">
        <f t="shared" si="285"/>
        <v>2500</v>
      </c>
      <c r="AG91" s="502">
        <f t="shared" si="285"/>
        <v>1843005</v>
      </c>
      <c r="AH91" s="503">
        <f t="shared" si="285"/>
        <v>0</v>
      </c>
      <c r="AI91" s="503">
        <f t="shared" si="285"/>
        <v>0</v>
      </c>
      <c r="AJ91" s="503">
        <f t="shared" si="285"/>
        <v>3.54</v>
      </c>
      <c r="AK91" s="503">
        <f t="shared" si="285"/>
        <v>0</v>
      </c>
      <c r="AL91" s="503">
        <f t="shared" si="285"/>
        <v>0</v>
      </c>
      <c r="AM91" s="503">
        <f t="shared" si="285"/>
        <v>0.08</v>
      </c>
      <c r="AN91" s="503">
        <f t="shared" si="285"/>
        <v>0</v>
      </c>
      <c r="AO91" s="503">
        <f t="shared" si="285"/>
        <v>0</v>
      </c>
      <c r="AP91" s="503">
        <f t="shared" si="285"/>
        <v>3.62</v>
      </c>
      <c r="AQ91" s="503">
        <f t="shared" si="285"/>
        <v>0</v>
      </c>
      <c r="AR91" s="40">
        <f t="shared" si="285"/>
        <v>3.62</v>
      </c>
      <c r="AS91" s="509">
        <f t="shared" si="285"/>
        <v>37461679</v>
      </c>
      <c r="AT91" s="502">
        <f t="shared" si="285"/>
        <v>27266781</v>
      </c>
      <c r="AU91" s="502">
        <f t="shared" si="285"/>
        <v>154199</v>
      </c>
      <c r="AV91" s="502">
        <f t="shared" si="285"/>
        <v>9228255</v>
      </c>
      <c r="AW91" s="502">
        <f t="shared" si="285"/>
        <v>272667</v>
      </c>
      <c r="AX91" s="502">
        <f t="shared" si="285"/>
        <v>539777</v>
      </c>
      <c r="AY91" s="503">
        <f t="shared" si="285"/>
        <v>51.725099999999998</v>
      </c>
      <c r="AZ91" s="503">
        <f t="shared" si="285"/>
        <v>39.735099999999996</v>
      </c>
      <c r="BA91" s="40">
        <f t="shared" si="285"/>
        <v>11.989999999999998</v>
      </c>
    </row>
    <row r="92" spans="1:53" s="229" customFormat="1" x14ac:dyDescent="0.2">
      <c r="A92" s="216">
        <v>17</v>
      </c>
      <c r="B92" s="217">
        <v>4454</v>
      </c>
      <c r="C92" s="217">
        <v>600074811</v>
      </c>
      <c r="D92" s="217">
        <v>48283070</v>
      </c>
      <c r="E92" s="215" t="s">
        <v>181</v>
      </c>
      <c r="F92" s="217">
        <v>3113</v>
      </c>
      <c r="G92" s="168" t="s">
        <v>310</v>
      </c>
      <c r="H92" s="218" t="s">
        <v>277</v>
      </c>
      <c r="I92" s="462">
        <f t="shared" ref="I92:I96" si="286">SUM(J92:M92)</f>
        <v>31548104</v>
      </c>
      <c r="J92" s="457">
        <v>22961086</v>
      </c>
      <c r="K92" s="457">
        <f t="shared" ref="K92:K96" si="287">ROUND(J92*33.8%,0)</f>
        <v>7760847</v>
      </c>
      <c r="L92" s="457">
        <f t="shared" ref="L92:L96" si="288">ROUND(J92*1%,0)</f>
        <v>229611</v>
      </c>
      <c r="M92" s="457">
        <v>596560</v>
      </c>
      <c r="N92" s="458">
        <f t="shared" ref="N92:N96" si="289">O92+P92</f>
        <v>37.609700000000004</v>
      </c>
      <c r="O92" s="459">
        <v>29.999700000000001</v>
      </c>
      <c r="P92" s="468">
        <v>7.61</v>
      </c>
      <c r="Q92" s="470">
        <f t="shared" ref="Q92:Q96" si="290">W92*-1</f>
        <v>-42120</v>
      </c>
      <c r="R92" s="460">
        <v>0</v>
      </c>
      <c r="S92" s="673">
        <v>0</v>
      </c>
      <c r="T92" s="460">
        <v>74280</v>
      </c>
      <c r="U92" s="460">
        <v>0</v>
      </c>
      <c r="V92" s="460">
        <f>SUM(Q92:U92)</f>
        <v>32160</v>
      </c>
      <c r="W92" s="460">
        <v>42120</v>
      </c>
      <c r="X92" s="460">
        <v>0</v>
      </c>
      <c r="Y92" s="460">
        <v>0</v>
      </c>
      <c r="Z92" s="460">
        <f t="shared" ref="Z92:Z96" si="291">SUM(W92:Y92)</f>
        <v>42120</v>
      </c>
      <c r="AA92" s="460">
        <f t="shared" ref="AA92:AA96" si="292">V92+Z92</f>
        <v>74280</v>
      </c>
      <c r="AB92" s="69">
        <f t="shared" ref="AB92:AB96" si="293">ROUND((V92+W92+X92)*33.8%,0)</f>
        <v>25107</v>
      </c>
      <c r="AC92" s="69">
        <f t="shared" ref="AC92:AC96" si="294">ROUND(V92*1%,0)</f>
        <v>322</v>
      </c>
      <c r="AD92" s="460">
        <v>0</v>
      </c>
      <c r="AE92" s="460">
        <v>0</v>
      </c>
      <c r="AF92" s="460">
        <f t="shared" ref="AF92:AF96" si="295">SUM(AD92:AE92)</f>
        <v>0</v>
      </c>
      <c r="AG92" s="460">
        <f t="shared" ref="AG92:AG96" si="296">AA92+AB92+AC92+AF92</f>
        <v>99709</v>
      </c>
      <c r="AH92" s="461">
        <v>-0.08</v>
      </c>
      <c r="AI92" s="461">
        <v>0</v>
      </c>
      <c r="AJ92" s="461">
        <v>0</v>
      </c>
      <c r="AK92" s="461">
        <v>0</v>
      </c>
      <c r="AL92" s="674">
        <v>0</v>
      </c>
      <c r="AM92" s="461">
        <v>0.11</v>
      </c>
      <c r="AN92" s="461">
        <v>0</v>
      </c>
      <c r="AO92" s="461">
        <v>0</v>
      </c>
      <c r="AP92" s="461">
        <f>AH92+AJ92+AK92+AM92+AN92</f>
        <v>0.03</v>
      </c>
      <c r="AQ92" s="461">
        <f>AI92+AL92+AO92</f>
        <v>0</v>
      </c>
      <c r="AR92" s="463">
        <f t="shared" ref="AR92:AR96" si="297">SUM(AP92:AQ92)</f>
        <v>0.03</v>
      </c>
      <c r="AS92" s="469">
        <f>I92+AG92</f>
        <v>31647813</v>
      </c>
      <c r="AT92" s="460">
        <f>J92+V92</f>
        <v>22993246</v>
      </c>
      <c r="AU92" s="460">
        <f t="shared" ref="AU92:AU96" si="298">Z92</f>
        <v>42120</v>
      </c>
      <c r="AV92" s="460">
        <f t="shared" ref="AV92:AW96" si="299">K92+AB92</f>
        <v>7785954</v>
      </c>
      <c r="AW92" s="460">
        <f t="shared" si="299"/>
        <v>229933</v>
      </c>
      <c r="AX92" s="460">
        <f>M92+AF92</f>
        <v>596560</v>
      </c>
      <c r="AY92" s="461">
        <f>N92+AR92</f>
        <v>37.639700000000005</v>
      </c>
      <c r="AZ92" s="461">
        <f t="shared" ref="AZ92:BA96" si="300">O92+AP92</f>
        <v>30.029700000000002</v>
      </c>
      <c r="BA92" s="463">
        <f t="shared" si="300"/>
        <v>7.61</v>
      </c>
    </row>
    <row r="93" spans="1:53" s="229" customFormat="1" x14ac:dyDescent="0.2">
      <c r="A93" s="216">
        <v>17</v>
      </c>
      <c r="B93" s="217">
        <v>4454</v>
      </c>
      <c r="C93" s="217">
        <v>600074811</v>
      </c>
      <c r="D93" s="217">
        <v>48283070</v>
      </c>
      <c r="E93" s="215" t="s">
        <v>181</v>
      </c>
      <c r="F93" s="217">
        <v>3113</v>
      </c>
      <c r="G93" s="168" t="s">
        <v>308</v>
      </c>
      <c r="H93" s="218" t="s">
        <v>278</v>
      </c>
      <c r="I93" s="462">
        <f t="shared" si="286"/>
        <v>0</v>
      </c>
      <c r="J93" s="457">
        <v>0</v>
      </c>
      <c r="K93" s="457">
        <f t="shared" si="287"/>
        <v>0</v>
      </c>
      <c r="L93" s="457">
        <f t="shared" si="288"/>
        <v>0</v>
      </c>
      <c r="M93" s="457">
        <v>0</v>
      </c>
      <c r="N93" s="458">
        <f t="shared" si="289"/>
        <v>0</v>
      </c>
      <c r="O93" s="459">
        <v>0</v>
      </c>
      <c r="P93" s="468">
        <v>0</v>
      </c>
      <c r="Q93" s="470">
        <f t="shared" si="290"/>
        <v>0</v>
      </c>
      <c r="R93" s="460">
        <v>2973863</v>
      </c>
      <c r="S93" s="673">
        <v>0</v>
      </c>
      <c r="T93" s="460">
        <v>0</v>
      </c>
      <c r="U93" s="460">
        <v>0</v>
      </c>
      <c r="V93" s="460">
        <f>SUM(Q93:U93)</f>
        <v>2973863</v>
      </c>
      <c r="W93" s="460">
        <v>0</v>
      </c>
      <c r="X93" s="460">
        <v>0</v>
      </c>
      <c r="Y93" s="460">
        <v>0</v>
      </c>
      <c r="Z93" s="460">
        <f t="shared" si="291"/>
        <v>0</v>
      </c>
      <c r="AA93" s="460">
        <f t="shared" si="292"/>
        <v>2973863</v>
      </c>
      <c r="AB93" s="69">
        <f t="shared" si="293"/>
        <v>1005166</v>
      </c>
      <c r="AC93" s="69">
        <f t="shared" si="294"/>
        <v>29739</v>
      </c>
      <c r="AD93" s="460">
        <v>0</v>
      </c>
      <c r="AE93" s="460">
        <v>0</v>
      </c>
      <c r="AF93" s="460">
        <f t="shared" si="295"/>
        <v>0</v>
      </c>
      <c r="AG93" s="460">
        <f t="shared" si="296"/>
        <v>4008768</v>
      </c>
      <c r="AH93" s="461">
        <v>0</v>
      </c>
      <c r="AI93" s="461">
        <v>0</v>
      </c>
      <c r="AJ93" s="461">
        <v>8.5</v>
      </c>
      <c r="AK93" s="461">
        <v>0</v>
      </c>
      <c r="AL93" s="674">
        <v>0</v>
      </c>
      <c r="AM93" s="461">
        <v>0</v>
      </c>
      <c r="AN93" s="461">
        <v>0</v>
      </c>
      <c r="AO93" s="461">
        <v>0</v>
      </c>
      <c r="AP93" s="461">
        <f>AH93+AJ93+AK93+AM93+AN93</f>
        <v>8.5</v>
      </c>
      <c r="AQ93" s="461">
        <f>AI93+AL93+AO93</f>
        <v>0</v>
      </c>
      <c r="AR93" s="463">
        <f t="shared" si="297"/>
        <v>8.5</v>
      </c>
      <c r="AS93" s="469">
        <f>I93+AG93</f>
        <v>4008768</v>
      </c>
      <c r="AT93" s="460">
        <f>J93+V93</f>
        <v>2973863</v>
      </c>
      <c r="AU93" s="460">
        <f t="shared" si="298"/>
        <v>0</v>
      </c>
      <c r="AV93" s="460">
        <f t="shared" si="299"/>
        <v>1005166</v>
      </c>
      <c r="AW93" s="460">
        <f t="shared" si="299"/>
        <v>29739</v>
      </c>
      <c r="AX93" s="460">
        <f>M93+AF93</f>
        <v>0</v>
      </c>
      <c r="AY93" s="461">
        <f>N93+AR93</f>
        <v>8.5</v>
      </c>
      <c r="AZ93" s="461">
        <f t="shared" si="300"/>
        <v>8.5</v>
      </c>
      <c r="BA93" s="463">
        <f t="shared" si="300"/>
        <v>0</v>
      </c>
    </row>
    <row r="94" spans="1:53" s="229" customFormat="1" x14ac:dyDescent="0.2">
      <c r="A94" s="216">
        <v>17</v>
      </c>
      <c r="B94" s="217">
        <v>4454</v>
      </c>
      <c r="C94" s="217">
        <v>600074811</v>
      </c>
      <c r="D94" s="217">
        <v>48283070</v>
      </c>
      <c r="E94" s="215" t="s">
        <v>181</v>
      </c>
      <c r="F94" s="217">
        <v>3141</v>
      </c>
      <c r="G94" s="168" t="s">
        <v>311</v>
      </c>
      <c r="H94" s="218" t="s">
        <v>278</v>
      </c>
      <c r="I94" s="462">
        <f t="shared" si="286"/>
        <v>2954151</v>
      </c>
      <c r="J94" s="457">
        <v>2172373</v>
      </c>
      <c r="K94" s="457">
        <f t="shared" si="287"/>
        <v>734262</v>
      </c>
      <c r="L94" s="457">
        <f t="shared" si="288"/>
        <v>21724</v>
      </c>
      <c r="M94" s="457">
        <v>25792</v>
      </c>
      <c r="N94" s="458">
        <f t="shared" si="289"/>
        <v>6.98</v>
      </c>
      <c r="O94" s="459">
        <v>0</v>
      </c>
      <c r="P94" s="468">
        <v>6.98</v>
      </c>
      <c r="Q94" s="470">
        <f t="shared" si="290"/>
        <v>0</v>
      </c>
      <c r="R94" s="460">
        <v>0</v>
      </c>
      <c r="S94" s="673">
        <v>0</v>
      </c>
      <c r="T94" s="460">
        <v>0</v>
      </c>
      <c r="U94" s="460">
        <v>0</v>
      </c>
      <c r="V94" s="460">
        <f>SUM(Q94:U94)</f>
        <v>0</v>
      </c>
      <c r="W94" s="460">
        <v>0</v>
      </c>
      <c r="X94" s="460">
        <v>0</v>
      </c>
      <c r="Y94" s="460">
        <v>0</v>
      </c>
      <c r="Z94" s="460">
        <f t="shared" si="291"/>
        <v>0</v>
      </c>
      <c r="AA94" s="460">
        <f t="shared" si="292"/>
        <v>0</v>
      </c>
      <c r="AB94" s="69">
        <f t="shared" si="293"/>
        <v>0</v>
      </c>
      <c r="AC94" s="69">
        <f t="shared" si="294"/>
        <v>0</v>
      </c>
      <c r="AD94" s="460">
        <v>0</v>
      </c>
      <c r="AE94" s="460">
        <v>0</v>
      </c>
      <c r="AF94" s="460">
        <f t="shared" si="295"/>
        <v>0</v>
      </c>
      <c r="AG94" s="460">
        <f t="shared" si="296"/>
        <v>0</v>
      </c>
      <c r="AH94" s="461">
        <v>0</v>
      </c>
      <c r="AI94" s="461">
        <v>0</v>
      </c>
      <c r="AJ94" s="461">
        <v>0</v>
      </c>
      <c r="AK94" s="461">
        <v>0</v>
      </c>
      <c r="AL94" s="674">
        <v>0</v>
      </c>
      <c r="AM94" s="461">
        <v>0</v>
      </c>
      <c r="AN94" s="461">
        <v>0</v>
      </c>
      <c r="AO94" s="461">
        <v>0</v>
      </c>
      <c r="AP94" s="461">
        <f>AH94+AJ94+AK94+AM94+AN94</f>
        <v>0</v>
      </c>
      <c r="AQ94" s="461">
        <f>AI94+AL94+AO94</f>
        <v>0</v>
      </c>
      <c r="AR94" s="463">
        <f t="shared" si="297"/>
        <v>0</v>
      </c>
      <c r="AS94" s="469">
        <f>I94+AG94</f>
        <v>2954151</v>
      </c>
      <c r="AT94" s="460">
        <f>J94+V94</f>
        <v>2172373</v>
      </c>
      <c r="AU94" s="460">
        <f t="shared" si="298"/>
        <v>0</v>
      </c>
      <c r="AV94" s="460">
        <f t="shared" si="299"/>
        <v>734262</v>
      </c>
      <c r="AW94" s="460">
        <f t="shared" si="299"/>
        <v>21724</v>
      </c>
      <c r="AX94" s="460">
        <f>M94+AF94</f>
        <v>25792</v>
      </c>
      <c r="AY94" s="461">
        <f>N94+AR94</f>
        <v>6.98</v>
      </c>
      <c r="AZ94" s="461">
        <f t="shared" si="300"/>
        <v>0</v>
      </c>
      <c r="BA94" s="463">
        <f t="shared" si="300"/>
        <v>6.98</v>
      </c>
    </row>
    <row r="95" spans="1:53" s="229" customFormat="1" x14ac:dyDescent="0.2">
      <c r="A95" s="216">
        <v>17</v>
      </c>
      <c r="B95" s="217">
        <v>4454</v>
      </c>
      <c r="C95" s="217">
        <v>600074811</v>
      </c>
      <c r="D95" s="217">
        <v>48283070</v>
      </c>
      <c r="E95" s="210" t="s">
        <v>181</v>
      </c>
      <c r="F95" s="217">
        <v>3143</v>
      </c>
      <c r="G95" s="168" t="s">
        <v>616</v>
      </c>
      <c r="H95" s="234" t="s">
        <v>277</v>
      </c>
      <c r="I95" s="462">
        <f t="shared" si="286"/>
        <v>3199800</v>
      </c>
      <c r="J95" s="457">
        <v>2373739</v>
      </c>
      <c r="K95" s="457">
        <f t="shared" si="287"/>
        <v>802324</v>
      </c>
      <c r="L95" s="457">
        <f t="shared" si="288"/>
        <v>23737</v>
      </c>
      <c r="M95" s="457">
        <v>0</v>
      </c>
      <c r="N95" s="458">
        <f t="shared" si="289"/>
        <v>4.7140000000000004</v>
      </c>
      <c r="O95" s="459">
        <v>4.7140000000000004</v>
      </c>
      <c r="P95" s="468">
        <v>0</v>
      </c>
      <c r="Q95" s="470">
        <f t="shared" si="290"/>
        <v>-13000</v>
      </c>
      <c r="R95" s="460">
        <v>0</v>
      </c>
      <c r="S95" s="673">
        <v>0</v>
      </c>
      <c r="T95" s="460">
        <v>0</v>
      </c>
      <c r="U95" s="460">
        <v>0</v>
      </c>
      <c r="V95" s="460">
        <f>SUM(Q95:U95)</f>
        <v>-13000</v>
      </c>
      <c r="W95" s="460">
        <v>13000</v>
      </c>
      <c r="X95" s="460">
        <v>0</v>
      </c>
      <c r="Y95" s="460">
        <v>0</v>
      </c>
      <c r="Z95" s="460">
        <f t="shared" si="291"/>
        <v>13000</v>
      </c>
      <c r="AA95" s="460">
        <f t="shared" si="292"/>
        <v>0</v>
      </c>
      <c r="AB95" s="69">
        <f t="shared" si="293"/>
        <v>0</v>
      </c>
      <c r="AC95" s="69">
        <f t="shared" si="294"/>
        <v>-130</v>
      </c>
      <c r="AD95" s="460">
        <v>0</v>
      </c>
      <c r="AE95" s="460">
        <v>0</v>
      </c>
      <c r="AF95" s="460">
        <f t="shared" si="295"/>
        <v>0</v>
      </c>
      <c r="AG95" s="460">
        <f t="shared" si="296"/>
        <v>-130</v>
      </c>
      <c r="AH95" s="461">
        <v>0</v>
      </c>
      <c r="AI95" s="461">
        <v>0</v>
      </c>
      <c r="AJ95" s="461">
        <v>0</v>
      </c>
      <c r="AK95" s="461">
        <v>0</v>
      </c>
      <c r="AL95" s="674">
        <v>0</v>
      </c>
      <c r="AM95" s="461">
        <v>0</v>
      </c>
      <c r="AN95" s="461">
        <v>0</v>
      </c>
      <c r="AO95" s="461">
        <v>0</v>
      </c>
      <c r="AP95" s="461">
        <f>AH95+AJ95+AK95+AM95+AN95</f>
        <v>0</v>
      </c>
      <c r="AQ95" s="461">
        <f>AI95+AL95+AO95</f>
        <v>0</v>
      </c>
      <c r="AR95" s="463">
        <f t="shared" si="297"/>
        <v>0</v>
      </c>
      <c r="AS95" s="469">
        <f>I95+AG95</f>
        <v>3199670</v>
      </c>
      <c r="AT95" s="460">
        <f>J95+V95</f>
        <v>2360739</v>
      </c>
      <c r="AU95" s="460">
        <f t="shared" si="298"/>
        <v>13000</v>
      </c>
      <c r="AV95" s="460">
        <f t="shared" si="299"/>
        <v>802324</v>
      </c>
      <c r="AW95" s="460">
        <f t="shared" si="299"/>
        <v>23607</v>
      </c>
      <c r="AX95" s="460">
        <f>M95+AF95</f>
        <v>0</v>
      </c>
      <c r="AY95" s="461">
        <f>N95+AR95</f>
        <v>4.7140000000000004</v>
      </c>
      <c r="AZ95" s="461">
        <f t="shared" si="300"/>
        <v>4.7140000000000004</v>
      </c>
      <c r="BA95" s="463">
        <f t="shared" si="300"/>
        <v>0</v>
      </c>
    </row>
    <row r="96" spans="1:53" s="229" customFormat="1" x14ac:dyDescent="0.2">
      <c r="A96" s="216">
        <v>17</v>
      </c>
      <c r="B96" s="217">
        <v>4454</v>
      </c>
      <c r="C96" s="217">
        <v>600074811</v>
      </c>
      <c r="D96" s="217">
        <v>48283070</v>
      </c>
      <c r="E96" s="210" t="s">
        <v>181</v>
      </c>
      <c r="F96" s="217">
        <v>3143</v>
      </c>
      <c r="G96" s="168" t="s">
        <v>617</v>
      </c>
      <c r="H96" s="234" t="s">
        <v>278</v>
      </c>
      <c r="I96" s="462">
        <f t="shared" si="286"/>
        <v>98222</v>
      </c>
      <c r="J96" s="457">
        <v>70181</v>
      </c>
      <c r="K96" s="457">
        <f t="shared" si="287"/>
        <v>23721</v>
      </c>
      <c r="L96" s="457">
        <f t="shared" si="288"/>
        <v>702</v>
      </c>
      <c r="M96" s="457">
        <v>3618</v>
      </c>
      <c r="N96" s="458">
        <f t="shared" si="289"/>
        <v>0.28000000000000003</v>
      </c>
      <c r="O96" s="459">
        <v>0</v>
      </c>
      <c r="P96" s="468">
        <v>0.28000000000000003</v>
      </c>
      <c r="Q96" s="470">
        <f t="shared" si="290"/>
        <v>0</v>
      </c>
      <c r="R96" s="460">
        <v>0</v>
      </c>
      <c r="S96" s="673">
        <v>0</v>
      </c>
      <c r="T96" s="460">
        <v>0</v>
      </c>
      <c r="U96" s="460">
        <v>0</v>
      </c>
      <c r="V96" s="460">
        <f>SUM(Q96:U96)</f>
        <v>0</v>
      </c>
      <c r="W96" s="460">
        <v>0</v>
      </c>
      <c r="X96" s="460">
        <v>0</v>
      </c>
      <c r="Y96" s="460">
        <v>0</v>
      </c>
      <c r="Z96" s="460">
        <f t="shared" si="291"/>
        <v>0</v>
      </c>
      <c r="AA96" s="460">
        <f t="shared" si="292"/>
        <v>0</v>
      </c>
      <c r="AB96" s="69">
        <f t="shared" si="293"/>
        <v>0</v>
      </c>
      <c r="AC96" s="69">
        <f t="shared" si="294"/>
        <v>0</v>
      </c>
      <c r="AD96" s="460">
        <v>0</v>
      </c>
      <c r="AE96" s="460">
        <v>0</v>
      </c>
      <c r="AF96" s="460">
        <f t="shared" si="295"/>
        <v>0</v>
      </c>
      <c r="AG96" s="460">
        <f t="shared" si="296"/>
        <v>0</v>
      </c>
      <c r="AH96" s="461">
        <v>0</v>
      </c>
      <c r="AI96" s="461">
        <v>0</v>
      </c>
      <c r="AJ96" s="461">
        <v>0</v>
      </c>
      <c r="AK96" s="461">
        <v>0</v>
      </c>
      <c r="AL96" s="674">
        <v>0</v>
      </c>
      <c r="AM96" s="461">
        <v>0</v>
      </c>
      <c r="AN96" s="461">
        <v>0</v>
      </c>
      <c r="AO96" s="461">
        <v>0</v>
      </c>
      <c r="AP96" s="461">
        <f>AH96+AJ96+AK96+AM96+AN96</f>
        <v>0</v>
      </c>
      <c r="AQ96" s="461">
        <f>AI96+AL96+AO96</f>
        <v>0</v>
      </c>
      <c r="AR96" s="463">
        <f t="shared" si="297"/>
        <v>0</v>
      </c>
      <c r="AS96" s="469">
        <f>I96+AG96</f>
        <v>98222</v>
      </c>
      <c r="AT96" s="460">
        <f>J96+V96</f>
        <v>70181</v>
      </c>
      <c r="AU96" s="460">
        <f t="shared" si="298"/>
        <v>0</v>
      </c>
      <c r="AV96" s="460">
        <f t="shared" si="299"/>
        <v>23721</v>
      </c>
      <c r="AW96" s="460">
        <f t="shared" si="299"/>
        <v>702</v>
      </c>
      <c r="AX96" s="460">
        <f>M96+AF96</f>
        <v>3618</v>
      </c>
      <c r="AY96" s="461">
        <f>N96+AR96</f>
        <v>0.28000000000000003</v>
      </c>
      <c r="AZ96" s="461">
        <f t="shared" si="300"/>
        <v>0</v>
      </c>
      <c r="BA96" s="463">
        <f t="shared" si="300"/>
        <v>0.28000000000000003</v>
      </c>
    </row>
    <row r="97" spans="1:53" s="229" customFormat="1" x14ac:dyDescent="0.2">
      <c r="A97" s="158">
        <v>17</v>
      </c>
      <c r="B97" s="18">
        <v>4454</v>
      </c>
      <c r="C97" s="18">
        <v>600074811</v>
      </c>
      <c r="D97" s="18">
        <v>48283070</v>
      </c>
      <c r="E97" s="167" t="s">
        <v>182</v>
      </c>
      <c r="F97" s="18"/>
      <c r="G97" s="157"/>
      <c r="H97" s="191"/>
      <c r="I97" s="505">
        <f t="shared" ref="I97:P97" si="301">SUM(I92:I96)</f>
        <v>37800277</v>
      </c>
      <c r="J97" s="502">
        <f t="shared" si="301"/>
        <v>27577379</v>
      </c>
      <c r="K97" s="502">
        <f t="shared" si="301"/>
        <v>9321154</v>
      </c>
      <c r="L97" s="502">
        <f t="shared" si="301"/>
        <v>275774</v>
      </c>
      <c r="M97" s="502">
        <f t="shared" si="301"/>
        <v>625970</v>
      </c>
      <c r="N97" s="503">
        <f t="shared" si="301"/>
        <v>49.583700000000007</v>
      </c>
      <c r="O97" s="503">
        <f t="shared" si="301"/>
        <v>34.713700000000003</v>
      </c>
      <c r="P97" s="507">
        <f t="shared" si="301"/>
        <v>14.87</v>
      </c>
      <c r="Q97" s="505">
        <f t="shared" ref="Q97:BA97" si="302">SUM(Q92:Q96)</f>
        <v>-55120</v>
      </c>
      <c r="R97" s="502">
        <f t="shared" si="302"/>
        <v>2973863</v>
      </c>
      <c r="S97" s="502">
        <f t="shared" si="302"/>
        <v>0</v>
      </c>
      <c r="T97" s="502">
        <f t="shared" si="302"/>
        <v>74280</v>
      </c>
      <c r="U97" s="502">
        <f t="shared" si="302"/>
        <v>0</v>
      </c>
      <c r="V97" s="502">
        <f t="shared" si="302"/>
        <v>2993023</v>
      </c>
      <c r="W97" s="502">
        <f t="shared" si="302"/>
        <v>55120</v>
      </c>
      <c r="X97" s="502">
        <f t="shared" si="302"/>
        <v>0</v>
      </c>
      <c r="Y97" s="502">
        <f t="shared" si="302"/>
        <v>0</v>
      </c>
      <c r="Z97" s="502">
        <f t="shared" si="302"/>
        <v>55120</v>
      </c>
      <c r="AA97" s="502">
        <f t="shared" si="302"/>
        <v>3048143</v>
      </c>
      <c r="AB97" s="502">
        <f t="shared" si="302"/>
        <v>1030273</v>
      </c>
      <c r="AC97" s="502">
        <f t="shared" si="302"/>
        <v>29931</v>
      </c>
      <c r="AD97" s="502">
        <f t="shared" si="302"/>
        <v>0</v>
      </c>
      <c r="AE97" s="502">
        <f t="shared" si="302"/>
        <v>0</v>
      </c>
      <c r="AF97" s="502">
        <f t="shared" si="302"/>
        <v>0</v>
      </c>
      <c r="AG97" s="502">
        <f t="shared" si="302"/>
        <v>4108347</v>
      </c>
      <c r="AH97" s="503">
        <f t="shared" si="302"/>
        <v>-0.08</v>
      </c>
      <c r="AI97" s="503">
        <f t="shared" si="302"/>
        <v>0</v>
      </c>
      <c r="AJ97" s="503">
        <f t="shared" si="302"/>
        <v>8.5</v>
      </c>
      <c r="AK97" s="503">
        <f t="shared" si="302"/>
        <v>0</v>
      </c>
      <c r="AL97" s="503">
        <f t="shared" si="302"/>
        <v>0</v>
      </c>
      <c r="AM97" s="503">
        <f t="shared" si="302"/>
        <v>0.11</v>
      </c>
      <c r="AN97" s="503">
        <f t="shared" si="302"/>
        <v>0</v>
      </c>
      <c r="AO97" s="503">
        <f t="shared" si="302"/>
        <v>0</v>
      </c>
      <c r="AP97" s="503">
        <f t="shared" si="302"/>
        <v>8.5299999999999994</v>
      </c>
      <c r="AQ97" s="503">
        <f t="shared" si="302"/>
        <v>0</v>
      </c>
      <c r="AR97" s="40">
        <f t="shared" si="302"/>
        <v>8.5299999999999994</v>
      </c>
      <c r="AS97" s="509">
        <f t="shared" si="302"/>
        <v>41908624</v>
      </c>
      <c r="AT97" s="502">
        <f t="shared" si="302"/>
        <v>30570402</v>
      </c>
      <c r="AU97" s="502">
        <f t="shared" si="302"/>
        <v>55120</v>
      </c>
      <c r="AV97" s="502">
        <f t="shared" si="302"/>
        <v>10351427</v>
      </c>
      <c r="AW97" s="502">
        <f t="shared" si="302"/>
        <v>305705</v>
      </c>
      <c r="AX97" s="502">
        <f t="shared" si="302"/>
        <v>625970</v>
      </c>
      <c r="AY97" s="503">
        <f t="shared" si="302"/>
        <v>58.113700000000009</v>
      </c>
      <c r="AZ97" s="503">
        <f t="shared" si="302"/>
        <v>43.243700000000004</v>
      </c>
      <c r="BA97" s="40">
        <f t="shared" si="302"/>
        <v>14.87</v>
      </c>
    </row>
    <row r="98" spans="1:53" s="229" customFormat="1" x14ac:dyDescent="0.2">
      <c r="A98" s="216">
        <v>18</v>
      </c>
      <c r="B98" s="217">
        <v>4479</v>
      </c>
      <c r="C98" s="217">
        <v>600075150</v>
      </c>
      <c r="D98" s="217">
        <v>70982228</v>
      </c>
      <c r="E98" s="215" t="s">
        <v>183</v>
      </c>
      <c r="F98" s="217">
        <v>3111</v>
      </c>
      <c r="G98" s="168" t="s">
        <v>307</v>
      </c>
      <c r="H98" s="218" t="s">
        <v>277</v>
      </c>
      <c r="I98" s="462">
        <f t="shared" ref="I98:I107" si="303">SUM(J98:M98)</f>
        <v>3266521</v>
      </c>
      <c r="J98" s="457">
        <v>2410847</v>
      </c>
      <c r="K98" s="457">
        <f t="shared" ref="K98:K107" si="304">ROUND(J98*33.8%,0)</f>
        <v>814866</v>
      </c>
      <c r="L98" s="457">
        <f t="shared" ref="L98:L107" si="305">ROUND(J98*1%,0)</f>
        <v>24108</v>
      </c>
      <c r="M98" s="457">
        <v>16700</v>
      </c>
      <c r="N98" s="458">
        <f t="shared" ref="N98:N107" si="306">O98+P98</f>
        <v>4.84</v>
      </c>
      <c r="O98" s="459">
        <v>4</v>
      </c>
      <c r="P98" s="468">
        <v>0.84</v>
      </c>
      <c r="Q98" s="470">
        <f t="shared" ref="Q98:Q107" si="307">W98*-1</f>
        <v>0</v>
      </c>
      <c r="R98" s="460">
        <v>0</v>
      </c>
      <c r="S98" s="673">
        <v>0</v>
      </c>
      <c r="T98" s="460">
        <v>0</v>
      </c>
      <c r="U98" s="460">
        <v>0</v>
      </c>
      <c r="V98" s="460">
        <f t="shared" ref="V98:V107" si="308">SUM(Q98:U98)</f>
        <v>0</v>
      </c>
      <c r="W98" s="460">
        <v>0</v>
      </c>
      <c r="X98" s="460">
        <v>0</v>
      </c>
      <c r="Y98" s="460">
        <v>0</v>
      </c>
      <c r="Z98" s="460">
        <f t="shared" ref="Z98:Z107" si="309">SUM(W98:Y98)</f>
        <v>0</v>
      </c>
      <c r="AA98" s="460">
        <f t="shared" ref="AA98:AA107" si="310">V98+Z98</f>
        <v>0</v>
      </c>
      <c r="AB98" s="69">
        <f t="shared" ref="AB98:AB107" si="311">ROUND((V98+W98+X98)*33.8%,0)</f>
        <v>0</v>
      </c>
      <c r="AC98" s="69">
        <f t="shared" ref="AC98:AC107" si="312">ROUND(V98*1%,0)</f>
        <v>0</v>
      </c>
      <c r="AD98" s="460">
        <v>0</v>
      </c>
      <c r="AE98" s="460">
        <v>0</v>
      </c>
      <c r="AF98" s="460">
        <f t="shared" ref="AF98:AF107" si="313">SUM(AD98:AE98)</f>
        <v>0</v>
      </c>
      <c r="AG98" s="460">
        <f t="shared" ref="AG98:AG107" si="314">AA98+AB98+AC98+AF98</f>
        <v>0</v>
      </c>
      <c r="AH98" s="461">
        <v>0</v>
      </c>
      <c r="AI98" s="461">
        <v>0</v>
      </c>
      <c r="AJ98" s="461">
        <v>0</v>
      </c>
      <c r="AK98" s="461">
        <v>0</v>
      </c>
      <c r="AL98" s="674">
        <v>0</v>
      </c>
      <c r="AM98" s="461">
        <v>0</v>
      </c>
      <c r="AN98" s="461">
        <v>0</v>
      </c>
      <c r="AO98" s="461">
        <v>0</v>
      </c>
      <c r="AP98" s="461">
        <f t="shared" ref="AP98:AP107" si="315">AH98+AJ98+AK98+AM98+AN98</f>
        <v>0</v>
      </c>
      <c r="AQ98" s="461">
        <f t="shared" ref="AQ98:AQ107" si="316">AI98+AL98+AO98</f>
        <v>0</v>
      </c>
      <c r="AR98" s="463">
        <f t="shared" ref="AR98:AR107" si="317">SUM(AP98:AQ98)</f>
        <v>0</v>
      </c>
      <c r="AS98" s="469">
        <f t="shared" ref="AS98:AS107" si="318">I98+AG98</f>
        <v>3266521</v>
      </c>
      <c r="AT98" s="460">
        <f t="shared" ref="AT98:AT107" si="319">J98+V98</f>
        <v>2410847</v>
      </c>
      <c r="AU98" s="460">
        <f t="shared" ref="AU98:AU107" si="320">Z98</f>
        <v>0</v>
      </c>
      <c r="AV98" s="460">
        <f t="shared" ref="AV98:AW107" si="321">K98+AB98</f>
        <v>814866</v>
      </c>
      <c r="AW98" s="460">
        <f t="shared" si="321"/>
        <v>24108</v>
      </c>
      <c r="AX98" s="460">
        <f t="shared" ref="AX98:AX107" si="322">M98+AF98</f>
        <v>16700</v>
      </c>
      <c r="AY98" s="461">
        <f t="shared" ref="AY98:AY107" si="323">N98+AR98</f>
        <v>4.84</v>
      </c>
      <c r="AZ98" s="461">
        <f t="shared" ref="AZ98:BA107" si="324">O98+AP98</f>
        <v>4</v>
      </c>
      <c r="BA98" s="463">
        <f t="shared" si="324"/>
        <v>0.84</v>
      </c>
    </row>
    <row r="99" spans="1:53" s="229" customFormat="1" x14ac:dyDescent="0.2">
      <c r="A99" s="216">
        <v>18</v>
      </c>
      <c r="B99" s="217">
        <v>4479</v>
      </c>
      <c r="C99" s="217">
        <v>600075150</v>
      </c>
      <c r="D99" s="217">
        <v>70982228</v>
      </c>
      <c r="E99" s="215" t="s">
        <v>183</v>
      </c>
      <c r="F99" s="217">
        <v>3111</v>
      </c>
      <c r="G99" s="168" t="s">
        <v>309</v>
      </c>
      <c r="H99" s="218" t="s">
        <v>277</v>
      </c>
      <c r="I99" s="462">
        <f t="shared" si="303"/>
        <v>476497</v>
      </c>
      <c r="J99" s="457">
        <v>353484</v>
      </c>
      <c r="K99" s="457">
        <f t="shared" si="304"/>
        <v>119478</v>
      </c>
      <c r="L99" s="457">
        <f t="shared" si="305"/>
        <v>3535</v>
      </c>
      <c r="M99" s="457">
        <v>0</v>
      </c>
      <c r="N99" s="458">
        <f t="shared" si="306"/>
        <v>1</v>
      </c>
      <c r="O99" s="459">
        <v>1</v>
      </c>
      <c r="P99" s="468">
        <v>0</v>
      </c>
      <c r="Q99" s="470">
        <f t="shared" si="307"/>
        <v>0</v>
      </c>
      <c r="R99" s="460">
        <v>0</v>
      </c>
      <c r="S99" s="673">
        <v>0</v>
      </c>
      <c r="T99" s="460">
        <v>0</v>
      </c>
      <c r="U99" s="460">
        <v>0</v>
      </c>
      <c r="V99" s="460">
        <f t="shared" si="308"/>
        <v>0</v>
      </c>
      <c r="W99" s="460">
        <v>0</v>
      </c>
      <c r="X99" s="460">
        <v>0</v>
      </c>
      <c r="Y99" s="460">
        <v>0</v>
      </c>
      <c r="Z99" s="460">
        <f t="shared" si="309"/>
        <v>0</v>
      </c>
      <c r="AA99" s="460">
        <f t="shared" si="310"/>
        <v>0</v>
      </c>
      <c r="AB99" s="69">
        <f t="shared" si="311"/>
        <v>0</v>
      </c>
      <c r="AC99" s="69">
        <f t="shared" si="312"/>
        <v>0</v>
      </c>
      <c r="AD99" s="460">
        <v>0</v>
      </c>
      <c r="AE99" s="460">
        <v>0</v>
      </c>
      <c r="AF99" s="460">
        <f t="shared" si="313"/>
        <v>0</v>
      </c>
      <c r="AG99" s="460">
        <f t="shared" si="314"/>
        <v>0</v>
      </c>
      <c r="AH99" s="461">
        <v>0</v>
      </c>
      <c r="AI99" s="461">
        <v>0</v>
      </c>
      <c r="AJ99" s="461">
        <v>0</v>
      </c>
      <c r="AK99" s="461">
        <v>0</v>
      </c>
      <c r="AL99" s="674">
        <v>0</v>
      </c>
      <c r="AM99" s="461">
        <v>0</v>
      </c>
      <c r="AN99" s="461">
        <v>0</v>
      </c>
      <c r="AO99" s="461">
        <v>0</v>
      </c>
      <c r="AP99" s="461">
        <f t="shared" si="315"/>
        <v>0</v>
      </c>
      <c r="AQ99" s="461">
        <f t="shared" si="316"/>
        <v>0</v>
      </c>
      <c r="AR99" s="463">
        <f t="shared" si="317"/>
        <v>0</v>
      </c>
      <c r="AS99" s="469">
        <f t="shared" si="318"/>
        <v>476497</v>
      </c>
      <c r="AT99" s="460">
        <f t="shared" si="319"/>
        <v>353484</v>
      </c>
      <c r="AU99" s="460">
        <f t="shared" si="320"/>
        <v>0</v>
      </c>
      <c r="AV99" s="460">
        <f t="shared" si="321"/>
        <v>119478</v>
      </c>
      <c r="AW99" s="460">
        <f t="shared" si="321"/>
        <v>3535</v>
      </c>
      <c r="AX99" s="460">
        <f t="shared" si="322"/>
        <v>0</v>
      </c>
      <c r="AY99" s="461">
        <f t="shared" si="323"/>
        <v>1</v>
      </c>
      <c r="AZ99" s="461">
        <f t="shared" si="324"/>
        <v>1</v>
      </c>
      <c r="BA99" s="463">
        <f t="shared" si="324"/>
        <v>0</v>
      </c>
    </row>
    <row r="100" spans="1:53" s="229" customFormat="1" x14ac:dyDescent="0.2">
      <c r="A100" s="216">
        <v>18</v>
      </c>
      <c r="B100" s="217">
        <v>4479</v>
      </c>
      <c r="C100" s="217">
        <v>600075150</v>
      </c>
      <c r="D100" s="217">
        <v>70982228</v>
      </c>
      <c r="E100" s="215" t="s">
        <v>183</v>
      </c>
      <c r="F100" s="217">
        <v>3114</v>
      </c>
      <c r="G100" s="168" t="s">
        <v>546</v>
      </c>
      <c r="H100" s="218" t="s">
        <v>277</v>
      </c>
      <c r="I100" s="462">
        <f t="shared" si="303"/>
        <v>39687399</v>
      </c>
      <c r="J100" s="457">
        <v>29120892</v>
      </c>
      <c r="K100" s="457">
        <f>ROUND(J100*33.8%,0)+1</f>
        <v>9842862</v>
      </c>
      <c r="L100" s="457">
        <f>ROUND(J100*1%,0)+1</f>
        <v>291210</v>
      </c>
      <c r="M100" s="457">
        <v>432435</v>
      </c>
      <c r="N100" s="458">
        <f t="shared" si="306"/>
        <v>47.196199999999997</v>
      </c>
      <c r="O100" s="459">
        <v>36.726199999999999</v>
      </c>
      <c r="P100" s="468">
        <v>10.47</v>
      </c>
      <c r="Q100" s="470">
        <f t="shared" si="307"/>
        <v>0</v>
      </c>
      <c r="R100" s="460">
        <v>0</v>
      </c>
      <c r="S100" s="673">
        <v>0</v>
      </c>
      <c r="T100" s="460">
        <v>0</v>
      </c>
      <c r="U100" s="460">
        <v>39231</v>
      </c>
      <c r="V100" s="460">
        <f t="shared" si="308"/>
        <v>39231</v>
      </c>
      <c r="W100" s="460">
        <v>0</v>
      </c>
      <c r="X100" s="460">
        <v>0</v>
      </c>
      <c r="Y100" s="460">
        <v>0</v>
      </c>
      <c r="Z100" s="460">
        <f t="shared" si="309"/>
        <v>0</v>
      </c>
      <c r="AA100" s="460">
        <f t="shared" si="310"/>
        <v>39231</v>
      </c>
      <c r="AB100" s="69">
        <f t="shared" si="311"/>
        <v>13260</v>
      </c>
      <c r="AC100" s="69">
        <f t="shared" si="312"/>
        <v>392</v>
      </c>
      <c r="AD100" s="460">
        <v>0</v>
      </c>
      <c r="AE100" s="460">
        <v>0</v>
      </c>
      <c r="AF100" s="460">
        <f t="shared" si="313"/>
        <v>0</v>
      </c>
      <c r="AG100" s="460">
        <f t="shared" si="314"/>
        <v>52883</v>
      </c>
      <c r="AH100" s="461">
        <v>0</v>
      </c>
      <c r="AI100" s="461">
        <v>0</v>
      </c>
      <c r="AJ100" s="461">
        <v>0</v>
      </c>
      <c r="AK100" s="461">
        <v>0</v>
      </c>
      <c r="AL100" s="674">
        <v>0</v>
      </c>
      <c r="AM100" s="461">
        <v>0</v>
      </c>
      <c r="AN100" s="461">
        <v>0.06</v>
      </c>
      <c r="AO100" s="461">
        <v>0</v>
      </c>
      <c r="AP100" s="461">
        <f t="shared" si="315"/>
        <v>0.06</v>
      </c>
      <c r="AQ100" s="461">
        <f t="shared" si="316"/>
        <v>0</v>
      </c>
      <c r="AR100" s="463">
        <f t="shared" si="317"/>
        <v>0.06</v>
      </c>
      <c r="AS100" s="469">
        <f t="shared" si="318"/>
        <v>39740282</v>
      </c>
      <c r="AT100" s="460">
        <f t="shared" si="319"/>
        <v>29160123</v>
      </c>
      <c r="AU100" s="460">
        <f t="shared" si="320"/>
        <v>0</v>
      </c>
      <c r="AV100" s="460">
        <f t="shared" si="321"/>
        <v>9856122</v>
      </c>
      <c r="AW100" s="460">
        <f t="shared" si="321"/>
        <v>291602</v>
      </c>
      <c r="AX100" s="460">
        <f t="shared" si="322"/>
        <v>432435</v>
      </c>
      <c r="AY100" s="461">
        <f t="shared" si="323"/>
        <v>47.2562</v>
      </c>
      <c r="AZ100" s="461">
        <f t="shared" si="324"/>
        <v>36.786200000000001</v>
      </c>
      <c r="BA100" s="463">
        <f t="shared" si="324"/>
        <v>10.47</v>
      </c>
    </row>
    <row r="101" spans="1:53" s="229" customFormat="1" x14ac:dyDescent="0.2">
      <c r="A101" s="216">
        <v>18</v>
      </c>
      <c r="B101" s="217">
        <v>4479</v>
      </c>
      <c r="C101" s="217">
        <v>600075150</v>
      </c>
      <c r="D101" s="217">
        <v>70982228</v>
      </c>
      <c r="E101" s="215" t="s">
        <v>183</v>
      </c>
      <c r="F101" s="217">
        <v>3114</v>
      </c>
      <c r="G101" s="168" t="s">
        <v>309</v>
      </c>
      <c r="H101" s="218" t="s">
        <v>277</v>
      </c>
      <c r="I101" s="462">
        <f t="shared" si="303"/>
        <v>10724313</v>
      </c>
      <c r="J101" s="457">
        <v>7955722</v>
      </c>
      <c r="K101" s="457">
        <f t="shared" si="304"/>
        <v>2689034</v>
      </c>
      <c r="L101" s="457">
        <f t="shared" si="305"/>
        <v>79557</v>
      </c>
      <c r="M101" s="457">
        <v>0</v>
      </c>
      <c r="N101" s="458">
        <f t="shared" si="306"/>
        <v>21.374400000000001</v>
      </c>
      <c r="O101" s="459">
        <v>21.374400000000001</v>
      </c>
      <c r="P101" s="468">
        <v>0</v>
      </c>
      <c r="Q101" s="470">
        <f t="shared" si="307"/>
        <v>0</v>
      </c>
      <c r="R101" s="460">
        <v>0</v>
      </c>
      <c r="S101" s="673">
        <v>0</v>
      </c>
      <c r="T101" s="460">
        <v>0</v>
      </c>
      <c r="U101" s="460">
        <v>0</v>
      </c>
      <c r="V101" s="460">
        <f t="shared" si="308"/>
        <v>0</v>
      </c>
      <c r="W101" s="460">
        <v>0</v>
      </c>
      <c r="X101" s="460">
        <v>0</v>
      </c>
      <c r="Y101" s="460">
        <v>0</v>
      </c>
      <c r="Z101" s="460">
        <f t="shared" si="309"/>
        <v>0</v>
      </c>
      <c r="AA101" s="460">
        <f t="shared" si="310"/>
        <v>0</v>
      </c>
      <c r="AB101" s="69">
        <f t="shared" si="311"/>
        <v>0</v>
      </c>
      <c r="AC101" s="69">
        <f t="shared" si="312"/>
        <v>0</v>
      </c>
      <c r="AD101" s="460">
        <v>0</v>
      </c>
      <c r="AE101" s="460">
        <v>0</v>
      </c>
      <c r="AF101" s="460">
        <f t="shared" si="313"/>
        <v>0</v>
      </c>
      <c r="AG101" s="460">
        <f t="shared" si="314"/>
        <v>0</v>
      </c>
      <c r="AH101" s="461">
        <v>0</v>
      </c>
      <c r="AI101" s="461">
        <v>0</v>
      </c>
      <c r="AJ101" s="461">
        <v>0</v>
      </c>
      <c r="AK101" s="461">
        <v>0</v>
      </c>
      <c r="AL101" s="674">
        <v>0</v>
      </c>
      <c r="AM101" s="461">
        <v>0</v>
      </c>
      <c r="AN101" s="461">
        <v>0</v>
      </c>
      <c r="AO101" s="461">
        <v>0</v>
      </c>
      <c r="AP101" s="461">
        <f t="shared" si="315"/>
        <v>0</v>
      </c>
      <c r="AQ101" s="461">
        <f t="shared" si="316"/>
        <v>0</v>
      </c>
      <c r="AR101" s="463">
        <f t="shared" si="317"/>
        <v>0</v>
      </c>
      <c r="AS101" s="469">
        <f t="shared" si="318"/>
        <v>10724313</v>
      </c>
      <c r="AT101" s="460">
        <f t="shared" si="319"/>
        <v>7955722</v>
      </c>
      <c r="AU101" s="460">
        <f t="shared" si="320"/>
        <v>0</v>
      </c>
      <c r="AV101" s="460">
        <f t="shared" si="321"/>
        <v>2689034</v>
      </c>
      <c r="AW101" s="460">
        <f t="shared" si="321"/>
        <v>79557</v>
      </c>
      <c r="AX101" s="460">
        <f t="shared" si="322"/>
        <v>0</v>
      </c>
      <c r="AY101" s="461">
        <f t="shared" si="323"/>
        <v>21.374400000000001</v>
      </c>
      <c r="AZ101" s="461">
        <f t="shared" si="324"/>
        <v>21.374400000000001</v>
      </c>
      <c r="BA101" s="463">
        <f t="shared" si="324"/>
        <v>0</v>
      </c>
    </row>
    <row r="102" spans="1:53" s="229" customFormat="1" x14ac:dyDescent="0.2">
      <c r="A102" s="216">
        <v>18</v>
      </c>
      <c r="B102" s="217">
        <v>4479</v>
      </c>
      <c r="C102" s="217">
        <v>600075150</v>
      </c>
      <c r="D102" s="217">
        <v>70982228</v>
      </c>
      <c r="E102" s="215" t="s">
        <v>183</v>
      </c>
      <c r="F102" s="217">
        <v>3124</v>
      </c>
      <c r="G102" s="168" t="s">
        <v>316</v>
      </c>
      <c r="H102" s="218" t="s">
        <v>277</v>
      </c>
      <c r="I102" s="462">
        <f t="shared" si="303"/>
        <v>3579876</v>
      </c>
      <c r="J102" s="457">
        <v>2639137</v>
      </c>
      <c r="K102" s="457">
        <f t="shared" si="304"/>
        <v>892028</v>
      </c>
      <c r="L102" s="457">
        <f t="shared" si="305"/>
        <v>26391</v>
      </c>
      <c r="M102" s="457">
        <v>22320</v>
      </c>
      <c r="N102" s="458">
        <f t="shared" si="306"/>
        <v>4.0285000000000002</v>
      </c>
      <c r="O102" s="459">
        <v>3.4285000000000001</v>
      </c>
      <c r="P102" s="468">
        <v>0.6</v>
      </c>
      <c r="Q102" s="470">
        <f t="shared" si="307"/>
        <v>0</v>
      </c>
      <c r="R102" s="460">
        <v>0</v>
      </c>
      <c r="S102" s="673">
        <v>0</v>
      </c>
      <c r="T102" s="460">
        <v>0</v>
      </c>
      <c r="U102" s="460">
        <v>0</v>
      </c>
      <c r="V102" s="460">
        <f t="shared" si="308"/>
        <v>0</v>
      </c>
      <c r="W102" s="460">
        <v>0</v>
      </c>
      <c r="X102" s="460">
        <v>0</v>
      </c>
      <c r="Y102" s="460">
        <v>0</v>
      </c>
      <c r="Z102" s="460">
        <f t="shared" si="309"/>
        <v>0</v>
      </c>
      <c r="AA102" s="460">
        <f t="shared" si="310"/>
        <v>0</v>
      </c>
      <c r="AB102" s="69">
        <f t="shared" si="311"/>
        <v>0</v>
      </c>
      <c r="AC102" s="69">
        <f t="shared" si="312"/>
        <v>0</v>
      </c>
      <c r="AD102" s="460">
        <v>0</v>
      </c>
      <c r="AE102" s="460">
        <v>0</v>
      </c>
      <c r="AF102" s="460">
        <f t="shared" si="313"/>
        <v>0</v>
      </c>
      <c r="AG102" s="460">
        <f t="shared" si="314"/>
        <v>0</v>
      </c>
      <c r="AH102" s="461">
        <v>0</v>
      </c>
      <c r="AI102" s="461">
        <v>0</v>
      </c>
      <c r="AJ102" s="461">
        <v>0</v>
      </c>
      <c r="AK102" s="461">
        <v>0</v>
      </c>
      <c r="AL102" s="674">
        <v>0</v>
      </c>
      <c r="AM102" s="461">
        <v>0</v>
      </c>
      <c r="AN102" s="461">
        <v>0</v>
      </c>
      <c r="AO102" s="461">
        <v>0</v>
      </c>
      <c r="AP102" s="461">
        <f t="shared" si="315"/>
        <v>0</v>
      </c>
      <c r="AQ102" s="461">
        <f t="shared" si="316"/>
        <v>0</v>
      </c>
      <c r="AR102" s="463">
        <f t="shared" si="317"/>
        <v>0</v>
      </c>
      <c r="AS102" s="469">
        <f t="shared" si="318"/>
        <v>3579876</v>
      </c>
      <c r="AT102" s="460">
        <f t="shared" si="319"/>
        <v>2639137</v>
      </c>
      <c r="AU102" s="460">
        <f t="shared" si="320"/>
        <v>0</v>
      </c>
      <c r="AV102" s="460">
        <f t="shared" si="321"/>
        <v>892028</v>
      </c>
      <c r="AW102" s="460">
        <f t="shared" si="321"/>
        <v>26391</v>
      </c>
      <c r="AX102" s="460">
        <f t="shared" si="322"/>
        <v>22320</v>
      </c>
      <c r="AY102" s="461">
        <f t="shared" si="323"/>
        <v>4.0285000000000002</v>
      </c>
      <c r="AZ102" s="461">
        <f t="shared" si="324"/>
        <v>3.4285000000000001</v>
      </c>
      <c r="BA102" s="463">
        <f t="shared" si="324"/>
        <v>0.6</v>
      </c>
    </row>
    <row r="103" spans="1:53" s="229" customFormat="1" x14ac:dyDescent="0.2">
      <c r="A103" s="216">
        <v>18</v>
      </c>
      <c r="B103" s="217">
        <v>4479</v>
      </c>
      <c r="C103" s="217">
        <v>600075150</v>
      </c>
      <c r="D103" s="217">
        <v>70982228</v>
      </c>
      <c r="E103" s="215" t="s">
        <v>183</v>
      </c>
      <c r="F103" s="217">
        <v>3124</v>
      </c>
      <c r="G103" s="168" t="s">
        <v>317</v>
      </c>
      <c r="H103" s="218" t="s">
        <v>277</v>
      </c>
      <c r="I103" s="462">
        <f t="shared" si="303"/>
        <v>724160</v>
      </c>
      <c r="J103" s="457">
        <v>537211</v>
      </c>
      <c r="K103" s="457">
        <f t="shared" si="304"/>
        <v>181577</v>
      </c>
      <c r="L103" s="457">
        <f t="shared" si="305"/>
        <v>5372</v>
      </c>
      <c r="M103" s="457">
        <v>0</v>
      </c>
      <c r="N103" s="458">
        <f t="shared" si="306"/>
        <v>1.7777000000000001</v>
      </c>
      <c r="O103" s="459">
        <v>1.7777000000000001</v>
      </c>
      <c r="P103" s="468">
        <v>0</v>
      </c>
      <c r="Q103" s="470">
        <f t="shared" si="307"/>
        <v>0</v>
      </c>
      <c r="R103" s="460">
        <v>0</v>
      </c>
      <c r="S103" s="673">
        <v>0</v>
      </c>
      <c r="T103" s="460">
        <v>0</v>
      </c>
      <c r="U103" s="460">
        <v>0</v>
      </c>
      <c r="V103" s="460">
        <f t="shared" si="308"/>
        <v>0</v>
      </c>
      <c r="W103" s="460">
        <v>0</v>
      </c>
      <c r="X103" s="460">
        <v>0</v>
      </c>
      <c r="Y103" s="460">
        <v>0</v>
      </c>
      <c r="Z103" s="460">
        <f t="shared" si="309"/>
        <v>0</v>
      </c>
      <c r="AA103" s="460">
        <f t="shared" si="310"/>
        <v>0</v>
      </c>
      <c r="AB103" s="69">
        <f t="shared" si="311"/>
        <v>0</v>
      </c>
      <c r="AC103" s="69">
        <f t="shared" si="312"/>
        <v>0</v>
      </c>
      <c r="AD103" s="460">
        <v>0</v>
      </c>
      <c r="AE103" s="460">
        <v>0</v>
      </c>
      <c r="AF103" s="460">
        <f t="shared" si="313"/>
        <v>0</v>
      </c>
      <c r="AG103" s="460">
        <f t="shared" si="314"/>
        <v>0</v>
      </c>
      <c r="AH103" s="461">
        <v>0</v>
      </c>
      <c r="AI103" s="461">
        <v>0</v>
      </c>
      <c r="AJ103" s="461">
        <v>0</v>
      </c>
      <c r="AK103" s="461">
        <v>0</v>
      </c>
      <c r="AL103" s="674">
        <v>0</v>
      </c>
      <c r="AM103" s="461">
        <v>0</v>
      </c>
      <c r="AN103" s="461">
        <v>0</v>
      </c>
      <c r="AO103" s="461">
        <v>0</v>
      </c>
      <c r="AP103" s="461">
        <f t="shared" si="315"/>
        <v>0</v>
      </c>
      <c r="AQ103" s="461">
        <f t="shared" si="316"/>
        <v>0</v>
      </c>
      <c r="AR103" s="463">
        <f t="shared" si="317"/>
        <v>0</v>
      </c>
      <c r="AS103" s="469">
        <f t="shared" si="318"/>
        <v>724160</v>
      </c>
      <c r="AT103" s="460">
        <f t="shared" si="319"/>
        <v>537211</v>
      </c>
      <c r="AU103" s="460">
        <f t="shared" si="320"/>
        <v>0</v>
      </c>
      <c r="AV103" s="460">
        <f t="shared" si="321"/>
        <v>181577</v>
      </c>
      <c r="AW103" s="460">
        <f t="shared" si="321"/>
        <v>5372</v>
      </c>
      <c r="AX103" s="460">
        <f t="shared" si="322"/>
        <v>0</v>
      </c>
      <c r="AY103" s="461">
        <f t="shared" si="323"/>
        <v>1.7777000000000001</v>
      </c>
      <c r="AZ103" s="461">
        <f t="shared" si="324"/>
        <v>1.7777000000000001</v>
      </c>
      <c r="BA103" s="463">
        <f t="shared" si="324"/>
        <v>0</v>
      </c>
    </row>
    <row r="104" spans="1:53" s="229" customFormat="1" x14ac:dyDescent="0.2">
      <c r="A104" s="216">
        <v>18</v>
      </c>
      <c r="B104" s="217">
        <v>4479</v>
      </c>
      <c r="C104" s="217">
        <v>600075150</v>
      </c>
      <c r="D104" s="217">
        <v>70982228</v>
      </c>
      <c r="E104" s="210" t="s">
        <v>183</v>
      </c>
      <c r="F104" s="217">
        <v>3141</v>
      </c>
      <c r="G104" s="168" t="s">
        <v>311</v>
      </c>
      <c r="H104" s="218" t="s">
        <v>278</v>
      </c>
      <c r="I104" s="462">
        <f t="shared" si="303"/>
        <v>1618882</v>
      </c>
      <c r="J104" s="457">
        <v>1194372</v>
      </c>
      <c r="K104" s="457">
        <f t="shared" si="304"/>
        <v>403698</v>
      </c>
      <c r="L104" s="457">
        <f t="shared" si="305"/>
        <v>11944</v>
      </c>
      <c r="M104" s="457">
        <v>8868</v>
      </c>
      <c r="N104" s="458">
        <f t="shared" si="306"/>
        <v>3.84</v>
      </c>
      <c r="O104" s="459">
        <v>0</v>
      </c>
      <c r="P104" s="468">
        <v>3.84</v>
      </c>
      <c r="Q104" s="470">
        <f t="shared" si="307"/>
        <v>0</v>
      </c>
      <c r="R104" s="460">
        <v>0</v>
      </c>
      <c r="S104" s="673">
        <v>0</v>
      </c>
      <c r="T104" s="460">
        <v>0</v>
      </c>
      <c r="U104" s="460">
        <v>0</v>
      </c>
      <c r="V104" s="460">
        <f t="shared" si="308"/>
        <v>0</v>
      </c>
      <c r="W104" s="460">
        <v>0</v>
      </c>
      <c r="X104" s="460">
        <v>0</v>
      </c>
      <c r="Y104" s="460">
        <v>0</v>
      </c>
      <c r="Z104" s="460">
        <f t="shared" si="309"/>
        <v>0</v>
      </c>
      <c r="AA104" s="460">
        <f t="shared" si="310"/>
        <v>0</v>
      </c>
      <c r="AB104" s="69">
        <f t="shared" si="311"/>
        <v>0</v>
      </c>
      <c r="AC104" s="69">
        <f t="shared" si="312"/>
        <v>0</v>
      </c>
      <c r="AD104" s="460">
        <v>0</v>
      </c>
      <c r="AE104" s="460">
        <v>0</v>
      </c>
      <c r="AF104" s="460">
        <f t="shared" si="313"/>
        <v>0</v>
      </c>
      <c r="AG104" s="460">
        <f t="shared" si="314"/>
        <v>0</v>
      </c>
      <c r="AH104" s="461">
        <v>0</v>
      </c>
      <c r="AI104" s="461">
        <v>0</v>
      </c>
      <c r="AJ104" s="461">
        <v>0</v>
      </c>
      <c r="AK104" s="461">
        <v>0</v>
      </c>
      <c r="AL104" s="674">
        <v>0</v>
      </c>
      <c r="AM104" s="461">
        <v>0</v>
      </c>
      <c r="AN104" s="461">
        <v>0</v>
      </c>
      <c r="AO104" s="461">
        <v>0</v>
      </c>
      <c r="AP104" s="461">
        <f t="shared" si="315"/>
        <v>0</v>
      </c>
      <c r="AQ104" s="461">
        <f t="shared" si="316"/>
        <v>0</v>
      </c>
      <c r="AR104" s="463">
        <f t="shared" si="317"/>
        <v>0</v>
      </c>
      <c r="AS104" s="469">
        <f t="shared" si="318"/>
        <v>1618882</v>
      </c>
      <c r="AT104" s="460">
        <f t="shared" si="319"/>
        <v>1194372</v>
      </c>
      <c r="AU104" s="460">
        <f t="shared" si="320"/>
        <v>0</v>
      </c>
      <c r="AV104" s="460">
        <f t="shared" si="321"/>
        <v>403698</v>
      </c>
      <c r="AW104" s="460">
        <f t="shared" si="321"/>
        <v>11944</v>
      </c>
      <c r="AX104" s="460">
        <f t="shared" si="322"/>
        <v>8868</v>
      </c>
      <c r="AY104" s="461">
        <f t="shared" si="323"/>
        <v>3.84</v>
      </c>
      <c r="AZ104" s="461">
        <f t="shared" si="324"/>
        <v>0</v>
      </c>
      <c r="BA104" s="463">
        <f t="shared" si="324"/>
        <v>3.84</v>
      </c>
    </row>
    <row r="105" spans="1:53" s="229" customFormat="1" x14ac:dyDescent="0.2">
      <c r="A105" s="216">
        <v>18</v>
      </c>
      <c r="B105" s="217">
        <v>4479</v>
      </c>
      <c r="C105" s="217">
        <v>600075150</v>
      </c>
      <c r="D105" s="217">
        <v>70982228</v>
      </c>
      <c r="E105" s="215" t="s">
        <v>183</v>
      </c>
      <c r="F105" s="217">
        <v>3143</v>
      </c>
      <c r="G105" s="168" t="s">
        <v>616</v>
      </c>
      <c r="H105" s="234" t="s">
        <v>277</v>
      </c>
      <c r="I105" s="462">
        <f t="shared" si="303"/>
        <v>2261050</v>
      </c>
      <c r="J105" s="457">
        <v>1677337</v>
      </c>
      <c r="K105" s="457">
        <f t="shared" si="304"/>
        <v>566940</v>
      </c>
      <c r="L105" s="457">
        <f t="shared" si="305"/>
        <v>16773</v>
      </c>
      <c r="M105" s="457">
        <v>0</v>
      </c>
      <c r="N105" s="458">
        <f t="shared" si="306"/>
        <v>3.5535999999999999</v>
      </c>
      <c r="O105" s="459">
        <v>3.5535999999999999</v>
      </c>
      <c r="P105" s="468">
        <v>0</v>
      </c>
      <c r="Q105" s="470">
        <f t="shared" si="307"/>
        <v>0</v>
      </c>
      <c r="R105" s="460">
        <v>0</v>
      </c>
      <c r="S105" s="673">
        <v>0</v>
      </c>
      <c r="T105" s="460">
        <v>0</v>
      </c>
      <c r="U105" s="460">
        <v>0</v>
      </c>
      <c r="V105" s="460">
        <f t="shared" si="308"/>
        <v>0</v>
      </c>
      <c r="W105" s="460">
        <v>0</v>
      </c>
      <c r="X105" s="460">
        <v>0</v>
      </c>
      <c r="Y105" s="460">
        <v>0</v>
      </c>
      <c r="Z105" s="460">
        <f t="shared" si="309"/>
        <v>0</v>
      </c>
      <c r="AA105" s="460">
        <f t="shared" si="310"/>
        <v>0</v>
      </c>
      <c r="AB105" s="69">
        <f t="shared" si="311"/>
        <v>0</v>
      </c>
      <c r="AC105" s="69">
        <f t="shared" si="312"/>
        <v>0</v>
      </c>
      <c r="AD105" s="460">
        <v>0</v>
      </c>
      <c r="AE105" s="460">
        <v>0</v>
      </c>
      <c r="AF105" s="460">
        <f t="shared" si="313"/>
        <v>0</v>
      </c>
      <c r="AG105" s="460">
        <f t="shared" si="314"/>
        <v>0</v>
      </c>
      <c r="AH105" s="461">
        <v>0</v>
      </c>
      <c r="AI105" s="461">
        <v>0</v>
      </c>
      <c r="AJ105" s="461">
        <v>0</v>
      </c>
      <c r="AK105" s="461">
        <v>0</v>
      </c>
      <c r="AL105" s="674">
        <v>0</v>
      </c>
      <c r="AM105" s="461">
        <v>0</v>
      </c>
      <c r="AN105" s="461">
        <v>0</v>
      </c>
      <c r="AO105" s="461">
        <v>0</v>
      </c>
      <c r="AP105" s="461">
        <f t="shared" si="315"/>
        <v>0</v>
      </c>
      <c r="AQ105" s="461">
        <f t="shared" si="316"/>
        <v>0</v>
      </c>
      <c r="AR105" s="463">
        <f t="shared" si="317"/>
        <v>0</v>
      </c>
      <c r="AS105" s="469">
        <f t="shared" si="318"/>
        <v>2261050</v>
      </c>
      <c r="AT105" s="460">
        <f t="shared" si="319"/>
        <v>1677337</v>
      </c>
      <c r="AU105" s="460">
        <f t="shared" si="320"/>
        <v>0</v>
      </c>
      <c r="AV105" s="460">
        <f t="shared" si="321"/>
        <v>566940</v>
      </c>
      <c r="AW105" s="460">
        <f t="shared" si="321"/>
        <v>16773</v>
      </c>
      <c r="AX105" s="460">
        <f t="shared" si="322"/>
        <v>0</v>
      </c>
      <c r="AY105" s="461">
        <f t="shared" si="323"/>
        <v>3.5535999999999999</v>
      </c>
      <c r="AZ105" s="461">
        <f t="shared" si="324"/>
        <v>3.5535999999999999</v>
      </c>
      <c r="BA105" s="463">
        <f t="shared" si="324"/>
        <v>0</v>
      </c>
    </row>
    <row r="106" spans="1:53" s="229" customFormat="1" x14ac:dyDescent="0.2">
      <c r="A106" s="216">
        <v>18</v>
      </c>
      <c r="B106" s="217">
        <v>4479</v>
      </c>
      <c r="C106" s="217">
        <v>600075150</v>
      </c>
      <c r="D106" s="217">
        <v>70982228</v>
      </c>
      <c r="E106" s="215" t="s">
        <v>183</v>
      </c>
      <c r="F106" s="217">
        <v>3143</v>
      </c>
      <c r="G106" s="168" t="s">
        <v>617</v>
      </c>
      <c r="H106" s="234" t="s">
        <v>278</v>
      </c>
      <c r="I106" s="462">
        <f t="shared" si="303"/>
        <v>29319</v>
      </c>
      <c r="J106" s="457">
        <v>20949</v>
      </c>
      <c r="K106" s="457">
        <f t="shared" si="304"/>
        <v>7081</v>
      </c>
      <c r="L106" s="457">
        <f t="shared" si="305"/>
        <v>209</v>
      </c>
      <c r="M106" s="457">
        <v>1080</v>
      </c>
      <c r="N106" s="458">
        <f t="shared" si="306"/>
        <v>0.08</v>
      </c>
      <c r="O106" s="459">
        <v>0</v>
      </c>
      <c r="P106" s="468">
        <v>0.08</v>
      </c>
      <c r="Q106" s="470">
        <f t="shared" si="307"/>
        <v>0</v>
      </c>
      <c r="R106" s="460">
        <v>0</v>
      </c>
      <c r="S106" s="673">
        <v>0</v>
      </c>
      <c r="T106" s="460">
        <v>0</v>
      </c>
      <c r="U106" s="460">
        <v>0</v>
      </c>
      <c r="V106" s="460">
        <f t="shared" si="308"/>
        <v>0</v>
      </c>
      <c r="W106" s="460">
        <v>0</v>
      </c>
      <c r="X106" s="460">
        <v>0</v>
      </c>
      <c r="Y106" s="460">
        <v>0</v>
      </c>
      <c r="Z106" s="460">
        <f t="shared" si="309"/>
        <v>0</v>
      </c>
      <c r="AA106" s="460">
        <f t="shared" si="310"/>
        <v>0</v>
      </c>
      <c r="AB106" s="69">
        <f t="shared" si="311"/>
        <v>0</v>
      </c>
      <c r="AC106" s="69">
        <f t="shared" si="312"/>
        <v>0</v>
      </c>
      <c r="AD106" s="460">
        <v>0</v>
      </c>
      <c r="AE106" s="460">
        <v>0</v>
      </c>
      <c r="AF106" s="460">
        <f t="shared" si="313"/>
        <v>0</v>
      </c>
      <c r="AG106" s="460">
        <f t="shared" si="314"/>
        <v>0</v>
      </c>
      <c r="AH106" s="461">
        <v>0</v>
      </c>
      <c r="AI106" s="461">
        <v>0</v>
      </c>
      <c r="AJ106" s="461">
        <v>0</v>
      </c>
      <c r="AK106" s="461">
        <v>0</v>
      </c>
      <c r="AL106" s="674">
        <v>0</v>
      </c>
      <c r="AM106" s="461">
        <v>0</v>
      </c>
      <c r="AN106" s="461">
        <v>0</v>
      </c>
      <c r="AO106" s="461">
        <v>0</v>
      </c>
      <c r="AP106" s="461">
        <f t="shared" si="315"/>
        <v>0</v>
      </c>
      <c r="AQ106" s="461">
        <f t="shared" si="316"/>
        <v>0</v>
      </c>
      <c r="AR106" s="463">
        <f t="shared" si="317"/>
        <v>0</v>
      </c>
      <c r="AS106" s="469">
        <f t="shared" si="318"/>
        <v>29319</v>
      </c>
      <c r="AT106" s="460">
        <f t="shared" si="319"/>
        <v>20949</v>
      </c>
      <c r="AU106" s="460">
        <f t="shared" si="320"/>
        <v>0</v>
      </c>
      <c r="AV106" s="460">
        <f t="shared" si="321"/>
        <v>7081</v>
      </c>
      <c r="AW106" s="460">
        <f t="shared" si="321"/>
        <v>209</v>
      </c>
      <c r="AX106" s="460">
        <f t="shared" si="322"/>
        <v>1080</v>
      </c>
      <c r="AY106" s="461">
        <f t="shared" si="323"/>
        <v>0.08</v>
      </c>
      <c r="AZ106" s="461">
        <f t="shared" si="324"/>
        <v>0</v>
      </c>
      <c r="BA106" s="463">
        <f t="shared" si="324"/>
        <v>0.08</v>
      </c>
    </row>
    <row r="107" spans="1:53" s="229" customFormat="1" x14ac:dyDescent="0.2">
      <c r="A107" s="216">
        <v>18</v>
      </c>
      <c r="B107" s="217">
        <v>4479</v>
      </c>
      <c r="C107" s="217">
        <v>600075150</v>
      </c>
      <c r="D107" s="217">
        <v>70982228</v>
      </c>
      <c r="E107" s="215" t="s">
        <v>183</v>
      </c>
      <c r="F107" s="217">
        <v>3143</v>
      </c>
      <c r="G107" s="168" t="s">
        <v>313</v>
      </c>
      <c r="H107" s="234" t="s">
        <v>278</v>
      </c>
      <c r="I107" s="462">
        <f t="shared" si="303"/>
        <v>161401</v>
      </c>
      <c r="J107" s="457">
        <v>119560</v>
      </c>
      <c r="K107" s="457">
        <f t="shared" si="304"/>
        <v>40411</v>
      </c>
      <c r="L107" s="457">
        <f t="shared" si="305"/>
        <v>1196</v>
      </c>
      <c r="M107" s="457">
        <v>234</v>
      </c>
      <c r="N107" s="458">
        <f t="shared" si="306"/>
        <v>0.27</v>
      </c>
      <c r="O107" s="459">
        <v>0.24</v>
      </c>
      <c r="P107" s="468">
        <v>0.03</v>
      </c>
      <c r="Q107" s="470">
        <f t="shared" si="307"/>
        <v>0</v>
      </c>
      <c r="R107" s="460">
        <v>0</v>
      </c>
      <c r="S107" s="673">
        <v>0</v>
      </c>
      <c r="T107" s="460">
        <v>0</v>
      </c>
      <c r="U107" s="460">
        <v>0</v>
      </c>
      <c r="V107" s="460">
        <f t="shared" si="308"/>
        <v>0</v>
      </c>
      <c r="W107" s="460">
        <v>0</v>
      </c>
      <c r="X107" s="460">
        <v>0</v>
      </c>
      <c r="Y107" s="460">
        <v>0</v>
      </c>
      <c r="Z107" s="460">
        <f t="shared" si="309"/>
        <v>0</v>
      </c>
      <c r="AA107" s="460">
        <f t="shared" si="310"/>
        <v>0</v>
      </c>
      <c r="AB107" s="69">
        <f t="shared" si="311"/>
        <v>0</v>
      </c>
      <c r="AC107" s="69">
        <f t="shared" si="312"/>
        <v>0</v>
      </c>
      <c r="AD107" s="460">
        <v>0</v>
      </c>
      <c r="AE107" s="460">
        <v>0</v>
      </c>
      <c r="AF107" s="460">
        <f t="shared" si="313"/>
        <v>0</v>
      </c>
      <c r="AG107" s="460">
        <f t="shared" si="314"/>
        <v>0</v>
      </c>
      <c r="AH107" s="461">
        <v>0</v>
      </c>
      <c r="AI107" s="461">
        <v>0</v>
      </c>
      <c r="AJ107" s="461">
        <v>0</v>
      </c>
      <c r="AK107" s="461">
        <v>0</v>
      </c>
      <c r="AL107" s="674">
        <v>0</v>
      </c>
      <c r="AM107" s="461">
        <v>0</v>
      </c>
      <c r="AN107" s="461">
        <v>0</v>
      </c>
      <c r="AO107" s="461">
        <v>0</v>
      </c>
      <c r="AP107" s="461">
        <f t="shared" si="315"/>
        <v>0</v>
      </c>
      <c r="AQ107" s="461">
        <f t="shared" si="316"/>
        <v>0</v>
      </c>
      <c r="AR107" s="463">
        <f t="shared" si="317"/>
        <v>0</v>
      </c>
      <c r="AS107" s="469">
        <f t="shared" si="318"/>
        <v>161401</v>
      </c>
      <c r="AT107" s="460">
        <f t="shared" si="319"/>
        <v>119560</v>
      </c>
      <c r="AU107" s="460">
        <f t="shared" si="320"/>
        <v>0</v>
      </c>
      <c r="AV107" s="460">
        <f t="shared" si="321"/>
        <v>40411</v>
      </c>
      <c r="AW107" s="460">
        <f t="shared" si="321"/>
        <v>1196</v>
      </c>
      <c r="AX107" s="460">
        <f t="shared" si="322"/>
        <v>234</v>
      </c>
      <c r="AY107" s="461">
        <f t="shared" si="323"/>
        <v>0.27</v>
      </c>
      <c r="AZ107" s="461">
        <f t="shared" si="324"/>
        <v>0.24</v>
      </c>
      <c r="BA107" s="463">
        <f t="shared" si="324"/>
        <v>0.03</v>
      </c>
    </row>
    <row r="108" spans="1:53" s="229" customFormat="1" x14ac:dyDescent="0.2">
      <c r="A108" s="158">
        <v>18</v>
      </c>
      <c r="B108" s="18">
        <v>4479</v>
      </c>
      <c r="C108" s="18">
        <v>600075150</v>
      </c>
      <c r="D108" s="18">
        <v>70982228</v>
      </c>
      <c r="E108" s="167" t="s">
        <v>184</v>
      </c>
      <c r="F108" s="18"/>
      <c r="G108" s="157"/>
      <c r="H108" s="191"/>
      <c r="I108" s="505">
        <f>SUM(I98:I107)</f>
        <v>62529418</v>
      </c>
      <c r="J108" s="502">
        <f>SUM(J98:J107)</f>
        <v>46029511</v>
      </c>
      <c r="K108" s="502">
        <f t="shared" ref="K108:M108" si="325">SUM(K98:K107)</f>
        <v>15557975</v>
      </c>
      <c r="L108" s="502">
        <f t="shared" si="325"/>
        <v>460295</v>
      </c>
      <c r="M108" s="502">
        <f t="shared" si="325"/>
        <v>481637</v>
      </c>
      <c r="N108" s="503">
        <f>SUM(N98:N107)</f>
        <v>87.960399999999979</v>
      </c>
      <c r="O108" s="503">
        <f t="shared" ref="O108:BA108" si="326">SUM(O98:O107)</f>
        <v>72.100399999999993</v>
      </c>
      <c r="P108" s="503">
        <f t="shared" si="326"/>
        <v>15.86</v>
      </c>
      <c r="Q108" s="505">
        <f t="shared" si="326"/>
        <v>0</v>
      </c>
      <c r="R108" s="502">
        <f t="shared" si="326"/>
        <v>0</v>
      </c>
      <c r="S108" s="502">
        <f t="shared" si="326"/>
        <v>0</v>
      </c>
      <c r="T108" s="502">
        <f t="shared" si="326"/>
        <v>0</v>
      </c>
      <c r="U108" s="502">
        <f t="shared" si="326"/>
        <v>39231</v>
      </c>
      <c r="V108" s="502">
        <f t="shared" si="326"/>
        <v>39231</v>
      </c>
      <c r="W108" s="502">
        <f t="shared" si="326"/>
        <v>0</v>
      </c>
      <c r="X108" s="502">
        <f t="shared" si="326"/>
        <v>0</v>
      </c>
      <c r="Y108" s="502">
        <f t="shared" si="326"/>
        <v>0</v>
      </c>
      <c r="Z108" s="502">
        <f t="shared" si="326"/>
        <v>0</v>
      </c>
      <c r="AA108" s="502">
        <f t="shared" si="326"/>
        <v>39231</v>
      </c>
      <c r="AB108" s="502">
        <f t="shared" si="326"/>
        <v>13260</v>
      </c>
      <c r="AC108" s="502">
        <f t="shared" si="326"/>
        <v>392</v>
      </c>
      <c r="AD108" s="502">
        <f t="shared" si="326"/>
        <v>0</v>
      </c>
      <c r="AE108" s="502">
        <f t="shared" si="326"/>
        <v>0</v>
      </c>
      <c r="AF108" s="502">
        <f t="shared" si="326"/>
        <v>0</v>
      </c>
      <c r="AG108" s="502">
        <f t="shared" si="326"/>
        <v>52883</v>
      </c>
      <c r="AH108" s="503">
        <f t="shared" si="326"/>
        <v>0</v>
      </c>
      <c r="AI108" s="503">
        <f t="shared" si="326"/>
        <v>0</v>
      </c>
      <c r="AJ108" s="503">
        <f t="shared" si="326"/>
        <v>0</v>
      </c>
      <c r="AK108" s="503">
        <f t="shared" si="326"/>
        <v>0</v>
      </c>
      <c r="AL108" s="503">
        <f t="shared" si="326"/>
        <v>0</v>
      </c>
      <c r="AM108" s="503">
        <f t="shared" si="326"/>
        <v>0</v>
      </c>
      <c r="AN108" s="503">
        <f t="shared" si="326"/>
        <v>0.06</v>
      </c>
      <c r="AO108" s="503">
        <f t="shared" si="326"/>
        <v>0</v>
      </c>
      <c r="AP108" s="503">
        <f t="shared" si="326"/>
        <v>0.06</v>
      </c>
      <c r="AQ108" s="503">
        <f t="shared" si="326"/>
        <v>0</v>
      </c>
      <c r="AR108" s="40">
        <f t="shared" si="326"/>
        <v>0.06</v>
      </c>
      <c r="AS108" s="509">
        <f t="shared" si="326"/>
        <v>62582301</v>
      </c>
      <c r="AT108" s="502">
        <f t="shared" si="326"/>
        <v>46068742</v>
      </c>
      <c r="AU108" s="502">
        <f t="shared" si="326"/>
        <v>0</v>
      </c>
      <c r="AV108" s="502">
        <f t="shared" si="326"/>
        <v>15571235</v>
      </c>
      <c r="AW108" s="502">
        <f t="shared" si="326"/>
        <v>460687</v>
      </c>
      <c r="AX108" s="502">
        <f t="shared" si="326"/>
        <v>481637</v>
      </c>
      <c r="AY108" s="503">
        <f t="shared" si="326"/>
        <v>88.020399999999981</v>
      </c>
      <c r="AZ108" s="503">
        <f t="shared" si="326"/>
        <v>72.160399999999996</v>
      </c>
      <c r="BA108" s="40">
        <f t="shared" si="326"/>
        <v>15.86</v>
      </c>
    </row>
    <row r="109" spans="1:53" s="229" customFormat="1" x14ac:dyDescent="0.2">
      <c r="A109" s="216">
        <v>19</v>
      </c>
      <c r="B109" s="217">
        <v>4473</v>
      </c>
      <c r="C109" s="217">
        <v>600075117</v>
      </c>
      <c r="D109" s="217">
        <v>62237021</v>
      </c>
      <c r="E109" s="215" t="s">
        <v>185</v>
      </c>
      <c r="F109" s="217">
        <v>3231</v>
      </c>
      <c r="G109" s="168" t="s">
        <v>312</v>
      </c>
      <c r="H109" s="218" t="s">
        <v>277</v>
      </c>
      <c r="I109" s="462">
        <f t="shared" ref="I109" si="327">SUM(J109:M109)</f>
        <v>30770763</v>
      </c>
      <c r="J109" s="457">
        <v>22780612</v>
      </c>
      <c r="K109" s="457">
        <f t="shared" ref="K109" si="328">ROUND(J109*33.8%,0)</f>
        <v>7699847</v>
      </c>
      <c r="L109" s="457">
        <f>ROUND(J109*1%,0)</f>
        <v>227806</v>
      </c>
      <c r="M109" s="457">
        <v>62498</v>
      </c>
      <c r="N109" s="458">
        <f t="shared" ref="N109" si="329">O109+P109</f>
        <v>40.126200000000004</v>
      </c>
      <c r="O109" s="459">
        <v>36.379800000000003</v>
      </c>
      <c r="P109" s="468">
        <v>3.7464</v>
      </c>
      <c r="Q109" s="470">
        <f t="shared" ref="Q109" si="330">W109*-1</f>
        <v>0</v>
      </c>
      <c r="R109" s="460">
        <v>0</v>
      </c>
      <c r="S109" s="673">
        <v>0</v>
      </c>
      <c r="T109" s="460">
        <v>0</v>
      </c>
      <c r="U109" s="460">
        <v>0</v>
      </c>
      <c r="V109" s="460">
        <f>SUM(Q109:U109)</f>
        <v>0</v>
      </c>
      <c r="W109" s="460">
        <v>0</v>
      </c>
      <c r="X109" s="460">
        <v>0</v>
      </c>
      <c r="Y109" s="460">
        <v>0</v>
      </c>
      <c r="Z109" s="460">
        <f t="shared" ref="Z109" si="331">SUM(W109:Y109)</f>
        <v>0</v>
      </c>
      <c r="AA109" s="460">
        <f t="shared" ref="AA109" si="332">V109+Z109</f>
        <v>0</v>
      </c>
      <c r="AB109" s="69">
        <f t="shared" ref="AB109" si="333">ROUND((V109+W109+X109)*33.8%,0)</f>
        <v>0</v>
      </c>
      <c r="AC109" s="69">
        <f>ROUND(V109*1%,0)</f>
        <v>0</v>
      </c>
      <c r="AD109" s="460">
        <v>0</v>
      </c>
      <c r="AE109" s="460">
        <v>0</v>
      </c>
      <c r="AF109" s="460">
        <f t="shared" ref="AF109" si="334">SUM(AD109:AE109)</f>
        <v>0</v>
      </c>
      <c r="AG109" s="460">
        <f t="shared" ref="AG109" si="335">AA109+AB109+AC109+AF109</f>
        <v>0</v>
      </c>
      <c r="AH109" s="461">
        <v>0</v>
      </c>
      <c r="AI109" s="461">
        <v>0</v>
      </c>
      <c r="AJ109" s="461">
        <v>0</v>
      </c>
      <c r="AK109" s="461">
        <v>0</v>
      </c>
      <c r="AL109" s="674">
        <v>0</v>
      </c>
      <c r="AM109" s="461">
        <v>0</v>
      </c>
      <c r="AN109" s="461">
        <v>0</v>
      </c>
      <c r="AO109" s="461">
        <v>0</v>
      </c>
      <c r="AP109" s="461">
        <f>AH109+AJ109+AK109+AM109+AN109</f>
        <v>0</v>
      </c>
      <c r="AQ109" s="461">
        <f>AI109+AL109+AO109</f>
        <v>0</v>
      </c>
      <c r="AR109" s="463">
        <f t="shared" ref="AR109" si="336">SUM(AP109:AQ109)</f>
        <v>0</v>
      </c>
      <c r="AS109" s="469">
        <f>I109+AG109</f>
        <v>30770763</v>
      </c>
      <c r="AT109" s="460">
        <f>J109+V109</f>
        <v>22780612</v>
      </c>
      <c r="AU109" s="460">
        <f>Z109</f>
        <v>0</v>
      </c>
      <c r="AV109" s="460">
        <f>K109+AB109</f>
        <v>7699847</v>
      </c>
      <c r="AW109" s="460">
        <f>L109+AC109</f>
        <v>227806</v>
      </c>
      <c r="AX109" s="460">
        <f>M109+AF109</f>
        <v>62498</v>
      </c>
      <c r="AY109" s="461">
        <f>N109+AR109</f>
        <v>40.126200000000004</v>
      </c>
      <c r="AZ109" s="461">
        <f>O109+AP109</f>
        <v>36.379800000000003</v>
      </c>
      <c r="BA109" s="463">
        <f>P109+AQ109</f>
        <v>3.7464</v>
      </c>
    </row>
    <row r="110" spans="1:53" s="229" customFormat="1" x14ac:dyDescent="0.2">
      <c r="A110" s="158">
        <v>19</v>
      </c>
      <c r="B110" s="18">
        <v>4473</v>
      </c>
      <c r="C110" s="18">
        <v>600075117</v>
      </c>
      <c r="D110" s="18">
        <v>62237021</v>
      </c>
      <c r="E110" s="167" t="s">
        <v>186</v>
      </c>
      <c r="F110" s="18"/>
      <c r="G110" s="157"/>
      <c r="H110" s="191"/>
      <c r="I110" s="505">
        <f t="shared" ref="I110:BA110" si="337">SUM(I109)</f>
        <v>30770763</v>
      </c>
      <c r="J110" s="502">
        <f t="shared" si="337"/>
        <v>22780612</v>
      </c>
      <c r="K110" s="502">
        <f t="shared" si="337"/>
        <v>7699847</v>
      </c>
      <c r="L110" s="502">
        <f t="shared" si="337"/>
        <v>227806</v>
      </c>
      <c r="M110" s="502">
        <f t="shared" si="337"/>
        <v>62498</v>
      </c>
      <c r="N110" s="503">
        <f t="shared" si="337"/>
        <v>40.126200000000004</v>
      </c>
      <c r="O110" s="503">
        <f t="shared" si="337"/>
        <v>36.379800000000003</v>
      </c>
      <c r="P110" s="507">
        <f t="shared" si="337"/>
        <v>3.7464</v>
      </c>
      <c r="Q110" s="505">
        <f t="shared" si="337"/>
        <v>0</v>
      </c>
      <c r="R110" s="502">
        <f t="shared" si="337"/>
        <v>0</v>
      </c>
      <c r="S110" s="502">
        <f t="shared" si="337"/>
        <v>0</v>
      </c>
      <c r="T110" s="502">
        <f t="shared" si="337"/>
        <v>0</v>
      </c>
      <c r="U110" s="502">
        <f t="shared" si="337"/>
        <v>0</v>
      </c>
      <c r="V110" s="502">
        <f t="shared" si="337"/>
        <v>0</v>
      </c>
      <c r="W110" s="502">
        <f t="shared" si="337"/>
        <v>0</v>
      </c>
      <c r="X110" s="502">
        <f t="shared" si="337"/>
        <v>0</v>
      </c>
      <c r="Y110" s="502">
        <f t="shared" si="337"/>
        <v>0</v>
      </c>
      <c r="Z110" s="502">
        <f t="shared" si="337"/>
        <v>0</v>
      </c>
      <c r="AA110" s="502">
        <f t="shared" si="337"/>
        <v>0</v>
      </c>
      <c r="AB110" s="502">
        <f t="shared" si="337"/>
        <v>0</v>
      </c>
      <c r="AC110" s="502">
        <f t="shared" si="337"/>
        <v>0</v>
      </c>
      <c r="AD110" s="502">
        <f t="shared" si="337"/>
        <v>0</v>
      </c>
      <c r="AE110" s="502">
        <f t="shared" si="337"/>
        <v>0</v>
      </c>
      <c r="AF110" s="502">
        <f t="shared" si="337"/>
        <v>0</v>
      </c>
      <c r="AG110" s="502">
        <f t="shared" si="337"/>
        <v>0</v>
      </c>
      <c r="AH110" s="503">
        <f t="shared" si="337"/>
        <v>0</v>
      </c>
      <c r="AI110" s="503">
        <f t="shared" si="337"/>
        <v>0</v>
      </c>
      <c r="AJ110" s="503">
        <f t="shared" si="337"/>
        <v>0</v>
      </c>
      <c r="AK110" s="503">
        <f t="shared" si="337"/>
        <v>0</v>
      </c>
      <c r="AL110" s="503">
        <f t="shared" si="337"/>
        <v>0</v>
      </c>
      <c r="AM110" s="503">
        <f t="shared" si="337"/>
        <v>0</v>
      </c>
      <c r="AN110" s="503">
        <f t="shared" si="337"/>
        <v>0</v>
      </c>
      <c r="AO110" s="503">
        <f t="shared" si="337"/>
        <v>0</v>
      </c>
      <c r="AP110" s="503">
        <f t="shared" si="337"/>
        <v>0</v>
      </c>
      <c r="AQ110" s="503">
        <f t="shared" si="337"/>
        <v>0</v>
      </c>
      <c r="AR110" s="40">
        <f t="shared" si="337"/>
        <v>0</v>
      </c>
      <c r="AS110" s="509">
        <f t="shared" si="337"/>
        <v>30770763</v>
      </c>
      <c r="AT110" s="502">
        <f t="shared" si="337"/>
        <v>22780612</v>
      </c>
      <c r="AU110" s="502">
        <f t="shared" si="337"/>
        <v>0</v>
      </c>
      <c r="AV110" s="502">
        <f t="shared" si="337"/>
        <v>7699847</v>
      </c>
      <c r="AW110" s="502">
        <f t="shared" si="337"/>
        <v>227806</v>
      </c>
      <c r="AX110" s="502">
        <f t="shared" si="337"/>
        <v>62498</v>
      </c>
      <c r="AY110" s="503">
        <f t="shared" si="337"/>
        <v>40.126200000000004</v>
      </c>
      <c r="AZ110" s="503">
        <f t="shared" si="337"/>
        <v>36.379800000000003</v>
      </c>
      <c r="BA110" s="40">
        <f t="shared" si="337"/>
        <v>3.7464</v>
      </c>
    </row>
    <row r="111" spans="1:53" s="229" customFormat="1" x14ac:dyDescent="0.2">
      <c r="A111" s="216">
        <v>20</v>
      </c>
      <c r="B111" s="217">
        <v>4485</v>
      </c>
      <c r="C111" s="217">
        <v>600074102</v>
      </c>
      <c r="D111" s="217">
        <v>70695113</v>
      </c>
      <c r="E111" s="215" t="s">
        <v>187</v>
      </c>
      <c r="F111" s="217">
        <v>3111</v>
      </c>
      <c r="G111" s="168" t="s">
        <v>307</v>
      </c>
      <c r="H111" s="218" t="s">
        <v>277</v>
      </c>
      <c r="I111" s="462">
        <f t="shared" ref="I111:I113" si="338">SUM(J111:M111)</f>
        <v>3181558</v>
      </c>
      <c r="J111" s="457">
        <v>2349821</v>
      </c>
      <c r="K111" s="457">
        <f t="shared" ref="K111:K113" si="339">ROUND(J111*33.8%,0)</f>
        <v>794239</v>
      </c>
      <c r="L111" s="457">
        <f t="shared" ref="L111:L113" si="340">ROUND(J111*1%,0)</f>
        <v>23498</v>
      </c>
      <c r="M111" s="457">
        <v>14000</v>
      </c>
      <c r="N111" s="458">
        <f t="shared" ref="N111:N113" si="341">O111+P111</f>
        <v>5.12</v>
      </c>
      <c r="O111" s="459">
        <v>4</v>
      </c>
      <c r="P111" s="468">
        <v>1.1200000000000001</v>
      </c>
      <c r="Q111" s="470">
        <f t="shared" ref="Q111:Q113" si="342">W111*-1</f>
        <v>-55250</v>
      </c>
      <c r="R111" s="460">
        <v>0</v>
      </c>
      <c r="S111" s="673">
        <v>0</v>
      </c>
      <c r="T111" s="460">
        <v>0</v>
      </c>
      <c r="U111" s="460">
        <v>0</v>
      </c>
      <c r="V111" s="460">
        <f>SUM(Q111:U111)</f>
        <v>-55250</v>
      </c>
      <c r="W111" s="460">
        <v>55250</v>
      </c>
      <c r="X111" s="460">
        <v>0</v>
      </c>
      <c r="Y111" s="460">
        <v>0</v>
      </c>
      <c r="Z111" s="460">
        <f t="shared" ref="Z111:Z113" si="343">SUM(W111:Y111)</f>
        <v>55250</v>
      </c>
      <c r="AA111" s="460">
        <f t="shared" ref="AA111:AA113" si="344">V111+Z111</f>
        <v>0</v>
      </c>
      <c r="AB111" s="69">
        <f t="shared" ref="AB111:AB113" si="345">ROUND((V111+W111+X111)*33.8%,0)</f>
        <v>0</v>
      </c>
      <c r="AC111" s="69">
        <f t="shared" ref="AC111:AC113" si="346">ROUND(V111*1%,0)</f>
        <v>-553</v>
      </c>
      <c r="AD111" s="460">
        <v>0</v>
      </c>
      <c r="AE111" s="460">
        <v>0</v>
      </c>
      <c r="AF111" s="460">
        <f t="shared" ref="AF111:AF113" si="347">SUM(AD111:AE111)</f>
        <v>0</v>
      </c>
      <c r="AG111" s="460">
        <f t="shared" ref="AG111:AG113" si="348">AA111+AB111+AC111+AF111</f>
        <v>-553</v>
      </c>
      <c r="AH111" s="461">
        <v>0</v>
      </c>
      <c r="AI111" s="461">
        <v>-0.21</v>
      </c>
      <c r="AJ111" s="461">
        <v>0</v>
      </c>
      <c r="AK111" s="461">
        <v>0</v>
      </c>
      <c r="AL111" s="674">
        <v>0</v>
      </c>
      <c r="AM111" s="461">
        <v>0</v>
      </c>
      <c r="AN111" s="461">
        <v>0</v>
      </c>
      <c r="AO111" s="461">
        <v>0</v>
      </c>
      <c r="AP111" s="461">
        <f>AH111+AJ111+AK111+AM111+AN111</f>
        <v>0</v>
      </c>
      <c r="AQ111" s="461">
        <f>AI111+AL111+AO111</f>
        <v>-0.21</v>
      </c>
      <c r="AR111" s="463">
        <f t="shared" ref="AR111:AR113" si="349">SUM(AP111:AQ111)</f>
        <v>-0.21</v>
      </c>
      <c r="AS111" s="469">
        <f>I111+AG111</f>
        <v>3181005</v>
      </c>
      <c r="AT111" s="460">
        <f>J111+V111</f>
        <v>2294571</v>
      </c>
      <c r="AU111" s="460">
        <f t="shared" ref="AU111:AU113" si="350">Z111</f>
        <v>55250</v>
      </c>
      <c r="AV111" s="460">
        <f t="shared" ref="AV111:AW113" si="351">K111+AB111</f>
        <v>794239</v>
      </c>
      <c r="AW111" s="460">
        <f t="shared" si="351"/>
        <v>22945</v>
      </c>
      <c r="AX111" s="460">
        <f>M111+AF111</f>
        <v>14000</v>
      </c>
      <c r="AY111" s="461">
        <f>N111+AR111</f>
        <v>4.91</v>
      </c>
      <c r="AZ111" s="461">
        <f t="shared" ref="AZ111:BA113" si="352">O111+AP111</f>
        <v>4</v>
      </c>
      <c r="BA111" s="463">
        <f t="shared" si="352"/>
        <v>0.91000000000000014</v>
      </c>
    </row>
    <row r="112" spans="1:53" s="229" customFormat="1" x14ac:dyDescent="0.2">
      <c r="A112" s="216">
        <v>20</v>
      </c>
      <c r="B112" s="217">
        <v>4485</v>
      </c>
      <c r="C112" s="217">
        <v>600074102</v>
      </c>
      <c r="D112" s="217">
        <v>70695113</v>
      </c>
      <c r="E112" s="215" t="s">
        <v>187</v>
      </c>
      <c r="F112" s="217">
        <v>3111</v>
      </c>
      <c r="G112" s="168" t="s">
        <v>308</v>
      </c>
      <c r="H112" s="218" t="s">
        <v>278</v>
      </c>
      <c r="I112" s="462">
        <f t="shared" si="338"/>
        <v>0</v>
      </c>
      <c r="J112" s="457">
        <v>0</v>
      </c>
      <c r="K112" s="457">
        <f t="shared" si="339"/>
        <v>0</v>
      </c>
      <c r="L112" s="457">
        <f t="shared" si="340"/>
        <v>0</v>
      </c>
      <c r="M112" s="457">
        <v>0</v>
      </c>
      <c r="N112" s="458">
        <f t="shared" si="341"/>
        <v>0</v>
      </c>
      <c r="O112" s="459">
        <v>0</v>
      </c>
      <c r="P112" s="468">
        <v>0</v>
      </c>
      <c r="Q112" s="470">
        <f t="shared" si="342"/>
        <v>0</v>
      </c>
      <c r="R112" s="460">
        <v>692894</v>
      </c>
      <c r="S112" s="673">
        <v>0</v>
      </c>
      <c r="T112" s="460">
        <v>0</v>
      </c>
      <c r="U112" s="460">
        <v>0</v>
      </c>
      <c r="V112" s="460">
        <f>SUM(Q112:U112)</f>
        <v>692894</v>
      </c>
      <c r="W112" s="460">
        <v>0</v>
      </c>
      <c r="X112" s="460">
        <v>0</v>
      </c>
      <c r="Y112" s="460">
        <v>0</v>
      </c>
      <c r="Z112" s="460">
        <f t="shared" si="343"/>
        <v>0</v>
      </c>
      <c r="AA112" s="460">
        <f t="shared" si="344"/>
        <v>692894</v>
      </c>
      <c r="AB112" s="69">
        <f t="shared" si="345"/>
        <v>234198</v>
      </c>
      <c r="AC112" s="69">
        <f t="shared" si="346"/>
        <v>6929</v>
      </c>
      <c r="AD112" s="460">
        <v>0</v>
      </c>
      <c r="AE112" s="460">
        <v>0</v>
      </c>
      <c r="AF112" s="460">
        <f t="shared" si="347"/>
        <v>0</v>
      </c>
      <c r="AG112" s="460">
        <f t="shared" si="348"/>
        <v>934021</v>
      </c>
      <c r="AH112" s="461">
        <v>0</v>
      </c>
      <c r="AI112" s="461">
        <v>0</v>
      </c>
      <c r="AJ112" s="461">
        <v>2</v>
      </c>
      <c r="AK112" s="461">
        <v>0</v>
      </c>
      <c r="AL112" s="674">
        <v>0</v>
      </c>
      <c r="AM112" s="461">
        <v>0</v>
      </c>
      <c r="AN112" s="461">
        <v>0</v>
      </c>
      <c r="AO112" s="461">
        <v>0</v>
      </c>
      <c r="AP112" s="461">
        <f>AH112+AJ112+AK112+AM112+AN112</f>
        <v>2</v>
      </c>
      <c r="AQ112" s="461">
        <f>AI112+AL112+AO112</f>
        <v>0</v>
      </c>
      <c r="AR112" s="463">
        <f t="shared" si="349"/>
        <v>2</v>
      </c>
      <c r="AS112" s="469">
        <f>I112+AG112</f>
        <v>934021</v>
      </c>
      <c r="AT112" s="460">
        <f>J112+V112</f>
        <v>692894</v>
      </c>
      <c r="AU112" s="460">
        <f t="shared" si="350"/>
        <v>0</v>
      </c>
      <c r="AV112" s="460">
        <f t="shared" si="351"/>
        <v>234198</v>
      </c>
      <c r="AW112" s="460">
        <f t="shared" si="351"/>
        <v>6929</v>
      </c>
      <c r="AX112" s="460">
        <f>M112+AF112</f>
        <v>0</v>
      </c>
      <c r="AY112" s="461">
        <f>N112+AR112</f>
        <v>2</v>
      </c>
      <c r="AZ112" s="461">
        <f t="shared" si="352"/>
        <v>2</v>
      </c>
      <c r="BA112" s="463">
        <f t="shared" si="352"/>
        <v>0</v>
      </c>
    </row>
    <row r="113" spans="1:53" s="229" customFormat="1" x14ac:dyDescent="0.2">
      <c r="A113" s="216">
        <v>20</v>
      </c>
      <c r="B113" s="217">
        <v>4485</v>
      </c>
      <c r="C113" s="217">
        <v>600074102</v>
      </c>
      <c r="D113" s="217">
        <v>70695113</v>
      </c>
      <c r="E113" s="215" t="s">
        <v>187</v>
      </c>
      <c r="F113" s="217">
        <v>3141</v>
      </c>
      <c r="G113" s="168" t="s">
        <v>311</v>
      </c>
      <c r="H113" s="218" t="s">
        <v>278</v>
      </c>
      <c r="I113" s="462">
        <f t="shared" si="338"/>
        <v>927932</v>
      </c>
      <c r="J113" s="457">
        <v>685715</v>
      </c>
      <c r="K113" s="457">
        <f t="shared" si="339"/>
        <v>231772</v>
      </c>
      <c r="L113" s="457">
        <f t="shared" si="340"/>
        <v>6857</v>
      </c>
      <c r="M113" s="457">
        <v>3588</v>
      </c>
      <c r="N113" s="458">
        <f t="shared" si="341"/>
        <v>2.2000000000000002</v>
      </c>
      <c r="O113" s="459">
        <v>0</v>
      </c>
      <c r="P113" s="468">
        <v>2.2000000000000002</v>
      </c>
      <c r="Q113" s="470">
        <f t="shared" si="342"/>
        <v>0</v>
      </c>
      <c r="R113" s="460">
        <v>0</v>
      </c>
      <c r="S113" s="673">
        <v>0</v>
      </c>
      <c r="T113" s="460">
        <v>0</v>
      </c>
      <c r="U113" s="460">
        <v>0</v>
      </c>
      <c r="V113" s="460">
        <f>SUM(Q113:U113)</f>
        <v>0</v>
      </c>
      <c r="W113" s="460">
        <v>0</v>
      </c>
      <c r="X113" s="460">
        <v>0</v>
      </c>
      <c r="Y113" s="460">
        <v>0</v>
      </c>
      <c r="Z113" s="460">
        <f t="shared" si="343"/>
        <v>0</v>
      </c>
      <c r="AA113" s="460">
        <f t="shared" si="344"/>
        <v>0</v>
      </c>
      <c r="AB113" s="69">
        <f t="shared" si="345"/>
        <v>0</v>
      </c>
      <c r="AC113" s="69">
        <f t="shared" si="346"/>
        <v>0</v>
      </c>
      <c r="AD113" s="460">
        <v>0</v>
      </c>
      <c r="AE113" s="460">
        <v>0</v>
      </c>
      <c r="AF113" s="460">
        <f t="shared" si="347"/>
        <v>0</v>
      </c>
      <c r="AG113" s="460">
        <f t="shared" si="348"/>
        <v>0</v>
      </c>
      <c r="AH113" s="461">
        <v>0</v>
      </c>
      <c r="AI113" s="461">
        <v>0</v>
      </c>
      <c r="AJ113" s="461">
        <v>0</v>
      </c>
      <c r="AK113" s="461">
        <v>0</v>
      </c>
      <c r="AL113" s="674">
        <v>0</v>
      </c>
      <c r="AM113" s="461">
        <v>0</v>
      </c>
      <c r="AN113" s="461">
        <v>0</v>
      </c>
      <c r="AO113" s="461">
        <v>0</v>
      </c>
      <c r="AP113" s="461">
        <f>AH113+AJ113+AK113+AM113+AN113</f>
        <v>0</v>
      </c>
      <c r="AQ113" s="461">
        <f>AI113+AL113+AO113</f>
        <v>0</v>
      </c>
      <c r="AR113" s="463">
        <f t="shared" si="349"/>
        <v>0</v>
      </c>
      <c r="AS113" s="469">
        <f>I113+AG113</f>
        <v>927932</v>
      </c>
      <c r="AT113" s="460">
        <f>J113+V113</f>
        <v>685715</v>
      </c>
      <c r="AU113" s="460">
        <f t="shared" si="350"/>
        <v>0</v>
      </c>
      <c r="AV113" s="460">
        <f t="shared" si="351"/>
        <v>231772</v>
      </c>
      <c r="AW113" s="460">
        <f t="shared" si="351"/>
        <v>6857</v>
      </c>
      <c r="AX113" s="460">
        <f>M113+AF113</f>
        <v>3588</v>
      </c>
      <c r="AY113" s="461">
        <f>N113+AR113</f>
        <v>2.2000000000000002</v>
      </c>
      <c r="AZ113" s="461">
        <f t="shared" si="352"/>
        <v>0</v>
      </c>
      <c r="BA113" s="463">
        <f t="shared" si="352"/>
        <v>2.2000000000000002</v>
      </c>
    </row>
    <row r="114" spans="1:53" s="229" customFormat="1" x14ac:dyDescent="0.2">
      <c r="A114" s="158">
        <v>20</v>
      </c>
      <c r="B114" s="18">
        <v>4485</v>
      </c>
      <c r="C114" s="18">
        <v>600074102</v>
      </c>
      <c r="D114" s="18">
        <v>70695113</v>
      </c>
      <c r="E114" s="167" t="s">
        <v>188</v>
      </c>
      <c r="F114" s="18"/>
      <c r="G114" s="157"/>
      <c r="H114" s="191"/>
      <c r="I114" s="505">
        <f t="shared" ref="I114:P114" si="353">SUM(I111:I113)</f>
        <v>4109490</v>
      </c>
      <c r="J114" s="502">
        <f t="shared" si="353"/>
        <v>3035536</v>
      </c>
      <c r="K114" s="502">
        <f t="shared" si="353"/>
        <v>1026011</v>
      </c>
      <c r="L114" s="502">
        <f t="shared" si="353"/>
        <v>30355</v>
      </c>
      <c r="M114" s="502">
        <f t="shared" si="353"/>
        <v>17588</v>
      </c>
      <c r="N114" s="503">
        <f t="shared" si="353"/>
        <v>7.32</v>
      </c>
      <c r="O114" s="503">
        <f t="shared" si="353"/>
        <v>4</v>
      </c>
      <c r="P114" s="507">
        <f t="shared" si="353"/>
        <v>3.3200000000000003</v>
      </c>
      <c r="Q114" s="505">
        <f t="shared" ref="Q114:BA114" si="354">SUM(Q111:Q113)</f>
        <v>-55250</v>
      </c>
      <c r="R114" s="502">
        <f t="shared" si="354"/>
        <v>692894</v>
      </c>
      <c r="S114" s="502">
        <f t="shared" si="354"/>
        <v>0</v>
      </c>
      <c r="T114" s="502">
        <f t="shared" si="354"/>
        <v>0</v>
      </c>
      <c r="U114" s="502">
        <f t="shared" si="354"/>
        <v>0</v>
      </c>
      <c r="V114" s="502">
        <f t="shared" si="354"/>
        <v>637644</v>
      </c>
      <c r="W114" s="502">
        <f t="shared" si="354"/>
        <v>55250</v>
      </c>
      <c r="X114" s="502">
        <f t="shared" si="354"/>
        <v>0</v>
      </c>
      <c r="Y114" s="502">
        <f t="shared" si="354"/>
        <v>0</v>
      </c>
      <c r="Z114" s="502">
        <f t="shared" si="354"/>
        <v>55250</v>
      </c>
      <c r="AA114" s="502">
        <f t="shared" si="354"/>
        <v>692894</v>
      </c>
      <c r="AB114" s="502">
        <f t="shared" si="354"/>
        <v>234198</v>
      </c>
      <c r="AC114" s="502">
        <f t="shared" si="354"/>
        <v>6376</v>
      </c>
      <c r="AD114" s="502">
        <f t="shared" si="354"/>
        <v>0</v>
      </c>
      <c r="AE114" s="502">
        <f t="shared" si="354"/>
        <v>0</v>
      </c>
      <c r="AF114" s="502">
        <f t="shared" si="354"/>
        <v>0</v>
      </c>
      <c r="AG114" s="502">
        <f t="shared" si="354"/>
        <v>933468</v>
      </c>
      <c r="AH114" s="503">
        <f t="shared" si="354"/>
        <v>0</v>
      </c>
      <c r="AI114" s="503">
        <f t="shared" si="354"/>
        <v>-0.21</v>
      </c>
      <c r="AJ114" s="503">
        <f t="shared" si="354"/>
        <v>2</v>
      </c>
      <c r="AK114" s="503">
        <f t="shared" si="354"/>
        <v>0</v>
      </c>
      <c r="AL114" s="503">
        <f t="shared" si="354"/>
        <v>0</v>
      </c>
      <c r="AM114" s="503">
        <f t="shared" si="354"/>
        <v>0</v>
      </c>
      <c r="AN114" s="503">
        <f t="shared" si="354"/>
        <v>0</v>
      </c>
      <c r="AO114" s="503">
        <f t="shared" si="354"/>
        <v>0</v>
      </c>
      <c r="AP114" s="503">
        <f t="shared" si="354"/>
        <v>2</v>
      </c>
      <c r="AQ114" s="503">
        <f t="shared" si="354"/>
        <v>-0.21</v>
      </c>
      <c r="AR114" s="40">
        <f t="shared" si="354"/>
        <v>1.79</v>
      </c>
      <c r="AS114" s="509">
        <f t="shared" si="354"/>
        <v>5042958</v>
      </c>
      <c r="AT114" s="502">
        <f t="shared" si="354"/>
        <v>3673180</v>
      </c>
      <c r="AU114" s="502">
        <f t="shared" si="354"/>
        <v>55250</v>
      </c>
      <c r="AV114" s="502">
        <f t="shared" si="354"/>
        <v>1260209</v>
      </c>
      <c r="AW114" s="502">
        <f t="shared" si="354"/>
        <v>36731</v>
      </c>
      <c r="AX114" s="502">
        <f t="shared" si="354"/>
        <v>17588</v>
      </c>
      <c r="AY114" s="503">
        <f t="shared" si="354"/>
        <v>9.11</v>
      </c>
      <c r="AZ114" s="503">
        <f t="shared" si="354"/>
        <v>6</v>
      </c>
      <c r="BA114" s="40">
        <f t="shared" si="354"/>
        <v>3.1100000000000003</v>
      </c>
    </row>
    <row r="115" spans="1:53" s="229" customFormat="1" x14ac:dyDescent="0.2">
      <c r="A115" s="216">
        <v>21</v>
      </c>
      <c r="B115" s="217">
        <v>4435</v>
      </c>
      <c r="C115" s="217">
        <v>650034295</v>
      </c>
      <c r="D115" s="217">
        <v>72744669</v>
      </c>
      <c r="E115" s="215" t="s">
        <v>189</v>
      </c>
      <c r="F115" s="217">
        <v>3111</v>
      </c>
      <c r="G115" s="168" t="s">
        <v>307</v>
      </c>
      <c r="H115" s="218" t="s">
        <v>277</v>
      </c>
      <c r="I115" s="462">
        <f t="shared" ref="I115:I120" si="355">SUM(J115:M115)</f>
        <v>4144214</v>
      </c>
      <c r="J115" s="457">
        <v>3055871</v>
      </c>
      <c r="K115" s="457">
        <f t="shared" ref="K115:K120" si="356">ROUND(J115*33.8%,0)</f>
        <v>1032884</v>
      </c>
      <c r="L115" s="457">
        <f t="shared" ref="L115:L120" si="357">ROUND(J115*1%,0)</f>
        <v>30559</v>
      </c>
      <c r="M115" s="457">
        <v>24900</v>
      </c>
      <c r="N115" s="458">
        <f t="shared" ref="N115:N120" si="358">O115+P115</f>
        <v>6.58</v>
      </c>
      <c r="O115" s="459">
        <v>5.5</v>
      </c>
      <c r="P115" s="468">
        <v>1.08</v>
      </c>
      <c r="Q115" s="470">
        <f t="shared" ref="Q115:Q120" si="359">W115*-1</f>
        <v>-19500</v>
      </c>
      <c r="R115" s="460">
        <v>0</v>
      </c>
      <c r="S115" s="673">
        <v>0</v>
      </c>
      <c r="T115" s="460">
        <v>0</v>
      </c>
      <c r="U115" s="460">
        <v>0</v>
      </c>
      <c r="V115" s="460">
        <f t="shared" ref="V115:V120" si="360">SUM(Q115:U115)</f>
        <v>-19500</v>
      </c>
      <c r="W115" s="460">
        <v>19500</v>
      </c>
      <c r="X115" s="460">
        <v>0</v>
      </c>
      <c r="Y115" s="460">
        <v>0</v>
      </c>
      <c r="Z115" s="460">
        <f t="shared" ref="Z115:Z120" si="361">SUM(W115:Y115)</f>
        <v>19500</v>
      </c>
      <c r="AA115" s="460">
        <f t="shared" ref="AA115:AA120" si="362">V115+Z115</f>
        <v>0</v>
      </c>
      <c r="AB115" s="69">
        <f t="shared" ref="AB115:AB120" si="363">ROUND((V115+W115+X115)*33.8%,0)</f>
        <v>0</v>
      </c>
      <c r="AC115" s="69">
        <f t="shared" ref="AC115:AC120" si="364">ROUND(V115*1%,0)</f>
        <v>-195</v>
      </c>
      <c r="AD115" s="460">
        <v>0</v>
      </c>
      <c r="AE115" s="460">
        <v>0</v>
      </c>
      <c r="AF115" s="460">
        <f t="shared" ref="AF115:AF120" si="365">SUM(AD115:AE115)</f>
        <v>0</v>
      </c>
      <c r="AG115" s="460">
        <f t="shared" ref="AG115:AG120" si="366">AA115+AB115+AC115+AF115</f>
        <v>-195</v>
      </c>
      <c r="AH115" s="461">
        <v>0</v>
      </c>
      <c r="AI115" s="461">
        <v>0</v>
      </c>
      <c r="AJ115" s="461">
        <v>0</v>
      </c>
      <c r="AK115" s="461">
        <v>0</v>
      </c>
      <c r="AL115" s="674">
        <v>0</v>
      </c>
      <c r="AM115" s="461">
        <v>0</v>
      </c>
      <c r="AN115" s="461">
        <v>0</v>
      </c>
      <c r="AO115" s="461">
        <v>0</v>
      </c>
      <c r="AP115" s="461">
        <f t="shared" ref="AP115:AP120" si="367">AH115+AJ115+AK115+AM115+AN115</f>
        <v>0</v>
      </c>
      <c r="AQ115" s="461">
        <f t="shared" ref="AQ115:AQ120" si="368">AI115+AL115+AO115</f>
        <v>0</v>
      </c>
      <c r="AR115" s="463">
        <f t="shared" ref="AR115:AR120" si="369">SUM(AP115:AQ115)</f>
        <v>0</v>
      </c>
      <c r="AS115" s="469">
        <f t="shared" ref="AS115:AS120" si="370">I115+AG115</f>
        <v>4144019</v>
      </c>
      <c r="AT115" s="460">
        <f t="shared" ref="AT115:AT120" si="371">J115+V115</f>
        <v>3036371</v>
      </c>
      <c r="AU115" s="460">
        <f t="shared" ref="AU115:AU120" si="372">Z115</f>
        <v>19500</v>
      </c>
      <c r="AV115" s="460">
        <f t="shared" ref="AV115:AW120" si="373">K115+AB115</f>
        <v>1032884</v>
      </c>
      <c r="AW115" s="460">
        <f t="shared" si="373"/>
        <v>30364</v>
      </c>
      <c r="AX115" s="460">
        <f t="shared" ref="AX115:AX120" si="374">M115+AF115</f>
        <v>24900</v>
      </c>
      <c r="AY115" s="461">
        <f t="shared" ref="AY115:AY120" si="375">N115+AR115</f>
        <v>6.58</v>
      </c>
      <c r="AZ115" s="461">
        <f t="shared" ref="AZ115:BA120" si="376">O115+AP115</f>
        <v>5.5</v>
      </c>
      <c r="BA115" s="463">
        <f t="shared" si="376"/>
        <v>1.08</v>
      </c>
    </row>
    <row r="116" spans="1:53" s="229" customFormat="1" x14ac:dyDescent="0.2">
      <c r="A116" s="216">
        <v>21</v>
      </c>
      <c r="B116" s="217">
        <v>4435</v>
      </c>
      <c r="C116" s="217">
        <v>650034295</v>
      </c>
      <c r="D116" s="217">
        <v>72744669</v>
      </c>
      <c r="E116" s="215" t="s">
        <v>189</v>
      </c>
      <c r="F116" s="217">
        <v>3117</v>
      </c>
      <c r="G116" s="168" t="s">
        <v>310</v>
      </c>
      <c r="H116" s="218" t="s">
        <v>277</v>
      </c>
      <c r="I116" s="462">
        <f t="shared" si="355"/>
        <v>6148152</v>
      </c>
      <c r="J116" s="457">
        <v>4481066</v>
      </c>
      <c r="K116" s="457">
        <f>ROUND(J116*33.8%,0)+1</f>
        <v>1514601</v>
      </c>
      <c r="L116" s="457">
        <f>ROUND(J116*1%,0)-1</f>
        <v>44810</v>
      </c>
      <c r="M116" s="457">
        <v>107675</v>
      </c>
      <c r="N116" s="458">
        <f t="shared" si="358"/>
        <v>8.7096999999999998</v>
      </c>
      <c r="O116" s="459">
        <v>5.8029999999999999</v>
      </c>
      <c r="P116" s="468">
        <v>2.9066999999999998</v>
      </c>
      <c r="Q116" s="470">
        <f t="shared" si="359"/>
        <v>-26000</v>
      </c>
      <c r="R116" s="460">
        <v>0</v>
      </c>
      <c r="S116" s="673">
        <v>0</v>
      </c>
      <c r="T116" s="460">
        <v>0</v>
      </c>
      <c r="U116" s="460">
        <v>0</v>
      </c>
      <c r="V116" s="460">
        <f t="shared" si="360"/>
        <v>-26000</v>
      </c>
      <c r="W116" s="460">
        <v>26000</v>
      </c>
      <c r="X116" s="460">
        <v>0</v>
      </c>
      <c r="Y116" s="460">
        <v>0</v>
      </c>
      <c r="Z116" s="460">
        <f t="shared" si="361"/>
        <v>26000</v>
      </c>
      <c r="AA116" s="460">
        <f t="shared" si="362"/>
        <v>0</v>
      </c>
      <c r="AB116" s="69">
        <f t="shared" si="363"/>
        <v>0</v>
      </c>
      <c r="AC116" s="69">
        <f t="shared" si="364"/>
        <v>-260</v>
      </c>
      <c r="AD116" s="460">
        <v>0</v>
      </c>
      <c r="AE116" s="460">
        <v>0</v>
      </c>
      <c r="AF116" s="460">
        <f t="shared" si="365"/>
        <v>0</v>
      </c>
      <c r="AG116" s="460">
        <f t="shared" si="366"/>
        <v>-260</v>
      </c>
      <c r="AH116" s="461">
        <v>0</v>
      </c>
      <c r="AI116" s="461">
        <v>0</v>
      </c>
      <c r="AJ116" s="461">
        <v>0</v>
      </c>
      <c r="AK116" s="461">
        <v>0</v>
      </c>
      <c r="AL116" s="674">
        <v>0</v>
      </c>
      <c r="AM116" s="461">
        <v>0</v>
      </c>
      <c r="AN116" s="461">
        <v>0</v>
      </c>
      <c r="AO116" s="461">
        <v>0</v>
      </c>
      <c r="AP116" s="461">
        <f t="shared" si="367"/>
        <v>0</v>
      </c>
      <c r="AQ116" s="461">
        <f t="shared" si="368"/>
        <v>0</v>
      </c>
      <c r="AR116" s="463">
        <f t="shared" si="369"/>
        <v>0</v>
      </c>
      <c r="AS116" s="469">
        <f t="shared" si="370"/>
        <v>6147892</v>
      </c>
      <c r="AT116" s="460">
        <f t="shared" si="371"/>
        <v>4455066</v>
      </c>
      <c r="AU116" s="460">
        <f t="shared" si="372"/>
        <v>26000</v>
      </c>
      <c r="AV116" s="460">
        <f t="shared" si="373"/>
        <v>1514601</v>
      </c>
      <c r="AW116" s="460">
        <f t="shared" si="373"/>
        <v>44550</v>
      </c>
      <c r="AX116" s="460">
        <f t="shared" si="374"/>
        <v>107675</v>
      </c>
      <c r="AY116" s="461">
        <f t="shared" si="375"/>
        <v>8.7096999999999998</v>
      </c>
      <c r="AZ116" s="461">
        <f t="shared" si="376"/>
        <v>5.8029999999999999</v>
      </c>
      <c r="BA116" s="463">
        <f t="shared" si="376"/>
        <v>2.9066999999999998</v>
      </c>
    </row>
    <row r="117" spans="1:53" s="229" customFormat="1" x14ac:dyDescent="0.2">
      <c r="A117" s="216">
        <v>21</v>
      </c>
      <c r="B117" s="217">
        <v>4435</v>
      </c>
      <c r="C117" s="217">
        <v>650034295</v>
      </c>
      <c r="D117" s="217">
        <v>72744669</v>
      </c>
      <c r="E117" s="215" t="s">
        <v>189</v>
      </c>
      <c r="F117" s="217">
        <v>3117</v>
      </c>
      <c r="G117" s="168" t="s">
        <v>308</v>
      </c>
      <c r="H117" s="218" t="s">
        <v>278</v>
      </c>
      <c r="I117" s="462">
        <f t="shared" si="355"/>
        <v>0</v>
      </c>
      <c r="J117" s="457">
        <v>0</v>
      </c>
      <c r="K117" s="457">
        <f t="shared" si="356"/>
        <v>0</v>
      </c>
      <c r="L117" s="457">
        <f t="shared" si="357"/>
        <v>0</v>
      </c>
      <c r="M117" s="457">
        <v>0</v>
      </c>
      <c r="N117" s="458">
        <f t="shared" si="358"/>
        <v>0</v>
      </c>
      <c r="O117" s="459">
        <v>0</v>
      </c>
      <c r="P117" s="468">
        <v>0</v>
      </c>
      <c r="Q117" s="470">
        <f t="shared" si="359"/>
        <v>0</v>
      </c>
      <c r="R117" s="460">
        <v>481180</v>
      </c>
      <c r="S117" s="673">
        <v>0</v>
      </c>
      <c r="T117" s="460">
        <v>0</v>
      </c>
      <c r="U117" s="460">
        <v>0</v>
      </c>
      <c r="V117" s="460">
        <f t="shared" si="360"/>
        <v>481180</v>
      </c>
      <c r="W117" s="460">
        <v>0</v>
      </c>
      <c r="X117" s="460">
        <v>0</v>
      </c>
      <c r="Y117" s="460">
        <v>0</v>
      </c>
      <c r="Z117" s="460">
        <f t="shared" si="361"/>
        <v>0</v>
      </c>
      <c r="AA117" s="460">
        <f t="shared" si="362"/>
        <v>481180</v>
      </c>
      <c r="AB117" s="69">
        <f t="shared" si="363"/>
        <v>162639</v>
      </c>
      <c r="AC117" s="69">
        <f t="shared" si="364"/>
        <v>4812</v>
      </c>
      <c r="AD117" s="460">
        <v>0</v>
      </c>
      <c r="AE117" s="460">
        <v>0</v>
      </c>
      <c r="AF117" s="460">
        <f t="shared" si="365"/>
        <v>0</v>
      </c>
      <c r="AG117" s="460">
        <f t="shared" si="366"/>
        <v>648631</v>
      </c>
      <c r="AH117" s="461">
        <v>0</v>
      </c>
      <c r="AI117" s="461">
        <v>0</v>
      </c>
      <c r="AJ117" s="461">
        <v>1.39</v>
      </c>
      <c r="AK117" s="461">
        <v>0</v>
      </c>
      <c r="AL117" s="674">
        <v>0</v>
      </c>
      <c r="AM117" s="461">
        <v>0</v>
      </c>
      <c r="AN117" s="461">
        <v>0</v>
      </c>
      <c r="AO117" s="461">
        <v>0</v>
      </c>
      <c r="AP117" s="461">
        <f t="shared" si="367"/>
        <v>1.39</v>
      </c>
      <c r="AQ117" s="461">
        <f t="shared" si="368"/>
        <v>0</v>
      </c>
      <c r="AR117" s="463">
        <f t="shared" si="369"/>
        <v>1.39</v>
      </c>
      <c r="AS117" s="469">
        <f t="shared" si="370"/>
        <v>648631</v>
      </c>
      <c r="AT117" s="460">
        <f t="shared" si="371"/>
        <v>481180</v>
      </c>
      <c r="AU117" s="460">
        <f t="shared" si="372"/>
        <v>0</v>
      </c>
      <c r="AV117" s="460">
        <f t="shared" si="373"/>
        <v>162639</v>
      </c>
      <c r="AW117" s="460">
        <f t="shared" si="373"/>
        <v>4812</v>
      </c>
      <c r="AX117" s="460">
        <f t="shared" si="374"/>
        <v>0</v>
      </c>
      <c r="AY117" s="461">
        <f t="shared" si="375"/>
        <v>1.39</v>
      </c>
      <c r="AZ117" s="461">
        <f t="shared" si="376"/>
        <v>1.39</v>
      </c>
      <c r="BA117" s="463">
        <f t="shared" si="376"/>
        <v>0</v>
      </c>
    </row>
    <row r="118" spans="1:53" s="229" customFormat="1" x14ac:dyDescent="0.2">
      <c r="A118" s="216">
        <v>21</v>
      </c>
      <c r="B118" s="217">
        <v>4435</v>
      </c>
      <c r="C118" s="217">
        <v>650034295</v>
      </c>
      <c r="D118" s="217">
        <v>72744669</v>
      </c>
      <c r="E118" s="210" t="s">
        <v>189</v>
      </c>
      <c r="F118" s="217">
        <v>3141</v>
      </c>
      <c r="G118" s="168" t="s">
        <v>311</v>
      </c>
      <c r="H118" s="218" t="s">
        <v>278</v>
      </c>
      <c r="I118" s="462">
        <f t="shared" si="355"/>
        <v>1225347</v>
      </c>
      <c r="J118" s="457">
        <v>904067</v>
      </c>
      <c r="K118" s="457">
        <f t="shared" si="356"/>
        <v>305575</v>
      </c>
      <c r="L118" s="457">
        <f t="shared" si="357"/>
        <v>9041</v>
      </c>
      <c r="M118" s="457">
        <v>6664</v>
      </c>
      <c r="N118" s="458">
        <f t="shared" si="358"/>
        <v>2.91</v>
      </c>
      <c r="O118" s="459">
        <v>0</v>
      </c>
      <c r="P118" s="468">
        <v>2.91</v>
      </c>
      <c r="Q118" s="470">
        <f t="shared" si="359"/>
        <v>-3250</v>
      </c>
      <c r="R118" s="460">
        <v>0</v>
      </c>
      <c r="S118" s="673">
        <v>0</v>
      </c>
      <c r="T118" s="460">
        <v>0</v>
      </c>
      <c r="U118" s="460">
        <v>0</v>
      </c>
      <c r="V118" s="460">
        <f t="shared" si="360"/>
        <v>-3250</v>
      </c>
      <c r="W118" s="460">
        <v>3250</v>
      </c>
      <c r="X118" s="460">
        <v>0</v>
      </c>
      <c r="Y118" s="460">
        <v>0</v>
      </c>
      <c r="Z118" s="460">
        <f t="shared" si="361"/>
        <v>3250</v>
      </c>
      <c r="AA118" s="460">
        <f t="shared" si="362"/>
        <v>0</v>
      </c>
      <c r="AB118" s="69">
        <f t="shared" si="363"/>
        <v>0</v>
      </c>
      <c r="AC118" s="69">
        <f t="shared" si="364"/>
        <v>-33</v>
      </c>
      <c r="AD118" s="460">
        <v>0</v>
      </c>
      <c r="AE118" s="460">
        <v>0</v>
      </c>
      <c r="AF118" s="460">
        <f t="shared" si="365"/>
        <v>0</v>
      </c>
      <c r="AG118" s="460">
        <f t="shared" si="366"/>
        <v>-33</v>
      </c>
      <c r="AH118" s="461">
        <v>0</v>
      </c>
      <c r="AI118" s="461">
        <v>0</v>
      </c>
      <c r="AJ118" s="461">
        <v>0</v>
      </c>
      <c r="AK118" s="461">
        <v>0</v>
      </c>
      <c r="AL118" s="674">
        <v>0</v>
      </c>
      <c r="AM118" s="461">
        <v>0</v>
      </c>
      <c r="AN118" s="461">
        <v>0</v>
      </c>
      <c r="AO118" s="461">
        <v>0</v>
      </c>
      <c r="AP118" s="461">
        <f t="shared" si="367"/>
        <v>0</v>
      </c>
      <c r="AQ118" s="461">
        <f t="shared" si="368"/>
        <v>0</v>
      </c>
      <c r="AR118" s="463">
        <f t="shared" si="369"/>
        <v>0</v>
      </c>
      <c r="AS118" s="469">
        <f t="shared" si="370"/>
        <v>1225314</v>
      </c>
      <c r="AT118" s="460">
        <f t="shared" si="371"/>
        <v>900817</v>
      </c>
      <c r="AU118" s="460">
        <f t="shared" si="372"/>
        <v>3250</v>
      </c>
      <c r="AV118" s="460">
        <f t="shared" si="373"/>
        <v>305575</v>
      </c>
      <c r="AW118" s="460">
        <f t="shared" si="373"/>
        <v>9008</v>
      </c>
      <c r="AX118" s="460">
        <f t="shared" si="374"/>
        <v>6664</v>
      </c>
      <c r="AY118" s="461">
        <f t="shared" si="375"/>
        <v>2.91</v>
      </c>
      <c r="AZ118" s="461">
        <f t="shared" si="376"/>
        <v>0</v>
      </c>
      <c r="BA118" s="463">
        <f t="shared" si="376"/>
        <v>2.91</v>
      </c>
    </row>
    <row r="119" spans="1:53" s="229" customFormat="1" x14ac:dyDescent="0.2">
      <c r="A119" s="216">
        <v>21</v>
      </c>
      <c r="B119" s="217">
        <v>4435</v>
      </c>
      <c r="C119" s="217">
        <v>650034295</v>
      </c>
      <c r="D119" s="217">
        <v>72744669</v>
      </c>
      <c r="E119" s="215" t="s">
        <v>189</v>
      </c>
      <c r="F119" s="217">
        <v>3143</v>
      </c>
      <c r="G119" s="168" t="s">
        <v>616</v>
      </c>
      <c r="H119" s="234" t="s">
        <v>277</v>
      </c>
      <c r="I119" s="462">
        <f t="shared" si="355"/>
        <v>656572</v>
      </c>
      <c r="J119" s="457">
        <v>487071</v>
      </c>
      <c r="K119" s="457">
        <f t="shared" si="356"/>
        <v>164630</v>
      </c>
      <c r="L119" s="457">
        <f t="shared" si="357"/>
        <v>4871</v>
      </c>
      <c r="M119" s="457">
        <v>0</v>
      </c>
      <c r="N119" s="458">
        <f t="shared" si="358"/>
        <v>0.9375</v>
      </c>
      <c r="O119" s="459">
        <v>0.9375</v>
      </c>
      <c r="P119" s="468">
        <v>0</v>
      </c>
      <c r="Q119" s="470">
        <f t="shared" si="359"/>
        <v>-3250</v>
      </c>
      <c r="R119" s="460">
        <v>0</v>
      </c>
      <c r="S119" s="673">
        <v>0</v>
      </c>
      <c r="T119" s="460">
        <v>0</v>
      </c>
      <c r="U119" s="460">
        <v>0</v>
      </c>
      <c r="V119" s="460">
        <f t="shared" si="360"/>
        <v>-3250</v>
      </c>
      <c r="W119" s="460">
        <v>3250</v>
      </c>
      <c r="X119" s="460">
        <v>0</v>
      </c>
      <c r="Y119" s="460">
        <v>0</v>
      </c>
      <c r="Z119" s="460">
        <f t="shared" si="361"/>
        <v>3250</v>
      </c>
      <c r="AA119" s="460">
        <f t="shared" si="362"/>
        <v>0</v>
      </c>
      <c r="AB119" s="69">
        <f t="shared" si="363"/>
        <v>0</v>
      </c>
      <c r="AC119" s="69">
        <f t="shared" si="364"/>
        <v>-33</v>
      </c>
      <c r="AD119" s="460">
        <v>0</v>
      </c>
      <c r="AE119" s="460">
        <v>0</v>
      </c>
      <c r="AF119" s="460">
        <f t="shared" si="365"/>
        <v>0</v>
      </c>
      <c r="AG119" s="460">
        <f t="shared" si="366"/>
        <v>-33</v>
      </c>
      <c r="AH119" s="461">
        <v>0</v>
      </c>
      <c r="AI119" s="461">
        <v>0</v>
      </c>
      <c r="AJ119" s="461">
        <v>0</v>
      </c>
      <c r="AK119" s="461">
        <v>0</v>
      </c>
      <c r="AL119" s="674">
        <v>0</v>
      </c>
      <c r="AM119" s="461">
        <v>0</v>
      </c>
      <c r="AN119" s="461">
        <v>0</v>
      </c>
      <c r="AO119" s="461">
        <v>0</v>
      </c>
      <c r="AP119" s="461">
        <f t="shared" si="367"/>
        <v>0</v>
      </c>
      <c r="AQ119" s="461">
        <f t="shared" si="368"/>
        <v>0</v>
      </c>
      <c r="AR119" s="463">
        <f t="shared" si="369"/>
        <v>0</v>
      </c>
      <c r="AS119" s="469">
        <f t="shared" si="370"/>
        <v>656539</v>
      </c>
      <c r="AT119" s="460">
        <f t="shared" si="371"/>
        <v>483821</v>
      </c>
      <c r="AU119" s="460">
        <f t="shared" si="372"/>
        <v>3250</v>
      </c>
      <c r="AV119" s="460">
        <f t="shared" si="373"/>
        <v>164630</v>
      </c>
      <c r="AW119" s="460">
        <f t="shared" si="373"/>
        <v>4838</v>
      </c>
      <c r="AX119" s="460">
        <f t="shared" si="374"/>
        <v>0</v>
      </c>
      <c r="AY119" s="461">
        <f t="shared" si="375"/>
        <v>0.9375</v>
      </c>
      <c r="AZ119" s="461">
        <f t="shared" si="376"/>
        <v>0.9375</v>
      </c>
      <c r="BA119" s="463">
        <f t="shared" si="376"/>
        <v>0</v>
      </c>
    </row>
    <row r="120" spans="1:53" s="229" customFormat="1" x14ac:dyDescent="0.2">
      <c r="A120" s="216">
        <v>21</v>
      </c>
      <c r="B120" s="217">
        <v>4435</v>
      </c>
      <c r="C120" s="217">
        <v>650034295</v>
      </c>
      <c r="D120" s="217">
        <v>72744669</v>
      </c>
      <c r="E120" s="215" t="s">
        <v>189</v>
      </c>
      <c r="F120" s="217">
        <v>3143</v>
      </c>
      <c r="G120" s="168" t="s">
        <v>617</v>
      </c>
      <c r="H120" s="234" t="s">
        <v>278</v>
      </c>
      <c r="I120" s="462">
        <f t="shared" si="355"/>
        <v>21990</v>
      </c>
      <c r="J120" s="457">
        <v>15712</v>
      </c>
      <c r="K120" s="457">
        <f t="shared" si="356"/>
        <v>5311</v>
      </c>
      <c r="L120" s="457">
        <f t="shared" si="357"/>
        <v>157</v>
      </c>
      <c r="M120" s="457">
        <v>810</v>
      </c>
      <c r="N120" s="458">
        <f t="shared" si="358"/>
        <v>0.06</v>
      </c>
      <c r="O120" s="459">
        <v>0</v>
      </c>
      <c r="P120" s="468">
        <v>0.06</v>
      </c>
      <c r="Q120" s="470">
        <f t="shared" si="359"/>
        <v>0</v>
      </c>
      <c r="R120" s="460">
        <v>0</v>
      </c>
      <c r="S120" s="673">
        <v>0</v>
      </c>
      <c r="T120" s="460">
        <v>0</v>
      </c>
      <c r="U120" s="460">
        <v>0</v>
      </c>
      <c r="V120" s="460">
        <f t="shared" si="360"/>
        <v>0</v>
      </c>
      <c r="W120" s="460">
        <v>0</v>
      </c>
      <c r="X120" s="460">
        <v>0</v>
      </c>
      <c r="Y120" s="460">
        <v>0</v>
      </c>
      <c r="Z120" s="460">
        <f t="shared" si="361"/>
        <v>0</v>
      </c>
      <c r="AA120" s="460">
        <f t="shared" si="362"/>
        <v>0</v>
      </c>
      <c r="AB120" s="69">
        <f t="shared" si="363"/>
        <v>0</v>
      </c>
      <c r="AC120" s="69">
        <f t="shared" si="364"/>
        <v>0</v>
      </c>
      <c r="AD120" s="460">
        <v>0</v>
      </c>
      <c r="AE120" s="460">
        <v>0</v>
      </c>
      <c r="AF120" s="460">
        <f t="shared" si="365"/>
        <v>0</v>
      </c>
      <c r="AG120" s="460">
        <f t="shared" si="366"/>
        <v>0</v>
      </c>
      <c r="AH120" s="461">
        <v>0</v>
      </c>
      <c r="AI120" s="461">
        <v>0</v>
      </c>
      <c r="AJ120" s="461">
        <v>0</v>
      </c>
      <c r="AK120" s="461">
        <v>0</v>
      </c>
      <c r="AL120" s="674">
        <v>0</v>
      </c>
      <c r="AM120" s="461">
        <v>0</v>
      </c>
      <c r="AN120" s="461">
        <v>0</v>
      </c>
      <c r="AO120" s="461">
        <v>0</v>
      </c>
      <c r="AP120" s="461">
        <f t="shared" si="367"/>
        <v>0</v>
      </c>
      <c r="AQ120" s="461">
        <f t="shared" si="368"/>
        <v>0</v>
      </c>
      <c r="AR120" s="463">
        <f t="shared" si="369"/>
        <v>0</v>
      </c>
      <c r="AS120" s="469">
        <f t="shared" si="370"/>
        <v>21990</v>
      </c>
      <c r="AT120" s="460">
        <f t="shared" si="371"/>
        <v>15712</v>
      </c>
      <c r="AU120" s="460">
        <f t="shared" si="372"/>
        <v>0</v>
      </c>
      <c r="AV120" s="460">
        <f t="shared" si="373"/>
        <v>5311</v>
      </c>
      <c r="AW120" s="460">
        <f t="shared" si="373"/>
        <v>157</v>
      </c>
      <c r="AX120" s="460">
        <f t="shared" si="374"/>
        <v>810</v>
      </c>
      <c r="AY120" s="461">
        <f t="shared" si="375"/>
        <v>0.06</v>
      </c>
      <c r="AZ120" s="461">
        <f t="shared" si="376"/>
        <v>0</v>
      </c>
      <c r="BA120" s="463">
        <f t="shared" si="376"/>
        <v>0.06</v>
      </c>
    </row>
    <row r="121" spans="1:53" s="229" customFormat="1" x14ac:dyDescent="0.2">
      <c r="A121" s="158">
        <v>21</v>
      </c>
      <c r="B121" s="18">
        <v>4435</v>
      </c>
      <c r="C121" s="18">
        <v>650034295</v>
      </c>
      <c r="D121" s="18">
        <v>72744669</v>
      </c>
      <c r="E121" s="167" t="s">
        <v>190</v>
      </c>
      <c r="F121" s="18"/>
      <c r="G121" s="157"/>
      <c r="H121" s="191"/>
      <c r="I121" s="505">
        <f t="shared" ref="I121:P121" si="377">SUM(I115:I120)</f>
        <v>12196275</v>
      </c>
      <c r="J121" s="502">
        <f t="shared" si="377"/>
        <v>8943787</v>
      </c>
      <c r="K121" s="502">
        <f t="shared" si="377"/>
        <v>3023001</v>
      </c>
      <c r="L121" s="502">
        <f t="shared" si="377"/>
        <v>89438</v>
      </c>
      <c r="M121" s="502">
        <f t="shared" si="377"/>
        <v>140049</v>
      </c>
      <c r="N121" s="503">
        <f t="shared" si="377"/>
        <v>19.197199999999999</v>
      </c>
      <c r="O121" s="503">
        <f t="shared" si="377"/>
        <v>12.240500000000001</v>
      </c>
      <c r="P121" s="507">
        <f t="shared" si="377"/>
        <v>6.9566999999999997</v>
      </c>
      <c r="Q121" s="505">
        <f t="shared" ref="Q121:BA121" si="378">SUM(Q115:Q120)</f>
        <v>-52000</v>
      </c>
      <c r="R121" s="502">
        <f t="shared" si="378"/>
        <v>481180</v>
      </c>
      <c r="S121" s="502">
        <f t="shared" si="378"/>
        <v>0</v>
      </c>
      <c r="T121" s="502">
        <f t="shared" si="378"/>
        <v>0</v>
      </c>
      <c r="U121" s="502">
        <f t="shared" si="378"/>
        <v>0</v>
      </c>
      <c r="V121" s="502">
        <f t="shared" si="378"/>
        <v>429180</v>
      </c>
      <c r="W121" s="502">
        <f t="shared" si="378"/>
        <v>52000</v>
      </c>
      <c r="X121" s="502">
        <f t="shared" si="378"/>
        <v>0</v>
      </c>
      <c r="Y121" s="502">
        <f t="shared" si="378"/>
        <v>0</v>
      </c>
      <c r="Z121" s="502">
        <f t="shared" si="378"/>
        <v>52000</v>
      </c>
      <c r="AA121" s="502">
        <f t="shared" si="378"/>
        <v>481180</v>
      </c>
      <c r="AB121" s="502">
        <f t="shared" si="378"/>
        <v>162639</v>
      </c>
      <c r="AC121" s="502">
        <f t="shared" si="378"/>
        <v>4291</v>
      </c>
      <c r="AD121" s="502">
        <f t="shared" si="378"/>
        <v>0</v>
      </c>
      <c r="AE121" s="502">
        <f t="shared" si="378"/>
        <v>0</v>
      </c>
      <c r="AF121" s="502">
        <f t="shared" si="378"/>
        <v>0</v>
      </c>
      <c r="AG121" s="502">
        <f t="shared" si="378"/>
        <v>648110</v>
      </c>
      <c r="AH121" s="503">
        <f t="shared" si="378"/>
        <v>0</v>
      </c>
      <c r="AI121" s="503">
        <f t="shared" si="378"/>
        <v>0</v>
      </c>
      <c r="AJ121" s="503">
        <f t="shared" si="378"/>
        <v>1.39</v>
      </c>
      <c r="AK121" s="503">
        <f t="shared" si="378"/>
        <v>0</v>
      </c>
      <c r="AL121" s="503">
        <f t="shared" si="378"/>
        <v>0</v>
      </c>
      <c r="AM121" s="503">
        <f t="shared" si="378"/>
        <v>0</v>
      </c>
      <c r="AN121" s="503">
        <f t="shared" si="378"/>
        <v>0</v>
      </c>
      <c r="AO121" s="503">
        <f t="shared" si="378"/>
        <v>0</v>
      </c>
      <c r="AP121" s="503">
        <f t="shared" si="378"/>
        <v>1.39</v>
      </c>
      <c r="AQ121" s="503">
        <f t="shared" si="378"/>
        <v>0</v>
      </c>
      <c r="AR121" s="40">
        <f t="shared" si="378"/>
        <v>1.39</v>
      </c>
      <c r="AS121" s="509">
        <f t="shared" si="378"/>
        <v>12844385</v>
      </c>
      <c r="AT121" s="502">
        <f t="shared" si="378"/>
        <v>9372967</v>
      </c>
      <c r="AU121" s="502">
        <f t="shared" si="378"/>
        <v>52000</v>
      </c>
      <c r="AV121" s="502">
        <f t="shared" si="378"/>
        <v>3185640</v>
      </c>
      <c r="AW121" s="502">
        <f t="shared" si="378"/>
        <v>93729</v>
      </c>
      <c r="AX121" s="502">
        <f t="shared" si="378"/>
        <v>140049</v>
      </c>
      <c r="AY121" s="503">
        <f t="shared" si="378"/>
        <v>20.587199999999999</v>
      </c>
      <c r="AZ121" s="503">
        <f t="shared" si="378"/>
        <v>13.630500000000001</v>
      </c>
      <c r="BA121" s="40">
        <f t="shared" si="378"/>
        <v>6.9566999999999997</v>
      </c>
    </row>
    <row r="122" spans="1:53" s="229" customFormat="1" x14ac:dyDescent="0.2">
      <c r="A122" s="216">
        <v>22</v>
      </c>
      <c r="B122" s="217">
        <v>4412</v>
      </c>
      <c r="C122" s="217">
        <v>600074447</v>
      </c>
      <c r="D122" s="217">
        <v>70698554</v>
      </c>
      <c r="E122" s="215" t="s">
        <v>191</v>
      </c>
      <c r="F122" s="217">
        <v>3111</v>
      </c>
      <c r="G122" s="168" t="s">
        <v>307</v>
      </c>
      <c r="H122" s="218" t="s">
        <v>277</v>
      </c>
      <c r="I122" s="462">
        <f t="shared" ref="I122:I124" si="379">SUM(J122:M122)</f>
        <v>3583908</v>
      </c>
      <c r="J122" s="457">
        <v>2645036</v>
      </c>
      <c r="K122" s="457">
        <f t="shared" ref="K122:K124" si="380">ROUND(J122*33.8%,0)</f>
        <v>894022</v>
      </c>
      <c r="L122" s="457">
        <f t="shared" ref="L122:L124" si="381">ROUND(J122*1%,0)</f>
        <v>26450</v>
      </c>
      <c r="M122" s="457">
        <v>18400</v>
      </c>
      <c r="N122" s="458">
        <f t="shared" ref="N122:N124" si="382">O122+P122</f>
        <v>5.2</v>
      </c>
      <c r="O122" s="459">
        <v>4</v>
      </c>
      <c r="P122" s="468">
        <v>1.2</v>
      </c>
      <c r="Q122" s="470">
        <f t="shared" ref="Q122:Q124" si="383">W122*-1</f>
        <v>0</v>
      </c>
      <c r="R122" s="460">
        <v>0</v>
      </c>
      <c r="S122" s="673">
        <v>0</v>
      </c>
      <c r="T122" s="460">
        <v>0</v>
      </c>
      <c r="U122" s="460">
        <v>0</v>
      </c>
      <c r="V122" s="460">
        <f>SUM(Q122:U122)</f>
        <v>0</v>
      </c>
      <c r="W122" s="460">
        <v>0</v>
      </c>
      <c r="X122" s="460">
        <v>0</v>
      </c>
      <c r="Y122" s="460">
        <v>0</v>
      </c>
      <c r="Z122" s="460">
        <f t="shared" ref="Z122:Z124" si="384">SUM(W122:Y122)</f>
        <v>0</v>
      </c>
      <c r="AA122" s="460">
        <f t="shared" ref="AA122:AA124" si="385">V122+Z122</f>
        <v>0</v>
      </c>
      <c r="AB122" s="69">
        <f t="shared" ref="AB122:AB124" si="386">ROUND((V122+W122+X122)*33.8%,0)</f>
        <v>0</v>
      </c>
      <c r="AC122" s="69">
        <f t="shared" ref="AC122:AC124" si="387">ROUND(V122*1%,0)</f>
        <v>0</v>
      </c>
      <c r="AD122" s="460">
        <v>0</v>
      </c>
      <c r="AE122" s="460">
        <v>0</v>
      </c>
      <c r="AF122" s="460">
        <f t="shared" ref="AF122:AF124" si="388">SUM(AD122:AE122)</f>
        <v>0</v>
      </c>
      <c r="AG122" s="460">
        <f t="shared" ref="AG122:AG124" si="389">AA122+AB122+AC122+AF122</f>
        <v>0</v>
      </c>
      <c r="AH122" s="461">
        <v>0</v>
      </c>
      <c r="AI122" s="461">
        <v>0</v>
      </c>
      <c r="AJ122" s="461">
        <v>0</v>
      </c>
      <c r="AK122" s="461">
        <v>0</v>
      </c>
      <c r="AL122" s="674">
        <v>0</v>
      </c>
      <c r="AM122" s="461">
        <v>0</v>
      </c>
      <c r="AN122" s="461">
        <v>0</v>
      </c>
      <c r="AO122" s="461">
        <v>0</v>
      </c>
      <c r="AP122" s="461">
        <f>AH122+AJ122+AK122+AM122+AN122</f>
        <v>0</v>
      </c>
      <c r="AQ122" s="461">
        <f>AI122+AL122+AO122</f>
        <v>0</v>
      </c>
      <c r="AR122" s="463">
        <f t="shared" ref="AR122:AR124" si="390">SUM(AP122:AQ122)</f>
        <v>0</v>
      </c>
      <c r="AS122" s="469">
        <f>I122+AG122</f>
        <v>3583908</v>
      </c>
      <c r="AT122" s="460">
        <f>J122+V122</f>
        <v>2645036</v>
      </c>
      <c r="AU122" s="460">
        <f t="shared" ref="AU122:AU124" si="391">Z122</f>
        <v>0</v>
      </c>
      <c r="AV122" s="460">
        <f t="shared" ref="AV122:AW124" si="392">K122+AB122</f>
        <v>894022</v>
      </c>
      <c r="AW122" s="460">
        <f t="shared" si="392"/>
        <v>26450</v>
      </c>
      <c r="AX122" s="460">
        <f>M122+AF122</f>
        <v>18400</v>
      </c>
      <c r="AY122" s="461">
        <f>N122+AR122</f>
        <v>5.2</v>
      </c>
      <c r="AZ122" s="461">
        <f t="shared" ref="AZ122:BA124" si="393">O122+AP122</f>
        <v>4</v>
      </c>
      <c r="BA122" s="463">
        <f t="shared" si="393"/>
        <v>1.2</v>
      </c>
    </row>
    <row r="123" spans="1:53" s="229" customFormat="1" x14ac:dyDescent="0.2">
      <c r="A123" s="216">
        <v>22</v>
      </c>
      <c r="B123" s="217">
        <v>4412</v>
      </c>
      <c r="C123" s="217">
        <v>600074447</v>
      </c>
      <c r="D123" s="217">
        <v>70698554</v>
      </c>
      <c r="E123" s="215" t="s">
        <v>191</v>
      </c>
      <c r="F123" s="217">
        <v>3111</v>
      </c>
      <c r="G123" s="168" t="s">
        <v>308</v>
      </c>
      <c r="H123" s="218" t="s">
        <v>278</v>
      </c>
      <c r="I123" s="462">
        <f t="shared" si="379"/>
        <v>0</v>
      </c>
      <c r="J123" s="457">
        <v>0</v>
      </c>
      <c r="K123" s="457">
        <f t="shared" si="380"/>
        <v>0</v>
      </c>
      <c r="L123" s="457">
        <f t="shared" si="381"/>
        <v>0</v>
      </c>
      <c r="M123" s="457">
        <v>0</v>
      </c>
      <c r="N123" s="458">
        <f t="shared" si="382"/>
        <v>0</v>
      </c>
      <c r="O123" s="459">
        <v>0</v>
      </c>
      <c r="P123" s="468">
        <v>0</v>
      </c>
      <c r="Q123" s="470">
        <f t="shared" si="383"/>
        <v>0</v>
      </c>
      <c r="R123" s="460">
        <v>259835</v>
      </c>
      <c r="S123" s="673">
        <v>0</v>
      </c>
      <c r="T123" s="460">
        <v>0</v>
      </c>
      <c r="U123" s="460">
        <v>0</v>
      </c>
      <c r="V123" s="460">
        <f>SUM(Q123:U123)</f>
        <v>259835</v>
      </c>
      <c r="W123" s="460">
        <v>0</v>
      </c>
      <c r="X123" s="460">
        <v>0</v>
      </c>
      <c r="Y123" s="460">
        <v>0</v>
      </c>
      <c r="Z123" s="460">
        <f t="shared" si="384"/>
        <v>0</v>
      </c>
      <c r="AA123" s="460">
        <f t="shared" si="385"/>
        <v>259835</v>
      </c>
      <c r="AB123" s="69">
        <f t="shared" si="386"/>
        <v>87824</v>
      </c>
      <c r="AC123" s="69">
        <f t="shared" si="387"/>
        <v>2598</v>
      </c>
      <c r="AD123" s="460">
        <v>0</v>
      </c>
      <c r="AE123" s="460">
        <v>0</v>
      </c>
      <c r="AF123" s="460">
        <f t="shared" si="388"/>
        <v>0</v>
      </c>
      <c r="AG123" s="460">
        <f t="shared" si="389"/>
        <v>350257</v>
      </c>
      <c r="AH123" s="461">
        <v>0</v>
      </c>
      <c r="AI123" s="461">
        <v>0</v>
      </c>
      <c r="AJ123" s="461">
        <v>0.75</v>
      </c>
      <c r="AK123" s="461">
        <v>0</v>
      </c>
      <c r="AL123" s="674">
        <v>0</v>
      </c>
      <c r="AM123" s="461">
        <v>0</v>
      </c>
      <c r="AN123" s="461">
        <v>0</v>
      </c>
      <c r="AO123" s="461">
        <v>0</v>
      </c>
      <c r="AP123" s="461">
        <f>AH123+AJ123+AK123+AM123+AN123</f>
        <v>0.75</v>
      </c>
      <c r="AQ123" s="461">
        <f>AI123+AL123+AO123</f>
        <v>0</v>
      </c>
      <c r="AR123" s="463">
        <f t="shared" si="390"/>
        <v>0.75</v>
      </c>
      <c r="AS123" s="469">
        <f>I123+AG123</f>
        <v>350257</v>
      </c>
      <c r="AT123" s="460">
        <f>J123+V123</f>
        <v>259835</v>
      </c>
      <c r="AU123" s="460">
        <f t="shared" si="391"/>
        <v>0</v>
      </c>
      <c r="AV123" s="460">
        <f t="shared" si="392"/>
        <v>87824</v>
      </c>
      <c r="AW123" s="460">
        <f t="shared" si="392"/>
        <v>2598</v>
      </c>
      <c r="AX123" s="460">
        <f>M123+AF123</f>
        <v>0</v>
      </c>
      <c r="AY123" s="461">
        <f>N123+AR123</f>
        <v>0.75</v>
      </c>
      <c r="AZ123" s="461">
        <f t="shared" si="393"/>
        <v>0.75</v>
      </c>
      <c r="BA123" s="463">
        <f t="shared" si="393"/>
        <v>0</v>
      </c>
    </row>
    <row r="124" spans="1:53" s="229" customFormat="1" x14ac:dyDescent="0.2">
      <c r="A124" s="216">
        <v>22</v>
      </c>
      <c r="B124" s="217">
        <v>4412</v>
      </c>
      <c r="C124" s="217">
        <v>600074447</v>
      </c>
      <c r="D124" s="217">
        <v>70698554</v>
      </c>
      <c r="E124" s="210" t="s">
        <v>191</v>
      </c>
      <c r="F124" s="217">
        <v>3141</v>
      </c>
      <c r="G124" s="168" t="s">
        <v>311</v>
      </c>
      <c r="H124" s="218" t="s">
        <v>278</v>
      </c>
      <c r="I124" s="462">
        <f t="shared" si="379"/>
        <v>613255</v>
      </c>
      <c r="J124" s="457">
        <v>453162</v>
      </c>
      <c r="K124" s="457">
        <f t="shared" si="380"/>
        <v>153169</v>
      </c>
      <c r="L124" s="457">
        <f t="shared" si="381"/>
        <v>4532</v>
      </c>
      <c r="M124" s="457">
        <v>2392</v>
      </c>
      <c r="N124" s="458">
        <f t="shared" si="382"/>
        <v>1.46</v>
      </c>
      <c r="O124" s="459">
        <v>0</v>
      </c>
      <c r="P124" s="468">
        <v>1.46</v>
      </c>
      <c r="Q124" s="470">
        <f t="shared" si="383"/>
        <v>0</v>
      </c>
      <c r="R124" s="460">
        <v>0</v>
      </c>
      <c r="S124" s="673">
        <v>0</v>
      </c>
      <c r="T124" s="460">
        <v>0</v>
      </c>
      <c r="U124" s="460">
        <v>0</v>
      </c>
      <c r="V124" s="460">
        <f>SUM(Q124:U124)</f>
        <v>0</v>
      </c>
      <c r="W124" s="460">
        <v>0</v>
      </c>
      <c r="X124" s="460">
        <v>0</v>
      </c>
      <c r="Y124" s="460">
        <v>0</v>
      </c>
      <c r="Z124" s="460">
        <f t="shared" si="384"/>
        <v>0</v>
      </c>
      <c r="AA124" s="460">
        <f t="shared" si="385"/>
        <v>0</v>
      </c>
      <c r="AB124" s="69">
        <f t="shared" si="386"/>
        <v>0</v>
      </c>
      <c r="AC124" s="69">
        <f t="shared" si="387"/>
        <v>0</v>
      </c>
      <c r="AD124" s="460">
        <v>0</v>
      </c>
      <c r="AE124" s="460">
        <v>0</v>
      </c>
      <c r="AF124" s="460">
        <f t="shared" si="388"/>
        <v>0</v>
      </c>
      <c r="AG124" s="460">
        <f t="shared" si="389"/>
        <v>0</v>
      </c>
      <c r="AH124" s="461">
        <v>0</v>
      </c>
      <c r="AI124" s="461">
        <v>0</v>
      </c>
      <c r="AJ124" s="461">
        <v>0</v>
      </c>
      <c r="AK124" s="461">
        <v>0</v>
      </c>
      <c r="AL124" s="674">
        <v>0</v>
      </c>
      <c r="AM124" s="461">
        <v>0</v>
      </c>
      <c r="AN124" s="461">
        <v>0</v>
      </c>
      <c r="AO124" s="461">
        <v>0</v>
      </c>
      <c r="AP124" s="461">
        <f>AH124+AJ124+AK124+AM124+AN124</f>
        <v>0</v>
      </c>
      <c r="AQ124" s="461">
        <f>AI124+AL124+AO124</f>
        <v>0</v>
      </c>
      <c r="AR124" s="463">
        <f t="shared" si="390"/>
        <v>0</v>
      </c>
      <c r="AS124" s="469">
        <f>I124+AG124</f>
        <v>613255</v>
      </c>
      <c r="AT124" s="460">
        <f>J124+V124</f>
        <v>453162</v>
      </c>
      <c r="AU124" s="460">
        <f t="shared" si="391"/>
        <v>0</v>
      </c>
      <c r="AV124" s="460">
        <f t="shared" si="392"/>
        <v>153169</v>
      </c>
      <c r="AW124" s="460">
        <f t="shared" si="392"/>
        <v>4532</v>
      </c>
      <c r="AX124" s="460">
        <f>M124+AF124</f>
        <v>2392</v>
      </c>
      <c r="AY124" s="461">
        <f>N124+AR124</f>
        <v>1.46</v>
      </c>
      <c r="AZ124" s="461">
        <f t="shared" si="393"/>
        <v>0</v>
      </c>
      <c r="BA124" s="463">
        <f t="shared" si="393"/>
        <v>1.46</v>
      </c>
    </row>
    <row r="125" spans="1:53" s="229" customFormat="1" x14ac:dyDescent="0.2">
      <c r="A125" s="158">
        <v>22</v>
      </c>
      <c r="B125" s="18">
        <v>4412</v>
      </c>
      <c r="C125" s="18">
        <v>600074447</v>
      </c>
      <c r="D125" s="18">
        <v>70698554</v>
      </c>
      <c r="E125" s="167" t="s">
        <v>192</v>
      </c>
      <c r="F125" s="18"/>
      <c r="G125" s="157"/>
      <c r="H125" s="191"/>
      <c r="I125" s="505">
        <f t="shared" ref="I125:P125" si="394">SUM(I122:I124)</f>
        <v>4197163</v>
      </c>
      <c r="J125" s="502">
        <f t="shared" si="394"/>
        <v>3098198</v>
      </c>
      <c r="K125" s="502">
        <f t="shared" si="394"/>
        <v>1047191</v>
      </c>
      <c r="L125" s="502">
        <f t="shared" si="394"/>
        <v>30982</v>
      </c>
      <c r="M125" s="502">
        <f t="shared" si="394"/>
        <v>20792</v>
      </c>
      <c r="N125" s="503">
        <f t="shared" si="394"/>
        <v>6.66</v>
      </c>
      <c r="O125" s="503">
        <f t="shared" si="394"/>
        <v>4</v>
      </c>
      <c r="P125" s="507">
        <f t="shared" si="394"/>
        <v>2.66</v>
      </c>
      <c r="Q125" s="505">
        <f t="shared" ref="Q125:BA125" si="395">SUM(Q122:Q124)</f>
        <v>0</v>
      </c>
      <c r="R125" s="502">
        <f t="shared" si="395"/>
        <v>259835</v>
      </c>
      <c r="S125" s="502">
        <f t="shared" si="395"/>
        <v>0</v>
      </c>
      <c r="T125" s="502">
        <f t="shared" si="395"/>
        <v>0</v>
      </c>
      <c r="U125" s="502">
        <f t="shared" si="395"/>
        <v>0</v>
      </c>
      <c r="V125" s="502">
        <f t="shared" si="395"/>
        <v>259835</v>
      </c>
      <c r="W125" s="502">
        <f t="shared" si="395"/>
        <v>0</v>
      </c>
      <c r="X125" s="502">
        <f t="shared" si="395"/>
        <v>0</v>
      </c>
      <c r="Y125" s="502">
        <f t="shared" si="395"/>
        <v>0</v>
      </c>
      <c r="Z125" s="502">
        <f t="shared" si="395"/>
        <v>0</v>
      </c>
      <c r="AA125" s="502">
        <f t="shared" si="395"/>
        <v>259835</v>
      </c>
      <c r="AB125" s="502">
        <f t="shared" si="395"/>
        <v>87824</v>
      </c>
      <c r="AC125" s="502">
        <f t="shared" si="395"/>
        <v>2598</v>
      </c>
      <c r="AD125" s="502">
        <f t="shared" si="395"/>
        <v>0</v>
      </c>
      <c r="AE125" s="502">
        <f t="shared" si="395"/>
        <v>0</v>
      </c>
      <c r="AF125" s="502">
        <f t="shared" si="395"/>
        <v>0</v>
      </c>
      <c r="AG125" s="502">
        <f t="shared" si="395"/>
        <v>350257</v>
      </c>
      <c r="AH125" s="503">
        <f t="shared" si="395"/>
        <v>0</v>
      </c>
      <c r="AI125" s="503">
        <f t="shared" si="395"/>
        <v>0</v>
      </c>
      <c r="AJ125" s="503">
        <f t="shared" si="395"/>
        <v>0.75</v>
      </c>
      <c r="AK125" s="503">
        <f t="shared" si="395"/>
        <v>0</v>
      </c>
      <c r="AL125" s="503">
        <f t="shared" si="395"/>
        <v>0</v>
      </c>
      <c r="AM125" s="503">
        <f t="shared" si="395"/>
        <v>0</v>
      </c>
      <c r="AN125" s="503">
        <f t="shared" si="395"/>
        <v>0</v>
      </c>
      <c r="AO125" s="503">
        <f t="shared" si="395"/>
        <v>0</v>
      </c>
      <c r="AP125" s="503">
        <f t="shared" si="395"/>
        <v>0.75</v>
      </c>
      <c r="AQ125" s="503">
        <f t="shared" si="395"/>
        <v>0</v>
      </c>
      <c r="AR125" s="40">
        <f t="shared" si="395"/>
        <v>0.75</v>
      </c>
      <c r="AS125" s="509">
        <f t="shared" si="395"/>
        <v>4547420</v>
      </c>
      <c r="AT125" s="502">
        <f t="shared" si="395"/>
        <v>3358033</v>
      </c>
      <c r="AU125" s="502">
        <f t="shared" si="395"/>
        <v>0</v>
      </c>
      <c r="AV125" s="502">
        <f t="shared" si="395"/>
        <v>1135015</v>
      </c>
      <c r="AW125" s="502">
        <f t="shared" si="395"/>
        <v>33580</v>
      </c>
      <c r="AX125" s="502">
        <f t="shared" si="395"/>
        <v>20792</v>
      </c>
      <c r="AY125" s="503">
        <f t="shared" si="395"/>
        <v>7.41</v>
      </c>
      <c r="AZ125" s="503">
        <f t="shared" si="395"/>
        <v>4.75</v>
      </c>
      <c r="BA125" s="40">
        <f t="shared" si="395"/>
        <v>2.66</v>
      </c>
    </row>
    <row r="126" spans="1:53" s="229" customFormat="1" x14ac:dyDescent="0.2">
      <c r="A126" s="216">
        <v>23</v>
      </c>
      <c r="B126" s="217">
        <v>4413</v>
      </c>
      <c r="C126" s="217">
        <v>600074455</v>
      </c>
      <c r="D126" s="217">
        <v>70695369</v>
      </c>
      <c r="E126" s="215" t="s">
        <v>193</v>
      </c>
      <c r="F126" s="217">
        <v>3111</v>
      </c>
      <c r="G126" s="168" t="s">
        <v>307</v>
      </c>
      <c r="H126" s="218" t="s">
        <v>277</v>
      </c>
      <c r="I126" s="462">
        <f t="shared" ref="I126:I130" si="396">SUM(J126:M126)</f>
        <v>9421202</v>
      </c>
      <c r="J126" s="457">
        <v>6948295</v>
      </c>
      <c r="K126" s="457">
        <f t="shared" ref="K126:K130" si="397">ROUND(J126*33.8%,0)</f>
        <v>2348524</v>
      </c>
      <c r="L126" s="457">
        <f t="shared" ref="L126:L130" si="398">ROUND(J126*1%,0)</f>
        <v>69483</v>
      </c>
      <c r="M126" s="457">
        <v>54900</v>
      </c>
      <c r="N126" s="458">
        <f t="shared" ref="N126:N130" si="399">O126+P126</f>
        <v>13.99</v>
      </c>
      <c r="O126" s="459">
        <v>11</v>
      </c>
      <c r="P126" s="468">
        <v>2.99</v>
      </c>
      <c r="Q126" s="470">
        <f t="shared" ref="Q126:Q130" si="400">W126*-1</f>
        <v>0</v>
      </c>
      <c r="R126" s="460">
        <v>0</v>
      </c>
      <c r="S126" s="673">
        <v>0</v>
      </c>
      <c r="T126" s="460">
        <v>0</v>
      </c>
      <c r="U126" s="460">
        <v>0</v>
      </c>
      <c r="V126" s="460">
        <f>SUM(Q126:U126)</f>
        <v>0</v>
      </c>
      <c r="W126" s="460">
        <v>0</v>
      </c>
      <c r="X126" s="460">
        <v>0</v>
      </c>
      <c r="Y126" s="460">
        <v>0</v>
      </c>
      <c r="Z126" s="460">
        <f t="shared" ref="Z126:Z130" si="401">SUM(W126:Y126)</f>
        <v>0</v>
      </c>
      <c r="AA126" s="460">
        <f t="shared" ref="AA126:AA130" si="402">V126+Z126</f>
        <v>0</v>
      </c>
      <c r="AB126" s="69">
        <f t="shared" ref="AB126:AB130" si="403">ROUND((V126+W126+X126)*33.8%,0)</f>
        <v>0</v>
      </c>
      <c r="AC126" s="69">
        <f t="shared" ref="AC126:AC130" si="404">ROUND(V126*1%,0)</f>
        <v>0</v>
      </c>
      <c r="AD126" s="460">
        <v>0</v>
      </c>
      <c r="AE126" s="460">
        <v>0</v>
      </c>
      <c r="AF126" s="460">
        <f t="shared" ref="AF126:AF130" si="405">SUM(AD126:AE126)</f>
        <v>0</v>
      </c>
      <c r="AG126" s="460">
        <f t="shared" ref="AG126:AG130" si="406">AA126+AB126+AC126+AF126</f>
        <v>0</v>
      </c>
      <c r="AH126" s="461">
        <v>0</v>
      </c>
      <c r="AI126" s="461">
        <v>0</v>
      </c>
      <c r="AJ126" s="461">
        <v>0</v>
      </c>
      <c r="AK126" s="461">
        <v>0</v>
      </c>
      <c r="AL126" s="674">
        <v>0</v>
      </c>
      <c r="AM126" s="461">
        <v>0</v>
      </c>
      <c r="AN126" s="461">
        <v>0</v>
      </c>
      <c r="AO126" s="461">
        <v>0</v>
      </c>
      <c r="AP126" s="461">
        <f>AH126+AJ126+AK126+AM126+AN126</f>
        <v>0</v>
      </c>
      <c r="AQ126" s="461">
        <f>AI126+AL126+AO126</f>
        <v>0</v>
      </c>
      <c r="AR126" s="463">
        <f t="shared" ref="AR126:AR130" si="407">SUM(AP126:AQ126)</f>
        <v>0</v>
      </c>
      <c r="AS126" s="469">
        <f>I126+AG126</f>
        <v>9421202</v>
      </c>
      <c r="AT126" s="460">
        <f>J126+V126</f>
        <v>6948295</v>
      </c>
      <c r="AU126" s="460">
        <f t="shared" ref="AU126:AU130" si="408">Z126</f>
        <v>0</v>
      </c>
      <c r="AV126" s="460">
        <f t="shared" ref="AV126:AW130" si="409">K126+AB126</f>
        <v>2348524</v>
      </c>
      <c r="AW126" s="460">
        <f t="shared" si="409"/>
        <v>69483</v>
      </c>
      <c r="AX126" s="460">
        <f>M126+AF126</f>
        <v>54900</v>
      </c>
      <c r="AY126" s="461">
        <f>N126+AR126</f>
        <v>13.99</v>
      </c>
      <c r="AZ126" s="461">
        <f t="shared" ref="AZ126:BA130" si="410">O126+AP126</f>
        <v>11</v>
      </c>
      <c r="BA126" s="463">
        <f t="shared" si="410"/>
        <v>2.99</v>
      </c>
    </row>
    <row r="127" spans="1:53" s="229" customFormat="1" x14ac:dyDescent="0.2">
      <c r="A127" s="216">
        <v>23</v>
      </c>
      <c r="B127" s="217">
        <v>4413</v>
      </c>
      <c r="C127" s="217">
        <v>600074455</v>
      </c>
      <c r="D127" s="217">
        <v>70695369</v>
      </c>
      <c r="E127" s="215" t="s">
        <v>193</v>
      </c>
      <c r="F127" s="217">
        <v>3111</v>
      </c>
      <c r="G127" s="168" t="s">
        <v>308</v>
      </c>
      <c r="H127" s="218" t="s">
        <v>278</v>
      </c>
      <c r="I127" s="462">
        <f t="shared" si="396"/>
        <v>0</v>
      </c>
      <c r="J127" s="457">
        <v>0</v>
      </c>
      <c r="K127" s="457">
        <f t="shared" si="397"/>
        <v>0</v>
      </c>
      <c r="L127" s="457">
        <f t="shared" si="398"/>
        <v>0</v>
      </c>
      <c r="M127" s="457">
        <v>0</v>
      </c>
      <c r="N127" s="458">
        <f t="shared" si="399"/>
        <v>0</v>
      </c>
      <c r="O127" s="459">
        <v>0</v>
      </c>
      <c r="P127" s="468">
        <v>0</v>
      </c>
      <c r="Q127" s="470">
        <f t="shared" si="400"/>
        <v>0</v>
      </c>
      <c r="R127" s="460">
        <v>1559011</v>
      </c>
      <c r="S127" s="673">
        <v>0</v>
      </c>
      <c r="T127" s="460">
        <v>0</v>
      </c>
      <c r="U127" s="460">
        <v>0</v>
      </c>
      <c r="V127" s="460">
        <f>SUM(Q127:U127)</f>
        <v>1559011</v>
      </c>
      <c r="W127" s="460">
        <v>0</v>
      </c>
      <c r="X127" s="460">
        <v>0</v>
      </c>
      <c r="Y127" s="460">
        <v>0</v>
      </c>
      <c r="Z127" s="460">
        <f t="shared" si="401"/>
        <v>0</v>
      </c>
      <c r="AA127" s="460">
        <f t="shared" si="402"/>
        <v>1559011</v>
      </c>
      <c r="AB127" s="69">
        <f t="shared" si="403"/>
        <v>526946</v>
      </c>
      <c r="AC127" s="69">
        <f t="shared" si="404"/>
        <v>15590</v>
      </c>
      <c r="AD127" s="460">
        <v>0</v>
      </c>
      <c r="AE127" s="460">
        <v>0</v>
      </c>
      <c r="AF127" s="460">
        <f t="shared" si="405"/>
        <v>0</v>
      </c>
      <c r="AG127" s="460">
        <f t="shared" si="406"/>
        <v>2101547</v>
      </c>
      <c r="AH127" s="461">
        <v>0</v>
      </c>
      <c r="AI127" s="461">
        <v>0</v>
      </c>
      <c r="AJ127" s="461">
        <v>4.5</v>
      </c>
      <c r="AK127" s="461">
        <v>0</v>
      </c>
      <c r="AL127" s="674">
        <v>0</v>
      </c>
      <c r="AM127" s="461">
        <v>0</v>
      </c>
      <c r="AN127" s="461">
        <v>0</v>
      </c>
      <c r="AO127" s="461">
        <v>0</v>
      </c>
      <c r="AP127" s="461">
        <f>AH127+AJ127+AK127+AM127+AN127</f>
        <v>4.5</v>
      </c>
      <c r="AQ127" s="461">
        <f>AI127+AL127+AO127</f>
        <v>0</v>
      </c>
      <c r="AR127" s="463">
        <f t="shared" si="407"/>
        <v>4.5</v>
      </c>
      <c r="AS127" s="469">
        <f>I127+AG127</f>
        <v>2101547</v>
      </c>
      <c r="AT127" s="460">
        <f>J127+V127</f>
        <v>1559011</v>
      </c>
      <c r="AU127" s="460">
        <f t="shared" si="408"/>
        <v>0</v>
      </c>
      <c r="AV127" s="460">
        <f t="shared" si="409"/>
        <v>526946</v>
      </c>
      <c r="AW127" s="460">
        <f t="shared" si="409"/>
        <v>15590</v>
      </c>
      <c r="AX127" s="460">
        <f>M127+AF127</f>
        <v>0</v>
      </c>
      <c r="AY127" s="461">
        <f>N127+AR127</f>
        <v>4.5</v>
      </c>
      <c r="AZ127" s="461">
        <f t="shared" si="410"/>
        <v>4.5</v>
      </c>
      <c r="BA127" s="463">
        <f t="shared" si="410"/>
        <v>0</v>
      </c>
    </row>
    <row r="128" spans="1:53" s="229" customFormat="1" x14ac:dyDescent="0.2">
      <c r="A128" s="216">
        <v>23</v>
      </c>
      <c r="B128" s="217">
        <v>4413</v>
      </c>
      <c r="C128" s="217">
        <v>600074455</v>
      </c>
      <c r="D128" s="217">
        <v>70695369</v>
      </c>
      <c r="E128" s="215" t="s">
        <v>193</v>
      </c>
      <c r="F128" s="217">
        <v>3141</v>
      </c>
      <c r="G128" s="168" t="s">
        <v>311</v>
      </c>
      <c r="H128" s="218" t="s">
        <v>278</v>
      </c>
      <c r="I128" s="462">
        <f t="shared" si="396"/>
        <v>1623476</v>
      </c>
      <c r="J128" s="457">
        <v>1198187</v>
      </c>
      <c r="K128" s="457">
        <f t="shared" si="397"/>
        <v>404987</v>
      </c>
      <c r="L128" s="457">
        <f t="shared" si="398"/>
        <v>11982</v>
      </c>
      <c r="M128" s="457">
        <v>8320</v>
      </c>
      <c r="N128" s="458">
        <f t="shared" si="399"/>
        <v>3.85</v>
      </c>
      <c r="O128" s="459">
        <v>0</v>
      </c>
      <c r="P128" s="468">
        <v>3.85</v>
      </c>
      <c r="Q128" s="470">
        <f t="shared" si="400"/>
        <v>0</v>
      </c>
      <c r="R128" s="460">
        <v>0</v>
      </c>
      <c r="S128" s="673">
        <v>0</v>
      </c>
      <c r="T128" s="460">
        <v>0</v>
      </c>
      <c r="U128" s="460">
        <v>0</v>
      </c>
      <c r="V128" s="460">
        <f>SUM(Q128:U128)</f>
        <v>0</v>
      </c>
      <c r="W128" s="460">
        <v>0</v>
      </c>
      <c r="X128" s="460">
        <v>0</v>
      </c>
      <c r="Y128" s="460">
        <v>0</v>
      </c>
      <c r="Z128" s="460">
        <f t="shared" si="401"/>
        <v>0</v>
      </c>
      <c r="AA128" s="460">
        <f t="shared" si="402"/>
        <v>0</v>
      </c>
      <c r="AB128" s="69">
        <f t="shared" si="403"/>
        <v>0</v>
      </c>
      <c r="AC128" s="69">
        <f t="shared" si="404"/>
        <v>0</v>
      </c>
      <c r="AD128" s="460">
        <v>0</v>
      </c>
      <c r="AE128" s="460">
        <v>0</v>
      </c>
      <c r="AF128" s="460">
        <f t="shared" si="405"/>
        <v>0</v>
      </c>
      <c r="AG128" s="460">
        <f t="shared" si="406"/>
        <v>0</v>
      </c>
      <c r="AH128" s="461">
        <v>0</v>
      </c>
      <c r="AI128" s="461">
        <v>0</v>
      </c>
      <c r="AJ128" s="461">
        <v>0</v>
      </c>
      <c r="AK128" s="461">
        <v>0</v>
      </c>
      <c r="AL128" s="674">
        <v>0</v>
      </c>
      <c r="AM128" s="461">
        <v>0</v>
      </c>
      <c r="AN128" s="461">
        <v>0</v>
      </c>
      <c r="AO128" s="461">
        <v>0</v>
      </c>
      <c r="AP128" s="461">
        <f>AH128+AJ128+AK128+AM128+AN128</f>
        <v>0</v>
      </c>
      <c r="AQ128" s="461">
        <f>AI128+AL128+AO128</f>
        <v>0</v>
      </c>
      <c r="AR128" s="463">
        <f t="shared" si="407"/>
        <v>0</v>
      </c>
      <c r="AS128" s="469">
        <f>I128+AG128</f>
        <v>1623476</v>
      </c>
      <c r="AT128" s="460">
        <f>J128+V128</f>
        <v>1198187</v>
      </c>
      <c r="AU128" s="460">
        <f t="shared" si="408"/>
        <v>0</v>
      </c>
      <c r="AV128" s="460">
        <f t="shared" si="409"/>
        <v>404987</v>
      </c>
      <c r="AW128" s="460">
        <f t="shared" si="409"/>
        <v>11982</v>
      </c>
      <c r="AX128" s="460">
        <f>M128+AF128</f>
        <v>8320</v>
      </c>
      <c r="AY128" s="461">
        <f>N128+AR128</f>
        <v>3.85</v>
      </c>
      <c r="AZ128" s="461">
        <f t="shared" si="410"/>
        <v>0</v>
      </c>
      <c r="BA128" s="463">
        <f t="shared" si="410"/>
        <v>3.85</v>
      </c>
    </row>
    <row r="129" spans="1:53" s="229" customFormat="1" x14ac:dyDescent="0.2">
      <c r="A129" s="216">
        <v>23</v>
      </c>
      <c r="B129" s="217">
        <v>4413</v>
      </c>
      <c r="C129" s="217">
        <v>600074455</v>
      </c>
      <c r="D129" s="217">
        <v>70695369</v>
      </c>
      <c r="E129" s="215" t="s">
        <v>193</v>
      </c>
      <c r="F129" s="217">
        <v>3143</v>
      </c>
      <c r="G129" s="168" t="s">
        <v>616</v>
      </c>
      <c r="H129" s="234" t="s">
        <v>277</v>
      </c>
      <c r="I129" s="462">
        <f t="shared" si="396"/>
        <v>1165916</v>
      </c>
      <c r="J129" s="457">
        <v>864923</v>
      </c>
      <c r="K129" s="457">
        <f t="shared" si="397"/>
        <v>292344</v>
      </c>
      <c r="L129" s="457">
        <f t="shared" si="398"/>
        <v>8649</v>
      </c>
      <c r="M129" s="457">
        <v>0</v>
      </c>
      <c r="N129" s="458">
        <f t="shared" si="399"/>
        <v>2</v>
      </c>
      <c r="O129" s="459">
        <v>2</v>
      </c>
      <c r="P129" s="468">
        <v>0</v>
      </c>
      <c r="Q129" s="470">
        <f t="shared" si="400"/>
        <v>0</v>
      </c>
      <c r="R129" s="460">
        <v>0</v>
      </c>
      <c r="S129" s="673">
        <v>0</v>
      </c>
      <c r="T129" s="460">
        <v>0</v>
      </c>
      <c r="U129" s="460">
        <v>0</v>
      </c>
      <c r="V129" s="460">
        <f>SUM(Q129:U129)</f>
        <v>0</v>
      </c>
      <c r="W129" s="460">
        <v>0</v>
      </c>
      <c r="X129" s="460">
        <v>0</v>
      </c>
      <c r="Y129" s="460">
        <v>0</v>
      </c>
      <c r="Z129" s="460">
        <f t="shared" si="401"/>
        <v>0</v>
      </c>
      <c r="AA129" s="460">
        <f t="shared" si="402"/>
        <v>0</v>
      </c>
      <c r="AB129" s="69">
        <f t="shared" si="403"/>
        <v>0</v>
      </c>
      <c r="AC129" s="69">
        <f t="shared" si="404"/>
        <v>0</v>
      </c>
      <c r="AD129" s="460">
        <v>0</v>
      </c>
      <c r="AE129" s="460">
        <v>0</v>
      </c>
      <c r="AF129" s="460">
        <f t="shared" si="405"/>
        <v>0</v>
      </c>
      <c r="AG129" s="460">
        <f t="shared" si="406"/>
        <v>0</v>
      </c>
      <c r="AH129" s="461">
        <v>0</v>
      </c>
      <c r="AI129" s="461">
        <v>0</v>
      </c>
      <c r="AJ129" s="461">
        <v>0</v>
      </c>
      <c r="AK129" s="461">
        <v>0</v>
      </c>
      <c r="AL129" s="674">
        <v>0</v>
      </c>
      <c r="AM129" s="461">
        <v>0</v>
      </c>
      <c r="AN129" s="461">
        <v>0</v>
      </c>
      <c r="AO129" s="461">
        <v>0</v>
      </c>
      <c r="AP129" s="461">
        <f>AH129+AJ129+AK129+AM129+AN129</f>
        <v>0</v>
      </c>
      <c r="AQ129" s="461">
        <f>AI129+AL129+AO129</f>
        <v>0</v>
      </c>
      <c r="AR129" s="463">
        <f t="shared" si="407"/>
        <v>0</v>
      </c>
      <c r="AS129" s="469">
        <f>I129+AG129</f>
        <v>1165916</v>
      </c>
      <c r="AT129" s="460">
        <f>J129+V129</f>
        <v>864923</v>
      </c>
      <c r="AU129" s="460">
        <f t="shared" si="408"/>
        <v>0</v>
      </c>
      <c r="AV129" s="460">
        <f t="shared" si="409"/>
        <v>292344</v>
      </c>
      <c r="AW129" s="460">
        <f t="shared" si="409"/>
        <v>8649</v>
      </c>
      <c r="AX129" s="460">
        <f>M129+AF129</f>
        <v>0</v>
      </c>
      <c r="AY129" s="461">
        <f>N129+AR129</f>
        <v>2</v>
      </c>
      <c r="AZ129" s="461">
        <f t="shared" si="410"/>
        <v>2</v>
      </c>
      <c r="BA129" s="463">
        <f t="shared" si="410"/>
        <v>0</v>
      </c>
    </row>
    <row r="130" spans="1:53" s="229" customFormat="1" x14ac:dyDescent="0.2">
      <c r="A130" s="216">
        <v>23</v>
      </c>
      <c r="B130" s="217">
        <v>4413</v>
      </c>
      <c r="C130" s="217">
        <v>600074455</v>
      </c>
      <c r="D130" s="217">
        <v>70695369</v>
      </c>
      <c r="E130" s="215" t="s">
        <v>193</v>
      </c>
      <c r="F130" s="217">
        <v>3143</v>
      </c>
      <c r="G130" s="168" t="s">
        <v>617</v>
      </c>
      <c r="H130" s="234" t="s">
        <v>278</v>
      </c>
      <c r="I130" s="462">
        <f t="shared" si="396"/>
        <v>25655</v>
      </c>
      <c r="J130" s="457">
        <v>18331</v>
      </c>
      <c r="K130" s="457">
        <f t="shared" si="397"/>
        <v>6196</v>
      </c>
      <c r="L130" s="457">
        <f t="shared" si="398"/>
        <v>183</v>
      </c>
      <c r="M130" s="457">
        <v>945</v>
      </c>
      <c r="N130" s="458">
        <f t="shared" si="399"/>
        <v>7.0000000000000007E-2</v>
      </c>
      <c r="O130" s="459">
        <v>0</v>
      </c>
      <c r="P130" s="468">
        <v>7.0000000000000007E-2</v>
      </c>
      <c r="Q130" s="470">
        <f t="shared" si="400"/>
        <v>0</v>
      </c>
      <c r="R130" s="460">
        <v>0</v>
      </c>
      <c r="S130" s="673">
        <v>0</v>
      </c>
      <c r="T130" s="460">
        <v>0</v>
      </c>
      <c r="U130" s="460">
        <v>0</v>
      </c>
      <c r="V130" s="460">
        <f>SUM(Q130:U130)</f>
        <v>0</v>
      </c>
      <c r="W130" s="460">
        <v>0</v>
      </c>
      <c r="X130" s="460">
        <v>0</v>
      </c>
      <c r="Y130" s="460">
        <v>0</v>
      </c>
      <c r="Z130" s="460">
        <f t="shared" si="401"/>
        <v>0</v>
      </c>
      <c r="AA130" s="460">
        <f t="shared" si="402"/>
        <v>0</v>
      </c>
      <c r="AB130" s="69">
        <f t="shared" si="403"/>
        <v>0</v>
      </c>
      <c r="AC130" s="69">
        <f t="shared" si="404"/>
        <v>0</v>
      </c>
      <c r="AD130" s="460">
        <v>0</v>
      </c>
      <c r="AE130" s="460">
        <v>0</v>
      </c>
      <c r="AF130" s="460">
        <f t="shared" si="405"/>
        <v>0</v>
      </c>
      <c r="AG130" s="460">
        <f t="shared" si="406"/>
        <v>0</v>
      </c>
      <c r="AH130" s="461">
        <v>0</v>
      </c>
      <c r="AI130" s="461">
        <v>0</v>
      </c>
      <c r="AJ130" s="461">
        <v>0</v>
      </c>
      <c r="AK130" s="461">
        <v>0</v>
      </c>
      <c r="AL130" s="674">
        <v>0</v>
      </c>
      <c r="AM130" s="461">
        <v>0</v>
      </c>
      <c r="AN130" s="461">
        <v>0</v>
      </c>
      <c r="AO130" s="461">
        <v>0</v>
      </c>
      <c r="AP130" s="461">
        <f>AH130+AJ130+AK130+AM130+AN130</f>
        <v>0</v>
      </c>
      <c r="AQ130" s="461">
        <f>AI130+AL130+AO130</f>
        <v>0</v>
      </c>
      <c r="AR130" s="463">
        <f t="shared" si="407"/>
        <v>0</v>
      </c>
      <c r="AS130" s="469">
        <f>I130+AG130</f>
        <v>25655</v>
      </c>
      <c r="AT130" s="460">
        <f>J130+V130</f>
        <v>18331</v>
      </c>
      <c r="AU130" s="460">
        <f t="shared" si="408"/>
        <v>0</v>
      </c>
      <c r="AV130" s="460">
        <f t="shared" si="409"/>
        <v>6196</v>
      </c>
      <c r="AW130" s="460">
        <f t="shared" si="409"/>
        <v>183</v>
      </c>
      <c r="AX130" s="460">
        <f>M130+AF130</f>
        <v>945</v>
      </c>
      <c r="AY130" s="461">
        <f>N130+AR130</f>
        <v>7.0000000000000007E-2</v>
      </c>
      <c r="AZ130" s="461">
        <f t="shared" si="410"/>
        <v>0</v>
      </c>
      <c r="BA130" s="463">
        <f t="shared" si="410"/>
        <v>7.0000000000000007E-2</v>
      </c>
    </row>
    <row r="131" spans="1:53" s="229" customFormat="1" x14ac:dyDescent="0.2">
      <c r="A131" s="158">
        <v>23</v>
      </c>
      <c r="B131" s="18">
        <v>4413</v>
      </c>
      <c r="C131" s="18">
        <v>600074455</v>
      </c>
      <c r="D131" s="18">
        <v>70695369</v>
      </c>
      <c r="E131" s="167" t="s">
        <v>194</v>
      </c>
      <c r="F131" s="18"/>
      <c r="G131" s="157"/>
      <c r="H131" s="191"/>
      <c r="I131" s="505">
        <f t="shared" ref="I131:P131" si="411">SUM(I126:I130)</f>
        <v>12236249</v>
      </c>
      <c r="J131" s="502">
        <f t="shared" si="411"/>
        <v>9029736</v>
      </c>
      <c r="K131" s="502">
        <f t="shared" si="411"/>
        <v>3052051</v>
      </c>
      <c r="L131" s="502">
        <f t="shared" si="411"/>
        <v>90297</v>
      </c>
      <c r="M131" s="502">
        <f t="shared" si="411"/>
        <v>64165</v>
      </c>
      <c r="N131" s="503">
        <f t="shared" si="411"/>
        <v>19.91</v>
      </c>
      <c r="O131" s="503">
        <f t="shared" si="411"/>
        <v>13</v>
      </c>
      <c r="P131" s="507">
        <f t="shared" si="411"/>
        <v>6.91</v>
      </c>
      <c r="Q131" s="505">
        <f t="shared" ref="Q131:BA131" si="412">SUM(Q126:Q130)</f>
        <v>0</v>
      </c>
      <c r="R131" s="502">
        <f t="shared" si="412"/>
        <v>1559011</v>
      </c>
      <c r="S131" s="502">
        <f t="shared" si="412"/>
        <v>0</v>
      </c>
      <c r="T131" s="502">
        <f t="shared" si="412"/>
        <v>0</v>
      </c>
      <c r="U131" s="502">
        <f t="shared" si="412"/>
        <v>0</v>
      </c>
      <c r="V131" s="502">
        <f t="shared" si="412"/>
        <v>1559011</v>
      </c>
      <c r="W131" s="502">
        <f t="shared" si="412"/>
        <v>0</v>
      </c>
      <c r="X131" s="502">
        <f t="shared" si="412"/>
        <v>0</v>
      </c>
      <c r="Y131" s="502">
        <f t="shared" si="412"/>
        <v>0</v>
      </c>
      <c r="Z131" s="502">
        <f t="shared" si="412"/>
        <v>0</v>
      </c>
      <c r="AA131" s="502">
        <f t="shared" si="412"/>
        <v>1559011</v>
      </c>
      <c r="AB131" s="502">
        <f t="shared" si="412"/>
        <v>526946</v>
      </c>
      <c r="AC131" s="502">
        <f t="shared" si="412"/>
        <v>15590</v>
      </c>
      <c r="AD131" s="502">
        <f t="shared" si="412"/>
        <v>0</v>
      </c>
      <c r="AE131" s="502">
        <f t="shared" si="412"/>
        <v>0</v>
      </c>
      <c r="AF131" s="502">
        <f t="shared" si="412"/>
        <v>0</v>
      </c>
      <c r="AG131" s="502">
        <f t="shared" si="412"/>
        <v>2101547</v>
      </c>
      <c r="AH131" s="503">
        <f t="shared" si="412"/>
        <v>0</v>
      </c>
      <c r="AI131" s="503">
        <f t="shared" si="412"/>
        <v>0</v>
      </c>
      <c r="AJ131" s="503">
        <f t="shared" si="412"/>
        <v>4.5</v>
      </c>
      <c r="AK131" s="503">
        <f t="shared" si="412"/>
        <v>0</v>
      </c>
      <c r="AL131" s="503">
        <f t="shared" si="412"/>
        <v>0</v>
      </c>
      <c r="AM131" s="503">
        <f t="shared" si="412"/>
        <v>0</v>
      </c>
      <c r="AN131" s="503">
        <f t="shared" si="412"/>
        <v>0</v>
      </c>
      <c r="AO131" s="503">
        <f t="shared" si="412"/>
        <v>0</v>
      </c>
      <c r="AP131" s="503">
        <f t="shared" si="412"/>
        <v>4.5</v>
      </c>
      <c r="AQ131" s="503">
        <f t="shared" si="412"/>
        <v>0</v>
      </c>
      <c r="AR131" s="40">
        <f t="shared" si="412"/>
        <v>4.5</v>
      </c>
      <c r="AS131" s="509">
        <f t="shared" si="412"/>
        <v>14337796</v>
      </c>
      <c r="AT131" s="502">
        <f t="shared" si="412"/>
        <v>10588747</v>
      </c>
      <c r="AU131" s="502">
        <f t="shared" si="412"/>
        <v>0</v>
      </c>
      <c r="AV131" s="502">
        <f t="shared" si="412"/>
        <v>3578997</v>
      </c>
      <c r="AW131" s="502">
        <f t="shared" si="412"/>
        <v>105887</v>
      </c>
      <c r="AX131" s="502">
        <f t="shared" si="412"/>
        <v>64165</v>
      </c>
      <c r="AY131" s="503">
        <f t="shared" si="412"/>
        <v>24.410000000000004</v>
      </c>
      <c r="AZ131" s="503">
        <f t="shared" si="412"/>
        <v>17.5</v>
      </c>
      <c r="BA131" s="40">
        <f t="shared" si="412"/>
        <v>6.91</v>
      </c>
    </row>
    <row r="132" spans="1:53" s="229" customFormat="1" x14ac:dyDescent="0.2">
      <c r="A132" s="216">
        <v>24</v>
      </c>
      <c r="B132" s="217">
        <v>4429</v>
      </c>
      <c r="C132" s="217">
        <v>600074595</v>
      </c>
      <c r="D132" s="217">
        <v>70698520</v>
      </c>
      <c r="E132" s="215" t="s">
        <v>195</v>
      </c>
      <c r="F132" s="217">
        <v>3111</v>
      </c>
      <c r="G132" s="168" t="s">
        <v>307</v>
      </c>
      <c r="H132" s="218" t="s">
        <v>277</v>
      </c>
      <c r="I132" s="462">
        <f t="shared" ref="I132:I137" si="413">SUM(J132:M132)</f>
        <v>1389813</v>
      </c>
      <c r="J132" s="457">
        <v>1025677</v>
      </c>
      <c r="K132" s="457">
        <f t="shared" ref="K132:K137" si="414">ROUND(J132*33.8%,0)</f>
        <v>346679</v>
      </c>
      <c r="L132" s="457">
        <f t="shared" ref="L132:L137" si="415">ROUND(J132*1%,0)</f>
        <v>10257</v>
      </c>
      <c r="M132" s="457">
        <v>7200</v>
      </c>
      <c r="N132" s="458">
        <f t="shared" ref="N132:N137" si="416">O132+P132</f>
        <v>2.36</v>
      </c>
      <c r="O132" s="459">
        <v>2</v>
      </c>
      <c r="P132" s="468">
        <v>0.36</v>
      </c>
      <c r="Q132" s="470">
        <f t="shared" ref="Q132:Q137" si="417">W132*-1</f>
        <v>0</v>
      </c>
      <c r="R132" s="460">
        <v>0</v>
      </c>
      <c r="S132" s="673">
        <v>0</v>
      </c>
      <c r="T132" s="460">
        <v>0</v>
      </c>
      <c r="U132" s="460">
        <v>0</v>
      </c>
      <c r="V132" s="460">
        <f t="shared" ref="V132:V137" si="418">SUM(Q132:U132)</f>
        <v>0</v>
      </c>
      <c r="W132" s="460">
        <v>0</v>
      </c>
      <c r="X132" s="460">
        <v>0</v>
      </c>
      <c r="Y132" s="460">
        <v>0</v>
      </c>
      <c r="Z132" s="460">
        <f t="shared" ref="Z132:Z137" si="419">SUM(W132:Y132)</f>
        <v>0</v>
      </c>
      <c r="AA132" s="460">
        <f t="shared" ref="AA132:AA137" si="420">V132+Z132</f>
        <v>0</v>
      </c>
      <c r="AB132" s="69">
        <f t="shared" ref="AB132:AB137" si="421">ROUND((V132+W132+X132)*33.8%,0)</f>
        <v>0</v>
      </c>
      <c r="AC132" s="69">
        <f t="shared" ref="AC132:AC137" si="422">ROUND(V132*1%,0)</f>
        <v>0</v>
      </c>
      <c r="AD132" s="460">
        <v>0</v>
      </c>
      <c r="AE132" s="460">
        <v>0</v>
      </c>
      <c r="AF132" s="460">
        <f t="shared" ref="AF132:AF137" si="423">SUM(AD132:AE132)</f>
        <v>0</v>
      </c>
      <c r="AG132" s="460">
        <f t="shared" ref="AG132:AG137" si="424">AA132+AB132+AC132+AF132</f>
        <v>0</v>
      </c>
      <c r="AH132" s="461">
        <v>0</v>
      </c>
      <c r="AI132" s="461">
        <v>0</v>
      </c>
      <c r="AJ132" s="461">
        <v>0</v>
      </c>
      <c r="AK132" s="461">
        <v>0</v>
      </c>
      <c r="AL132" s="674">
        <v>0</v>
      </c>
      <c r="AM132" s="461">
        <v>0</v>
      </c>
      <c r="AN132" s="461">
        <v>0</v>
      </c>
      <c r="AO132" s="461">
        <v>0</v>
      </c>
      <c r="AP132" s="461">
        <f t="shared" ref="AP132:AP137" si="425">AH132+AJ132+AK132+AM132+AN132</f>
        <v>0</v>
      </c>
      <c r="AQ132" s="461">
        <f t="shared" ref="AQ132:AQ137" si="426">AI132+AL132+AO132</f>
        <v>0</v>
      </c>
      <c r="AR132" s="463">
        <f t="shared" ref="AR132:AR137" si="427">SUM(AP132:AQ132)</f>
        <v>0</v>
      </c>
      <c r="AS132" s="469">
        <f t="shared" ref="AS132:AS137" si="428">I132+AG132</f>
        <v>1389813</v>
      </c>
      <c r="AT132" s="460">
        <f t="shared" ref="AT132:AT137" si="429">J132+V132</f>
        <v>1025677</v>
      </c>
      <c r="AU132" s="460">
        <f t="shared" ref="AU132:AU137" si="430">Z132</f>
        <v>0</v>
      </c>
      <c r="AV132" s="460">
        <f t="shared" ref="AV132:AW137" si="431">K132+AB132</f>
        <v>346679</v>
      </c>
      <c r="AW132" s="460">
        <f t="shared" si="431"/>
        <v>10257</v>
      </c>
      <c r="AX132" s="460">
        <f t="shared" ref="AX132:AX137" si="432">M132+AF132</f>
        <v>7200</v>
      </c>
      <c r="AY132" s="461">
        <f t="shared" ref="AY132:AY137" si="433">N132+AR132</f>
        <v>2.36</v>
      </c>
      <c r="AZ132" s="461">
        <f t="shared" ref="AZ132:BA137" si="434">O132+AP132</f>
        <v>2</v>
      </c>
      <c r="BA132" s="463">
        <f t="shared" si="434"/>
        <v>0.36</v>
      </c>
    </row>
    <row r="133" spans="1:53" s="229" customFormat="1" x14ac:dyDescent="0.2">
      <c r="A133" s="216">
        <v>24</v>
      </c>
      <c r="B133" s="217">
        <v>4429</v>
      </c>
      <c r="C133" s="217">
        <v>600074595</v>
      </c>
      <c r="D133" s="217">
        <v>70698520</v>
      </c>
      <c r="E133" s="215" t="s">
        <v>195</v>
      </c>
      <c r="F133" s="217">
        <v>3117</v>
      </c>
      <c r="G133" s="168" t="s">
        <v>310</v>
      </c>
      <c r="H133" s="218" t="s">
        <v>277</v>
      </c>
      <c r="I133" s="462">
        <f t="shared" si="413"/>
        <v>3189370</v>
      </c>
      <c r="J133" s="457">
        <v>2327705</v>
      </c>
      <c r="K133" s="457">
        <f t="shared" si="414"/>
        <v>786764</v>
      </c>
      <c r="L133" s="457">
        <f>ROUND(J133*1%,0)-1</f>
        <v>23276</v>
      </c>
      <c r="M133" s="457">
        <v>51625</v>
      </c>
      <c r="N133" s="458">
        <f t="shared" si="416"/>
        <v>4.6479999999999997</v>
      </c>
      <c r="O133" s="459">
        <v>3.5909</v>
      </c>
      <c r="P133" s="468">
        <v>1.0570999999999999</v>
      </c>
      <c r="Q133" s="470">
        <f t="shared" si="417"/>
        <v>-13000</v>
      </c>
      <c r="R133" s="460">
        <v>0</v>
      </c>
      <c r="S133" s="673">
        <v>0</v>
      </c>
      <c r="T133" s="460">
        <v>0</v>
      </c>
      <c r="U133" s="460">
        <v>0</v>
      </c>
      <c r="V133" s="460">
        <f t="shared" si="418"/>
        <v>-13000</v>
      </c>
      <c r="W133" s="460">
        <v>13000</v>
      </c>
      <c r="X133" s="460">
        <v>0</v>
      </c>
      <c r="Y133" s="460">
        <v>0</v>
      </c>
      <c r="Z133" s="460">
        <f t="shared" si="419"/>
        <v>13000</v>
      </c>
      <c r="AA133" s="460">
        <f t="shared" si="420"/>
        <v>0</v>
      </c>
      <c r="AB133" s="69">
        <f t="shared" si="421"/>
        <v>0</v>
      </c>
      <c r="AC133" s="69">
        <f t="shared" si="422"/>
        <v>-130</v>
      </c>
      <c r="AD133" s="460">
        <v>0</v>
      </c>
      <c r="AE133" s="460">
        <v>0</v>
      </c>
      <c r="AF133" s="460">
        <f t="shared" si="423"/>
        <v>0</v>
      </c>
      <c r="AG133" s="460">
        <f t="shared" si="424"/>
        <v>-130</v>
      </c>
      <c r="AH133" s="461">
        <v>-0.01</v>
      </c>
      <c r="AI133" s="461">
        <v>-0.02</v>
      </c>
      <c r="AJ133" s="461">
        <v>0</v>
      </c>
      <c r="AK133" s="461">
        <v>0</v>
      </c>
      <c r="AL133" s="674">
        <v>0</v>
      </c>
      <c r="AM133" s="461">
        <v>0</v>
      </c>
      <c r="AN133" s="461">
        <v>0</v>
      </c>
      <c r="AO133" s="461">
        <v>0</v>
      </c>
      <c r="AP133" s="461">
        <f t="shared" si="425"/>
        <v>-0.01</v>
      </c>
      <c r="AQ133" s="461">
        <f t="shared" si="426"/>
        <v>-0.02</v>
      </c>
      <c r="AR133" s="463">
        <f t="shared" si="427"/>
        <v>-0.03</v>
      </c>
      <c r="AS133" s="469">
        <f t="shared" si="428"/>
        <v>3189240</v>
      </c>
      <c r="AT133" s="460">
        <f t="shared" si="429"/>
        <v>2314705</v>
      </c>
      <c r="AU133" s="460">
        <f t="shared" si="430"/>
        <v>13000</v>
      </c>
      <c r="AV133" s="460">
        <f t="shared" si="431"/>
        <v>786764</v>
      </c>
      <c r="AW133" s="460">
        <f t="shared" si="431"/>
        <v>23146</v>
      </c>
      <c r="AX133" s="460">
        <f t="shared" si="432"/>
        <v>51625</v>
      </c>
      <c r="AY133" s="461">
        <f t="shared" si="433"/>
        <v>4.6179999999999994</v>
      </c>
      <c r="AZ133" s="461">
        <f t="shared" si="434"/>
        <v>3.5809000000000002</v>
      </c>
      <c r="BA133" s="463">
        <f t="shared" si="434"/>
        <v>1.0370999999999999</v>
      </c>
    </row>
    <row r="134" spans="1:53" s="229" customFormat="1" x14ac:dyDescent="0.2">
      <c r="A134" s="216">
        <v>24</v>
      </c>
      <c r="B134" s="217">
        <v>4429</v>
      </c>
      <c r="C134" s="217">
        <v>600074595</v>
      </c>
      <c r="D134" s="217">
        <v>70698520</v>
      </c>
      <c r="E134" s="215" t="s">
        <v>195</v>
      </c>
      <c r="F134" s="217">
        <v>3117</v>
      </c>
      <c r="G134" s="168" t="s">
        <v>308</v>
      </c>
      <c r="H134" s="218" t="s">
        <v>278</v>
      </c>
      <c r="I134" s="462">
        <f t="shared" si="413"/>
        <v>0</v>
      </c>
      <c r="J134" s="457">
        <v>0</v>
      </c>
      <c r="K134" s="457">
        <f t="shared" si="414"/>
        <v>0</v>
      </c>
      <c r="L134" s="457">
        <f t="shared" si="415"/>
        <v>0</v>
      </c>
      <c r="M134" s="457">
        <v>0</v>
      </c>
      <c r="N134" s="458">
        <f t="shared" si="416"/>
        <v>0</v>
      </c>
      <c r="O134" s="459">
        <v>0</v>
      </c>
      <c r="P134" s="468">
        <v>0</v>
      </c>
      <c r="Q134" s="470">
        <f t="shared" si="417"/>
        <v>0</v>
      </c>
      <c r="R134" s="460">
        <v>692893</v>
      </c>
      <c r="S134" s="673">
        <v>0</v>
      </c>
      <c r="T134" s="460">
        <v>0</v>
      </c>
      <c r="U134" s="460">
        <v>0</v>
      </c>
      <c r="V134" s="460">
        <f t="shared" si="418"/>
        <v>692893</v>
      </c>
      <c r="W134" s="460">
        <v>0</v>
      </c>
      <c r="X134" s="460">
        <v>0</v>
      </c>
      <c r="Y134" s="460">
        <v>0</v>
      </c>
      <c r="Z134" s="460">
        <f t="shared" si="419"/>
        <v>0</v>
      </c>
      <c r="AA134" s="460">
        <f t="shared" si="420"/>
        <v>692893</v>
      </c>
      <c r="AB134" s="69">
        <f t="shared" si="421"/>
        <v>234198</v>
      </c>
      <c r="AC134" s="69">
        <f t="shared" si="422"/>
        <v>6929</v>
      </c>
      <c r="AD134" s="460">
        <v>0</v>
      </c>
      <c r="AE134" s="460">
        <v>0</v>
      </c>
      <c r="AF134" s="460">
        <f t="shared" si="423"/>
        <v>0</v>
      </c>
      <c r="AG134" s="460">
        <f t="shared" si="424"/>
        <v>934020</v>
      </c>
      <c r="AH134" s="461">
        <v>0</v>
      </c>
      <c r="AI134" s="461">
        <v>0</v>
      </c>
      <c r="AJ134" s="461">
        <v>2</v>
      </c>
      <c r="AK134" s="461">
        <v>0</v>
      </c>
      <c r="AL134" s="674">
        <v>0</v>
      </c>
      <c r="AM134" s="461">
        <v>0</v>
      </c>
      <c r="AN134" s="461">
        <v>0</v>
      </c>
      <c r="AO134" s="461">
        <v>0</v>
      </c>
      <c r="AP134" s="461">
        <f t="shared" si="425"/>
        <v>2</v>
      </c>
      <c r="AQ134" s="461">
        <f t="shared" si="426"/>
        <v>0</v>
      </c>
      <c r="AR134" s="463">
        <f t="shared" si="427"/>
        <v>2</v>
      </c>
      <c r="AS134" s="469">
        <f t="shared" si="428"/>
        <v>934020</v>
      </c>
      <c r="AT134" s="460">
        <f t="shared" si="429"/>
        <v>692893</v>
      </c>
      <c r="AU134" s="460">
        <f t="shared" si="430"/>
        <v>0</v>
      </c>
      <c r="AV134" s="460">
        <f t="shared" si="431"/>
        <v>234198</v>
      </c>
      <c r="AW134" s="460">
        <f t="shared" si="431"/>
        <v>6929</v>
      </c>
      <c r="AX134" s="460">
        <f t="shared" si="432"/>
        <v>0</v>
      </c>
      <c r="AY134" s="461">
        <f t="shared" si="433"/>
        <v>2</v>
      </c>
      <c r="AZ134" s="461">
        <f t="shared" si="434"/>
        <v>2</v>
      </c>
      <c r="BA134" s="463">
        <f t="shared" si="434"/>
        <v>0</v>
      </c>
    </row>
    <row r="135" spans="1:53" s="229" customFormat="1" x14ac:dyDescent="0.2">
      <c r="A135" s="216">
        <v>24</v>
      </c>
      <c r="B135" s="217">
        <v>4429</v>
      </c>
      <c r="C135" s="217">
        <v>600074595</v>
      </c>
      <c r="D135" s="217">
        <v>70698520</v>
      </c>
      <c r="E135" s="215" t="s">
        <v>195</v>
      </c>
      <c r="F135" s="217">
        <v>3141</v>
      </c>
      <c r="G135" s="168" t="s">
        <v>311</v>
      </c>
      <c r="H135" s="218" t="s">
        <v>278</v>
      </c>
      <c r="I135" s="462">
        <f t="shared" si="413"/>
        <v>647638</v>
      </c>
      <c r="J135" s="457">
        <v>478592</v>
      </c>
      <c r="K135" s="457">
        <f t="shared" si="414"/>
        <v>161764</v>
      </c>
      <c r="L135" s="457">
        <f t="shared" si="415"/>
        <v>4786</v>
      </c>
      <c r="M135" s="457">
        <v>2496</v>
      </c>
      <c r="N135" s="458">
        <f t="shared" si="416"/>
        <v>1.54</v>
      </c>
      <c r="O135" s="459">
        <v>0</v>
      </c>
      <c r="P135" s="468">
        <v>1.54</v>
      </c>
      <c r="Q135" s="470">
        <f t="shared" si="417"/>
        <v>0</v>
      </c>
      <c r="R135" s="460">
        <v>0</v>
      </c>
      <c r="S135" s="673">
        <v>0</v>
      </c>
      <c r="T135" s="460">
        <v>0</v>
      </c>
      <c r="U135" s="460">
        <v>0</v>
      </c>
      <c r="V135" s="460">
        <f t="shared" si="418"/>
        <v>0</v>
      </c>
      <c r="W135" s="460">
        <v>0</v>
      </c>
      <c r="X135" s="460">
        <v>0</v>
      </c>
      <c r="Y135" s="460">
        <v>0</v>
      </c>
      <c r="Z135" s="460">
        <f t="shared" si="419"/>
        <v>0</v>
      </c>
      <c r="AA135" s="460">
        <f t="shared" si="420"/>
        <v>0</v>
      </c>
      <c r="AB135" s="69">
        <f t="shared" si="421"/>
        <v>0</v>
      </c>
      <c r="AC135" s="69">
        <f t="shared" si="422"/>
        <v>0</v>
      </c>
      <c r="AD135" s="460">
        <v>0</v>
      </c>
      <c r="AE135" s="460">
        <v>0</v>
      </c>
      <c r="AF135" s="460">
        <f t="shared" si="423"/>
        <v>0</v>
      </c>
      <c r="AG135" s="460">
        <f t="shared" si="424"/>
        <v>0</v>
      </c>
      <c r="AH135" s="461">
        <v>0</v>
      </c>
      <c r="AI135" s="461">
        <v>0</v>
      </c>
      <c r="AJ135" s="461">
        <v>0</v>
      </c>
      <c r="AK135" s="461">
        <v>0</v>
      </c>
      <c r="AL135" s="674">
        <v>0</v>
      </c>
      <c r="AM135" s="461">
        <v>0</v>
      </c>
      <c r="AN135" s="461">
        <v>0</v>
      </c>
      <c r="AO135" s="461">
        <v>0</v>
      </c>
      <c r="AP135" s="461">
        <f t="shared" si="425"/>
        <v>0</v>
      </c>
      <c r="AQ135" s="461">
        <f t="shared" si="426"/>
        <v>0</v>
      </c>
      <c r="AR135" s="463">
        <f t="shared" si="427"/>
        <v>0</v>
      </c>
      <c r="AS135" s="469">
        <f t="shared" si="428"/>
        <v>647638</v>
      </c>
      <c r="AT135" s="460">
        <f t="shared" si="429"/>
        <v>478592</v>
      </c>
      <c r="AU135" s="460">
        <f t="shared" si="430"/>
        <v>0</v>
      </c>
      <c r="AV135" s="460">
        <f t="shared" si="431"/>
        <v>161764</v>
      </c>
      <c r="AW135" s="460">
        <f t="shared" si="431"/>
        <v>4786</v>
      </c>
      <c r="AX135" s="460">
        <f t="shared" si="432"/>
        <v>2496</v>
      </c>
      <c r="AY135" s="461">
        <f t="shared" si="433"/>
        <v>1.54</v>
      </c>
      <c r="AZ135" s="461">
        <f t="shared" si="434"/>
        <v>0</v>
      </c>
      <c r="BA135" s="463">
        <f t="shared" si="434"/>
        <v>1.54</v>
      </c>
    </row>
    <row r="136" spans="1:53" s="229" customFormat="1" x14ac:dyDescent="0.2">
      <c r="A136" s="216">
        <v>24</v>
      </c>
      <c r="B136" s="217">
        <v>4429</v>
      </c>
      <c r="C136" s="217">
        <v>600074595</v>
      </c>
      <c r="D136" s="217">
        <v>70698520</v>
      </c>
      <c r="E136" s="215" t="s">
        <v>195</v>
      </c>
      <c r="F136" s="217">
        <v>3143</v>
      </c>
      <c r="G136" s="168" t="s">
        <v>616</v>
      </c>
      <c r="H136" s="234" t="s">
        <v>277</v>
      </c>
      <c r="I136" s="462">
        <f t="shared" si="413"/>
        <v>1076322</v>
      </c>
      <c r="J136" s="457">
        <v>798458</v>
      </c>
      <c r="K136" s="457">
        <f t="shared" si="414"/>
        <v>269879</v>
      </c>
      <c r="L136" s="457">
        <f t="shared" si="415"/>
        <v>7985</v>
      </c>
      <c r="M136" s="457">
        <v>0</v>
      </c>
      <c r="N136" s="458">
        <f t="shared" si="416"/>
        <v>1.8303</v>
      </c>
      <c r="O136" s="459">
        <v>1.8303</v>
      </c>
      <c r="P136" s="468">
        <v>0</v>
      </c>
      <c r="Q136" s="470">
        <f t="shared" si="417"/>
        <v>0</v>
      </c>
      <c r="R136" s="460">
        <v>0</v>
      </c>
      <c r="S136" s="673">
        <v>0</v>
      </c>
      <c r="T136" s="460">
        <v>0</v>
      </c>
      <c r="U136" s="460">
        <v>0</v>
      </c>
      <c r="V136" s="460">
        <f t="shared" si="418"/>
        <v>0</v>
      </c>
      <c r="W136" s="460">
        <v>0</v>
      </c>
      <c r="X136" s="460">
        <v>0</v>
      </c>
      <c r="Y136" s="460">
        <v>0</v>
      </c>
      <c r="Z136" s="460">
        <f t="shared" si="419"/>
        <v>0</v>
      </c>
      <c r="AA136" s="460">
        <f t="shared" si="420"/>
        <v>0</v>
      </c>
      <c r="AB136" s="69">
        <f t="shared" si="421"/>
        <v>0</v>
      </c>
      <c r="AC136" s="69">
        <f t="shared" si="422"/>
        <v>0</v>
      </c>
      <c r="AD136" s="460">
        <v>0</v>
      </c>
      <c r="AE136" s="460">
        <v>0</v>
      </c>
      <c r="AF136" s="460">
        <f t="shared" si="423"/>
        <v>0</v>
      </c>
      <c r="AG136" s="460">
        <f t="shared" si="424"/>
        <v>0</v>
      </c>
      <c r="AH136" s="461">
        <v>0</v>
      </c>
      <c r="AI136" s="461">
        <v>0</v>
      </c>
      <c r="AJ136" s="461">
        <v>0</v>
      </c>
      <c r="AK136" s="461">
        <v>0</v>
      </c>
      <c r="AL136" s="674">
        <v>0</v>
      </c>
      <c r="AM136" s="461">
        <v>0</v>
      </c>
      <c r="AN136" s="461">
        <v>0</v>
      </c>
      <c r="AO136" s="461">
        <v>0</v>
      </c>
      <c r="AP136" s="461">
        <f t="shared" si="425"/>
        <v>0</v>
      </c>
      <c r="AQ136" s="461">
        <f t="shared" si="426"/>
        <v>0</v>
      </c>
      <c r="AR136" s="463">
        <f t="shared" si="427"/>
        <v>0</v>
      </c>
      <c r="AS136" s="469">
        <f t="shared" si="428"/>
        <v>1076322</v>
      </c>
      <c r="AT136" s="460">
        <f t="shared" si="429"/>
        <v>798458</v>
      </c>
      <c r="AU136" s="460">
        <f t="shared" si="430"/>
        <v>0</v>
      </c>
      <c r="AV136" s="460">
        <f t="shared" si="431"/>
        <v>269879</v>
      </c>
      <c r="AW136" s="460">
        <f t="shared" si="431"/>
        <v>7985</v>
      </c>
      <c r="AX136" s="460">
        <f t="shared" si="432"/>
        <v>0</v>
      </c>
      <c r="AY136" s="461">
        <f t="shared" si="433"/>
        <v>1.8303</v>
      </c>
      <c r="AZ136" s="461">
        <f t="shared" si="434"/>
        <v>1.8303</v>
      </c>
      <c r="BA136" s="463">
        <f t="shared" si="434"/>
        <v>0</v>
      </c>
    </row>
    <row r="137" spans="1:53" s="229" customFormat="1" x14ac:dyDescent="0.2">
      <c r="A137" s="216">
        <v>24</v>
      </c>
      <c r="B137" s="217">
        <v>4429</v>
      </c>
      <c r="C137" s="217">
        <v>600074595</v>
      </c>
      <c r="D137" s="217">
        <v>70698520</v>
      </c>
      <c r="E137" s="215" t="s">
        <v>195</v>
      </c>
      <c r="F137" s="217">
        <v>3143</v>
      </c>
      <c r="G137" s="168" t="s">
        <v>617</v>
      </c>
      <c r="H137" s="234" t="s">
        <v>278</v>
      </c>
      <c r="I137" s="462">
        <f t="shared" si="413"/>
        <v>21990</v>
      </c>
      <c r="J137" s="457">
        <v>15712</v>
      </c>
      <c r="K137" s="457">
        <f t="shared" si="414"/>
        <v>5311</v>
      </c>
      <c r="L137" s="457">
        <f t="shared" si="415"/>
        <v>157</v>
      </c>
      <c r="M137" s="457">
        <v>810</v>
      </c>
      <c r="N137" s="458">
        <f t="shared" si="416"/>
        <v>0.06</v>
      </c>
      <c r="O137" s="459">
        <v>0</v>
      </c>
      <c r="P137" s="468">
        <v>0.06</v>
      </c>
      <c r="Q137" s="470">
        <f t="shared" si="417"/>
        <v>0</v>
      </c>
      <c r="R137" s="460">
        <v>0</v>
      </c>
      <c r="S137" s="673">
        <v>0</v>
      </c>
      <c r="T137" s="460">
        <v>0</v>
      </c>
      <c r="U137" s="460">
        <v>0</v>
      </c>
      <c r="V137" s="460">
        <f t="shared" si="418"/>
        <v>0</v>
      </c>
      <c r="W137" s="460">
        <v>0</v>
      </c>
      <c r="X137" s="460">
        <v>0</v>
      </c>
      <c r="Y137" s="460">
        <v>0</v>
      </c>
      <c r="Z137" s="460">
        <f t="shared" si="419"/>
        <v>0</v>
      </c>
      <c r="AA137" s="460">
        <f t="shared" si="420"/>
        <v>0</v>
      </c>
      <c r="AB137" s="69">
        <f t="shared" si="421"/>
        <v>0</v>
      </c>
      <c r="AC137" s="69">
        <f t="shared" si="422"/>
        <v>0</v>
      </c>
      <c r="AD137" s="460">
        <v>0</v>
      </c>
      <c r="AE137" s="460">
        <v>0</v>
      </c>
      <c r="AF137" s="460">
        <f t="shared" si="423"/>
        <v>0</v>
      </c>
      <c r="AG137" s="460">
        <f t="shared" si="424"/>
        <v>0</v>
      </c>
      <c r="AH137" s="461">
        <v>0</v>
      </c>
      <c r="AI137" s="461">
        <v>0</v>
      </c>
      <c r="AJ137" s="461">
        <v>0</v>
      </c>
      <c r="AK137" s="461">
        <v>0</v>
      </c>
      <c r="AL137" s="674">
        <v>0</v>
      </c>
      <c r="AM137" s="461">
        <v>0</v>
      </c>
      <c r="AN137" s="461">
        <v>0</v>
      </c>
      <c r="AO137" s="461">
        <v>0</v>
      </c>
      <c r="AP137" s="461">
        <f t="shared" si="425"/>
        <v>0</v>
      </c>
      <c r="AQ137" s="461">
        <f t="shared" si="426"/>
        <v>0</v>
      </c>
      <c r="AR137" s="463">
        <f t="shared" si="427"/>
        <v>0</v>
      </c>
      <c r="AS137" s="469">
        <f t="shared" si="428"/>
        <v>21990</v>
      </c>
      <c r="AT137" s="460">
        <f t="shared" si="429"/>
        <v>15712</v>
      </c>
      <c r="AU137" s="460">
        <f t="shared" si="430"/>
        <v>0</v>
      </c>
      <c r="AV137" s="460">
        <f t="shared" si="431"/>
        <v>5311</v>
      </c>
      <c r="AW137" s="460">
        <f t="shared" si="431"/>
        <v>157</v>
      </c>
      <c r="AX137" s="460">
        <f t="shared" si="432"/>
        <v>810</v>
      </c>
      <c r="AY137" s="461">
        <f t="shared" si="433"/>
        <v>0.06</v>
      </c>
      <c r="AZ137" s="461">
        <f t="shared" si="434"/>
        <v>0</v>
      </c>
      <c r="BA137" s="463">
        <f t="shared" si="434"/>
        <v>0.06</v>
      </c>
    </row>
    <row r="138" spans="1:53" s="229" customFormat="1" x14ac:dyDescent="0.2">
      <c r="A138" s="158">
        <v>24</v>
      </c>
      <c r="B138" s="18">
        <v>4429</v>
      </c>
      <c r="C138" s="18">
        <v>600074595</v>
      </c>
      <c r="D138" s="18">
        <v>70698520</v>
      </c>
      <c r="E138" s="167" t="s">
        <v>196</v>
      </c>
      <c r="F138" s="18"/>
      <c r="G138" s="157"/>
      <c r="H138" s="191"/>
      <c r="I138" s="505">
        <f t="shared" ref="I138:P138" si="435">SUM(I132:I137)</f>
        <v>6325133</v>
      </c>
      <c r="J138" s="502">
        <f t="shared" si="435"/>
        <v>4646144</v>
      </c>
      <c r="K138" s="502">
        <f t="shared" si="435"/>
        <v>1570397</v>
      </c>
      <c r="L138" s="502">
        <f t="shared" si="435"/>
        <v>46461</v>
      </c>
      <c r="M138" s="502">
        <f t="shared" si="435"/>
        <v>62131</v>
      </c>
      <c r="N138" s="503">
        <f t="shared" si="435"/>
        <v>10.438299999999998</v>
      </c>
      <c r="O138" s="503">
        <f t="shared" si="435"/>
        <v>7.4211999999999998</v>
      </c>
      <c r="P138" s="507">
        <f t="shared" si="435"/>
        <v>3.0171000000000001</v>
      </c>
      <c r="Q138" s="505">
        <f t="shared" ref="Q138:BA138" si="436">SUM(Q132:Q137)</f>
        <v>-13000</v>
      </c>
      <c r="R138" s="502">
        <f t="shared" si="436"/>
        <v>692893</v>
      </c>
      <c r="S138" s="502">
        <f t="shared" si="436"/>
        <v>0</v>
      </c>
      <c r="T138" s="502">
        <f t="shared" si="436"/>
        <v>0</v>
      </c>
      <c r="U138" s="502">
        <f t="shared" si="436"/>
        <v>0</v>
      </c>
      <c r="V138" s="502">
        <f t="shared" si="436"/>
        <v>679893</v>
      </c>
      <c r="W138" s="502">
        <f t="shared" si="436"/>
        <v>13000</v>
      </c>
      <c r="X138" s="502">
        <f t="shared" si="436"/>
        <v>0</v>
      </c>
      <c r="Y138" s="502">
        <f t="shared" si="436"/>
        <v>0</v>
      </c>
      <c r="Z138" s="502">
        <f t="shared" si="436"/>
        <v>13000</v>
      </c>
      <c r="AA138" s="502">
        <f t="shared" si="436"/>
        <v>692893</v>
      </c>
      <c r="AB138" s="502">
        <f t="shared" si="436"/>
        <v>234198</v>
      </c>
      <c r="AC138" s="502">
        <f t="shared" si="436"/>
        <v>6799</v>
      </c>
      <c r="AD138" s="502">
        <f t="shared" si="436"/>
        <v>0</v>
      </c>
      <c r="AE138" s="502">
        <f t="shared" si="436"/>
        <v>0</v>
      </c>
      <c r="AF138" s="502">
        <f t="shared" si="436"/>
        <v>0</v>
      </c>
      <c r="AG138" s="502">
        <f t="shared" si="436"/>
        <v>933890</v>
      </c>
      <c r="AH138" s="503">
        <f t="shared" si="436"/>
        <v>-0.01</v>
      </c>
      <c r="AI138" s="503">
        <f t="shared" si="436"/>
        <v>-0.02</v>
      </c>
      <c r="AJ138" s="503">
        <f t="shared" si="436"/>
        <v>2</v>
      </c>
      <c r="AK138" s="503">
        <f t="shared" si="436"/>
        <v>0</v>
      </c>
      <c r="AL138" s="503">
        <f t="shared" si="436"/>
        <v>0</v>
      </c>
      <c r="AM138" s="503">
        <f t="shared" si="436"/>
        <v>0</v>
      </c>
      <c r="AN138" s="503">
        <f t="shared" si="436"/>
        <v>0</v>
      </c>
      <c r="AO138" s="503">
        <f t="shared" si="436"/>
        <v>0</v>
      </c>
      <c r="AP138" s="503">
        <f t="shared" si="436"/>
        <v>1.99</v>
      </c>
      <c r="AQ138" s="503">
        <f t="shared" si="436"/>
        <v>-0.02</v>
      </c>
      <c r="AR138" s="40">
        <f t="shared" si="436"/>
        <v>1.97</v>
      </c>
      <c r="AS138" s="509">
        <f t="shared" si="436"/>
        <v>7259023</v>
      </c>
      <c r="AT138" s="502">
        <f t="shared" si="436"/>
        <v>5326037</v>
      </c>
      <c r="AU138" s="502">
        <f t="shared" si="436"/>
        <v>13000</v>
      </c>
      <c r="AV138" s="502">
        <f t="shared" si="436"/>
        <v>1804595</v>
      </c>
      <c r="AW138" s="502">
        <f t="shared" si="436"/>
        <v>53260</v>
      </c>
      <c r="AX138" s="502">
        <f t="shared" si="436"/>
        <v>62131</v>
      </c>
      <c r="AY138" s="503">
        <f t="shared" si="436"/>
        <v>12.408300000000001</v>
      </c>
      <c r="AZ138" s="503">
        <f t="shared" si="436"/>
        <v>9.4111999999999991</v>
      </c>
      <c r="BA138" s="40">
        <f t="shared" si="436"/>
        <v>2.9971000000000001</v>
      </c>
    </row>
    <row r="139" spans="1:53" s="229" customFormat="1" x14ac:dyDescent="0.2">
      <c r="A139" s="216">
        <v>25</v>
      </c>
      <c r="B139" s="217">
        <v>4452</v>
      </c>
      <c r="C139" s="217">
        <v>600074919</v>
      </c>
      <c r="D139" s="217">
        <v>70698511</v>
      </c>
      <c r="E139" s="215" t="s">
        <v>197</v>
      </c>
      <c r="F139" s="217">
        <v>3113</v>
      </c>
      <c r="G139" s="168" t="s">
        <v>310</v>
      </c>
      <c r="H139" s="218" t="s">
        <v>277</v>
      </c>
      <c r="I139" s="462">
        <f t="shared" ref="I139:I144" si="437">SUM(J139:M139)</f>
        <v>30324424</v>
      </c>
      <c r="J139" s="457">
        <v>22069855</v>
      </c>
      <c r="K139" s="457">
        <f t="shared" ref="K139:K144" si="438">ROUND(J139*33.8%,0)</f>
        <v>7459611</v>
      </c>
      <c r="L139" s="457">
        <f>ROUND(J139*1%,0)-1</f>
        <v>220698</v>
      </c>
      <c r="M139" s="457">
        <v>574260</v>
      </c>
      <c r="N139" s="458">
        <f t="shared" ref="N139:N144" si="439">O139+P139</f>
        <v>35.950000000000003</v>
      </c>
      <c r="O139" s="459">
        <v>29</v>
      </c>
      <c r="P139" s="468">
        <v>6.95</v>
      </c>
      <c r="Q139" s="470">
        <f t="shared" ref="Q139:Q144" si="440">W139*-1</f>
        <v>-9750</v>
      </c>
      <c r="R139" s="460">
        <v>0</v>
      </c>
      <c r="S139" s="673">
        <v>0</v>
      </c>
      <c r="T139" s="460">
        <v>0</v>
      </c>
      <c r="U139" s="460">
        <v>0</v>
      </c>
      <c r="V139" s="460">
        <f t="shared" ref="V139:V144" si="441">SUM(Q139:U139)</f>
        <v>-9750</v>
      </c>
      <c r="W139" s="460">
        <v>9750</v>
      </c>
      <c r="X139" s="460">
        <v>0</v>
      </c>
      <c r="Y139" s="460">
        <v>0</v>
      </c>
      <c r="Z139" s="460">
        <f t="shared" ref="Z139:Z144" si="442">SUM(W139:Y139)</f>
        <v>9750</v>
      </c>
      <c r="AA139" s="460">
        <f t="shared" ref="AA139:AA144" si="443">V139+Z139</f>
        <v>0</v>
      </c>
      <c r="AB139" s="69">
        <f t="shared" ref="AB139:AB144" si="444">ROUND((V139+W139+X139)*33.8%,0)</f>
        <v>0</v>
      </c>
      <c r="AC139" s="69">
        <f t="shared" ref="AC139:AC144" si="445">ROUND(V139*1%,0)</f>
        <v>-98</v>
      </c>
      <c r="AD139" s="460">
        <v>0</v>
      </c>
      <c r="AE139" s="460">
        <v>0</v>
      </c>
      <c r="AF139" s="460">
        <f t="shared" ref="AF139:AF144" si="446">SUM(AD139:AE139)</f>
        <v>0</v>
      </c>
      <c r="AG139" s="460">
        <f t="shared" ref="AG139:AG144" si="447">AA139+AB139+AC139+AF139</f>
        <v>-98</v>
      </c>
      <c r="AH139" s="461">
        <v>-0.02</v>
      </c>
      <c r="AI139" s="461">
        <v>0</v>
      </c>
      <c r="AJ139" s="461">
        <v>0</v>
      </c>
      <c r="AK139" s="461">
        <v>0</v>
      </c>
      <c r="AL139" s="674">
        <v>0</v>
      </c>
      <c r="AM139" s="461">
        <v>0</v>
      </c>
      <c r="AN139" s="461">
        <v>0</v>
      </c>
      <c r="AO139" s="461">
        <v>0</v>
      </c>
      <c r="AP139" s="461">
        <f t="shared" ref="AP139:AP144" si="448">AH139+AJ139+AK139+AM139+AN139</f>
        <v>-0.02</v>
      </c>
      <c r="AQ139" s="461">
        <f t="shared" ref="AQ139:AQ144" si="449">AI139+AL139+AO139</f>
        <v>0</v>
      </c>
      <c r="AR139" s="463">
        <f t="shared" ref="AR139:AR144" si="450">SUM(AP139:AQ139)</f>
        <v>-0.02</v>
      </c>
      <c r="AS139" s="469">
        <f t="shared" ref="AS139:AS144" si="451">I139+AG139</f>
        <v>30324326</v>
      </c>
      <c r="AT139" s="460">
        <f t="shared" ref="AT139:AT144" si="452">J139+V139</f>
        <v>22060105</v>
      </c>
      <c r="AU139" s="460">
        <f t="shared" ref="AU139:AU144" si="453">Z139</f>
        <v>9750</v>
      </c>
      <c r="AV139" s="460">
        <f t="shared" ref="AV139:AW144" si="454">K139+AB139</f>
        <v>7459611</v>
      </c>
      <c r="AW139" s="460">
        <f t="shared" si="454"/>
        <v>220600</v>
      </c>
      <c r="AX139" s="460">
        <f t="shared" ref="AX139:AX144" si="455">M139+AF139</f>
        <v>574260</v>
      </c>
      <c r="AY139" s="461">
        <f t="shared" ref="AY139:AY144" si="456">N139+AR139</f>
        <v>35.93</v>
      </c>
      <c r="AZ139" s="461">
        <f t="shared" ref="AZ139:BA144" si="457">O139+AP139</f>
        <v>28.98</v>
      </c>
      <c r="BA139" s="463">
        <f t="shared" si="457"/>
        <v>6.95</v>
      </c>
    </row>
    <row r="140" spans="1:53" s="229" customFormat="1" x14ac:dyDescent="0.2">
      <c r="A140" s="216">
        <v>25</v>
      </c>
      <c r="B140" s="217">
        <v>4452</v>
      </c>
      <c r="C140" s="217">
        <v>600074919</v>
      </c>
      <c r="D140" s="217">
        <v>70698511</v>
      </c>
      <c r="E140" s="215" t="s">
        <v>197</v>
      </c>
      <c r="F140" s="217">
        <v>3113</v>
      </c>
      <c r="G140" s="168" t="s">
        <v>309</v>
      </c>
      <c r="H140" s="218" t="s">
        <v>277</v>
      </c>
      <c r="I140" s="462">
        <f t="shared" si="437"/>
        <v>537141</v>
      </c>
      <c r="J140" s="457">
        <v>398472</v>
      </c>
      <c r="K140" s="457">
        <f t="shared" si="438"/>
        <v>134684</v>
      </c>
      <c r="L140" s="457">
        <f t="shared" ref="L140:L144" si="458">ROUND(J140*1%,0)</f>
        <v>3985</v>
      </c>
      <c r="M140" s="457">
        <v>0</v>
      </c>
      <c r="N140" s="458">
        <f t="shared" si="439"/>
        <v>1</v>
      </c>
      <c r="O140" s="459">
        <v>1</v>
      </c>
      <c r="P140" s="468">
        <v>0</v>
      </c>
      <c r="Q140" s="470">
        <f t="shared" si="440"/>
        <v>0</v>
      </c>
      <c r="R140" s="460">
        <v>0</v>
      </c>
      <c r="S140" s="673">
        <v>0</v>
      </c>
      <c r="T140" s="460">
        <v>0</v>
      </c>
      <c r="U140" s="460">
        <v>0</v>
      </c>
      <c r="V140" s="460">
        <f t="shared" si="441"/>
        <v>0</v>
      </c>
      <c r="W140" s="460">
        <v>0</v>
      </c>
      <c r="X140" s="460">
        <v>0</v>
      </c>
      <c r="Y140" s="460">
        <v>0</v>
      </c>
      <c r="Z140" s="460">
        <f t="shared" si="442"/>
        <v>0</v>
      </c>
      <c r="AA140" s="460">
        <f t="shared" si="443"/>
        <v>0</v>
      </c>
      <c r="AB140" s="69">
        <f t="shared" si="444"/>
        <v>0</v>
      </c>
      <c r="AC140" s="69">
        <f t="shared" si="445"/>
        <v>0</v>
      </c>
      <c r="AD140" s="460">
        <v>0</v>
      </c>
      <c r="AE140" s="460">
        <v>0</v>
      </c>
      <c r="AF140" s="460">
        <f t="shared" si="446"/>
        <v>0</v>
      </c>
      <c r="AG140" s="460">
        <f t="shared" si="447"/>
        <v>0</v>
      </c>
      <c r="AH140" s="461">
        <v>0</v>
      </c>
      <c r="AI140" s="461">
        <v>0</v>
      </c>
      <c r="AJ140" s="461">
        <v>0</v>
      </c>
      <c r="AK140" s="461">
        <v>0</v>
      </c>
      <c r="AL140" s="674">
        <v>0</v>
      </c>
      <c r="AM140" s="461">
        <v>0</v>
      </c>
      <c r="AN140" s="461">
        <v>0</v>
      </c>
      <c r="AO140" s="461">
        <v>0</v>
      </c>
      <c r="AP140" s="461">
        <f t="shared" si="448"/>
        <v>0</v>
      </c>
      <c r="AQ140" s="461">
        <f t="shared" si="449"/>
        <v>0</v>
      </c>
      <c r="AR140" s="463">
        <f t="shared" si="450"/>
        <v>0</v>
      </c>
      <c r="AS140" s="469">
        <f t="shared" si="451"/>
        <v>537141</v>
      </c>
      <c r="AT140" s="460">
        <f t="shared" si="452"/>
        <v>398472</v>
      </c>
      <c r="AU140" s="460">
        <f t="shared" si="453"/>
        <v>0</v>
      </c>
      <c r="AV140" s="460">
        <f t="shared" si="454"/>
        <v>134684</v>
      </c>
      <c r="AW140" s="460">
        <f t="shared" si="454"/>
        <v>3985</v>
      </c>
      <c r="AX140" s="460">
        <f t="shared" si="455"/>
        <v>0</v>
      </c>
      <c r="AY140" s="461">
        <f t="shared" si="456"/>
        <v>1</v>
      </c>
      <c r="AZ140" s="461">
        <f t="shared" si="457"/>
        <v>1</v>
      </c>
      <c r="BA140" s="463">
        <f t="shared" si="457"/>
        <v>0</v>
      </c>
    </row>
    <row r="141" spans="1:53" s="229" customFormat="1" x14ac:dyDescent="0.2">
      <c r="A141" s="216">
        <v>25</v>
      </c>
      <c r="B141" s="217">
        <v>4452</v>
      </c>
      <c r="C141" s="217">
        <v>600074919</v>
      </c>
      <c r="D141" s="217">
        <v>70698511</v>
      </c>
      <c r="E141" s="215" t="s">
        <v>197</v>
      </c>
      <c r="F141" s="217">
        <v>3113</v>
      </c>
      <c r="G141" s="168" t="s">
        <v>308</v>
      </c>
      <c r="H141" s="218" t="s">
        <v>278</v>
      </c>
      <c r="I141" s="462">
        <f t="shared" si="437"/>
        <v>0</v>
      </c>
      <c r="J141" s="457">
        <v>0</v>
      </c>
      <c r="K141" s="457">
        <f t="shared" si="438"/>
        <v>0</v>
      </c>
      <c r="L141" s="457">
        <f t="shared" si="458"/>
        <v>0</v>
      </c>
      <c r="M141" s="457">
        <v>0</v>
      </c>
      <c r="N141" s="458">
        <f t="shared" si="439"/>
        <v>0</v>
      </c>
      <c r="O141" s="459">
        <v>0</v>
      </c>
      <c r="P141" s="468">
        <v>0</v>
      </c>
      <c r="Q141" s="470">
        <f t="shared" si="440"/>
        <v>0</v>
      </c>
      <c r="R141" s="460">
        <f>912388+79394</f>
        <v>991782</v>
      </c>
      <c r="S141" s="673">
        <v>0</v>
      </c>
      <c r="T141" s="460">
        <v>0</v>
      </c>
      <c r="U141" s="460">
        <v>0</v>
      </c>
      <c r="V141" s="460">
        <f t="shared" si="441"/>
        <v>991782</v>
      </c>
      <c r="W141" s="460">
        <v>0</v>
      </c>
      <c r="X141" s="460">
        <v>0</v>
      </c>
      <c r="Y141" s="460">
        <v>0</v>
      </c>
      <c r="Z141" s="460">
        <f t="shared" si="442"/>
        <v>0</v>
      </c>
      <c r="AA141" s="460">
        <f t="shared" si="443"/>
        <v>991782</v>
      </c>
      <c r="AB141" s="69">
        <f t="shared" si="444"/>
        <v>335222</v>
      </c>
      <c r="AC141" s="69">
        <f t="shared" si="445"/>
        <v>9918</v>
      </c>
      <c r="AD141" s="460">
        <v>3000</v>
      </c>
      <c r="AE141" s="460">
        <v>0</v>
      </c>
      <c r="AF141" s="460">
        <f t="shared" si="446"/>
        <v>3000</v>
      </c>
      <c r="AG141" s="460">
        <f t="shared" si="447"/>
        <v>1339922</v>
      </c>
      <c r="AH141" s="461">
        <v>0</v>
      </c>
      <c r="AI141" s="461">
        <v>0</v>
      </c>
      <c r="AJ141" s="461">
        <f>2.6+0.23</f>
        <v>2.83</v>
      </c>
      <c r="AK141" s="461">
        <v>0</v>
      </c>
      <c r="AL141" s="674">
        <v>0</v>
      </c>
      <c r="AM141" s="461">
        <v>0</v>
      </c>
      <c r="AN141" s="461">
        <v>0</v>
      </c>
      <c r="AO141" s="461">
        <v>0</v>
      </c>
      <c r="AP141" s="461">
        <f t="shared" si="448"/>
        <v>2.83</v>
      </c>
      <c r="AQ141" s="461">
        <f t="shared" si="449"/>
        <v>0</v>
      </c>
      <c r="AR141" s="463">
        <f t="shared" si="450"/>
        <v>2.83</v>
      </c>
      <c r="AS141" s="469">
        <f t="shared" si="451"/>
        <v>1339922</v>
      </c>
      <c r="AT141" s="460">
        <f t="shared" si="452"/>
        <v>991782</v>
      </c>
      <c r="AU141" s="460">
        <f t="shared" si="453"/>
        <v>0</v>
      </c>
      <c r="AV141" s="460">
        <f t="shared" si="454"/>
        <v>335222</v>
      </c>
      <c r="AW141" s="460">
        <f t="shared" si="454"/>
        <v>9918</v>
      </c>
      <c r="AX141" s="460">
        <f t="shared" si="455"/>
        <v>3000</v>
      </c>
      <c r="AY141" s="461">
        <f t="shared" si="456"/>
        <v>2.83</v>
      </c>
      <c r="AZ141" s="461">
        <f t="shared" si="457"/>
        <v>2.83</v>
      </c>
      <c r="BA141" s="463">
        <f t="shared" si="457"/>
        <v>0</v>
      </c>
    </row>
    <row r="142" spans="1:53" s="229" customFormat="1" x14ac:dyDescent="0.2">
      <c r="A142" s="216">
        <v>25</v>
      </c>
      <c r="B142" s="217">
        <v>4452</v>
      </c>
      <c r="C142" s="217">
        <v>600074919</v>
      </c>
      <c r="D142" s="217">
        <v>70698511</v>
      </c>
      <c r="E142" s="215" t="s">
        <v>197</v>
      </c>
      <c r="F142" s="217">
        <v>3141</v>
      </c>
      <c r="G142" s="168" t="s">
        <v>311</v>
      </c>
      <c r="H142" s="218" t="s">
        <v>278</v>
      </c>
      <c r="I142" s="462">
        <f t="shared" si="437"/>
        <v>1814684</v>
      </c>
      <c r="J142" s="457">
        <v>1335789</v>
      </c>
      <c r="K142" s="457">
        <f t="shared" si="438"/>
        <v>451497</v>
      </c>
      <c r="L142" s="457">
        <f t="shared" si="458"/>
        <v>13358</v>
      </c>
      <c r="M142" s="457">
        <v>14040</v>
      </c>
      <c r="N142" s="458">
        <f t="shared" si="439"/>
        <v>4.29</v>
      </c>
      <c r="O142" s="459">
        <v>0</v>
      </c>
      <c r="P142" s="468">
        <v>4.29</v>
      </c>
      <c r="Q142" s="470">
        <f t="shared" si="440"/>
        <v>0</v>
      </c>
      <c r="R142" s="460">
        <v>0</v>
      </c>
      <c r="S142" s="673">
        <v>0</v>
      </c>
      <c r="T142" s="460">
        <v>0</v>
      </c>
      <c r="U142" s="460">
        <v>0</v>
      </c>
      <c r="V142" s="460">
        <f t="shared" si="441"/>
        <v>0</v>
      </c>
      <c r="W142" s="460">
        <v>0</v>
      </c>
      <c r="X142" s="460">
        <v>0</v>
      </c>
      <c r="Y142" s="460">
        <v>0</v>
      </c>
      <c r="Z142" s="460">
        <f t="shared" si="442"/>
        <v>0</v>
      </c>
      <c r="AA142" s="460">
        <f t="shared" si="443"/>
        <v>0</v>
      </c>
      <c r="AB142" s="69">
        <f t="shared" si="444"/>
        <v>0</v>
      </c>
      <c r="AC142" s="69">
        <f t="shared" si="445"/>
        <v>0</v>
      </c>
      <c r="AD142" s="460">
        <v>0</v>
      </c>
      <c r="AE142" s="460">
        <v>0</v>
      </c>
      <c r="AF142" s="460">
        <f t="shared" si="446"/>
        <v>0</v>
      </c>
      <c r="AG142" s="460">
        <f t="shared" si="447"/>
        <v>0</v>
      </c>
      <c r="AH142" s="461">
        <v>0</v>
      </c>
      <c r="AI142" s="461">
        <v>0</v>
      </c>
      <c r="AJ142" s="461">
        <v>0</v>
      </c>
      <c r="AK142" s="461">
        <v>0</v>
      </c>
      <c r="AL142" s="674">
        <v>0</v>
      </c>
      <c r="AM142" s="461">
        <v>0</v>
      </c>
      <c r="AN142" s="461">
        <v>0</v>
      </c>
      <c r="AO142" s="461">
        <v>0</v>
      </c>
      <c r="AP142" s="461">
        <f t="shared" si="448"/>
        <v>0</v>
      </c>
      <c r="AQ142" s="461">
        <f t="shared" si="449"/>
        <v>0</v>
      </c>
      <c r="AR142" s="463">
        <f t="shared" si="450"/>
        <v>0</v>
      </c>
      <c r="AS142" s="469">
        <f t="shared" si="451"/>
        <v>1814684</v>
      </c>
      <c r="AT142" s="460">
        <f t="shared" si="452"/>
        <v>1335789</v>
      </c>
      <c r="AU142" s="460">
        <f t="shared" si="453"/>
        <v>0</v>
      </c>
      <c r="AV142" s="460">
        <f t="shared" si="454"/>
        <v>451497</v>
      </c>
      <c r="AW142" s="460">
        <f t="shared" si="454"/>
        <v>13358</v>
      </c>
      <c r="AX142" s="460">
        <f t="shared" si="455"/>
        <v>14040</v>
      </c>
      <c r="AY142" s="461">
        <f t="shared" si="456"/>
        <v>4.29</v>
      </c>
      <c r="AZ142" s="461">
        <f t="shared" si="457"/>
        <v>0</v>
      </c>
      <c r="BA142" s="463">
        <f t="shared" si="457"/>
        <v>4.29</v>
      </c>
    </row>
    <row r="143" spans="1:53" s="229" customFormat="1" x14ac:dyDescent="0.2">
      <c r="A143" s="216">
        <v>25</v>
      </c>
      <c r="B143" s="217">
        <v>4452</v>
      </c>
      <c r="C143" s="217">
        <v>600074919</v>
      </c>
      <c r="D143" s="217">
        <v>70698511</v>
      </c>
      <c r="E143" s="210" t="s">
        <v>197</v>
      </c>
      <c r="F143" s="217">
        <v>3143</v>
      </c>
      <c r="G143" s="168" t="s">
        <v>616</v>
      </c>
      <c r="H143" s="234" t="s">
        <v>277</v>
      </c>
      <c r="I143" s="462">
        <f t="shared" si="437"/>
        <v>1574995</v>
      </c>
      <c r="J143" s="457">
        <v>1168394</v>
      </c>
      <c r="K143" s="457">
        <f t="shared" si="438"/>
        <v>394917</v>
      </c>
      <c r="L143" s="457">
        <f t="shared" si="458"/>
        <v>11684</v>
      </c>
      <c r="M143" s="457">
        <v>0</v>
      </c>
      <c r="N143" s="458">
        <f t="shared" si="439"/>
        <v>2.4430000000000001</v>
      </c>
      <c r="O143" s="459">
        <v>2.4430000000000001</v>
      </c>
      <c r="P143" s="468">
        <v>0</v>
      </c>
      <c r="Q143" s="470">
        <f t="shared" si="440"/>
        <v>0</v>
      </c>
      <c r="R143" s="460">
        <v>0</v>
      </c>
      <c r="S143" s="673">
        <v>0</v>
      </c>
      <c r="T143" s="460">
        <v>0</v>
      </c>
      <c r="U143" s="460">
        <v>0</v>
      </c>
      <c r="V143" s="460">
        <f t="shared" si="441"/>
        <v>0</v>
      </c>
      <c r="W143" s="460">
        <v>0</v>
      </c>
      <c r="X143" s="460">
        <v>0</v>
      </c>
      <c r="Y143" s="460">
        <v>0</v>
      </c>
      <c r="Z143" s="460">
        <f t="shared" si="442"/>
        <v>0</v>
      </c>
      <c r="AA143" s="460">
        <f t="shared" si="443"/>
        <v>0</v>
      </c>
      <c r="AB143" s="69">
        <f t="shared" si="444"/>
        <v>0</v>
      </c>
      <c r="AC143" s="69">
        <f t="shared" si="445"/>
        <v>0</v>
      </c>
      <c r="AD143" s="460">
        <v>0</v>
      </c>
      <c r="AE143" s="460">
        <v>0</v>
      </c>
      <c r="AF143" s="460">
        <f t="shared" si="446"/>
        <v>0</v>
      </c>
      <c r="AG143" s="460">
        <f t="shared" si="447"/>
        <v>0</v>
      </c>
      <c r="AH143" s="461">
        <v>0</v>
      </c>
      <c r="AI143" s="461">
        <v>0</v>
      </c>
      <c r="AJ143" s="461">
        <v>0</v>
      </c>
      <c r="AK143" s="461">
        <v>0</v>
      </c>
      <c r="AL143" s="674">
        <v>0</v>
      </c>
      <c r="AM143" s="461">
        <v>0</v>
      </c>
      <c r="AN143" s="461">
        <v>0</v>
      </c>
      <c r="AO143" s="461">
        <v>0</v>
      </c>
      <c r="AP143" s="461">
        <f t="shared" si="448"/>
        <v>0</v>
      </c>
      <c r="AQ143" s="461">
        <f t="shared" si="449"/>
        <v>0</v>
      </c>
      <c r="AR143" s="463">
        <f t="shared" si="450"/>
        <v>0</v>
      </c>
      <c r="AS143" s="469">
        <f t="shared" si="451"/>
        <v>1574995</v>
      </c>
      <c r="AT143" s="460">
        <f t="shared" si="452"/>
        <v>1168394</v>
      </c>
      <c r="AU143" s="460">
        <f t="shared" si="453"/>
        <v>0</v>
      </c>
      <c r="AV143" s="460">
        <f t="shared" si="454"/>
        <v>394917</v>
      </c>
      <c r="AW143" s="460">
        <f t="shared" si="454"/>
        <v>11684</v>
      </c>
      <c r="AX143" s="460">
        <f t="shared" si="455"/>
        <v>0</v>
      </c>
      <c r="AY143" s="461">
        <f t="shared" si="456"/>
        <v>2.4430000000000001</v>
      </c>
      <c r="AZ143" s="461">
        <f t="shared" si="457"/>
        <v>2.4430000000000001</v>
      </c>
      <c r="BA143" s="463">
        <f t="shared" si="457"/>
        <v>0</v>
      </c>
    </row>
    <row r="144" spans="1:53" s="229" customFormat="1" x14ac:dyDescent="0.2">
      <c r="A144" s="216">
        <v>25</v>
      </c>
      <c r="B144" s="217">
        <v>4452</v>
      </c>
      <c r="C144" s="217">
        <v>600074919</v>
      </c>
      <c r="D144" s="217">
        <v>70698511</v>
      </c>
      <c r="E144" s="210" t="s">
        <v>197</v>
      </c>
      <c r="F144" s="217">
        <v>3143</v>
      </c>
      <c r="G144" s="168" t="s">
        <v>617</v>
      </c>
      <c r="H144" s="234" t="s">
        <v>278</v>
      </c>
      <c r="I144" s="462">
        <f t="shared" si="437"/>
        <v>61572</v>
      </c>
      <c r="J144" s="457">
        <v>43994</v>
      </c>
      <c r="K144" s="457">
        <f t="shared" si="438"/>
        <v>14870</v>
      </c>
      <c r="L144" s="457">
        <f t="shared" si="458"/>
        <v>440</v>
      </c>
      <c r="M144" s="457">
        <v>2268</v>
      </c>
      <c r="N144" s="458">
        <f t="shared" si="439"/>
        <v>0.18</v>
      </c>
      <c r="O144" s="459">
        <v>0</v>
      </c>
      <c r="P144" s="468">
        <v>0.18</v>
      </c>
      <c r="Q144" s="470">
        <f t="shared" si="440"/>
        <v>0</v>
      </c>
      <c r="R144" s="460">
        <v>0</v>
      </c>
      <c r="S144" s="673">
        <v>0</v>
      </c>
      <c r="T144" s="460">
        <v>0</v>
      </c>
      <c r="U144" s="460">
        <v>0</v>
      </c>
      <c r="V144" s="460">
        <f t="shared" si="441"/>
        <v>0</v>
      </c>
      <c r="W144" s="460">
        <v>0</v>
      </c>
      <c r="X144" s="460">
        <v>0</v>
      </c>
      <c r="Y144" s="460">
        <v>0</v>
      </c>
      <c r="Z144" s="460">
        <f t="shared" si="442"/>
        <v>0</v>
      </c>
      <c r="AA144" s="460">
        <f t="shared" si="443"/>
        <v>0</v>
      </c>
      <c r="AB144" s="69">
        <f t="shared" si="444"/>
        <v>0</v>
      </c>
      <c r="AC144" s="69">
        <f t="shared" si="445"/>
        <v>0</v>
      </c>
      <c r="AD144" s="460">
        <v>0</v>
      </c>
      <c r="AE144" s="460">
        <v>0</v>
      </c>
      <c r="AF144" s="460">
        <f t="shared" si="446"/>
        <v>0</v>
      </c>
      <c r="AG144" s="460">
        <f t="shared" si="447"/>
        <v>0</v>
      </c>
      <c r="AH144" s="461">
        <v>0</v>
      </c>
      <c r="AI144" s="461">
        <v>0</v>
      </c>
      <c r="AJ144" s="461">
        <v>0</v>
      </c>
      <c r="AK144" s="461">
        <v>0</v>
      </c>
      <c r="AL144" s="674">
        <v>0</v>
      </c>
      <c r="AM144" s="461">
        <v>0</v>
      </c>
      <c r="AN144" s="461">
        <v>0</v>
      </c>
      <c r="AO144" s="461">
        <v>0</v>
      </c>
      <c r="AP144" s="461">
        <f t="shared" si="448"/>
        <v>0</v>
      </c>
      <c r="AQ144" s="461">
        <f t="shared" si="449"/>
        <v>0</v>
      </c>
      <c r="AR144" s="463">
        <f t="shared" si="450"/>
        <v>0</v>
      </c>
      <c r="AS144" s="469">
        <f t="shared" si="451"/>
        <v>61572</v>
      </c>
      <c r="AT144" s="460">
        <f t="shared" si="452"/>
        <v>43994</v>
      </c>
      <c r="AU144" s="460">
        <f t="shared" si="453"/>
        <v>0</v>
      </c>
      <c r="AV144" s="460">
        <f t="shared" si="454"/>
        <v>14870</v>
      </c>
      <c r="AW144" s="460">
        <f t="shared" si="454"/>
        <v>440</v>
      </c>
      <c r="AX144" s="460">
        <f t="shared" si="455"/>
        <v>2268</v>
      </c>
      <c r="AY144" s="461">
        <f t="shared" si="456"/>
        <v>0.18</v>
      </c>
      <c r="AZ144" s="461">
        <f t="shared" si="457"/>
        <v>0</v>
      </c>
      <c r="BA144" s="463">
        <f t="shared" si="457"/>
        <v>0.18</v>
      </c>
    </row>
    <row r="145" spans="1:53" s="229" customFormat="1" x14ac:dyDescent="0.2">
      <c r="A145" s="158">
        <v>25</v>
      </c>
      <c r="B145" s="18">
        <v>4452</v>
      </c>
      <c r="C145" s="18">
        <v>600074919</v>
      </c>
      <c r="D145" s="18">
        <v>70698511</v>
      </c>
      <c r="E145" s="167" t="s">
        <v>198</v>
      </c>
      <c r="F145" s="18"/>
      <c r="G145" s="157"/>
      <c r="H145" s="191"/>
      <c r="I145" s="505">
        <f t="shared" ref="I145:P145" si="459">SUM(I139:I144)</f>
        <v>34312816</v>
      </c>
      <c r="J145" s="502">
        <f t="shared" si="459"/>
        <v>25016504</v>
      </c>
      <c r="K145" s="502">
        <f t="shared" si="459"/>
        <v>8455579</v>
      </c>
      <c r="L145" s="502">
        <f t="shared" si="459"/>
        <v>250165</v>
      </c>
      <c r="M145" s="502">
        <f t="shared" si="459"/>
        <v>590568</v>
      </c>
      <c r="N145" s="503">
        <f t="shared" si="459"/>
        <v>43.863</v>
      </c>
      <c r="O145" s="503">
        <f t="shared" si="459"/>
        <v>32.442999999999998</v>
      </c>
      <c r="P145" s="507">
        <f t="shared" si="459"/>
        <v>11.42</v>
      </c>
      <c r="Q145" s="505">
        <f t="shared" ref="Q145:BA145" si="460">SUM(Q139:Q144)</f>
        <v>-9750</v>
      </c>
      <c r="R145" s="502">
        <f t="shared" si="460"/>
        <v>991782</v>
      </c>
      <c r="S145" s="502">
        <f t="shared" si="460"/>
        <v>0</v>
      </c>
      <c r="T145" s="502">
        <f t="shared" si="460"/>
        <v>0</v>
      </c>
      <c r="U145" s="502">
        <f t="shared" si="460"/>
        <v>0</v>
      </c>
      <c r="V145" s="502">
        <f t="shared" si="460"/>
        <v>982032</v>
      </c>
      <c r="W145" s="502">
        <f t="shared" si="460"/>
        <v>9750</v>
      </c>
      <c r="X145" s="502">
        <f t="shared" si="460"/>
        <v>0</v>
      </c>
      <c r="Y145" s="502">
        <f t="shared" si="460"/>
        <v>0</v>
      </c>
      <c r="Z145" s="502">
        <f t="shared" si="460"/>
        <v>9750</v>
      </c>
      <c r="AA145" s="502">
        <f t="shared" si="460"/>
        <v>991782</v>
      </c>
      <c r="AB145" s="502">
        <f t="shared" si="460"/>
        <v>335222</v>
      </c>
      <c r="AC145" s="502">
        <f t="shared" si="460"/>
        <v>9820</v>
      </c>
      <c r="AD145" s="502">
        <f t="shared" si="460"/>
        <v>3000</v>
      </c>
      <c r="AE145" s="502">
        <f t="shared" si="460"/>
        <v>0</v>
      </c>
      <c r="AF145" s="502">
        <f t="shared" si="460"/>
        <v>3000</v>
      </c>
      <c r="AG145" s="502">
        <f t="shared" si="460"/>
        <v>1339824</v>
      </c>
      <c r="AH145" s="503">
        <f t="shared" si="460"/>
        <v>-0.02</v>
      </c>
      <c r="AI145" s="503">
        <f t="shared" si="460"/>
        <v>0</v>
      </c>
      <c r="AJ145" s="503">
        <f t="shared" si="460"/>
        <v>2.83</v>
      </c>
      <c r="AK145" s="503">
        <f t="shared" si="460"/>
        <v>0</v>
      </c>
      <c r="AL145" s="503">
        <f t="shared" si="460"/>
        <v>0</v>
      </c>
      <c r="AM145" s="503">
        <f t="shared" si="460"/>
        <v>0</v>
      </c>
      <c r="AN145" s="503">
        <f t="shared" si="460"/>
        <v>0</v>
      </c>
      <c r="AO145" s="503">
        <f t="shared" si="460"/>
        <v>0</v>
      </c>
      <c r="AP145" s="503">
        <f t="shared" si="460"/>
        <v>2.81</v>
      </c>
      <c r="AQ145" s="503">
        <f t="shared" si="460"/>
        <v>0</v>
      </c>
      <c r="AR145" s="40">
        <f t="shared" si="460"/>
        <v>2.81</v>
      </c>
      <c r="AS145" s="509">
        <f t="shared" si="460"/>
        <v>35652640</v>
      </c>
      <c r="AT145" s="502">
        <f t="shared" si="460"/>
        <v>25998536</v>
      </c>
      <c r="AU145" s="502">
        <f t="shared" si="460"/>
        <v>9750</v>
      </c>
      <c r="AV145" s="502">
        <f t="shared" si="460"/>
        <v>8790801</v>
      </c>
      <c r="AW145" s="502">
        <f t="shared" si="460"/>
        <v>259985</v>
      </c>
      <c r="AX145" s="502">
        <f t="shared" si="460"/>
        <v>593568</v>
      </c>
      <c r="AY145" s="503">
        <f t="shared" si="460"/>
        <v>46.672999999999995</v>
      </c>
      <c r="AZ145" s="503">
        <f t="shared" si="460"/>
        <v>35.253</v>
      </c>
      <c r="BA145" s="40">
        <f t="shared" si="460"/>
        <v>11.42</v>
      </c>
    </row>
    <row r="146" spans="1:53" s="229" customFormat="1" x14ac:dyDescent="0.2">
      <c r="A146" s="216">
        <v>26</v>
      </c>
      <c r="B146" s="217">
        <v>4468</v>
      </c>
      <c r="C146" s="217">
        <v>600075052</v>
      </c>
      <c r="D146" s="217">
        <v>70698546</v>
      </c>
      <c r="E146" s="215" t="s">
        <v>199</v>
      </c>
      <c r="F146" s="217">
        <v>3231</v>
      </c>
      <c r="G146" s="168" t="s">
        <v>312</v>
      </c>
      <c r="H146" s="218" t="s">
        <v>277</v>
      </c>
      <c r="I146" s="462">
        <f t="shared" ref="I146" si="461">SUM(J146:M146)</f>
        <v>7793139</v>
      </c>
      <c r="J146" s="457">
        <v>5768930</v>
      </c>
      <c r="K146" s="457">
        <f t="shared" ref="K146" si="462">ROUND(J146*33.8%,0)</f>
        <v>1949898</v>
      </c>
      <c r="L146" s="457">
        <f>ROUND(J146*1%,0)</f>
        <v>57689</v>
      </c>
      <c r="M146" s="457">
        <v>16622</v>
      </c>
      <c r="N146" s="458">
        <f t="shared" ref="N146" si="463">O146+P146</f>
        <v>10.163</v>
      </c>
      <c r="O146" s="459">
        <v>9.1994000000000007</v>
      </c>
      <c r="P146" s="468">
        <v>0.96360000000000001</v>
      </c>
      <c r="Q146" s="470">
        <f t="shared" ref="Q146" si="464">W146*-1</f>
        <v>-67600</v>
      </c>
      <c r="R146" s="460">
        <v>0</v>
      </c>
      <c r="S146" s="673">
        <v>0</v>
      </c>
      <c r="T146" s="460">
        <v>0</v>
      </c>
      <c r="U146" s="460">
        <v>0</v>
      </c>
      <c r="V146" s="460">
        <f>SUM(Q146:U146)</f>
        <v>-67600</v>
      </c>
      <c r="W146" s="460">
        <v>67600</v>
      </c>
      <c r="X146" s="460">
        <v>0</v>
      </c>
      <c r="Y146" s="460">
        <v>0</v>
      </c>
      <c r="Z146" s="460">
        <f t="shared" ref="Z146" si="465">SUM(W146:Y146)</f>
        <v>67600</v>
      </c>
      <c r="AA146" s="460">
        <f t="shared" ref="AA146" si="466">V146+Z146</f>
        <v>0</v>
      </c>
      <c r="AB146" s="69">
        <f t="shared" ref="AB146" si="467">ROUND((V146+W146+X146)*33.8%,0)</f>
        <v>0</v>
      </c>
      <c r="AC146" s="69">
        <f>ROUND(V146*1%,0)</f>
        <v>-676</v>
      </c>
      <c r="AD146" s="460">
        <v>0</v>
      </c>
      <c r="AE146" s="460">
        <v>0</v>
      </c>
      <c r="AF146" s="460">
        <f t="shared" ref="AF146" si="468">SUM(AD146:AE146)</f>
        <v>0</v>
      </c>
      <c r="AG146" s="460">
        <f t="shared" ref="AG146" si="469">AA146+AB146+AC146+AF146</f>
        <v>-676</v>
      </c>
      <c r="AH146" s="461">
        <v>-7.0000000000000007E-2</v>
      </c>
      <c r="AI146" s="461">
        <v>-0.12</v>
      </c>
      <c r="AJ146" s="461">
        <v>0</v>
      </c>
      <c r="AK146" s="461">
        <v>0</v>
      </c>
      <c r="AL146" s="674">
        <v>0</v>
      </c>
      <c r="AM146" s="461">
        <v>0</v>
      </c>
      <c r="AN146" s="461">
        <v>0</v>
      </c>
      <c r="AO146" s="461">
        <v>0</v>
      </c>
      <c r="AP146" s="461">
        <f>AH146+AJ146+AK146+AM146+AN146</f>
        <v>-7.0000000000000007E-2</v>
      </c>
      <c r="AQ146" s="461">
        <f>AI146+AL146+AO146</f>
        <v>-0.12</v>
      </c>
      <c r="AR146" s="463">
        <f t="shared" ref="AR146" si="470">SUM(AP146:AQ146)</f>
        <v>-0.19</v>
      </c>
      <c r="AS146" s="469">
        <f>I146+AG146</f>
        <v>7792463</v>
      </c>
      <c r="AT146" s="460">
        <f>J146+V146</f>
        <v>5701330</v>
      </c>
      <c r="AU146" s="460">
        <f>Z146</f>
        <v>67600</v>
      </c>
      <c r="AV146" s="460">
        <f>K146+AB146</f>
        <v>1949898</v>
      </c>
      <c r="AW146" s="460">
        <f>L146+AC146</f>
        <v>57013</v>
      </c>
      <c r="AX146" s="460">
        <f>M146+AF146</f>
        <v>16622</v>
      </c>
      <c r="AY146" s="461">
        <f>N146+AR146</f>
        <v>9.9730000000000008</v>
      </c>
      <c r="AZ146" s="461">
        <f>O146+AP146</f>
        <v>9.1294000000000004</v>
      </c>
      <c r="BA146" s="463">
        <f>P146+AQ146</f>
        <v>0.84360000000000002</v>
      </c>
    </row>
    <row r="147" spans="1:53" s="229" customFormat="1" x14ac:dyDescent="0.2">
      <c r="A147" s="158">
        <v>26</v>
      </c>
      <c r="B147" s="18">
        <v>4468</v>
      </c>
      <c r="C147" s="18">
        <v>600075052</v>
      </c>
      <c r="D147" s="18">
        <v>70698546</v>
      </c>
      <c r="E147" s="167" t="s">
        <v>200</v>
      </c>
      <c r="F147" s="18"/>
      <c r="G147" s="157"/>
      <c r="H147" s="191"/>
      <c r="I147" s="505">
        <f t="shared" ref="I147:BA147" si="471">SUM(I146)</f>
        <v>7793139</v>
      </c>
      <c r="J147" s="502">
        <f t="shared" si="471"/>
        <v>5768930</v>
      </c>
      <c r="K147" s="502">
        <f t="shared" si="471"/>
        <v>1949898</v>
      </c>
      <c r="L147" s="502">
        <f t="shared" si="471"/>
        <v>57689</v>
      </c>
      <c r="M147" s="502">
        <f t="shared" si="471"/>
        <v>16622</v>
      </c>
      <c r="N147" s="503">
        <f t="shared" si="471"/>
        <v>10.163</v>
      </c>
      <c r="O147" s="503">
        <f t="shared" si="471"/>
        <v>9.1994000000000007</v>
      </c>
      <c r="P147" s="507">
        <f t="shared" si="471"/>
        <v>0.96360000000000001</v>
      </c>
      <c r="Q147" s="505">
        <f t="shared" si="471"/>
        <v>-67600</v>
      </c>
      <c r="R147" s="502">
        <f t="shared" si="471"/>
        <v>0</v>
      </c>
      <c r="S147" s="502">
        <f t="shared" si="471"/>
        <v>0</v>
      </c>
      <c r="T147" s="502">
        <f t="shared" si="471"/>
        <v>0</v>
      </c>
      <c r="U147" s="502">
        <f t="shared" si="471"/>
        <v>0</v>
      </c>
      <c r="V147" s="502">
        <f t="shared" si="471"/>
        <v>-67600</v>
      </c>
      <c r="W147" s="502">
        <f t="shared" si="471"/>
        <v>67600</v>
      </c>
      <c r="X147" s="502">
        <f t="shared" si="471"/>
        <v>0</v>
      </c>
      <c r="Y147" s="502">
        <f t="shared" si="471"/>
        <v>0</v>
      </c>
      <c r="Z147" s="502">
        <f t="shared" si="471"/>
        <v>67600</v>
      </c>
      <c r="AA147" s="502">
        <f t="shared" si="471"/>
        <v>0</v>
      </c>
      <c r="AB147" s="502">
        <f t="shared" si="471"/>
        <v>0</v>
      </c>
      <c r="AC147" s="502">
        <f t="shared" si="471"/>
        <v>-676</v>
      </c>
      <c r="AD147" s="502">
        <f t="shared" si="471"/>
        <v>0</v>
      </c>
      <c r="AE147" s="502">
        <f t="shared" si="471"/>
        <v>0</v>
      </c>
      <c r="AF147" s="502">
        <f t="shared" si="471"/>
        <v>0</v>
      </c>
      <c r="AG147" s="502">
        <f t="shared" si="471"/>
        <v>-676</v>
      </c>
      <c r="AH147" s="503">
        <f t="shared" si="471"/>
        <v>-7.0000000000000007E-2</v>
      </c>
      <c r="AI147" s="503">
        <f t="shared" si="471"/>
        <v>-0.12</v>
      </c>
      <c r="AJ147" s="503">
        <f t="shared" si="471"/>
        <v>0</v>
      </c>
      <c r="AK147" s="503">
        <f t="shared" si="471"/>
        <v>0</v>
      </c>
      <c r="AL147" s="503">
        <f t="shared" si="471"/>
        <v>0</v>
      </c>
      <c r="AM147" s="503">
        <f t="shared" si="471"/>
        <v>0</v>
      </c>
      <c r="AN147" s="503">
        <f t="shared" si="471"/>
        <v>0</v>
      </c>
      <c r="AO147" s="503">
        <f t="shared" si="471"/>
        <v>0</v>
      </c>
      <c r="AP147" s="503">
        <f t="shared" si="471"/>
        <v>-7.0000000000000007E-2</v>
      </c>
      <c r="AQ147" s="503">
        <f t="shared" si="471"/>
        <v>-0.12</v>
      </c>
      <c r="AR147" s="40">
        <f t="shared" si="471"/>
        <v>-0.19</v>
      </c>
      <c r="AS147" s="509">
        <f t="shared" si="471"/>
        <v>7792463</v>
      </c>
      <c r="AT147" s="502">
        <f t="shared" si="471"/>
        <v>5701330</v>
      </c>
      <c r="AU147" s="502">
        <f t="shared" si="471"/>
        <v>67600</v>
      </c>
      <c r="AV147" s="502">
        <f t="shared" si="471"/>
        <v>1949898</v>
      </c>
      <c r="AW147" s="502">
        <f t="shared" si="471"/>
        <v>57013</v>
      </c>
      <c r="AX147" s="502">
        <f t="shared" si="471"/>
        <v>16622</v>
      </c>
      <c r="AY147" s="503">
        <f t="shared" si="471"/>
        <v>9.9730000000000008</v>
      </c>
      <c r="AZ147" s="503">
        <f t="shared" si="471"/>
        <v>9.1294000000000004</v>
      </c>
      <c r="BA147" s="40">
        <f t="shared" si="471"/>
        <v>0.84360000000000002</v>
      </c>
    </row>
    <row r="148" spans="1:53" s="229" customFormat="1" x14ac:dyDescent="0.2">
      <c r="A148" s="216">
        <v>27</v>
      </c>
      <c r="B148" s="217">
        <v>4414</v>
      </c>
      <c r="C148" s="217">
        <v>600074307</v>
      </c>
      <c r="D148" s="217">
        <v>70695831</v>
      </c>
      <c r="E148" s="215" t="s">
        <v>201</v>
      </c>
      <c r="F148" s="217">
        <v>3111</v>
      </c>
      <c r="G148" s="168" t="s">
        <v>307</v>
      </c>
      <c r="H148" s="218" t="s">
        <v>277</v>
      </c>
      <c r="I148" s="462">
        <f t="shared" ref="I148:I150" si="472">SUM(J148:M148)</f>
        <v>5417792</v>
      </c>
      <c r="J148" s="457">
        <v>3998065</v>
      </c>
      <c r="K148" s="457">
        <f t="shared" ref="K148:K150" si="473">ROUND(J148*33.8%,0)</f>
        <v>1351346</v>
      </c>
      <c r="L148" s="457">
        <f t="shared" ref="L148:L150" si="474">ROUND(J148*1%,0)</f>
        <v>39981</v>
      </c>
      <c r="M148" s="457">
        <v>28400</v>
      </c>
      <c r="N148" s="458">
        <f t="shared" ref="N148:N150" si="475">O148+P148</f>
        <v>8.0062999999999995</v>
      </c>
      <c r="O148" s="459">
        <v>6.2062999999999997</v>
      </c>
      <c r="P148" s="468">
        <v>1.7999999999999998</v>
      </c>
      <c r="Q148" s="470">
        <f t="shared" ref="Q148:Q150" si="476">W148*-1</f>
        <v>-9750</v>
      </c>
      <c r="R148" s="460">
        <v>0</v>
      </c>
      <c r="S148" s="673">
        <v>0</v>
      </c>
      <c r="T148" s="460">
        <v>0</v>
      </c>
      <c r="U148" s="460">
        <v>0</v>
      </c>
      <c r="V148" s="460">
        <f>SUM(Q148:U148)</f>
        <v>-9750</v>
      </c>
      <c r="W148" s="460">
        <v>9750</v>
      </c>
      <c r="X148" s="460">
        <v>0</v>
      </c>
      <c r="Y148" s="460">
        <v>0</v>
      </c>
      <c r="Z148" s="460">
        <f t="shared" ref="Z148:Z150" si="477">SUM(W148:Y148)</f>
        <v>9750</v>
      </c>
      <c r="AA148" s="460">
        <f t="shared" ref="AA148:AA150" si="478">V148+Z148</f>
        <v>0</v>
      </c>
      <c r="AB148" s="69">
        <f t="shared" ref="AB148:AB150" si="479">ROUND((V148+W148+X148)*33.8%,0)</f>
        <v>0</v>
      </c>
      <c r="AC148" s="69">
        <f t="shared" ref="AC148:AC150" si="480">ROUND(V148*1%,0)</f>
        <v>-98</v>
      </c>
      <c r="AD148" s="460">
        <v>0</v>
      </c>
      <c r="AE148" s="460">
        <v>0</v>
      </c>
      <c r="AF148" s="460">
        <f t="shared" ref="AF148:AF150" si="481">SUM(AD148:AE148)</f>
        <v>0</v>
      </c>
      <c r="AG148" s="460">
        <f t="shared" ref="AG148:AG150" si="482">AA148+AB148+AC148+AF148</f>
        <v>-98</v>
      </c>
      <c r="AH148" s="461">
        <v>0</v>
      </c>
      <c r="AI148" s="461">
        <v>-0.04</v>
      </c>
      <c r="AJ148" s="461">
        <v>0</v>
      </c>
      <c r="AK148" s="461">
        <v>0</v>
      </c>
      <c r="AL148" s="674">
        <v>0</v>
      </c>
      <c r="AM148" s="461">
        <v>0</v>
      </c>
      <c r="AN148" s="461">
        <v>0</v>
      </c>
      <c r="AO148" s="461">
        <v>0</v>
      </c>
      <c r="AP148" s="461">
        <f>AH148+AJ148+AK148+AM148+AN148</f>
        <v>0</v>
      </c>
      <c r="AQ148" s="461">
        <f>AI148+AL148+AO148</f>
        <v>-0.04</v>
      </c>
      <c r="AR148" s="463">
        <f t="shared" ref="AR148:AR150" si="483">SUM(AP148:AQ148)</f>
        <v>-0.04</v>
      </c>
      <c r="AS148" s="469">
        <f>I148+AG148</f>
        <v>5417694</v>
      </c>
      <c r="AT148" s="460">
        <f>J148+V148</f>
        <v>3988315</v>
      </c>
      <c r="AU148" s="460">
        <f t="shared" ref="AU148:AU150" si="484">Z148</f>
        <v>9750</v>
      </c>
      <c r="AV148" s="460">
        <f t="shared" ref="AV148:AW150" si="485">K148+AB148</f>
        <v>1351346</v>
      </c>
      <c r="AW148" s="460">
        <f t="shared" si="485"/>
        <v>39883</v>
      </c>
      <c r="AX148" s="460">
        <f>M148+AF148</f>
        <v>28400</v>
      </c>
      <c r="AY148" s="461">
        <f>N148+AR148</f>
        <v>7.9662999999999995</v>
      </c>
      <c r="AZ148" s="461">
        <f t="shared" ref="AZ148:BA150" si="486">O148+AP148</f>
        <v>6.2062999999999997</v>
      </c>
      <c r="BA148" s="463">
        <f t="shared" si="486"/>
        <v>1.7599999999999998</v>
      </c>
    </row>
    <row r="149" spans="1:53" s="229" customFormat="1" x14ac:dyDescent="0.2">
      <c r="A149" s="216">
        <v>27</v>
      </c>
      <c r="B149" s="217">
        <v>4414</v>
      </c>
      <c r="C149" s="217">
        <v>600074307</v>
      </c>
      <c r="D149" s="217">
        <v>70695831</v>
      </c>
      <c r="E149" s="215" t="s">
        <v>201</v>
      </c>
      <c r="F149" s="217">
        <v>3111</v>
      </c>
      <c r="G149" s="168" t="s">
        <v>308</v>
      </c>
      <c r="H149" s="218" t="s">
        <v>278</v>
      </c>
      <c r="I149" s="462">
        <f t="shared" si="472"/>
        <v>0</v>
      </c>
      <c r="J149" s="457">
        <v>0</v>
      </c>
      <c r="K149" s="457">
        <f t="shared" si="473"/>
        <v>0</v>
      </c>
      <c r="L149" s="457">
        <f t="shared" si="474"/>
        <v>0</v>
      </c>
      <c r="M149" s="457">
        <v>0</v>
      </c>
      <c r="N149" s="458">
        <f t="shared" si="475"/>
        <v>0</v>
      </c>
      <c r="O149" s="459">
        <v>0</v>
      </c>
      <c r="P149" s="468">
        <v>0</v>
      </c>
      <c r="Q149" s="470">
        <f t="shared" si="476"/>
        <v>0</v>
      </c>
      <c r="R149" s="460">
        <v>300245</v>
      </c>
      <c r="S149" s="673">
        <v>0</v>
      </c>
      <c r="T149" s="460">
        <v>0</v>
      </c>
      <c r="U149" s="460">
        <v>0</v>
      </c>
      <c r="V149" s="460">
        <f>SUM(Q149:U149)</f>
        <v>300245</v>
      </c>
      <c r="W149" s="460">
        <v>0</v>
      </c>
      <c r="X149" s="460">
        <v>0</v>
      </c>
      <c r="Y149" s="460">
        <v>0</v>
      </c>
      <c r="Z149" s="460">
        <f t="shared" si="477"/>
        <v>0</v>
      </c>
      <c r="AA149" s="460">
        <f t="shared" si="478"/>
        <v>300245</v>
      </c>
      <c r="AB149" s="69">
        <f t="shared" si="479"/>
        <v>101483</v>
      </c>
      <c r="AC149" s="69">
        <f t="shared" si="480"/>
        <v>3002</v>
      </c>
      <c r="AD149" s="460">
        <v>0</v>
      </c>
      <c r="AE149" s="460">
        <v>0</v>
      </c>
      <c r="AF149" s="460">
        <f t="shared" si="481"/>
        <v>0</v>
      </c>
      <c r="AG149" s="460">
        <f t="shared" si="482"/>
        <v>404730</v>
      </c>
      <c r="AH149" s="461">
        <v>0</v>
      </c>
      <c r="AI149" s="461">
        <v>0</v>
      </c>
      <c r="AJ149" s="461">
        <v>1</v>
      </c>
      <c r="AK149" s="461">
        <v>0</v>
      </c>
      <c r="AL149" s="674">
        <v>0</v>
      </c>
      <c r="AM149" s="461">
        <v>0</v>
      </c>
      <c r="AN149" s="461">
        <v>0</v>
      </c>
      <c r="AO149" s="461">
        <v>0</v>
      </c>
      <c r="AP149" s="461">
        <f>AH149+AJ149+AK149+AM149+AN149</f>
        <v>1</v>
      </c>
      <c r="AQ149" s="461">
        <f>AI149+AL149+AO149</f>
        <v>0</v>
      </c>
      <c r="AR149" s="463">
        <f t="shared" si="483"/>
        <v>1</v>
      </c>
      <c r="AS149" s="469">
        <f>I149+AG149</f>
        <v>404730</v>
      </c>
      <c r="AT149" s="460">
        <f>J149+V149</f>
        <v>300245</v>
      </c>
      <c r="AU149" s="460">
        <f t="shared" si="484"/>
        <v>0</v>
      </c>
      <c r="AV149" s="460">
        <f t="shared" si="485"/>
        <v>101483</v>
      </c>
      <c r="AW149" s="460">
        <f t="shared" si="485"/>
        <v>3002</v>
      </c>
      <c r="AX149" s="460">
        <f>M149+AF149</f>
        <v>0</v>
      </c>
      <c r="AY149" s="461">
        <f>N149+AR149</f>
        <v>1</v>
      </c>
      <c r="AZ149" s="461">
        <f t="shared" si="486"/>
        <v>1</v>
      </c>
      <c r="BA149" s="463">
        <f t="shared" si="486"/>
        <v>0</v>
      </c>
    </row>
    <row r="150" spans="1:53" s="229" customFormat="1" x14ac:dyDescent="0.2">
      <c r="A150" s="216">
        <v>27</v>
      </c>
      <c r="B150" s="217">
        <v>4414</v>
      </c>
      <c r="C150" s="217">
        <v>600074307</v>
      </c>
      <c r="D150" s="217">
        <v>70695831</v>
      </c>
      <c r="E150" s="210" t="s">
        <v>201</v>
      </c>
      <c r="F150" s="217">
        <v>3141</v>
      </c>
      <c r="G150" s="168" t="s">
        <v>311</v>
      </c>
      <c r="H150" s="218" t="s">
        <v>278</v>
      </c>
      <c r="I150" s="462">
        <f t="shared" si="472"/>
        <v>320718</v>
      </c>
      <c r="J150" s="457">
        <v>236206</v>
      </c>
      <c r="K150" s="457">
        <f t="shared" si="473"/>
        <v>79838</v>
      </c>
      <c r="L150" s="457">
        <f t="shared" si="474"/>
        <v>2362</v>
      </c>
      <c r="M150" s="457">
        <v>2312</v>
      </c>
      <c r="N150" s="458">
        <f t="shared" si="475"/>
        <v>0.76</v>
      </c>
      <c r="O150" s="459">
        <v>0</v>
      </c>
      <c r="P150" s="468">
        <v>0.76</v>
      </c>
      <c r="Q150" s="470">
        <f t="shared" si="476"/>
        <v>-19500</v>
      </c>
      <c r="R150" s="460">
        <v>0</v>
      </c>
      <c r="S150" s="673">
        <v>0</v>
      </c>
      <c r="T150" s="460">
        <v>0</v>
      </c>
      <c r="U150" s="460">
        <v>0</v>
      </c>
      <c r="V150" s="460">
        <f>SUM(Q150:U150)</f>
        <v>-19500</v>
      </c>
      <c r="W150" s="460">
        <v>19500</v>
      </c>
      <c r="X150" s="460">
        <v>0</v>
      </c>
      <c r="Y150" s="460">
        <v>0</v>
      </c>
      <c r="Z150" s="460">
        <f t="shared" si="477"/>
        <v>19500</v>
      </c>
      <c r="AA150" s="460">
        <f t="shared" si="478"/>
        <v>0</v>
      </c>
      <c r="AB150" s="69">
        <f t="shared" si="479"/>
        <v>0</v>
      </c>
      <c r="AC150" s="69">
        <f t="shared" si="480"/>
        <v>-195</v>
      </c>
      <c r="AD150" s="460">
        <v>0</v>
      </c>
      <c r="AE150" s="460">
        <v>0</v>
      </c>
      <c r="AF150" s="460">
        <f t="shared" si="481"/>
        <v>0</v>
      </c>
      <c r="AG150" s="460">
        <f t="shared" si="482"/>
        <v>-195</v>
      </c>
      <c r="AH150" s="461">
        <v>0</v>
      </c>
      <c r="AI150" s="461">
        <v>-0.08</v>
      </c>
      <c r="AJ150" s="461">
        <v>0</v>
      </c>
      <c r="AK150" s="461">
        <v>0</v>
      </c>
      <c r="AL150" s="674">
        <v>0</v>
      </c>
      <c r="AM150" s="461">
        <v>0</v>
      </c>
      <c r="AN150" s="461">
        <v>0</v>
      </c>
      <c r="AO150" s="461">
        <v>0</v>
      </c>
      <c r="AP150" s="461">
        <f>AH150+AJ150+AK150+AM150+AN150</f>
        <v>0</v>
      </c>
      <c r="AQ150" s="461">
        <f>AI150+AL150+AO150</f>
        <v>-0.08</v>
      </c>
      <c r="AR150" s="463">
        <f t="shared" si="483"/>
        <v>-0.08</v>
      </c>
      <c r="AS150" s="469">
        <f>I150+AG150</f>
        <v>320523</v>
      </c>
      <c r="AT150" s="460">
        <f>J150+V150</f>
        <v>216706</v>
      </c>
      <c r="AU150" s="460">
        <f t="shared" si="484"/>
        <v>19500</v>
      </c>
      <c r="AV150" s="460">
        <f t="shared" si="485"/>
        <v>79838</v>
      </c>
      <c r="AW150" s="460">
        <f t="shared" si="485"/>
        <v>2167</v>
      </c>
      <c r="AX150" s="460">
        <f>M150+AF150</f>
        <v>2312</v>
      </c>
      <c r="AY150" s="461">
        <f>N150+AR150</f>
        <v>0.68</v>
      </c>
      <c r="AZ150" s="461">
        <f t="shared" si="486"/>
        <v>0</v>
      </c>
      <c r="BA150" s="463">
        <f t="shared" si="486"/>
        <v>0.68</v>
      </c>
    </row>
    <row r="151" spans="1:53" s="229" customFormat="1" x14ac:dyDescent="0.2">
      <c r="A151" s="158">
        <v>27</v>
      </c>
      <c r="B151" s="18">
        <v>4414</v>
      </c>
      <c r="C151" s="18">
        <v>600074307</v>
      </c>
      <c r="D151" s="18">
        <v>70695831</v>
      </c>
      <c r="E151" s="167" t="s">
        <v>202</v>
      </c>
      <c r="F151" s="18"/>
      <c r="G151" s="157"/>
      <c r="H151" s="191"/>
      <c r="I151" s="505">
        <f t="shared" ref="I151:P151" si="487">SUM(I148:I150)</f>
        <v>5738510</v>
      </c>
      <c r="J151" s="502">
        <f t="shared" si="487"/>
        <v>4234271</v>
      </c>
      <c r="K151" s="502">
        <f t="shared" si="487"/>
        <v>1431184</v>
      </c>
      <c r="L151" s="502">
        <f t="shared" si="487"/>
        <v>42343</v>
      </c>
      <c r="M151" s="502">
        <f t="shared" si="487"/>
        <v>30712</v>
      </c>
      <c r="N151" s="503">
        <f t="shared" si="487"/>
        <v>8.7662999999999993</v>
      </c>
      <c r="O151" s="503">
        <f t="shared" si="487"/>
        <v>6.2062999999999997</v>
      </c>
      <c r="P151" s="507">
        <f t="shared" si="487"/>
        <v>2.5599999999999996</v>
      </c>
      <c r="Q151" s="505">
        <f t="shared" ref="Q151:BA151" si="488">SUM(Q148:Q150)</f>
        <v>-29250</v>
      </c>
      <c r="R151" s="502">
        <f t="shared" si="488"/>
        <v>300245</v>
      </c>
      <c r="S151" s="502">
        <f t="shared" si="488"/>
        <v>0</v>
      </c>
      <c r="T151" s="502">
        <f t="shared" si="488"/>
        <v>0</v>
      </c>
      <c r="U151" s="502">
        <f t="shared" si="488"/>
        <v>0</v>
      </c>
      <c r="V151" s="502">
        <f t="shared" si="488"/>
        <v>270995</v>
      </c>
      <c r="W151" s="502">
        <f t="shared" si="488"/>
        <v>29250</v>
      </c>
      <c r="X151" s="502">
        <f t="shared" si="488"/>
        <v>0</v>
      </c>
      <c r="Y151" s="502">
        <f t="shared" si="488"/>
        <v>0</v>
      </c>
      <c r="Z151" s="502">
        <f t="shared" si="488"/>
        <v>29250</v>
      </c>
      <c r="AA151" s="502">
        <f t="shared" si="488"/>
        <v>300245</v>
      </c>
      <c r="AB151" s="502">
        <f t="shared" si="488"/>
        <v>101483</v>
      </c>
      <c r="AC151" s="502">
        <f t="shared" si="488"/>
        <v>2709</v>
      </c>
      <c r="AD151" s="502">
        <f t="shared" si="488"/>
        <v>0</v>
      </c>
      <c r="AE151" s="502">
        <f t="shared" si="488"/>
        <v>0</v>
      </c>
      <c r="AF151" s="502">
        <f t="shared" si="488"/>
        <v>0</v>
      </c>
      <c r="AG151" s="502">
        <f t="shared" si="488"/>
        <v>404437</v>
      </c>
      <c r="AH151" s="503">
        <f t="shared" si="488"/>
        <v>0</v>
      </c>
      <c r="AI151" s="503">
        <f t="shared" si="488"/>
        <v>-0.12</v>
      </c>
      <c r="AJ151" s="503">
        <f t="shared" si="488"/>
        <v>1</v>
      </c>
      <c r="AK151" s="503">
        <f t="shared" si="488"/>
        <v>0</v>
      </c>
      <c r="AL151" s="503">
        <f t="shared" si="488"/>
        <v>0</v>
      </c>
      <c r="AM151" s="503">
        <f t="shared" si="488"/>
        <v>0</v>
      </c>
      <c r="AN151" s="503">
        <f t="shared" si="488"/>
        <v>0</v>
      </c>
      <c r="AO151" s="503">
        <f t="shared" si="488"/>
        <v>0</v>
      </c>
      <c r="AP151" s="503">
        <f t="shared" si="488"/>
        <v>1</v>
      </c>
      <c r="AQ151" s="503">
        <f t="shared" si="488"/>
        <v>-0.12</v>
      </c>
      <c r="AR151" s="40">
        <f t="shared" si="488"/>
        <v>0.88</v>
      </c>
      <c r="AS151" s="509">
        <f t="shared" si="488"/>
        <v>6142947</v>
      </c>
      <c r="AT151" s="502">
        <f t="shared" si="488"/>
        <v>4505266</v>
      </c>
      <c r="AU151" s="502">
        <f t="shared" si="488"/>
        <v>29250</v>
      </c>
      <c r="AV151" s="502">
        <f t="shared" si="488"/>
        <v>1532667</v>
      </c>
      <c r="AW151" s="502">
        <f t="shared" si="488"/>
        <v>45052</v>
      </c>
      <c r="AX151" s="502">
        <f t="shared" si="488"/>
        <v>30712</v>
      </c>
      <c r="AY151" s="503">
        <f t="shared" si="488"/>
        <v>9.6463000000000001</v>
      </c>
      <c r="AZ151" s="503">
        <f t="shared" si="488"/>
        <v>7.2062999999999997</v>
      </c>
      <c r="BA151" s="40">
        <f t="shared" si="488"/>
        <v>2.44</v>
      </c>
    </row>
    <row r="152" spans="1:53" s="229" customFormat="1" x14ac:dyDescent="0.2">
      <c r="A152" s="216">
        <v>28</v>
      </c>
      <c r="B152" s="217">
        <v>4444</v>
      </c>
      <c r="C152" s="217">
        <v>600074731</v>
      </c>
      <c r="D152" s="217">
        <v>48282979</v>
      </c>
      <c r="E152" s="215" t="s">
        <v>203</v>
      </c>
      <c r="F152" s="217">
        <v>3113</v>
      </c>
      <c r="G152" s="168" t="s">
        <v>310</v>
      </c>
      <c r="H152" s="218" t="s">
        <v>277</v>
      </c>
      <c r="I152" s="462">
        <f t="shared" ref="I152:I157" si="489">SUM(J152:M152)</f>
        <v>14277574</v>
      </c>
      <c r="J152" s="457">
        <v>10401334</v>
      </c>
      <c r="K152" s="457">
        <f t="shared" ref="K152:K157" si="490">ROUND(J152*33.8%,0)</f>
        <v>3515651</v>
      </c>
      <c r="L152" s="457">
        <f>ROUND(J152*1%,0)+1</f>
        <v>104014</v>
      </c>
      <c r="M152" s="457">
        <v>256575</v>
      </c>
      <c r="N152" s="458">
        <f t="shared" ref="N152:N157" si="491">O152+P152</f>
        <v>18.176300000000001</v>
      </c>
      <c r="O152" s="459">
        <v>14.1363</v>
      </c>
      <c r="P152" s="468">
        <v>4.04</v>
      </c>
      <c r="Q152" s="470">
        <f t="shared" ref="Q152:Q157" si="492">W152*-1</f>
        <v>-27430</v>
      </c>
      <c r="R152" s="460">
        <v>0</v>
      </c>
      <c r="S152" s="673">
        <v>0</v>
      </c>
      <c r="T152" s="460">
        <v>0</v>
      </c>
      <c r="U152" s="460">
        <v>0</v>
      </c>
      <c r="V152" s="460">
        <f t="shared" ref="V152:V157" si="493">SUM(Q152:U152)</f>
        <v>-27430</v>
      </c>
      <c r="W152" s="460">
        <v>27430</v>
      </c>
      <c r="X152" s="460">
        <v>0</v>
      </c>
      <c r="Y152" s="460">
        <v>0</v>
      </c>
      <c r="Z152" s="460">
        <f t="shared" ref="Z152:Z157" si="494">SUM(W152:Y152)</f>
        <v>27430</v>
      </c>
      <c r="AA152" s="460">
        <f t="shared" ref="AA152:AA157" si="495">V152+Z152</f>
        <v>0</v>
      </c>
      <c r="AB152" s="69">
        <f t="shared" ref="AB152:AB157" si="496">ROUND((V152+W152+X152)*33.8%,0)</f>
        <v>0</v>
      </c>
      <c r="AC152" s="69">
        <f t="shared" ref="AC152:AC157" si="497">ROUND(V152*1%,0)</f>
        <v>-274</v>
      </c>
      <c r="AD152" s="460">
        <v>0</v>
      </c>
      <c r="AE152" s="460">
        <v>0</v>
      </c>
      <c r="AF152" s="460">
        <f t="shared" ref="AF152:AF157" si="498">SUM(AD152:AE152)</f>
        <v>0</v>
      </c>
      <c r="AG152" s="460">
        <f t="shared" ref="AG152:AG157" si="499">AA152+AB152+AC152+AF152</f>
        <v>-274</v>
      </c>
      <c r="AH152" s="461">
        <v>0</v>
      </c>
      <c r="AI152" s="461">
        <v>-0.1</v>
      </c>
      <c r="AJ152" s="461">
        <v>0</v>
      </c>
      <c r="AK152" s="461">
        <v>0</v>
      </c>
      <c r="AL152" s="674">
        <v>0</v>
      </c>
      <c r="AM152" s="461">
        <v>0</v>
      </c>
      <c r="AN152" s="461">
        <v>0</v>
      </c>
      <c r="AO152" s="461">
        <v>0</v>
      </c>
      <c r="AP152" s="461">
        <f t="shared" ref="AP152:AP157" si="500">AH152+AJ152+AK152+AM152+AN152</f>
        <v>0</v>
      </c>
      <c r="AQ152" s="461">
        <f t="shared" ref="AQ152:AQ157" si="501">AI152+AL152+AO152</f>
        <v>-0.1</v>
      </c>
      <c r="AR152" s="463">
        <f t="shared" ref="AR152:AR157" si="502">SUM(AP152:AQ152)</f>
        <v>-0.1</v>
      </c>
      <c r="AS152" s="469">
        <f t="shared" ref="AS152:AS157" si="503">I152+AG152</f>
        <v>14277300</v>
      </c>
      <c r="AT152" s="460">
        <f t="shared" ref="AT152:AT157" si="504">J152+V152</f>
        <v>10373904</v>
      </c>
      <c r="AU152" s="460">
        <f t="shared" ref="AU152:AU157" si="505">Z152</f>
        <v>27430</v>
      </c>
      <c r="AV152" s="460">
        <f t="shared" ref="AV152:AW157" si="506">K152+AB152</f>
        <v>3515651</v>
      </c>
      <c r="AW152" s="460">
        <f t="shared" si="506"/>
        <v>103740</v>
      </c>
      <c r="AX152" s="460">
        <f t="shared" ref="AX152:AX157" si="507">M152+AF152</f>
        <v>256575</v>
      </c>
      <c r="AY152" s="461">
        <f t="shared" ref="AY152:AY157" si="508">N152+AR152</f>
        <v>18.0763</v>
      </c>
      <c r="AZ152" s="461">
        <f t="shared" ref="AZ152:BA157" si="509">O152+AP152</f>
        <v>14.1363</v>
      </c>
      <c r="BA152" s="463">
        <f t="shared" si="509"/>
        <v>3.94</v>
      </c>
    </row>
    <row r="153" spans="1:53" s="229" customFormat="1" x14ac:dyDescent="0.2">
      <c r="A153" s="216">
        <v>28</v>
      </c>
      <c r="B153" s="217">
        <v>4444</v>
      </c>
      <c r="C153" s="217">
        <v>600074731</v>
      </c>
      <c r="D153" s="217">
        <v>48282979</v>
      </c>
      <c r="E153" s="215" t="s">
        <v>203</v>
      </c>
      <c r="F153" s="217">
        <v>3113</v>
      </c>
      <c r="G153" s="168" t="s">
        <v>315</v>
      </c>
      <c r="H153" s="218" t="s">
        <v>278</v>
      </c>
      <c r="I153" s="462">
        <f t="shared" si="489"/>
        <v>0</v>
      </c>
      <c r="J153" s="457">
        <v>0</v>
      </c>
      <c r="K153" s="457">
        <f t="shared" si="490"/>
        <v>0</v>
      </c>
      <c r="L153" s="457">
        <f t="shared" ref="L153:L157" si="510">ROUND(J153*1%,0)</f>
        <v>0</v>
      </c>
      <c r="M153" s="457">
        <v>0</v>
      </c>
      <c r="N153" s="458">
        <f t="shared" si="491"/>
        <v>0</v>
      </c>
      <c r="O153" s="459">
        <v>0</v>
      </c>
      <c r="P153" s="468">
        <v>0</v>
      </c>
      <c r="Q153" s="470">
        <f t="shared" si="492"/>
        <v>0</v>
      </c>
      <c r="R153" s="460">
        <f>2300025+79394-238182</f>
        <v>2141237</v>
      </c>
      <c r="S153" s="673">
        <v>0</v>
      </c>
      <c r="T153" s="460">
        <v>0</v>
      </c>
      <c r="U153" s="460">
        <v>0</v>
      </c>
      <c r="V153" s="460">
        <f t="shared" si="493"/>
        <v>2141237</v>
      </c>
      <c r="W153" s="460">
        <v>0</v>
      </c>
      <c r="X153" s="460">
        <v>0</v>
      </c>
      <c r="Y153" s="460">
        <v>0</v>
      </c>
      <c r="Z153" s="460">
        <f t="shared" si="494"/>
        <v>0</v>
      </c>
      <c r="AA153" s="460">
        <f t="shared" si="495"/>
        <v>2141237</v>
      </c>
      <c r="AB153" s="69">
        <f t="shared" si="496"/>
        <v>723738</v>
      </c>
      <c r="AC153" s="69">
        <f t="shared" si="497"/>
        <v>21412</v>
      </c>
      <c r="AD153" s="460">
        <f>4000+5000</f>
        <v>9000</v>
      </c>
      <c r="AE153" s="460">
        <v>0</v>
      </c>
      <c r="AF153" s="460">
        <f t="shared" si="498"/>
        <v>9000</v>
      </c>
      <c r="AG153" s="460">
        <f t="shared" si="499"/>
        <v>2895387</v>
      </c>
      <c r="AH153" s="461">
        <v>0</v>
      </c>
      <c r="AI153" s="461">
        <v>0</v>
      </c>
      <c r="AJ153" s="461">
        <f>6.64+0.23-0.69</f>
        <v>6.18</v>
      </c>
      <c r="AK153" s="461">
        <v>0</v>
      </c>
      <c r="AL153" s="674">
        <v>0</v>
      </c>
      <c r="AM153" s="461">
        <v>0</v>
      </c>
      <c r="AN153" s="461">
        <v>0</v>
      </c>
      <c r="AO153" s="461">
        <v>0</v>
      </c>
      <c r="AP153" s="461">
        <f t="shared" si="500"/>
        <v>6.18</v>
      </c>
      <c r="AQ153" s="461">
        <f t="shared" si="501"/>
        <v>0</v>
      </c>
      <c r="AR153" s="463">
        <f t="shared" si="502"/>
        <v>6.18</v>
      </c>
      <c r="AS153" s="469">
        <f t="shared" si="503"/>
        <v>2895387</v>
      </c>
      <c r="AT153" s="460">
        <f t="shared" si="504"/>
        <v>2141237</v>
      </c>
      <c r="AU153" s="460">
        <f t="shared" si="505"/>
        <v>0</v>
      </c>
      <c r="AV153" s="460">
        <f t="shared" si="506"/>
        <v>723738</v>
      </c>
      <c r="AW153" s="460">
        <f t="shared" si="506"/>
        <v>21412</v>
      </c>
      <c r="AX153" s="460">
        <f t="shared" si="507"/>
        <v>9000</v>
      </c>
      <c r="AY153" s="461">
        <f t="shared" si="508"/>
        <v>6.18</v>
      </c>
      <c r="AZ153" s="461">
        <f t="shared" si="509"/>
        <v>6.18</v>
      </c>
      <c r="BA153" s="463">
        <f t="shared" si="509"/>
        <v>0</v>
      </c>
    </row>
    <row r="154" spans="1:53" s="229" customFormat="1" x14ac:dyDescent="0.2">
      <c r="A154" s="216">
        <v>28</v>
      </c>
      <c r="B154" s="217">
        <v>4444</v>
      </c>
      <c r="C154" s="217">
        <v>600074731</v>
      </c>
      <c r="D154" s="217">
        <v>48282979</v>
      </c>
      <c r="E154" s="215" t="s">
        <v>203</v>
      </c>
      <c r="F154" s="217">
        <v>3141</v>
      </c>
      <c r="G154" s="168" t="s">
        <v>311</v>
      </c>
      <c r="H154" s="218" t="s">
        <v>278</v>
      </c>
      <c r="I154" s="462">
        <f t="shared" si="489"/>
        <v>2211169</v>
      </c>
      <c r="J154" s="457">
        <v>1629659</v>
      </c>
      <c r="K154" s="457">
        <f t="shared" si="490"/>
        <v>550825</v>
      </c>
      <c r="L154" s="457">
        <f t="shared" si="510"/>
        <v>16297</v>
      </c>
      <c r="M154" s="457">
        <v>14388</v>
      </c>
      <c r="N154" s="458">
        <f t="shared" si="491"/>
        <v>5.24</v>
      </c>
      <c r="O154" s="459">
        <v>0</v>
      </c>
      <c r="P154" s="468">
        <v>5.24</v>
      </c>
      <c r="Q154" s="470">
        <f t="shared" si="492"/>
        <v>-27300</v>
      </c>
      <c r="R154" s="460">
        <v>0</v>
      </c>
      <c r="S154" s="673">
        <v>0</v>
      </c>
      <c r="T154" s="460">
        <v>0</v>
      </c>
      <c r="U154" s="460">
        <v>0</v>
      </c>
      <c r="V154" s="460">
        <f t="shared" si="493"/>
        <v>-27300</v>
      </c>
      <c r="W154" s="460">
        <v>27300</v>
      </c>
      <c r="X154" s="460">
        <v>0</v>
      </c>
      <c r="Y154" s="460">
        <v>0</v>
      </c>
      <c r="Z154" s="460">
        <f t="shared" si="494"/>
        <v>27300</v>
      </c>
      <c r="AA154" s="460">
        <f t="shared" si="495"/>
        <v>0</v>
      </c>
      <c r="AB154" s="69">
        <f t="shared" si="496"/>
        <v>0</v>
      </c>
      <c r="AC154" s="69">
        <f t="shared" si="497"/>
        <v>-273</v>
      </c>
      <c r="AD154" s="460">
        <v>0</v>
      </c>
      <c r="AE154" s="460">
        <v>0</v>
      </c>
      <c r="AF154" s="460">
        <f t="shared" si="498"/>
        <v>0</v>
      </c>
      <c r="AG154" s="460">
        <f t="shared" si="499"/>
        <v>-273</v>
      </c>
      <c r="AH154" s="461">
        <v>0</v>
      </c>
      <c r="AI154" s="461">
        <v>-0.11</v>
      </c>
      <c r="AJ154" s="461">
        <v>0</v>
      </c>
      <c r="AK154" s="461">
        <v>0</v>
      </c>
      <c r="AL154" s="674">
        <v>0</v>
      </c>
      <c r="AM154" s="461">
        <v>0</v>
      </c>
      <c r="AN154" s="461">
        <v>0</v>
      </c>
      <c r="AO154" s="461">
        <v>0</v>
      </c>
      <c r="AP154" s="461">
        <f t="shared" si="500"/>
        <v>0</v>
      </c>
      <c r="AQ154" s="461">
        <f t="shared" si="501"/>
        <v>-0.11</v>
      </c>
      <c r="AR154" s="463">
        <f t="shared" si="502"/>
        <v>-0.11</v>
      </c>
      <c r="AS154" s="469">
        <f t="shared" si="503"/>
        <v>2210896</v>
      </c>
      <c r="AT154" s="460">
        <f t="shared" si="504"/>
        <v>1602359</v>
      </c>
      <c r="AU154" s="460">
        <f t="shared" si="505"/>
        <v>27300</v>
      </c>
      <c r="AV154" s="460">
        <f t="shared" si="506"/>
        <v>550825</v>
      </c>
      <c r="AW154" s="460">
        <f t="shared" si="506"/>
        <v>16024</v>
      </c>
      <c r="AX154" s="460">
        <f t="shared" si="507"/>
        <v>14388</v>
      </c>
      <c r="AY154" s="461">
        <f t="shared" si="508"/>
        <v>5.13</v>
      </c>
      <c r="AZ154" s="461">
        <f t="shared" si="509"/>
        <v>0</v>
      </c>
      <c r="BA154" s="463">
        <f t="shared" si="509"/>
        <v>5.13</v>
      </c>
    </row>
    <row r="155" spans="1:53" s="229" customFormat="1" x14ac:dyDescent="0.2">
      <c r="A155" s="216">
        <v>28</v>
      </c>
      <c r="B155" s="217">
        <v>4444</v>
      </c>
      <c r="C155" s="217">
        <v>600074731</v>
      </c>
      <c r="D155" s="217">
        <v>48282979</v>
      </c>
      <c r="E155" s="215" t="s">
        <v>203</v>
      </c>
      <c r="F155" s="217">
        <v>3143</v>
      </c>
      <c r="G155" s="168" t="s">
        <v>616</v>
      </c>
      <c r="H155" s="234" t="s">
        <v>277</v>
      </c>
      <c r="I155" s="462">
        <f t="shared" si="489"/>
        <v>1381320</v>
      </c>
      <c r="J155" s="457">
        <v>1024718</v>
      </c>
      <c r="K155" s="457">
        <f t="shared" si="490"/>
        <v>346355</v>
      </c>
      <c r="L155" s="457">
        <f t="shared" si="510"/>
        <v>10247</v>
      </c>
      <c r="M155" s="457">
        <v>0</v>
      </c>
      <c r="N155" s="458">
        <f t="shared" si="491"/>
        <v>2.1667000000000001</v>
      </c>
      <c r="O155" s="459">
        <v>2.1667000000000001</v>
      </c>
      <c r="P155" s="468">
        <v>0</v>
      </c>
      <c r="Q155" s="470">
        <f t="shared" si="492"/>
        <v>-65000</v>
      </c>
      <c r="R155" s="460">
        <v>0</v>
      </c>
      <c r="S155" s="673">
        <v>0</v>
      </c>
      <c r="T155" s="460">
        <v>0</v>
      </c>
      <c r="U155" s="460">
        <v>0</v>
      </c>
      <c r="V155" s="460">
        <f t="shared" si="493"/>
        <v>-65000</v>
      </c>
      <c r="W155" s="460">
        <v>65000</v>
      </c>
      <c r="X155" s="460">
        <v>0</v>
      </c>
      <c r="Y155" s="460">
        <v>0</v>
      </c>
      <c r="Z155" s="460">
        <f t="shared" si="494"/>
        <v>65000</v>
      </c>
      <c r="AA155" s="460">
        <f t="shared" si="495"/>
        <v>0</v>
      </c>
      <c r="AB155" s="69">
        <f t="shared" si="496"/>
        <v>0</v>
      </c>
      <c r="AC155" s="69">
        <f t="shared" si="497"/>
        <v>-650</v>
      </c>
      <c r="AD155" s="460">
        <v>0</v>
      </c>
      <c r="AE155" s="460">
        <v>0</v>
      </c>
      <c r="AF155" s="460">
        <f t="shared" si="498"/>
        <v>0</v>
      </c>
      <c r="AG155" s="460">
        <f t="shared" si="499"/>
        <v>-650</v>
      </c>
      <c r="AH155" s="461">
        <v>-0.16</v>
      </c>
      <c r="AI155" s="461">
        <v>0</v>
      </c>
      <c r="AJ155" s="461">
        <v>0</v>
      </c>
      <c r="AK155" s="461">
        <v>0</v>
      </c>
      <c r="AL155" s="674">
        <v>0</v>
      </c>
      <c r="AM155" s="461">
        <v>0</v>
      </c>
      <c r="AN155" s="461">
        <v>0</v>
      </c>
      <c r="AO155" s="461">
        <v>0</v>
      </c>
      <c r="AP155" s="461">
        <f t="shared" si="500"/>
        <v>-0.16</v>
      </c>
      <c r="AQ155" s="461">
        <f t="shared" si="501"/>
        <v>0</v>
      </c>
      <c r="AR155" s="463">
        <f t="shared" si="502"/>
        <v>-0.16</v>
      </c>
      <c r="AS155" s="469">
        <f t="shared" si="503"/>
        <v>1380670</v>
      </c>
      <c r="AT155" s="460">
        <f t="shared" si="504"/>
        <v>959718</v>
      </c>
      <c r="AU155" s="460">
        <f t="shared" si="505"/>
        <v>65000</v>
      </c>
      <c r="AV155" s="460">
        <f t="shared" si="506"/>
        <v>346355</v>
      </c>
      <c r="AW155" s="460">
        <f t="shared" si="506"/>
        <v>9597</v>
      </c>
      <c r="AX155" s="460">
        <f t="shared" si="507"/>
        <v>0</v>
      </c>
      <c r="AY155" s="461">
        <f t="shared" si="508"/>
        <v>2.0066999999999999</v>
      </c>
      <c r="AZ155" s="461">
        <f t="shared" si="509"/>
        <v>2.0066999999999999</v>
      </c>
      <c r="BA155" s="463">
        <f t="shared" si="509"/>
        <v>0</v>
      </c>
    </row>
    <row r="156" spans="1:53" s="229" customFormat="1" x14ac:dyDescent="0.2">
      <c r="A156" s="216">
        <v>28</v>
      </c>
      <c r="B156" s="217">
        <v>4444</v>
      </c>
      <c r="C156" s="217">
        <v>600074731</v>
      </c>
      <c r="D156" s="217">
        <v>48282979</v>
      </c>
      <c r="E156" s="215" t="s">
        <v>203</v>
      </c>
      <c r="F156" s="217">
        <v>3143</v>
      </c>
      <c r="G156" s="168" t="s">
        <v>617</v>
      </c>
      <c r="H156" s="234" t="s">
        <v>278</v>
      </c>
      <c r="I156" s="462">
        <f t="shared" si="489"/>
        <v>48379</v>
      </c>
      <c r="J156" s="457">
        <v>34567</v>
      </c>
      <c r="K156" s="457">
        <f t="shared" si="490"/>
        <v>11684</v>
      </c>
      <c r="L156" s="457">
        <f t="shared" si="510"/>
        <v>346</v>
      </c>
      <c r="M156" s="457">
        <v>1782</v>
      </c>
      <c r="N156" s="458">
        <f t="shared" si="491"/>
        <v>0.14000000000000001</v>
      </c>
      <c r="O156" s="459">
        <v>0</v>
      </c>
      <c r="P156" s="468">
        <v>0.14000000000000001</v>
      </c>
      <c r="Q156" s="470">
        <f t="shared" si="492"/>
        <v>0</v>
      </c>
      <c r="R156" s="460">
        <v>0</v>
      </c>
      <c r="S156" s="673">
        <v>0</v>
      </c>
      <c r="T156" s="460">
        <v>0</v>
      </c>
      <c r="U156" s="460">
        <v>0</v>
      </c>
      <c r="V156" s="460">
        <f t="shared" si="493"/>
        <v>0</v>
      </c>
      <c r="W156" s="460">
        <v>0</v>
      </c>
      <c r="X156" s="460">
        <v>0</v>
      </c>
      <c r="Y156" s="460">
        <v>0</v>
      </c>
      <c r="Z156" s="460">
        <f t="shared" si="494"/>
        <v>0</v>
      </c>
      <c r="AA156" s="460">
        <f t="shared" si="495"/>
        <v>0</v>
      </c>
      <c r="AB156" s="69">
        <f t="shared" si="496"/>
        <v>0</v>
      </c>
      <c r="AC156" s="69">
        <f t="shared" si="497"/>
        <v>0</v>
      </c>
      <c r="AD156" s="460">
        <v>0</v>
      </c>
      <c r="AE156" s="460">
        <v>0</v>
      </c>
      <c r="AF156" s="460">
        <f t="shared" si="498"/>
        <v>0</v>
      </c>
      <c r="AG156" s="460">
        <f t="shared" si="499"/>
        <v>0</v>
      </c>
      <c r="AH156" s="461">
        <v>0</v>
      </c>
      <c r="AI156" s="461">
        <v>0</v>
      </c>
      <c r="AJ156" s="461">
        <v>0</v>
      </c>
      <c r="AK156" s="461">
        <v>0</v>
      </c>
      <c r="AL156" s="674">
        <v>0</v>
      </c>
      <c r="AM156" s="461">
        <v>0</v>
      </c>
      <c r="AN156" s="461">
        <v>0</v>
      </c>
      <c r="AO156" s="461">
        <v>0</v>
      </c>
      <c r="AP156" s="461">
        <f t="shared" si="500"/>
        <v>0</v>
      </c>
      <c r="AQ156" s="461">
        <f t="shared" si="501"/>
        <v>0</v>
      </c>
      <c r="AR156" s="463">
        <f t="shared" si="502"/>
        <v>0</v>
      </c>
      <c r="AS156" s="469">
        <f t="shared" si="503"/>
        <v>48379</v>
      </c>
      <c r="AT156" s="460">
        <f t="shared" si="504"/>
        <v>34567</v>
      </c>
      <c r="AU156" s="460">
        <f t="shared" si="505"/>
        <v>0</v>
      </c>
      <c r="AV156" s="460">
        <f t="shared" si="506"/>
        <v>11684</v>
      </c>
      <c r="AW156" s="460">
        <f t="shared" si="506"/>
        <v>346</v>
      </c>
      <c r="AX156" s="460">
        <f t="shared" si="507"/>
        <v>1782</v>
      </c>
      <c r="AY156" s="461">
        <f t="shared" si="508"/>
        <v>0.14000000000000001</v>
      </c>
      <c r="AZ156" s="461">
        <f t="shared" si="509"/>
        <v>0</v>
      </c>
      <c r="BA156" s="463">
        <f t="shared" si="509"/>
        <v>0.14000000000000001</v>
      </c>
    </row>
    <row r="157" spans="1:53" s="229" customFormat="1" x14ac:dyDescent="0.2">
      <c r="A157" s="216">
        <v>28</v>
      </c>
      <c r="B157" s="217">
        <v>4444</v>
      </c>
      <c r="C157" s="217">
        <v>600074731</v>
      </c>
      <c r="D157" s="217">
        <v>48282979</v>
      </c>
      <c r="E157" s="215" t="s">
        <v>203</v>
      </c>
      <c r="F157" s="217">
        <v>3143</v>
      </c>
      <c r="G157" s="168" t="s">
        <v>313</v>
      </c>
      <c r="H157" s="234" t="s">
        <v>278</v>
      </c>
      <c r="I157" s="462">
        <f t="shared" si="489"/>
        <v>230374</v>
      </c>
      <c r="J157" s="457">
        <v>170634</v>
      </c>
      <c r="K157" s="457">
        <f t="shared" si="490"/>
        <v>57674</v>
      </c>
      <c r="L157" s="457">
        <f t="shared" si="510"/>
        <v>1706</v>
      </c>
      <c r="M157" s="457">
        <v>360</v>
      </c>
      <c r="N157" s="458">
        <f t="shared" si="491"/>
        <v>0.37</v>
      </c>
      <c r="O157" s="459">
        <v>0.33</v>
      </c>
      <c r="P157" s="468">
        <v>0.04</v>
      </c>
      <c r="Q157" s="470">
        <f t="shared" si="492"/>
        <v>0</v>
      </c>
      <c r="R157" s="460">
        <v>0</v>
      </c>
      <c r="S157" s="673">
        <v>0</v>
      </c>
      <c r="T157" s="460">
        <v>0</v>
      </c>
      <c r="U157" s="460">
        <v>0</v>
      </c>
      <c r="V157" s="460">
        <f t="shared" si="493"/>
        <v>0</v>
      </c>
      <c r="W157" s="460">
        <v>0</v>
      </c>
      <c r="X157" s="460">
        <v>0</v>
      </c>
      <c r="Y157" s="460">
        <v>0</v>
      </c>
      <c r="Z157" s="460">
        <f t="shared" si="494"/>
        <v>0</v>
      </c>
      <c r="AA157" s="460">
        <f t="shared" si="495"/>
        <v>0</v>
      </c>
      <c r="AB157" s="69">
        <f t="shared" si="496"/>
        <v>0</v>
      </c>
      <c r="AC157" s="69">
        <f t="shared" si="497"/>
        <v>0</v>
      </c>
      <c r="AD157" s="460">
        <v>0</v>
      </c>
      <c r="AE157" s="460">
        <v>0</v>
      </c>
      <c r="AF157" s="460">
        <f t="shared" si="498"/>
        <v>0</v>
      </c>
      <c r="AG157" s="460">
        <f t="shared" si="499"/>
        <v>0</v>
      </c>
      <c r="AH157" s="461">
        <v>0</v>
      </c>
      <c r="AI157" s="461">
        <v>0</v>
      </c>
      <c r="AJ157" s="461">
        <v>0</v>
      </c>
      <c r="AK157" s="461">
        <v>0</v>
      </c>
      <c r="AL157" s="674">
        <v>0</v>
      </c>
      <c r="AM157" s="461">
        <v>0</v>
      </c>
      <c r="AN157" s="461">
        <v>0</v>
      </c>
      <c r="AO157" s="461">
        <v>0</v>
      </c>
      <c r="AP157" s="461">
        <f t="shared" si="500"/>
        <v>0</v>
      </c>
      <c r="AQ157" s="461">
        <f t="shared" si="501"/>
        <v>0</v>
      </c>
      <c r="AR157" s="463">
        <f t="shared" si="502"/>
        <v>0</v>
      </c>
      <c r="AS157" s="469">
        <f t="shared" si="503"/>
        <v>230374</v>
      </c>
      <c r="AT157" s="460">
        <f t="shared" si="504"/>
        <v>170634</v>
      </c>
      <c r="AU157" s="460">
        <f t="shared" si="505"/>
        <v>0</v>
      </c>
      <c r="AV157" s="460">
        <f t="shared" si="506"/>
        <v>57674</v>
      </c>
      <c r="AW157" s="460">
        <f t="shared" si="506"/>
        <v>1706</v>
      </c>
      <c r="AX157" s="460">
        <f t="shared" si="507"/>
        <v>360</v>
      </c>
      <c r="AY157" s="461">
        <f t="shared" si="508"/>
        <v>0.37</v>
      </c>
      <c r="AZ157" s="461">
        <f t="shared" si="509"/>
        <v>0.33</v>
      </c>
      <c r="BA157" s="463">
        <f t="shared" si="509"/>
        <v>0.04</v>
      </c>
    </row>
    <row r="158" spans="1:53" s="229" customFormat="1" x14ac:dyDescent="0.2">
      <c r="A158" s="158">
        <v>28</v>
      </c>
      <c r="B158" s="18">
        <v>4444</v>
      </c>
      <c r="C158" s="18">
        <v>600074731</v>
      </c>
      <c r="D158" s="18">
        <v>48282979</v>
      </c>
      <c r="E158" s="167" t="s">
        <v>204</v>
      </c>
      <c r="F158" s="18"/>
      <c r="G158" s="157"/>
      <c r="H158" s="191"/>
      <c r="I158" s="505">
        <f t="shared" ref="I158:P158" si="511">SUM(I152:I157)</f>
        <v>18148816</v>
      </c>
      <c r="J158" s="502">
        <f t="shared" si="511"/>
        <v>13260912</v>
      </c>
      <c r="K158" s="502">
        <f t="shared" si="511"/>
        <v>4482189</v>
      </c>
      <c r="L158" s="502">
        <f t="shared" si="511"/>
        <v>132610</v>
      </c>
      <c r="M158" s="502">
        <f t="shared" si="511"/>
        <v>273105</v>
      </c>
      <c r="N158" s="503">
        <f t="shared" si="511"/>
        <v>26.093</v>
      </c>
      <c r="O158" s="503">
        <f t="shared" si="511"/>
        <v>16.632999999999999</v>
      </c>
      <c r="P158" s="507">
        <f t="shared" si="511"/>
        <v>9.4600000000000009</v>
      </c>
      <c r="Q158" s="505">
        <f t="shared" ref="Q158:BA158" si="512">SUM(Q152:Q157)</f>
        <v>-119730</v>
      </c>
      <c r="R158" s="502">
        <f t="shared" si="512"/>
        <v>2141237</v>
      </c>
      <c r="S158" s="502">
        <f t="shared" si="512"/>
        <v>0</v>
      </c>
      <c r="T158" s="502">
        <f t="shared" si="512"/>
        <v>0</v>
      </c>
      <c r="U158" s="502">
        <f t="shared" si="512"/>
        <v>0</v>
      </c>
      <c r="V158" s="502">
        <f t="shared" si="512"/>
        <v>2021507</v>
      </c>
      <c r="W158" s="502">
        <f t="shared" si="512"/>
        <v>119730</v>
      </c>
      <c r="X158" s="502">
        <f t="shared" si="512"/>
        <v>0</v>
      </c>
      <c r="Y158" s="502">
        <f t="shared" si="512"/>
        <v>0</v>
      </c>
      <c r="Z158" s="502">
        <f t="shared" si="512"/>
        <v>119730</v>
      </c>
      <c r="AA158" s="502">
        <f t="shared" si="512"/>
        <v>2141237</v>
      </c>
      <c r="AB158" s="502">
        <f t="shared" si="512"/>
        <v>723738</v>
      </c>
      <c r="AC158" s="502">
        <f t="shared" si="512"/>
        <v>20215</v>
      </c>
      <c r="AD158" s="502">
        <f t="shared" si="512"/>
        <v>9000</v>
      </c>
      <c r="AE158" s="502">
        <f t="shared" si="512"/>
        <v>0</v>
      </c>
      <c r="AF158" s="502">
        <f t="shared" si="512"/>
        <v>9000</v>
      </c>
      <c r="AG158" s="502">
        <f t="shared" si="512"/>
        <v>2894190</v>
      </c>
      <c r="AH158" s="503">
        <f t="shared" si="512"/>
        <v>-0.16</v>
      </c>
      <c r="AI158" s="503">
        <f t="shared" si="512"/>
        <v>-0.21000000000000002</v>
      </c>
      <c r="AJ158" s="503">
        <f t="shared" si="512"/>
        <v>6.18</v>
      </c>
      <c r="AK158" s="503">
        <f t="shared" si="512"/>
        <v>0</v>
      </c>
      <c r="AL158" s="503">
        <f t="shared" si="512"/>
        <v>0</v>
      </c>
      <c r="AM158" s="503">
        <f t="shared" si="512"/>
        <v>0</v>
      </c>
      <c r="AN158" s="503">
        <f t="shared" si="512"/>
        <v>0</v>
      </c>
      <c r="AO158" s="503">
        <f t="shared" si="512"/>
        <v>0</v>
      </c>
      <c r="AP158" s="503">
        <f t="shared" si="512"/>
        <v>6.02</v>
      </c>
      <c r="AQ158" s="503">
        <f t="shared" si="512"/>
        <v>-0.21000000000000002</v>
      </c>
      <c r="AR158" s="40">
        <f t="shared" si="512"/>
        <v>5.81</v>
      </c>
      <c r="AS158" s="509">
        <f t="shared" si="512"/>
        <v>21043006</v>
      </c>
      <c r="AT158" s="502">
        <f t="shared" si="512"/>
        <v>15282419</v>
      </c>
      <c r="AU158" s="502">
        <f t="shared" si="512"/>
        <v>119730</v>
      </c>
      <c r="AV158" s="502">
        <f t="shared" si="512"/>
        <v>5205927</v>
      </c>
      <c r="AW158" s="502">
        <f t="shared" si="512"/>
        <v>152825</v>
      </c>
      <c r="AX158" s="502">
        <f t="shared" si="512"/>
        <v>282105</v>
      </c>
      <c r="AY158" s="503">
        <f t="shared" si="512"/>
        <v>31.902999999999999</v>
      </c>
      <c r="AZ158" s="503">
        <f t="shared" si="512"/>
        <v>22.652999999999995</v>
      </c>
      <c r="BA158" s="40">
        <f t="shared" si="512"/>
        <v>9.25</v>
      </c>
    </row>
    <row r="159" spans="1:53" s="229" customFormat="1" ht="12.75" customHeight="1" x14ac:dyDescent="0.2">
      <c r="A159" s="216">
        <v>29</v>
      </c>
      <c r="B159" s="217">
        <v>4445</v>
      </c>
      <c r="C159" s="217">
        <v>600075044</v>
      </c>
      <c r="D159" s="217">
        <v>72742631</v>
      </c>
      <c r="E159" s="215" t="s">
        <v>205</v>
      </c>
      <c r="F159" s="217">
        <v>3111</v>
      </c>
      <c r="G159" s="168" t="s">
        <v>307</v>
      </c>
      <c r="H159" s="218" t="s">
        <v>277</v>
      </c>
      <c r="I159" s="462">
        <f t="shared" ref="I159:I164" si="513">SUM(J159:M159)</f>
        <v>2759514</v>
      </c>
      <c r="J159" s="457">
        <v>2039402</v>
      </c>
      <c r="K159" s="457">
        <f t="shared" ref="K159:K164" si="514">ROUND(J159*33.8%,0)</f>
        <v>689318</v>
      </c>
      <c r="L159" s="457">
        <f t="shared" ref="L159:L164" si="515">ROUND(J159*1%,0)</f>
        <v>20394</v>
      </c>
      <c r="M159" s="457">
        <v>10400</v>
      </c>
      <c r="N159" s="458">
        <f t="shared" ref="N159:N164" si="516">O159+P159</f>
        <v>4.72</v>
      </c>
      <c r="O159" s="459">
        <v>4</v>
      </c>
      <c r="P159" s="468">
        <v>0.72</v>
      </c>
      <c r="Q159" s="470">
        <f t="shared" ref="Q159:Q164" si="517">W159*-1</f>
        <v>0</v>
      </c>
      <c r="R159" s="460">
        <v>0</v>
      </c>
      <c r="S159" s="673">
        <v>0</v>
      </c>
      <c r="T159" s="460">
        <v>0</v>
      </c>
      <c r="U159" s="460">
        <v>0</v>
      </c>
      <c r="V159" s="460">
        <f t="shared" ref="V159:V164" si="518">SUM(Q159:U159)</f>
        <v>0</v>
      </c>
      <c r="W159" s="460">
        <v>0</v>
      </c>
      <c r="X159" s="460">
        <v>0</v>
      </c>
      <c r="Y159" s="460">
        <v>0</v>
      </c>
      <c r="Z159" s="460">
        <f t="shared" ref="Z159:Z164" si="519">SUM(W159:Y159)</f>
        <v>0</v>
      </c>
      <c r="AA159" s="460">
        <f t="shared" ref="AA159:AA164" si="520">V159+Z159</f>
        <v>0</v>
      </c>
      <c r="AB159" s="69">
        <f t="shared" ref="AB159:AB164" si="521">ROUND((V159+W159+X159)*33.8%,0)</f>
        <v>0</v>
      </c>
      <c r="AC159" s="69">
        <f t="shared" ref="AC159:AC164" si="522">ROUND(V159*1%,0)</f>
        <v>0</v>
      </c>
      <c r="AD159" s="460">
        <v>0</v>
      </c>
      <c r="AE159" s="460">
        <v>0</v>
      </c>
      <c r="AF159" s="460">
        <f t="shared" ref="AF159:AF164" si="523">SUM(AD159:AE159)</f>
        <v>0</v>
      </c>
      <c r="AG159" s="460">
        <f t="shared" ref="AG159:AG164" si="524">AA159+AB159+AC159+AF159</f>
        <v>0</v>
      </c>
      <c r="AH159" s="461">
        <v>0</v>
      </c>
      <c r="AI159" s="461">
        <v>0</v>
      </c>
      <c r="AJ159" s="461">
        <v>0</v>
      </c>
      <c r="AK159" s="461">
        <v>0</v>
      </c>
      <c r="AL159" s="674">
        <v>0</v>
      </c>
      <c r="AM159" s="461">
        <v>0</v>
      </c>
      <c r="AN159" s="461">
        <v>0</v>
      </c>
      <c r="AO159" s="461">
        <v>0</v>
      </c>
      <c r="AP159" s="461">
        <f t="shared" ref="AP159:AP164" si="525">AH159+AJ159+AK159+AM159+AN159</f>
        <v>0</v>
      </c>
      <c r="AQ159" s="461">
        <f t="shared" ref="AQ159:AQ164" si="526">AI159+AL159+AO159</f>
        <v>0</v>
      </c>
      <c r="AR159" s="463">
        <f t="shared" ref="AR159:AR164" si="527">SUM(AP159:AQ159)</f>
        <v>0</v>
      </c>
      <c r="AS159" s="469">
        <f t="shared" ref="AS159:AS164" si="528">I159+AG159</f>
        <v>2759514</v>
      </c>
      <c r="AT159" s="460">
        <f t="shared" ref="AT159:AT164" si="529">J159+V159</f>
        <v>2039402</v>
      </c>
      <c r="AU159" s="460">
        <f t="shared" ref="AU159:AU164" si="530">Z159</f>
        <v>0</v>
      </c>
      <c r="AV159" s="460">
        <f t="shared" ref="AV159:AW164" si="531">K159+AB159</f>
        <v>689318</v>
      </c>
      <c r="AW159" s="460">
        <f t="shared" si="531"/>
        <v>20394</v>
      </c>
      <c r="AX159" s="460">
        <f t="shared" ref="AX159:AX164" si="532">M159+AF159</f>
        <v>10400</v>
      </c>
      <c r="AY159" s="461">
        <f t="shared" ref="AY159:AY164" si="533">N159+AR159</f>
        <v>4.72</v>
      </c>
      <c r="AZ159" s="461">
        <f t="shared" ref="AZ159:BA164" si="534">O159+AP159</f>
        <v>4</v>
      </c>
      <c r="BA159" s="463">
        <f t="shared" si="534"/>
        <v>0.72</v>
      </c>
    </row>
    <row r="160" spans="1:53" s="229" customFormat="1" ht="12.75" customHeight="1" x14ac:dyDescent="0.2">
      <c r="A160" s="216">
        <v>29</v>
      </c>
      <c r="B160" s="217">
        <v>4445</v>
      </c>
      <c r="C160" s="217">
        <v>600075044</v>
      </c>
      <c r="D160" s="217">
        <v>72742631</v>
      </c>
      <c r="E160" s="215" t="s">
        <v>205</v>
      </c>
      <c r="F160" s="217">
        <v>3117</v>
      </c>
      <c r="G160" s="168" t="s">
        <v>310</v>
      </c>
      <c r="H160" s="218" t="s">
        <v>277</v>
      </c>
      <c r="I160" s="462">
        <f t="shared" si="513"/>
        <v>3566717</v>
      </c>
      <c r="J160" s="457">
        <v>2605447</v>
      </c>
      <c r="K160" s="457">
        <f t="shared" si="514"/>
        <v>880641</v>
      </c>
      <c r="L160" s="457">
        <f t="shared" si="515"/>
        <v>26054</v>
      </c>
      <c r="M160" s="457">
        <v>54575</v>
      </c>
      <c r="N160" s="458">
        <f t="shared" si="516"/>
        <v>5.3037000000000001</v>
      </c>
      <c r="O160" s="459">
        <v>3.6316000000000002</v>
      </c>
      <c r="P160" s="468">
        <v>1.6720999999999999</v>
      </c>
      <c r="Q160" s="470">
        <f t="shared" si="517"/>
        <v>0</v>
      </c>
      <c r="R160" s="460">
        <v>0</v>
      </c>
      <c r="S160" s="673">
        <v>0</v>
      </c>
      <c r="T160" s="460">
        <v>0</v>
      </c>
      <c r="U160" s="460">
        <v>0</v>
      </c>
      <c r="V160" s="460">
        <f t="shared" si="518"/>
        <v>0</v>
      </c>
      <c r="W160" s="460">
        <v>0</v>
      </c>
      <c r="X160" s="460">
        <v>0</v>
      </c>
      <c r="Y160" s="460">
        <v>0</v>
      </c>
      <c r="Z160" s="460">
        <f t="shared" si="519"/>
        <v>0</v>
      </c>
      <c r="AA160" s="460">
        <f t="shared" si="520"/>
        <v>0</v>
      </c>
      <c r="AB160" s="69">
        <f t="shared" si="521"/>
        <v>0</v>
      </c>
      <c r="AC160" s="69">
        <f t="shared" si="522"/>
        <v>0</v>
      </c>
      <c r="AD160" s="460">
        <v>0</v>
      </c>
      <c r="AE160" s="460">
        <v>0</v>
      </c>
      <c r="AF160" s="460">
        <f t="shared" si="523"/>
        <v>0</v>
      </c>
      <c r="AG160" s="460">
        <f t="shared" si="524"/>
        <v>0</v>
      </c>
      <c r="AH160" s="461">
        <v>0</v>
      </c>
      <c r="AI160" s="461">
        <v>0</v>
      </c>
      <c r="AJ160" s="461">
        <v>0</v>
      </c>
      <c r="AK160" s="461">
        <v>0</v>
      </c>
      <c r="AL160" s="674">
        <v>0</v>
      </c>
      <c r="AM160" s="461">
        <v>0</v>
      </c>
      <c r="AN160" s="461">
        <v>0</v>
      </c>
      <c r="AO160" s="461">
        <v>0</v>
      </c>
      <c r="AP160" s="461">
        <f t="shared" si="525"/>
        <v>0</v>
      </c>
      <c r="AQ160" s="461">
        <f t="shared" si="526"/>
        <v>0</v>
      </c>
      <c r="AR160" s="463">
        <f t="shared" si="527"/>
        <v>0</v>
      </c>
      <c r="AS160" s="469">
        <f t="shared" si="528"/>
        <v>3566717</v>
      </c>
      <c r="AT160" s="460">
        <f t="shared" si="529"/>
        <v>2605447</v>
      </c>
      <c r="AU160" s="460">
        <f t="shared" si="530"/>
        <v>0</v>
      </c>
      <c r="AV160" s="460">
        <f t="shared" si="531"/>
        <v>880641</v>
      </c>
      <c r="AW160" s="460">
        <f t="shared" si="531"/>
        <v>26054</v>
      </c>
      <c r="AX160" s="460">
        <f t="shared" si="532"/>
        <v>54575</v>
      </c>
      <c r="AY160" s="461">
        <f t="shared" si="533"/>
        <v>5.3037000000000001</v>
      </c>
      <c r="AZ160" s="461">
        <f t="shared" si="534"/>
        <v>3.6316000000000002</v>
      </c>
      <c r="BA160" s="463">
        <f t="shared" si="534"/>
        <v>1.6720999999999999</v>
      </c>
    </row>
    <row r="161" spans="1:53" s="229" customFormat="1" ht="12.75" customHeight="1" x14ac:dyDescent="0.2">
      <c r="A161" s="216">
        <v>29</v>
      </c>
      <c r="B161" s="217">
        <v>4445</v>
      </c>
      <c r="C161" s="217">
        <v>600075044</v>
      </c>
      <c r="D161" s="217">
        <v>72742631</v>
      </c>
      <c r="E161" s="215" t="s">
        <v>205</v>
      </c>
      <c r="F161" s="217">
        <v>3117</v>
      </c>
      <c r="G161" s="168" t="s">
        <v>308</v>
      </c>
      <c r="H161" s="218" t="s">
        <v>278</v>
      </c>
      <c r="I161" s="462">
        <f t="shared" si="513"/>
        <v>0</v>
      </c>
      <c r="J161" s="457">
        <v>0</v>
      </c>
      <c r="K161" s="457">
        <f t="shared" si="514"/>
        <v>0</v>
      </c>
      <c r="L161" s="457">
        <f t="shared" si="515"/>
        <v>0</v>
      </c>
      <c r="M161" s="457">
        <v>0</v>
      </c>
      <c r="N161" s="458">
        <f t="shared" si="516"/>
        <v>0</v>
      </c>
      <c r="O161" s="459">
        <v>0</v>
      </c>
      <c r="P161" s="468">
        <v>0</v>
      </c>
      <c r="Q161" s="470">
        <f t="shared" si="517"/>
        <v>0</v>
      </c>
      <c r="R161" s="460">
        <v>173223</v>
      </c>
      <c r="S161" s="673">
        <v>0</v>
      </c>
      <c r="T161" s="460">
        <v>0</v>
      </c>
      <c r="U161" s="460">
        <v>0</v>
      </c>
      <c r="V161" s="460">
        <f t="shared" si="518"/>
        <v>173223</v>
      </c>
      <c r="W161" s="460">
        <v>0</v>
      </c>
      <c r="X161" s="460">
        <v>0</v>
      </c>
      <c r="Y161" s="460">
        <v>0</v>
      </c>
      <c r="Z161" s="460">
        <f t="shared" si="519"/>
        <v>0</v>
      </c>
      <c r="AA161" s="460">
        <f t="shared" si="520"/>
        <v>173223</v>
      </c>
      <c r="AB161" s="69">
        <f t="shared" si="521"/>
        <v>58549</v>
      </c>
      <c r="AC161" s="69">
        <f t="shared" si="522"/>
        <v>1732</v>
      </c>
      <c r="AD161" s="460">
        <v>0</v>
      </c>
      <c r="AE161" s="460">
        <v>0</v>
      </c>
      <c r="AF161" s="460">
        <f t="shared" si="523"/>
        <v>0</v>
      </c>
      <c r="AG161" s="460">
        <f t="shared" si="524"/>
        <v>233504</v>
      </c>
      <c r="AH161" s="461">
        <v>0</v>
      </c>
      <c r="AI161" s="461">
        <v>0</v>
      </c>
      <c r="AJ161" s="461">
        <v>0.5</v>
      </c>
      <c r="AK161" s="461">
        <v>0</v>
      </c>
      <c r="AL161" s="674">
        <v>0</v>
      </c>
      <c r="AM161" s="461">
        <v>0</v>
      </c>
      <c r="AN161" s="461">
        <v>0</v>
      </c>
      <c r="AO161" s="461">
        <v>0</v>
      </c>
      <c r="AP161" s="461">
        <f t="shared" si="525"/>
        <v>0.5</v>
      </c>
      <c r="AQ161" s="461">
        <f t="shared" si="526"/>
        <v>0</v>
      </c>
      <c r="AR161" s="463">
        <f t="shared" si="527"/>
        <v>0.5</v>
      </c>
      <c r="AS161" s="469">
        <f t="shared" si="528"/>
        <v>233504</v>
      </c>
      <c r="AT161" s="460">
        <f t="shared" si="529"/>
        <v>173223</v>
      </c>
      <c r="AU161" s="460">
        <f t="shared" si="530"/>
        <v>0</v>
      </c>
      <c r="AV161" s="460">
        <f t="shared" si="531"/>
        <v>58549</v>
      </c>
      <c r="AW161" s="460">
        <f t="shared" si="531"/>
        <v>1732</v>
      </c>
      <c r="AX161" s="460">
        <f t="shared" si="532"/>
        <v>0</v>
      </c>
      <c r="AY161" s="461">
        <f t="shared" si="533"/>
        <v>0.5</v>
      </c>
      <c r="AZ161" s="461">
        <f t="shared" si="534"/>
        <v>0.5</v>
      </c>
      <c r="BA161" s="463">
        <f t="shared" si="534"/>
        <v>0</v>
      </c>
    </row>
    <row r="162" spans="1:53" s="229" customFormat="1" ht="12.75" customHeight="1" x14ac:dyDescent="0.2">
      <c r="A162" s="216">
        <v>29</v>
      </c>
      <c r="B162" s="217">
        <v>4445</v>
      </c>
      <c r="C162" s="217">
        <v>600075044</v>
      </c>
      <c r="D162" s="217">
        <v>72742631</v>
      </c>
      <c r="E162" s="215" t="s">
        <v>205</v>
      </c>
      <c r="F162" s="217">
        <v>3141</v>
      </c>
      <c r="G162" s="168" t="s">
        <v>311</v>
      </c>
      <c r="H162" s="218" t="s">
        <v>278</v>
      </c>
      <c r="I162" s="462">
        <f t="shared" si="513"/>
        <v>807035</v>
      </c>
      <c r="J162" s="457">
        <v>596260</v>
      </c>
      <c r="K162" s="457">
        <f t="shared" si="514"/>
        <v>201536</v>
      </c>
      <c r="L162" s="457">
        <f t="shared" si="515"/>
        <v>5963</v>
      </c>
      <c r="M162" s="457">
        <v>3276</v>
      </c>
      <c r="N162" s="458">
        <f t="shared" si="516"/>
        <v>1.92</v>
      </c>
      <c r="O162" s="459">
        <v>0</v>
      </c>
      <c r="P162" s="468">
        <v>1.92</v>
      </c>
      <c r="Q162" s="470">
        <f t="shared" si="517"/>
        <v>0</v>
      </c>
      <c r="R162" s="460">
        <v>0</v>
      </c>
      <c r="S162" s="673">
        <v>0</v>
      </c>
      <c r="T162" s="460">
        <v>0</v>
      </c>
      <c r="U162" s="460">
        <v>0</v>
      </c>
      <c r="V162" s="460">
        <f t="shared" si="518"/>
        <v>0</v>
      </c>
      <c r="W162" s="460">
        <v>0</v>
      </c>
      <c r="X162" s="460">
        <v>0</v>
      </c>
      <c r="Y162" s="460">
        <v>0</v>
      </c>
      <c r="Z162" s="460">
        <f t="shared" si="519"/>
        <v>0</v>
      </c>
      <c r="AA162" s="460">
        <f t="shared" si="520"/>
        <v>0</v>
      </c>
      <c r="AB162" s="69">
        <f t="shared" si="521"/>
        <v>0</v>
      </c>
      <c r="AC162" s="69">
        <f t="shared" si="522"/>
        <v>0</v>
      </c>
      <c r="AD162" s="460">
        <v>0</v>
      </c>
      <c r="AE162" s="460">
        <v>0</v>
      </c>
      <c r="AF162" s="460">
        <f t="shared" si="523"/>
        <v>0</v>
      </c>
      <c r="AG162" s="460">
        <f t="shared" si="524"/>
        <v>0</v>
      </c>
      <c r="AH162" s="461">
        <v>0</v>
      </c>
      <c r="AI162" s="461">
        <v>0</v>
      </c>
      <c r="AJ162" s="461">
        <v>0</v>
      </c>
      <c r="AK162" s="461">
        <v>0</v>
      </c>
      <c r="AL162" s="674">
        <v>0</v>
      </c>
      <c r="AM162" s="461">
        <v>0</v>
      </c>
      <c r="AN162" s="461">
        <v>0</v>
      </c>
      <c r="AO162" s="461">
        <v>0</v>
      </c>
      <c r="AP162" s="461">
        <f t="shared" si="525"/>
        <v>0</v>
      </c>
      <c r="AQ162" s="461">
        <f t="shared" si="526"/>
        <v>0</v>
      </c>
      <c r="AR162" s="463">
        <f t="shared" si="527"/>
        <v>0</v>
      </c>
      <c r="AS162" s="469">
        <f t="shared" si="528"/>
        <v>807035</v>
      </c>
      <c r="AT162" s="460">
        <f t="shared" si="529"/>
        <v>596260</v>
      </c>
      <c r="AU162" s="460">
        <f t="shared" si="530"/>
        <v>0</v>
      </c>
      <c r="AV162" s="460">
        <f t="shared" si="531"/>
        <v>201536</v>
      </c>
      <c r="AW162" s="460">
        <f t="shared" si="531"/>
        <v>5963</v>
      </c>
      <c r="AX162" s="460">
        <f t="shared" si="532"/>
        <v>3276</v>
      </c>
      <c r="AY162" s="461">
        <f t="shared" si="533"/>
        <v>1.92</v>
      </c>
      <c r="AZ162" s="461">
        <f t="shared" si="534"/>
        <v>0</v>
      </c>
      <c r="BA162" s="463">
        <f t="shared" si="534"/>
        <v>1.92</v>
      </c>
    </row>
    <row r="163" spans="1:53" s="229" customFormat="1" ht="12.75" customHeight="1" x14ac:dyDescent="0.2">
      <c r="A163" s="216">
        <v>29</v>
      </c>
      <c r="B163" s="217">
        <v>4445</v>
      </c>
      <c r="C163" s="217">
        <v>600075044</v>
      </c>
      <c r="D163" s="217">
        <v>72742631</v>
      </c>
      <c r="E163" s="210" t="s">
        <v>205</v>
      </c>
      <c r="F163" s="217">
        <v>3143</v>
      </c>
      <c r="G163" s="168" t="s">
        <v>616</v>
      </c>
      <c r="H163" s="234" t="s">
        <v>277</v>
      </c>
      <c r="I163" s="462">
        <f t="shared" si="513"/>
        <v>671547</v>
      </c>
      <c r="J163" s="457">
        <v>498180</v>
      </c>
      <c r="K163" s="457">
        <f t="shared" si="514"/>
        <v>168385</v>
      </c>
      <c r="L163" s="457">
        <f t="shared" si="515"/>
        <v>4982</v>
      </c>
      <c r="M163" s="457">
        <v>0</v>
      </c>
      <c r="N163" s="458">
        <f t="shared" si="516"/>
        <v>1.2856000000000001</v>
      </c>
      <c r="O163" s="459">
        <v>1.2856000000000001</v>
      </c>
      <c r="P163" s="468">
        <v>0</v>
      </c>
      <c r="Q163" s="470">
        <f t="shared" si="517"/>
        <v>0</v>
      </c>
      <c r="R163" s="460">
        <v>0</v>
      </c>
      <c r="S163" s="673">
        <v>0</v>
      </c>
      <c r="T163" s="460">
        <v>0</v>
      </c>
      <c r="U163" s="460">
        <v>0</v>
      </c>
      <c r="V163" s="460">
        <f t="shared" si="518"/>
        <v>0</v>
      </c>
      <c r="W163" s="460">
        <v>0</v>
      </c>
      <c r="X163" s="460">
        <v>0</v>
      </c>
      <c r="Y163" s="460">
        <v>0</v>
      </c>
      <c r="Z163" s="460">
        <f t="shared" si="519"/>
        <v>0</v>
      </c>
      <c r="AA163" s="460">
        <f t="shared" si="520"/>
        <v>0</v>
      </c>
      <c r="AB163" s="69">
        <f t="shared" si="521"/>
        <v>0</v>
      </c>
      <c r="AC163" s="69">
        <f t="shared" si="522"/>
        <v>0</v>
      </c>
      <c r="AD163" s="460">
        <v>0</v>
      </c>
      <c r="AE163" s="460">
        <v>0</v>
      </c>
      <c r="AF163" s="460">
        <f t="shared" si="523"/>
        <v>0</v>
      </c>
      <c r="AG163" s="460">
        <f t="shared" si="524"/>
        <v>0</v>
      </c>
      <c r="AH163" s="461">
        <v>0</v>
      </c>
      <c r="AI163" s="461">
        <v>0</v>
      </c>
      <c r="AJ163" s="461">
        <v>0</v>
      </c>
      <c r="AK163" s="461">
        <v>0</v>
      </c>
      <c r="AL163" s="674">
        <v>0</v>
      </c>
      <c r="AM163" s="461">
        <v>0</v>
      </c>
      <c r="AN163" s="461">
        <v>0</v>
      </c>
      <c r="AO163" s="461">
        <v>0</v>
      </c>
      <c r="AP163" s="461">
        <f t="shared" si="525"/>
        <v>0</v>
      </c>
      <c r="AQ163" s="461">
        <f t="shared" si="526"/>
        <v>0</v>
      </c>
      <c r="AR163" s="463">
        <f t="shared" si="527"/>
        <v>0</v>
      </c>
      <c r="AS163" s="469">
        <f t="shared" si="528"/>
        <v>671547</v>
      </c>
      <c r="AT163" s="460">
        <f t="shared" si="529"/>
        <v>498180</v>
      </c>
      <c r="AU163" s="460">
        <f t="shared" si="530"/>
        <v>0</v>
      </c>
      <c r="AV163" s="460">
        <f t="shared" si="531"/>
        <v>168385</v>
      </c>
      <c r="AW163" s="460">
        <f t="shared" si="531"/>
        <v>4982</v>
      </c>
      <c r="AX163" s="460">
        <f t="shared" si="532"/>
        <v>0</v>
      </c>
      <c r="AY163" s="461">
        <f t="shared" si="533"/>
        <v>1.2856000000000001</v>
      </c>
      <c r="AZ163" s="461">
        <f t="shared" si="534"/>
        <v>1.2856000000000001</v>
      </c>
      <c r="BA163" s="463">
        <f t="shared" si="534"/>
        <v>0</v>
      </c>
    </row>
    <row r="164" spans="1:53" s="229" customFormat="1" ht="12.75" customHeight="1" x14ac:dyDescent="0.2">
      <c r="A164" s="216">
        <v>29</v>
      </c>
      <c r="B164" s="217">
        <v>4445</v>
      </c>
      <c r="C164" s="217">
        <v>600075044</v>
      </c>
      <c r="D164" s="217">
        <v>72742631</v>
      </c>
      <c r="E164" s="210" t="s">
        <v>205</v>
      </c>
      <c r="F164" s="217">
        <v>3143</v>
      </c>
      <c r="G164" s="168" t="s">
        <v>617</v>
      </c>
      <c r="H164" s="234" t="s">
        <v>278</v>
      </c>
      <c r="I164" s="462">
        <f t="shared" si="513"/>
        <v>27121</v>
      </c>
      <c r="J164" s="457">
        <v>19378</v>
      </c>
      <c r="K164" s="457">
        <f t="shared" si="514"/>
        <v>6550</v>
      </c>
      <c r="L164" s="457">
        <f t="shared" si="515"/>
        <v>194</v>
      </c>
      <c r="M164" s="457">
        <v>999</v>
      </c>
      <c r="N164" s="458">
        <f t="shared" si="516"/>
        <v>0.08</v>
      </c>
      <c r="O164" s="459">
        <v>0</v>
      </c>
      <c r="P164" s="468">
        <v>0.08</v>
      </c>
      <c r="Q164" s="470">
        <f t="shared" si="517"/>
        <v>0</v>
      </c>
      <c r="R164" s="460">
        <v>0</v>
      </c>
      <c r="S164" s="673">
        <v>0</v>
      </c>
      <c r="T164" s="460">
        <v>0</v>
      </c>
      <c r="U164" s="460">
        <v>0</v>
      </c>
      <c r="V164" s="460">
        <f t="shared" si="518"/>
        <v>0</v>
      </c>
      <c r="W164" s="460">
        <v>0</v>
      </c>
      <c r="X164" s="460">
        <v>0</v>
      </c>
      <c r="Y164" s="460">
        <v>0</v>
      </c>
      <c r="Z164" s="460">
        <f t="shared" si="519"/>
        <v>0</v>
      </c>
      <c r="AA164" s="460">
        <f t="shared" si="520"/>
        <v>0</v>
      </c>
      <c r="AB164" s="69">
        <f t="shared" si="521"/>
        <v>0</v>
      </c>
      <c r="AC164" s="69">
        <f t="shared" si="522"/>
        <v>0</v>
      </c>
      <c r="AD164" s="460">
        <v>0</v>
      </c>
      <c r="AE164" s="460">
        <v>0</v>
      </c>
      <c r="AF164" s="460">
        <f t="shared" si="523"/>
        <v>0</v>
      </c>
      <c r="AG164" s="460">
        <f t="shared" si="524"/>
        <v>0</v>
      </c>
      <c r="AH164" s="461">
        <v>0</v>
      </c>
      <c r="AI164" s="461">
        <v>0</v>
      </c>
      <c r="AJ164" s="461">
        <v>0</v>
      </c>
      <c r="AK164" s="461">
        <v>0</v>
      </c>
      <c r="AL164" s="674">
        <v>0</v>
      </c>
      <c r="AM164" s="461">
        <v>0</v>
      </c>
      <c r="AN164" s="461">
        <v>0</v>
      </c>
      <c r="AO164" s="461">
        <v>0</v>
      </c>
      <c r="AP164" s="461">
        <f t="shared" si="525"/>
        <v>0</v>
      </c>
      <c r="AQ164" s="461">
        <f t="shared" si="526"/>
        <v>0</v>
      </c>
      <c r="AR164" s="463">
        <f t="shared" si="527"/>
        <v>0</v>
      </c>
      <c r="AS164" s="469">
        <f t="shared" si="528"/>
        <v>27121</v>
      </c>
      <c r="AT164" s="460">
        <f t="shared" si="529"/>
        <v>19378</v>
      </c>
      <c r="AU164" s="460">
        <f t="shared" si="530"/>
        <v>0</v>
      </c>
      <c r="AV164" s="460">
        <f t="shared" si="531"/>
        <v>6550</v>
      </c>
      <c r="AW164" s="460">
        <f t="shared" si="531"/>
        <v>194</v>
      </c>
      <c r="AX164" s="460">
        <f t="shared" si="532"/>
        <v>999</v>
      </c>
      <c r="AY164" s="461">
        <f t="shared" si="533"/>
        <v>0.08</v>
      </c>
      <c r="AZ164" s="461">
        <f t="shared" si="534"/>
        <v>0</v>
      </c>
      <c r="BA164" s="463">
        <f t="shared" si="534"/>
        <v>0.08</v>
      </c>
    </row>
    <row r="165" spans="1:53" s="229" customFormat="1" ht="12.75" customHeight="1" x14ac:dyDescent="0.2">
      <c r="A165" s="158">
        <v>29</v>
      </c>
      <c r="B165" s="18">
        <v>4445</v>
      </c>
      <c r="C165" s="18">
        <v>600075044</v>
      </c>
      <c r="D165" s="18">
        <v>72742631</v>
      </c>
      <c r="E165" s="167" t="s">
        <v>206</v>
      </c>
      <c r="F165" s="18"/>
      <c r="G165" s="157"/>
      <c r="H165" s="191"/>
      <c r="I165" s="505">
        <f t="shared" ref="I165:BA165" si="535">SUM(I159:I164)</f>
        <v>7831934</v>
      </c>
      <c r="J165" s="502">
        <f t="shared" si="535"/>
        <v>5758667</v>
      </c>
      <c r="K165" s="502">
        <f t="shared" si="535"/>
        <v>1946430</v>
      </c>
      <c r="L165" s="502">
        <f t="shared" si="535"/>
        <v>57587</v>
      </c>
      <c r="M165" s="502">
        <f t="shared" si="535"/>
        <v>69250</v>
      </c>
      <c r="N165" s="503">
        <f t="shared" si="535"/>
        <v>13.3093</v>
      </c>
      <c r="O165" s="503">
        <f t="shared" si="535"/>
        <v>8.9172000000000011</v>
      </c>
      <c r="P165" s="507">
        <f t="shared" si="535"/>
        <v>4.3921000000000001</v>
      </c>
      <c r="Q165" s="505">
        <f t="shared" si="535"/>
        <v>0</v>
      </c>
      <c r="R165" s="502">
        <f t="shared" si="535"/>
        <v>173223</v>
      </c>
      <c r="S165" s="502">
        <f t="shared" si="535"/>
        <v>0</v>
      </c>
      <c r="T165" s="502">
        <f t="shared" si="535"/>
        <v>0</v>
      </c>
      <c r="U165" s="502">
        <f t="shared" si="535"/>
        <v>0</v>
      </c>
      <c r="V165" s="502">
        <f t="shared" si="535"/>
        <v>173223</v>
      </c>
      <c r="W165" s="502">
        <f t="shared" si="535"/>
        <v>0</v>
      </c>
      <c r="X165" s="502">
        <f t="shared" si="535"/>
        <v>0</v>
      </c>
      <c r="Y165" s="502">
        <f t="shared" si="535"/>
        <v>0</v>
      </c>
      <c r="Z165" s="502">
        <f t="shared" si="535"/>
        <v>0</v>
      </c>
      <c r="AA165" s="502">
        <f t="shared" si="535"/>
        <v>173223</v>
      </c>
      <c r="AB165" s="502">
        <f t="shared" si="535"/>
        <v>58549</v>
      </c>
      <c r="AC165" s="502">
        <f t="shared" si="535"/>
        <v>1732</v>
      </c>
      <c r="AD165" s="502">
        <f t="shared" si="535"/>
        <v>0</v>
      </c>
      <c r="AE165" s="502">
        <f t="shared" si="535"/>
        <v>0</v>
      </c>
      <c r="AF165" s="502">
        <f t="shared" si="535"/>
        <v>0</v>
      </c>
      <c r="AG165" s="502">
        <f t="shared" si="535"/>
        <v>233504</v>
      </c>
      <c r="AH165" s="503">
        <f t="shared" si="535"/>
        <v>0</v>
      </c>
      <c r="AI165" s="503">
        <f t="shared" si="535"/>
        <v>0</v>
      </c>
      <c r="AJ165" s="503">
        <f t="shared" si="535"/>
        <v>0.5</v>
      </c>
      <c r="AK165" s="503">
        <f t="shared" si="535"/>
        <v>0</v>
      </c>
      <c r="AL165" s="503">
        <f t="shared" si="535"/>
        <v>0</v>
      </c>
      <c r="AM165" s="503">
        <f t="shared" si="535"/>
        <v>0</v>
      </c>
      <c r="AN165" s="503">
        <f t="shared" si="535"/>
        <v>0</v>
      </c>
      <c r="AO165" s="503">
        <f t="shared" si="535"/>
        <v>0</v>
      </c>
      <c r="AP165" s="503">
        <f t="shared" si="535"/>
        <v>0.5</v>
      </c>
      <c r="AQ165" s="503">
        <f t="shared" si="535"/>
        <v>0</v>
      </c>
      <c r="AR165" s="40">
        <f t="shared" si="535"/>
        <v>0.5</v>
      </c>
      <c r="AS165" s="509">
        <f t="shared" si="535"/>
        <v>8065438</v>
      </c>
      <c r="AT165" s="502">
        <f t="shared" si="535"/>
        <v>5931890</v>
      </c>
      <c r="AU165" s="502">
        <f t="shared" si="535"/>
        <v>0</v>
      </c>
      <c r="AV165" s="502">
        <f t="shared" si="535"/>
        <v>2004979</v>
      </c>
      <c r="AW165" s="502">
        <f t="shared" si="535"/>
        <v>59319</v>
      </c>
      <c r="AX165" s="502">
        <f t="shared" si="535"/>
        <v>69250</v>
      </c>
      <c r="AY165" s="503">
        <f t="shared" si="535"/>
        <v>13.8093</v>
      </c>
      <c r="AZ165" s="503">
        <f t="shared" si="535"/>
        <v>9.4172000000000011</v>
      </c>
      <c r="BA165" s="40">
        <f t="shared" si="535"/>
        <v>4.3921000000000001</v>
      </c>
    </row>
    <row r="166" spans="1:53" s="229" customFormat="1" ht="12.75" customHeight="1" x14ac:dyDescent="0.2">
      <c r="A166" s="216">
        <v>30</v>
      </c>
      <c r="B166" s="217">
        <v>4446</v>
      </c>
      <c r="C166" s="217">
        <v>600074587</v>
      </c>
      <c r="D166" s="217">
        <v>70695504</v>
      </c>
      <c r="E166" s="215" t="s">
        <v>816</v>
      </c>
      <c r="F166" s="217">
        <v>3111</v>
      </c>
      <c r="G166" s="168" t="s">
        <v>307</v>
      </c>
      <c r="H166" s="218" t="s">
        <v>277</v>
      </c>
      <c r="I166" s="462">
        <f t="shared" ref="I166:I171" si="536">SUM(J166:M166)</f>
        <v>1833514</v>
      </c>
      <c r="J166" s="457">
        <v>1352458</v>
      </c>
      <c r="K166" s="457">
        <f t="shared" ref="K166:K171" si="537">ROUND(J166*33.8%,0)</f>
        <v>457131</v>
      </c>
      <c r="L166" s="457">
        <f t="shared" ref="L166:L171" si="538">ROUND(J166*1%,0)</f>
        <v>13525</v>
      </c>
      <c r="M166" s="457">
        <v>10400</v>
      </c>
      <c r="N166" s="458">
        <f t="shared" ref="N166:N171" si="539">O166+P166</f>
        <v>2.6417999999999999</v>
      </c>
      <c r="O166" s="459">
        <v>2.2418</v>
      </c>
      <c r="P166" s="468">
        <v>0.4</v>
      </c>
      <c r="Q166" s="470">
        <f t="shared" ref="Q166:Q171" si="540">W166*-1</f>
        <v>0</v>
      </c>
      <c r="R166" s="460">
        <v>0</v>
      </c>
      <c r="S166" s="673">
        <v>0</v>
      </c>
      <c r="T166" s="460">
        <v>0</v>
      </c>
      <c r="U166" s="460">
        <v>0</v>
      </c>
      <c r="V166" s="460">
        <f t="shared" ref="V166:V171" si="541">SUM(Q166:U166)</f>
        <v>0</v>
      </c>
      <c r="W166" s="460">
        <v>0</v>
      </c>
      <c r="X166" s="460">
        <v>0</v>
      </c>
      <c r="Y166" s="460">
        <v>0</v>
      </c>
      <c r="Z166" s="460">
        <f t="shared" ref="Z166:Z171" si="542">SUM(W166:Y166)</f>
        <v>0</v>
      </c>
      <c r="AA166" s="460">
        <f t="shared" ref="AA166:AA171" si="543">V166+Z166</f>
        <v>0</v>
      </c>
      <c r="AB166" s="69">
        <f t="shared" ref="AB166:AB171" si="544">ROUND((V166+W166+X166)*33.8%,0)</f>
        <v>0</v>
      </c>
      <c r="AC166" s="69">
        <f t="shared" ref="AC166:AC171" si="545">ROUND(V166*1%,0)</f>
        <v>0</v>
      </c>
      <c r="AD166" s="460">
        <v>0</v>
      </c>
      <c r="AE166" s="460">
        <v>0</v>
      </c>
      <c r="AF166" s="460">
        <f t="shared" ref="AF166:AF171" si="546">SUM(AD166:AE166)</f>
        <v>0</v>
      </c>
      <c r="AG166" s="460">
        <f t="shared" ref="AG166:AG171" si="547">AA166+AB166+AC166+AF166</f>
        <v>0</v>
      </c>
      <c r="AH166" s="461">
        <v>0</v>
      </c>
      <c r="AI166" s="461">
        <v>0</v>
      </c>
      <c r="AJ166" s="461">
        <v>0</v>
      </c>
      <c r="AK166" s="461">
        <v>0</v>
      </c>
      <c r="AL166" s="674">
        <v>0</v>
      </c>
      <c r="AM166" s="461">
        <v>0</v>
      </c>
      <c r="AN166" s="461">
        <v>0</v>
      </c>
      <c r="AO166" s="461">
        <v>0</v>
      </c>
      <c r="AP166" s="461">
        <f t="shared" ref="AP166:AP171" si="548">AH166+AJ166+AK166+AM166+AN166</f>
        <v>0</v>
      </c>
      <c r="AQ166" s="461">
        <f t="shared" ref="AQ166:AQ171" si="549">AI166+AL166+AO166</f>
        <v>0</v>
      </c>
      <c r="AR166" s="463">
        <f t="shared" ref="AR166:AR171" si="550">SUM(AP166:AQ166)</f>
        <v>0</v>
      </c>
      <c r="AS166" s="469">
        <f t="shared" ref="AS166:AS171" si="551">I166+AG166</f>
        <v>1833514</v>
      </c>
      <c r="AT166" s="460">
        <f t="shared" ref="AT166:AT171" si="552">J166+V166</f>
        <v>1352458</v>
      </c>
      <c r="AU166" s="460">
        <f t="shared" ref="AU166:AU171" si="553">Z166</f>
        <v>0</v>
      </c>
      <c r="AV166" s="460">
        <f t="shared" ref="AV166:AW171" si="554">K166+AB166</f>
        <v>457131</v>
      </c>
      <c r="AW166" s="460">
        <f t="shared" si="554"/>
        <v>13525</v>
      </c>
      <c r="AX166" s="460">
        <f t="shared" ref="AX166:AX171" si="555">M166+AF166</f>
        <v>10400</v>
      </c>
      <c r="AY166" s="461">
        <f t="shared" ref="AY166:AY171" si="556">N166+AR166</f>
        <v>2.6417999999999999</v>
      </c>
      <c r="AZ166" s="461">
        <f t="shared" ref="AZ166:BA171" si="557">O166+AP166</f>
        <v>2.2418</v>
      </c>
      <c r="BA166" s="463">
        <f t="shared" si="557"/>
        <v>0.4</v>
      </c>
    </row>
    <row r="167" spans="1:53" s="229" customFormat="1" ht="12.75" customHeight="1" x14ac:dyDescent="0.2">
      <c r="A167" s="216">
        <v>30</v>
      </c>
      <c r="B167" s="217">
        <v>4446</v>
      </c>
      <c r="C167" s="217">
        <v>600074587</v>
      </c>
      <c r="D167" s="217">
        <v>70695504</v>
      </c>
      <c r="E167" s="215" t="s">
        <v>816</v>
      </c>
      <c r="F167" s="217">
        <v>3117</v>
      </c>
      <c r="G167" s="168" t="s">
        <v>310</v>
      </c>
      <c r="H167" s="218" t="s">
        <v>277</v>
      </c>
      <c r="I167" s="462">
        <f t="shared" si="536"/>
        <v>2633934</v>
      </c>
      <c r="J167" s="457">
        <v>1921131</v>
      </c>
      <c r="K167" s="457">
        <f t="shared" si="537"/>
        <v>649342</v>
      </c>
      <c r="L167" s="457">
        <f t="shared" si="538"/>
        <v>19211</v>
      </c>
      <c r="M167" s="457">
        <v>44250</v>
      </c>
      <c r="N167" s="458">
        <f t="shared" si="539"/>
        <v>3.5920999999999998</v>
      </c>
      <c r="O167" s="459">
        <v>2.6920999999999999</v>
      </c>
      <c r="P167" s="468">
        <v>0.89999999999999991</v>
      </c>
      <c r="Q167" s="470">
        <f t="shared" si="540"/>
        <v>0</v>
      </c>
      <c r="R167" s="460">
        <v>0</v>
      </c>
      <c r="S167" s="673">
        <v>0</v>
      </c>
      <c r="T167" s="460">
        <v>0</v>
      </c>
      <c r="U167" s="460">
        <v>0</v>
      </c>
      <c r="V167" s="460">
        <f t="shared" si="541"/>
        <v>0</v>
      </c>
      <c r="W167" s="460">
        <v>0</v>
      </c>
      <c r="X167" s="460">
        <v>0</v>
      </c>
      <c r="Y167" s="460">
        <v>0</v>
      </c>
      <c r="Z167" s="460">
        <f t="shared" si="542"/>
        <v>0</v>
      </c>
      <c r="AA167" s="460">
        <f t="shared" si="543"/>
        <v>0</v>
      </c>
      <c r="AB167" s="69">
        <f t="shared" si="544"/>
        <v>0</v>
      </c>
      <c r="AC167" s="69">
        <f t="shared" si="545"/>
        <v>0</v>
      </c>
      <c r="AD167" s="460">
        <v>0</v>
      </c>
      <c r="AE167" s="460">
        <v>0</v>
      </c>
      <c r="AF167" s="460">
        <f t="shared" si="546"/>
        <v>0</v>
      </c>
      <c r="AG167" s="460">
        <f t="shared" si="547"/>
        <v>0</v>
      </c>
      <c r="AH167" s="461">
        <v>0</v>
      </c>
      <c r="AI167" s="461">
        <v>0</v>
      </c>
      <c r="AJ167" s="461">
        <v>0</v>
      </c>
      <c r="AK167" s="461">
        <v>0</v>
      </c>
      <c r="AL167" s="674">
        <v>0</v>
      </c>
      <c r="AM167" s="461">
        <v>0</v>
      </c>
      <c r="AN167" s="461">
        <v>0</v>
      </c>
      <c r="AO167" s="461">
        <v>0</v>
      </c>
      <c r="AP167" s="461">
        <f t="shared" si="548"/>
        <v>0</v>
      </c>
      <c r="AQ167" s="461">
        <f t="shared" si="549"/>
        <v>0</v>
      </c>
      <c r="AR167" s="463">
        <f t="shared" si="550"/>
        <v>0</v>
      </c>
      <c r="AS167" s="469">
        <f t="shared" si="551"/>
        <v>2633934</v>
      </c>
      <c r="AT167" s="460">
        <f t="shared" si="552"/>
        <v>1921131</v>
      </c>
      <c r="AU167" s="460">
        <f t="shared" si="553"/>
        <v>0</v>
      </c>
      <c r="AV167" s="460">
        <f t="shared" si="554"/>
        <v>649342</v>
      </c>
      <c r="AW167" s="460">
        <f t="shared" si="554"/>
        <v>19211</v>
      </c>
      <c r="AX167" s="460">
        <f t="shared" si="555"/>
        <v>44250</v>
      </c>
      <c r="AY167" s="461">
        <f t="shared" si="556"/>
        <v>3.5920999999999998</v>
      </c>
      <c r="AZ167" s="461">
        <f t="shared" si="557"/>
        <v>2.6920999999999999</v>
      </c>
      <c r="BA167" s="463">
        <f t="shared" si="557"/>
        <v>0.89999999999999991</v>
      </c>
    </row>
    <row r="168" spans="1:53" s="229" customFormat="1" ht="12.75" customHeight="1" x14ac:dyDescent="0.2">
      <c r="A168" s="216">
        <v>30</v>
      </c>
      <c r="B168" s="217">
        <v>4446</v>
      </c>
      <c r="C168" s="217">
        <v>600074587</v>
      </c>
      <c r="D168" s="217">
        <v>70695504</v>
      </c>
      <c r="E168" s="215" t="s">
        <v>816</v>
      </c>
      <c r="F168" s="217">
        <v>3117</v>
      </c>
      <c r="G168" s="168" t="s">
        <v>308</v>
      </c>
      <c r="H168" s="218" t="s">
        <v>278</v>
      </c>
      <c r="I168" s="462">
        <f t="shared" si="536"/>
        <v>0</v>
      </c>
      <c r="J168" s="457">
        <v>0</v>
      </c>
      <c r="K168" s="457">
        <f t="shared" si="537"/>
        <v>0</v>
      </c>
      <c r="L168" s="457">
        <f t="shared" si="538"/>
        <v>0</v>
      </c>
      <c r="M168" s="457">
        <v>0</v>
      </c>
      <c r="N168" s="458">
        <f t="shared" si="539"/>
        <v>0</v>
      </c>
      <c r="O168" s="459">
        <v>0</v>
      </c>
      <c r="P168" s="468">
        <v>0</v>
      </c>
      <c r="Q168" s="470">
        <f t="shared" si="540"/>
        <v>0</v>
      </c>
      <c r="R168" s="460">
        <v>473469</v>
      </c>
      <c r="S168" s="673">
        <v>0</v>
      </c>
      <c r="T168" s="460">
        <v>0</v>
      </c>
      <c r="U168" s="460">
        <v>0</v>
      </c>
      <c r="V168" s="460">
        <f t="shared" si="541"/>
        <v>473469</v>
      </c>
      <c r="W168" s="460">
        <v>0</v>
      </c>
      <c r="X168" s="460">
        <v>0</v>
      </c>
      <c r="Y168" s="460">
        <v>0</v>
      </c>
      <c r="Z168" s="460">
        <f t="shared" si="542"/>
        <v>0</v>
      </c>
      <c r="AA168" s="460">
        <f t="shared" si="543"/>
        <v>473469</v>
      </c>
      <c r="AB168" s="69">
        <f t="shared" si="544"/>
        <v>160033</v>
      </c>
      <c r="AC168" s="69">
        <f t="shared" si="545"/>
        <v>4735</v>
      </c>
      <c r="AD168" s="460">
        <v>0</v>
      </c>
      <c r="AE168" s="460">
        <v>0</v>
      </c>
      <c r="AF168" s="460">
        <f t="shared" si="546"/>
        <v>0</v>
      </c>
      <c r="AG168" s="460">
        <f t="shared" si="547"/>
        <v>638237</v>
      </c>
      <c r="AH168" s="461">
        <v>0</v>
      </c>
      <c r="AI168" s="461">
        <v>0</v>
      </c>
      <c r="AJ168" s="461">
        <v>1.5</v>
      </c>
      <c r="AK168" s="461">
        <v>0</v>
      </c>
      <c r="AL168" s="674">
        <v>0</v>
      </c>
      <c r="AM168" s="461">
        <v>0</v>
      </c>
      <c r="AN168" s="461">
        <v>0</v>
      </c>
      <c r="AO168" s="461">
        <v>0</v>
      </c>
      <c r="AP168" s="461">
        <f t="shared" si="548"/>
        <v>1.5</v>
      </c>
      <c r="AQ168" s="461">
        <f t="shared" si="549"/>
        <v>0</v>
      </c>
      <c r="AR168" s="463">
        <f t="shared" si="550"/>
        <v>1.5</v>
      </c>
      <c r="AS168" s="469">
        <f t="shared" si="551"/>
        <v>638237</v>
      </c>
      <c r="AT168" s="460">
        <f t="shared" si="552"/>
        <v>473469</v>
      </c>
      <c r="AU168" s="460">
        <f t="shared" si="553"/>
        <v>0</v>
      </c>
      <c r="AV168" s="460">
        <f t="shared" si="554"/>
        <v>160033</v>
      </c>
      <c r="AW168" s="460">
        <f t="shared" si="554"/>
        <v>4735</v>
      </c>
      <c r="AX168" s="460">
        <f t="shared" si="555"/>
        <v>0</v>
      </c>
      <c r="AY168" s="461">
        <f t="shared" si="556"/>
        <v>1.5</v>
      </c>
      <c r="AZ168" s="461">
        <f t="shared" si="557"/>
        <v>1.5</v>
      </c>
      <c r="BA168" s="463">
        <f t="shared" si="557"/>
        <v>0</v>
      </c>
    </row>
    <row r="169" spans="1:53" s="229" customFormat="1" ht="12.75" customHeight="1" x14ac:dyDescent="0.2">
      <c r="A169" s="216">
        <v>30</v>
      </c>
      <c r="B169" s="217">
        <v>4446</v>
      </c>
      <c r="C169" s="217">
        <v>600074587</v>
      </c>
      <c r="D169" s="217">
        <v>70695504</v>
      </c>
      <c r="E169" s="215" t="s">
        <v>816</v>
      </c>
      <c r="F169" s="217">
        <v>3141</v>
      </c>
      <c r="G169" s="168" t="s">
        <v>311</v>
      </c>
      <c r="H169" s="218" t="s">
        <v>278</v>
      </c>
      <c r="I169" s="462">
        <f t="shared" si="536"/>
        <v>281898</v>
      </c>
      <c r="J169" s="457">
        <v>207812</v>
      </c>
      <c r="K169" s="457">
        <f t="shared" si="537"/>
        <v>70240</v>
      </c>
      <c r="L169" s="457">
        <f t="shared" si="538"/>
        <v>2078</v>
      </c>
      <c r="M169" s="457">
        <v>1768</v>
      </c>
      <c r="N169" s="458">
        <f t="shared" si="539"/>
        <v>0.67</v>
      </c>
      <c r="O169" s="459">
        <v>0</v>
      </c>
      <c r="P169" s="468">
        <v>0.67</v>
      </c>
      <c r="Q169" s="470">
        <f t="shared" si="540"/>
        <v>0</v>
      </c>
      <c r="R169" s="460">
        <v>0</v>
      </c>
      <c r="S169" s="673">
        <v>0</v>
      </c>
      <c r="T169" s="460">
        <v>0</v>
      </c>
      <c r="U169" s="460">
        <v>0</v>
      </c>
      <c r="V169" s="460">
        <f t="shared" si="541"/>
        <v>0</v>
      </c>
      <c r="W169" s="460">
        <v>0</v>
      </c>
      <c r="X169" s="460">
        <v>0</v>
      </c>
      <c r="Y169" s="460">
        <v>0</v>
      </c>
      <c r="Z169" s="460">
        <f t="shared" si="542"/>
        <v>0</v>
      </c>
      <c r="AA169" s="460">
        <f t="shared" si="543"/>
        <v>0</v>
      </c>
      <c r="AB169" s="69">
        <f t="shared" si="544"/>
        <v>0</v>
      </c>
      <c r="AC169" s="69">
        <f t="shared" si="545"/>
        <v>0</v>
      </c>
      <c r="AD169" s="460">
        <v>0</v>
      </c>
      <c r="AE169" s="460">
        <v>0</v>
      </c>
      <c r="AF169" s="460">
        <f t="shared" si="546"/>
        <v>0</v>
      </c>
      <c r="AG169" s="460">
        <f t="shared" si="547"/>
        <v>0</v>
      </c>
      <c r="AH169" s="461">
        <v>0</v>
      </c>
      <c r="AI169" s="461">
        <v>0</v>
      </c>
      <c r="AJ169" s="461">
        <v>0</v>
      </c>
      <c r="AK169" s="461">
        <v>0</v>
      </c>
      <c r="AL169" s="674">
        <v>0</v>
      </c>
      <c r="AM169" s="461">
        <v>0</v>
      </c>
      <c r="AN169" s="461">
        <v>0</v>
      </c>
      <c r="AO169" s="461">
        <v>0</v>
      </c>
      <c r="AP169" s="461">
        <f t="shared" si="548"/>
        <v>0</v>
      </c>
      <c r="AQ169" s="461">
        <f t="shared" si="549"/>
        <v>0</v>
      </c>
      <c r="AR169" s="463">
        <f t="shared" si="550"/>
        <v>0</v>
      </c>
      <c r="AS169" s="469">
        <f t="shared" si="551"/>
        <v>281898</v>
      </c>
      <c r="AT169" s="460">
        <f t="shared" si="552"/>
        <v>207812</v>
      </c>
      <c r="AU169" s="460">
        <f t="shared" si="553"/>
        <v>0</v>
      </c>
      <c r="AV169" s="460">
        <f t="shared" si="554"/>
        <v>70240</v>
      </c>
      <c r="AW169" s="460">
        <f t="shared" si="554"/>
        <v>2078</v>
      </c>
      <c r="AX169" s="460">
        <f t="shared" si="555"/>
        <v>1768</v>
      </c>
      <c r="AY169" s="461">
        <f t="shared" si="556"/>
        <v>0.67</v>
      </c>
      <c r="AZ169" s="461">
        <f t="shared" si="557"/>
        <v>0</v>
      </c>
      <c r="BA169" s="463">
        <f t="shared" si="557"/>
        <v>0.67</v>
      </c>
    </row>
    <row r="170" spans="1:53" s="229" customFormat="1" ht="12.75" customHeight="1" x14ac:dyDescent="0.2">
      <c r="A170" s="216">
        <v>30</v>
      </c>
      <c r="B170" s="217">
        <v>4446</v>
      </c>
      <c r="C170" s="217">
        <v>600074587</v>
      </c>
      <c r="D170" s="217">
        <v>70695504</v>
      </c>
      <c r="E170" s="215" t="s">
        <v>816</v>
      </c>
      <c r="F170" s="217">
        <v>3143</v>
      </c>
      <c r="G170" s="168" t="s">
        <v>616</v>
      </c>
      <c r="H170" s="234" t="s">
        <v>277</v>
      </c>
      <c r="I170" s="462">
        <f t="shared" si="536"/>
        <v>608745</v>
      </c>
      <c r="J170" s="457">
        <v>451591</v>
      </c>
      <c r="K170" s="457">
        <f t="shared" si="537"/>
        <v>152638</v>
      </c>
      <c r="L170" s="457">
        <f t="shared" si="538"/>
        <v>4516</v>
      </c>
      <c r="M170" s="457">
        <v>0</v>
      </c>
      <c r="N170" s="458">
        <f t="shared" si="539"/>
        <v>1</v>
      </c>
      <c r="O170" s="459">
        <v>1</v>
      </c>
      <c r="P170" s="468">
        <v>0</v>
      </c>
      <c r="Q170" s="470">
        <f t="shared" si="540"/>
        <v>0</v>
      </c>
      <c r="R170" s="460">
        <v>0</v>
      </c>
      <c r="S170" s="673">
        <v>0</v>
      </c>
      <c r="T170" s="460">
        <v>0</v>
      </c>
      <c r="U170" s="460">
        <v>-13454</v>
      </c>
      <c r="V170" s="460">
        <f t="shared" si="541"/>
        <v>-13454</v>
      </c>
      <c r="W170" s="460">
        <v>0</v>
      </c>
      <c r="X170" s="460">
        <v>0</v>
      </c>
      <c r="Y170" s="460">
        <v>0</v>
      </c>
      <c r="Z170" s="460">
        <f t="shared" si="542"/>
        <v>0</v>
      </c>
      <c r="AA170" s="460">
        <f t="shared" si="543"/>
        <v>-13454</v>
      </c>
      <c r="AB170" s="69">
        <f t="shared" si="544"/>
        <v>-4547</v>
      </c>
      <c r="AC170" s="69">
        <f t="shared" si="545"/>
        <v>-135</v>
      </c>
      <c r="AD170" s="460">
        <v>0</v>
      </c>
      <c r="AE170" s="460">
        <v>0</v>
      </c>
      <c r="AF170" s="460">
        <f t="shared" si="546"/>
        <v>0</v>
      </c>
      <c r="AG170" s="460">
        <f t="shared" si="547"/>
        <v>-18136</v>
      </c>
      <c r="AH170" s="461">
        <v>0</v>
      </c>
      <c r="AI170" s="461">
        <v>0</v>
      </c>
      <c r="AJ170" s="461">
        <v>0</v>
      </c>
      <c r="AK170" s="461">
        <v>0</v>
      </c>
      <c r="AL170" s="674">
        <v>0</v>
      </c>
      <c r="AM170" s="461">
        <v>0</v>
      </c>
      <c r="AN170" s="461">
        <v>0</v>
      </c>
      <c r="AO170" s="461">
        <v>0</v>
      </c>
      <c r="AP170" s="461">
        <f t="shared" si="548"/>
        <v>0</v>
      </c>
      <c r="AQ170" s="461">
        <f t="shared" si="549"/>
        <v>0</v>
      </c>
      <c r="AR170" s="463">
        <f t="shared" si="550"/>
        <v>0</v>
      </c>
      <c r="AS170" s="469">
        <f t="shared" si="551"/>
        <v>590609</v>
      </c>
      <c r="AT170" s="460">
        <f t="shared" si="552"/>
        <v>438137</v>
      </c>
      <c r="AU170" s="460">
        <f t="shared" si="553"/>
        <v>0</v>
      </c>
      <c r="AV170" s="460">
        <f t="shared" si="554"/>
        <v>148091</v>
      </c>
      <c r="AW170" s="460">
        <f t="shared" si="554"/>
        <v>4381</v>
      </c>
      <c r="AX170" s="460">
        <f t="shared" si="555"/>
        <v>0</v>
      </c>
      <c r="AY170" s="461">
        <f t="shared" si="556"/>
        <v>1</v>
      </c>
      <c r="AZ170" s="461">
        <f t="shared" si="557"/>
        <v>1</v>
      </c>
      <c r="BA170" s="463">
        <f t="shared" si="557"/>
        <v>0</v>
      </c>
    </row>
    <row r="171" spans="1:53" s="229" customFormat="1" ht="12.75" customHeight="1" x14ac:dyDescent="0.2">
      <c r="A171" s="216">
        <v>30</v>
      </c>
      <c r="B171" s="217">
        <v>4446</v>
      </c>
      <c r="C171" s="217">
        <v>600074587</v>
      </c>
      <c r="D171" s="217">
        <v>70695504</v>
      </c>
      <c r="E171" s="215" t="s">
        <v>816</v>
      </c>
      <c r="F171" s="217">
        <v>3143</v>
      </c>
      <c r="G171" s="168" t="s">
        <v>617</v>
      </c>
      <c r="H171" s="234" t="s">
        <v>278</v>
      </c>
      <c r="I171" s="462">
        <f t="shared" si="536"/>
        <v>18324</v>
      </c>
      <c r="J171" s="457">
        <v>13093</v>
      </c>
      <c r="K171" s="457">
        <f t="shared" si="537"/>
        <v>4425</v>
      </c>
      <c r="L171" s="457">
        <f t="shared" si="538"/>
        <v>131</v>
      </c>
      <c r="M171" s="457">
        <v>675</v>
      </c>
      <c r="N171" s="458">
        <f t="shared" si="539"/>
        <v>0.05</v>
      </c>
      <c r="O171" s="459">
        <v>0</v>
      </c>
      <c r="P171" s="468">
        <v>0.05</v>
      </c>
      <c r="Q171" s="470">
        <f t="shared" si="540"/>
        <v>0</v>
      </c>
      <c r="R171" s="460">
        <v>0</v>
      </c>
      <c r="S171" s="673">
        <v>0</v>
      </c>
      <c r="T171" s="460">
        <v>0</v>
      </c>
      <c r="U171" s="460">
        <v>0</v>
      </c>
      <c r="V171" s="460">
        <f t="shared" si="541"/>
        <v>0</v>
      </c>
      <c r="W171" s="460">
        <v>0</v>
      </c>
      <c r="X171" s="460">
        <v>0</v>
      </c>
      <c r="Y171" s="460">
        <v>0</v>
      </c>
      <c r="Z171" s="460">
        <f t="shared" si="542"/>
        <v>0</v>
      </c>
      <c r="AA171" s="460">
        <f t="shared" si="543"/>
        <v>0</v>
      </c>
      <c r="AB171" s="69">
        <f t="shared" si="544"/>
        <v>0</v>
      </c>
      <c r="AC171" s="69">
        <f t="shared" si="545"/>
        <v>0</v>
      </c>
      <c r="AD171" s="460">
        <v>0</v>
      </c>
      <c r="AE171" s="460">
        <v>0</v>
      </c>
      <c r="AF171" s="460">
        <f t="shared" si="546"/>
        <v>0</v>
      </c>
      <c r="AG171" s="460">
        <f t="shared" si="547"/>
        <v>0</v>
      </c>
      <c r="AH171" s="461">
        <v>0</v>
      </c>
      <c r="AI171" s="461">
        <v>0</v>
      </c>
      <c r="AJ171" s="461">
        <v>0</v>
      </c>
      <c r="AK171" s="461">
        <v>0</v>
      </c>
      <c r="AL171" s="674">
        <v>0</v>
      </c>
      <c r="AM171" s="461">
        <v>0</v>
      </c>
      <c r="AN171" s="461">
        <v>0</v>
      </c>
      <c r="AO171" s="461">
        <v>0</v>
      </c>
      <c r="AP171" s="461">
        <f t="shared" si="548"/>
        <v>0</v>
      </c>
      <c r="AQ171" s="461">
        <f t="shared" si="549"/>
        <v>0</v>
      </c>
      <c r="AR171" s="463">
        <f t="shared" si="550"/>
        <v>0</v>
      </c>
      <c r="AS171" s="469">
        <f t="shared" si="551"/>
        <v>18324</v>
      </c>
      <c r="AT171" s="460">
        <f t="shared" si="552"/>
        <v>13093</v>
      </c>
      <c r="AU171" s="460">
        <f t="shared" si="553"/>
        <v>0</v>
      </c>
      <c r="AV171" s="460">
        <f t="shared" si="554"/>
        <v>4425</v>
      </c>
      <c r="AW171" s="460">
        <f t="shared" si="554"/>
        <v>131</v>
      </c>
      <c r="AX171" s="460">
        <f t="shared" si="555"/>
        <v>675</v>
      </c>
      <c r="AY171" s="461">
        <f t="shared" si="556"/>
        <v>0.05</v>
      </c>
      <c r="AZ171" s="461">
        <f t="shared" si="557"/>
        <v>0</v>
      </c>
      <c r="BA171" s="463">
        <f t="shared" si="557"/>
        <v>0.05</v>
      </c>
    </row>
    <row r="172" spans="1:53" s="229" customFormat="1" ht="12.75" customHeight="1" x14ac:dyDescent="0.2">
      <c r="A172" s="158">
        <v>30</v>
      </c>
      <c r="B172" s="18">
        <v>4446</v>
      </c>
      <c r="C172" s="18">
        <v>600074587</v>
      </c>
      <c r="D172" s="18">
        <v>70695504</v>
      </c>
      <c r="E172" s="167" t="s">
        <v>207</v>
      </c>
      <c r="F172" s="18"/>
      <c r="G172" s="157"/>
      <c r="H172" s="191"/>
      <c r="I172" s="505">
        <f t="shared" ref="I172:BA172" si="558">SUM(I166:I171)</f>
        <v>5376415</v>
      </c>
      <c r="J172" s="502">
        <f t="shared" si="558"/>
        <v>3946085</v>
      </c>
      <c r="K172" s="502">
        <f t="shared" si="558"/>
        <v>1333776</v>
      </c>
      <c r="L172" s="502">
        <f t="shared" si="558"/>
        <v>39461</v>
      </c>
      <c r="M172" s="502">
        <f t="shared" si="558"/>
        <v>57093</v>
      </c>
      <c r="N172" s="503">
        <f t="shared" si="558"/>
        <v>7.9539</v>
      </c>
      <c r="O172" s="503">
        <f t="shared" si="558"/>
        <v>5.9338999999999995</v>
      </c>
      <c r="P172" s="507">
        <f t="shared" si="558"/>
        <v>2.0199999999999996</v>
      </c>
      <c r="Q172" s="505">
        <f t="shared" si="558"/>
        <v>0</v>
      </c>
      <c r="R172" s="502">
        <f t="shared" si="558"/>
        <v>473469</v>
      </c>
      <c r="S172" s="502">
        <f t="shared" si="558"/>
        <v>0</v>
      </c>
      <c r="T172" s="502">
        <f t="shared" si="558"/>
        <v>0</v>
      </c>
      <c r="U172" s="502">
        <f t="shared" si="558"/>
        <v>-13454</v>
      </c>
      <c r="V172" s="502">
        <f t="shared" si="558"/>
        <v>460015</v>
      </c>
      <c r="W172" s="502">
        <f t="shared" si="558"/>
        <v>0</v>
      </c>
      <c r="X172" s="502">
        <f t="shared" si="558"/>
        <v>0</v>
      </c>
      <c r="Y172" s="502">
        <f t="shared" si="558"/>
        <v>0</v>
      </c>
      <c r="Z172" s="502">
        <f t="shared" si="558"/>
        <v>0</v>
      </c>
      <c r="AA172" s="502">
        <f t="shared" si="558"/>
        <v>460015</v>
      </c>
      <c r="AB172" s="502">
        <f t="shared" si="558"/>
        <v>155486</v>
      </c>
      <c r="AC172" s="502">
        <f t="shared" si="558"/>
        <v>4600</v>
      </c>
      <c r="AD172" s="502">
        <f t="shared" si="558"/>
        <v>0</v>
      </c>
      <c r="AE172" s="502">
        <f t="shared" si="558"/>
        <v>0</v>
      </c>
      <c r="AF172" s="502">
        <f t="shared" si="558"/>
        <v>0</v>
      </c>
      <c r="AG172" s="502">
        <f t="shared" si="558"/>
        <v>620101</v>
      </c>
      <c r="AH172" s="503">
        <f t="shared" si="558"/>
        <v>0</v>
      </c>
      <c r="AI172" s="503">
        <f t="shared" si="558"/>
        <v>0</v>
      </c>
      <c r="AJ172" s="503">
        <f t="shared" si="558"/>
        <v>1.5</v>
      </c>
      <c r="AK172" s="503">
        <f t="shared" si="558"/>
        <v>0</v>
      </c>
      <c r="AL172" s="503">
        <f t="shared" si="558"/>
        <v>0</v>
      </c>
      <c r="AM172" s="503">
        <f t="shared" si="558"/>
        <v>0</v>
      </c>
      <c r="AN172" s="503">
        <f t="shared" si="558"/>
        <v>0</v>
      </c>
      <c r="AO172" s="503">
        <f t="shared" si="558"/>
        <v>0</v>
      </c>
      <c r="AP172" s="503">
        <f t="shared" si="558"/>
        <v>1.5</v>
      </c>
      <c r="AQ172" s="503">
        <f t="shared" si="558"/>
        <v>0</v>
      </c>
      <c r="AR172" s="40">
        <f t="shared" si="558"/>
        <v>1.5</v>
      </c>
      <c r="AS172" s="509">
        <f t="shared" si="558"/>
        <v>5996516</v>
      </c>
      <c r="AT172" s="502">
        <f t="shared" si="558"/>
        <v>4406100</v>
      </c>
      <c r="AU172" s="502">
        <f t="shared" si="558"/>
        <v>0</v>
      </c>
      <c r="AV172" s="502">
        <f t="shared" si="558"/>
        <v>1489262</v>
      </c>
      <c r="AW172" s="502">
        <f t="shared" si="558"/>
        <v>44061</v>
      </c>
      <c r="AX172" s="502">
        <f t="shared" si="558"/>
        <v>57093</v>
      </c>
      <c r="AY172" s="503">
        <f t="shared" si="558"/>
        <v>9.4539000000000009</v>
      </c>
      <c r="AZ172" s="503">
        <f t="shared" si="558"/>
        <v>7.4338999999999995</v>
      </c>
      <c r="BA172" s="40">
        <f t="shared" si="558"/>
        <v>2.0199999999999996</v>
      </c>
    </row>
    <row r="173" spans="1:53" s="229" customFormat="1" ht="12.75" customHeight="1" x14ac:dyDescent="0.2">
      <c r="A173" s="216">
        <v>31</v>
      </c>
      <c r="B173" s="217">
        <v>4431</v>
      </c>
      <c r="C173" s="217">
        <v>600074820</v>
      </c>
      <c r="D173" s="217">
        <v>70981515</v>
      </c>
      <c r="E173" s="215" t="s">
        <v>208</v>
      </c>
      <c r="F173" s="217">
        <v>3111</v>
      </c>
      <c r="G173" s="168" t="s">
        <v>307</v>
      </c>
      <c r="H173" s="218" t="s">
        <v>277</v>
      </c>
      <c r="I173" s="462">
        <f t="shared" ref="I173:I178" si="559">SUM(J173:M173)</f>
        <v>3149015</v>
      </c>
      <c r="J173" s="457">
        <v>2319670</v>
      </c>
      <c r="K173" s="457">
        <f t="shared" ref="K173:K178" si="560">ROUND(J173*33.8%,0)</f>
        <v>784048</v>
      </c>
      <c r="L173" s="457">
        <f t="shared" ref="L173:L178" si="561">ROUND(J173*1%,0)</f>
        <v>23197</v>
      </c>
      <c r="M173" s="457">
        <v>22100</v>
      </c>
      <c r="N173" s="458">
        <f t="shared" ref="N173:N178" si="562">O173+P173</f>
        <v>4.8</v>
      </c>
      <c r="O173" s="459">
        <v>4</v>
      </c>
      <c r="P173" s="468">
        <v>0.8</v>
      </c>
      <c r="Q173" s="470">
        <f t="shared" ref="Q173:Q178" si="563">W173*-1</f>
        <v>-6500</v>
      </c>
      <c r="R173" s="460">
        <v>0</v>
      </c>
      <c r="S173" s="673">
        <v>0</v>
      </c>
      <c r="T173" s="460">
        <v>0</v>
      </c>
      <c r="U173" s="460">
        <v>0</v>
      </c>
      <c r="V173" s="460">
        <f t="shared" ref="V173:V178" si="564">SUM(Q173:U173)</f>
        <v>-6500</v>
      </c>
      <c r="W173" s="460">
        <v>6500</v>
      </c>
      <c r="X173" s="460">
        <v>0</v>
      </c>
      <c r="Y173" s="460">
        <v>0</v>
      </c>
      <c r="Z173" s="460">
        <f t="shared" ref="Z173:Z178" si="565">SUM(W173:Y173)</f>
        <v>6500</v>
      </c>
      <c r="AA173" s="460">
        <f t="shared" ref="AA173:AA178" si="566">V173+Z173</f>
        <v>0</v>
      </c>
      <c r="AB173" s="69">
        <f t="shared" ref="AB173:AB178" si="567">ROUND((V173+W173+X173)*33.8%,0)</f>
        <v>0</v>
      </c>
      <c r="AC173" s="69">
        <f t="shared" ref="AC173:AC178" si="568">ROUND(V173*1%,0)</f>
        <v>-65</v>
      </c>
      <c r="AD173" s="460">
        <v>0</v>
      </c>
      <c r="AE173" s="460">
        <v>0</v>
      </c>
      <c r="AF173" s="460">
        <f t="shared" ref="AF173:AF178" si="569">SUM(AD173:AE173)</f>
        <v>0</v>
      </c>
      <c r="AG173" s="460">
        <f t="shared" ref="AG173:AG178" si="570">AA173+AB173+AC173+AF173</f>
        <v>-65</v>
      </c>
      <c r="AH173" s="461">
        <v>0</v>
      </c>
      <c r="AI173" s="461">
        <v>0</v>
      </c>
      <c r="AJ173" s="461">
        <v>0</v>
      </c>
      <c r="AK173" s="461">
        <v>0</v>
      </c>
      <c r="AL173" s="674">
        <v>0</v>
      </c>
      <c r="AM173" s="461">
        <v>0</v>
      </c>
      <c r="AN173" s="461">
        <v>0</v>
      </c>
      <c r="AO173" s="461">
        <v>0</v>
      </c>
      <c r="AP173" s="461">
        <f t="shared" ref="AP173:AP178" si="571">AH173+AJ173+AK173+AM173+AN173</f>
        <v>0</v>
      </c>
      <c r="AQ173" s="461">
        <f t="shared" ref="AQ173:AQ178" si="572">AI173+AL173+AO173</f>
        <v>0</v>
      </c>
      <c r="AR173" s="463">
        <f t="shared" ref="AR173:AR178" si="573">SUM(AP173:AQ173)</f>
        <v>0</v>
      </c>
      <c r="AS173" s="469">
        <f t="shared" ref="AS173:AS178" si="574">I173+AG173</f>
        <v>3148950</v>
      </c>
      <c r="AT173" s="460">
        <f t="shared" ref="AT173:AT178" si="575">J173+V173</f>
        <v>2313170</v>
      </c>
      <c r="AU173" s="460">
        <f t="shared" ref="AU173:AU178" si="576">Z173</f>
        <v>6500</v>
      </c>
      <c r="AV173" s="460">
        <f t="shared" ref="AV173:AW178" si="577">K173+AB173</f>
        <v>784048</v>
      </c>
      <c r="AW173" s="460">
        <f t="shared" si="577"/>
        <v>23132</v>
      </c>
      <c r="AX173" s="460">
        <f t="shared" ref="AX173:AX178" si="578">M173+AF173</f>
        <v>22100</v>
      </c>
      <c r="AY173" s="461">
        <f t="shared" ref="AY173:AY178" si="579">N173+AR173</f>
        <v>4.8</v>
      </c>
      <c r="AZ173" s="461">
        <f t="shared" ref="AZ173:BA178" si="580">O173+AP173</f>
        <v>4</v>
      </c>
      <c r="BA173" s="463">
        <f t="shared" si="580"/>
        <v>0.8</v>
      </c>
    </row>
    <row r="174" spans="1:53" s="229" customFormat="1" ht="12.75" customHeight="1" x14ac:dyDescent="0.2">
      <c r="A174" s="216">
        <v>31</v>
      </c>
      <c r="B174" s="217">
        <v>4431</v>
      </c>
      <c r="C174" s="217">
        <v>600074820</v>
      </c>
      <c r="D174" s="217">
        <v>70981515</v>
      </c>
      <c r="E174" s="215" t="s">
        <v>208</v>
      </c>
      <c r="F174" s="217">
        <v>3117</v>
      </c>
      <c r="G174" s="168" t="s">
        <v>310</v>
      </c>
      <c r="H174" s="218" t="s">
        <v>277</v>
      </c>
      <c r="I174" s="462">
        <f t="shared" si="559"/>
        <v>4737172</v>
      </c>
      <c r="J174" s="457">
        <v>3445176</v>
      </c>
      <c r="K174" s="457">
        <f>ROUND(J174*33.8%,0)+1</f>
        <v>1164470</v>
      </c>
      <c r="L174" s="457">
        <f>ROUND(J174*1%,0)-1</f>
        <v>34451</v>
      </c>
      <c r="M174" s="457">
        <v>93075</v>
      </c>
      <c r="N174" s="458">
        <f t="shared" si="562"/>
        <v>6.2239000000000004</v>
      </c>
      <c r="O174" s="459">
        <v>4.7271999999999998</v>
      </c>
      <c r="P174" s="468">
        <v>1.4967000000000001</v>
      </c>
      <c r="Q174" s="470">
        <f t="shared" si="563"/>
        <v>-6500</v>
      </c>
      <c r="R174" s="460">
        <v>0</v>
      </c>
      <c r="S174" s="673">
        <v>0</v>
      </c>
      <c r="T174" s="460">
        <v>0</v>
      </c>
      <c r="U174" s="460">
        <v>0</v>
      </c>
      <c r="V174" s="460">
        <f t="shared" si="564"/>
        <v>-6500</v>
      </c>
      <c r="W174" s="460">
        <v>6500</v>
      </c>
      <c r="X174" s="460">
        <v>24760</v>
      </c>
      <c r="Y174" s="460">
        <v>0</v>
      </c>
      <c r="Z174" s="460">
        <f t="shared" si="565"/>
        <v>31260</v>
      </c>
      <c r="AA174" s="460">
        <f t="shared" si="566"/>
        <v>24760</v>
      </c>
      <c r="AB174" s="69">
        <f t="shared" si="567"/>
        <v>8369</v>
      </c>
      <c r="AC174" s="69">
        <f t="shared" si="568"/>
        <v>-65</v>
      </c>
      <c r="AD174" s="460">
        <v>0</v>
      </c>
      <c r="AE174" s="460">
        <v>0</v>
      </c>
      <c r="AF174" s="460">
        <f t="shared" si="569"/>
        <v>0</v>
      </c>
      <c r="AG174" s="460">
        <f t="shared" si="570"/>
        <v>33064</v>
      </c>
      <c r="AH174" s="461">
        <v>0</v>
      </c>
      <c r="AI174" s="461">
        <v>0</v>
      </c>
      <c r="AJ174" s="461">
        <v>0</v>
      </c>
      <c r="AK174" s="461">
        <v>0</v>
      </c>
      <c r="AL174" s="674">
        <v>0</v>
      </c>
      <c r="AM174" s="461">
        <v>0</v>
      </c>
      <c r="AN174" s="461">
        <v>0</v>
      </c>
      <c r="AO174" s="461">
        <v>0</v>
      </c>
      <c r="AP174" s="461">
        <f t="shared" si="571"/>
        <v>0</v>
      </c>
      <c r="AQ174" s="461">
        <f t="shared" si="572"/>
        <v>0</v>
      </c>
      <c r="AR174" s="463">
        <f t="shared" si="573"/>
        <v>0</v>
      </c>
      <c r="AS174" s="469">
        <f t="shared" si="574"/>
        <v>4770236</v>
      </c>
      <c r="AT174" s="460">
        <f t="shared" si="575"/>
        <v>3438676</v>
      </c>
      <c r="AU174" s="460">
        <f t="shared" si="576"/>
        <v>31260</v>
      </c>
      <c r="AV174" s="460">
        <f t="shared" si="577"/>
        <v>1172839</v>
      </c>
      <c r="AW174" s="460">
        <f t="shared" si="577"/>
        <v>34386</v>
      </c>
      <c r="AX174" s="460">
        <f t="shared" si="578"/>
        <v>93075</v>
      </c>
      <c r="AY174" s="461">
        <f t="shared" si="579"/>
        <v>6.2239000000000004</v>
      </c>
      <c r="AZ174" s="461">
        <f t="shared" si="580"/>
        <v>4.7271999999999998</v>
      </c>
      <c r="BA174" s="463">
        <f t="shared" si="580"/>
        <v>1.4967000000000001</v>
      </c>
    </row>
    <row r="175" spans="1:53" s="229" customFormat="1" ht="12.75" customHeight="1" x14ac:dyDescent="0.2">
      <c r="A175" s="216">
        <v>31</v>
      </c>
      <c r="B175" s="217">
        <v>4431</v>
      </c>
      <c r="C175" s="217">
        <v>600074820</v>
      </c>
      <c r="D175" s="217">
        <v>70981515</v>
      </c>
      <c r="E175" s="215" t="s">
        <v>208</v>
      </c>
      <c r="F175" s="217">
        <v>3117</v>
      </c>
      <c r="G175" s="168" t="s">
        <v>308</v>
      </c>
      <c r="H175" s="218" t="s">
        <v>278</v>
      </c>
      <c r="I175" s="462">
        <f t="shared" si="559"/>
        <v>0</v>
      </c>
      <c r="J175" s="457">
        <v>0</v>
      </c>
      <c r="K175" s="457">
        <f t="shared" si="560"/>
        <v>0</v>
      </c>
      <c r="L175" s="457">
        <f t="shared" si="561"/>
        <v>0</v>
      </c>
      <c r="M175" s="457">
        <v>0</v>
      </c>
      <c r="N175" s="458">
        <f t="shared" si="562"/>
        <v>0</v>
      </c>
      <c r="O175" s="459">
        <v>0</v>
      </c>
      <c r="P175" s="468">
        <v>0</v>
      </c>
      <c r="Q175" s="470">
        <f t="shared" si="563"/>
        <v>0</v>
      </c>
      <c r="R175" s="460">
        <v>567791</v>
      </c>
      <c r="S175" s="673">
        <v>0</v>
      </c>
      <c r="T175" s="460">
        <v>0</v>
      </c>
      <c r="U175" s="460">
        <v>0</v>
      </c>
      <c r="V175" s="460">
        <f t="shared" si="564"/>
        <v>567791</v>
      </c>
      <c r="W175" s="460">
        <v>0</v>
      </c>
      <c r="X175" s="460">
        <v>0</v>
      </c>
      <c r="Y175" s="460">
        <v>0</v>
      </c>
      <c r="Z175" s="460">
        <f t="shared" si="565"/>
        <v>0</v>
      </c>
      <c r="AA175" s="460">
        <f t="shared" si="566"/>
        <v>567791</v>
      </c>
      <c r="AB175" s="69">
        <f t="shared" si="567"/>
        <v>191913</v>
      </c>
      <c r="AC175" s="69">
        <f t="shared" si="568"/>
        <v>5678</v>
      </c>
      <c r="AD175" s="460">
        <v>0</v>
      </c>
      <c r="AE175" s="460">
        <v>0</v>
      </c>
      <c r="AF175" s="460">
        <f t="shared" si="569"/>
        <v>0</v>
      </c>
      <c r="AG175" s="460">
        <f t="shared" si="570"/>
        <v>765382</v>
      </c>
      <c r="AH175" s="461">
        <v>0</v>
      </c>
      <c r="AI175" s="461">
        <v>0</v>
      </c>
      <c r="AJ175" s="461">
        <v>1.64</v>
      </c>
      <c r="AK175" s="461">
        <v>0</v>
      </c>
      <c r="AL175" s="674">
        <v>0</v>
      </c>
      <c r="AM175" s="461">
        <v>0</v>
      </c>
      <c r="AN175" s="461">
        <v>0</v>
      </c>
      <c r="AO175" s="461">
        <v>0</v>
      </c>
      <c r="AP175" s="461">
        <f t="shared" si="571"/>
        <v>1.64</v>
      </c>
      <c r="AQ175" s="461">
        <f t="shared" si="572"/>
        <v>0</v>
      </c>
      <c r="AR175" s="463">
        <f t="shared" si="573"/>
        <v>1.64</v>
      </c>
      <c r="AS175" s="469">
        <f t="shared" si="574"/>
        <v>765382</v>
      </c>
      <c r="AT175" s="460">
        <f t="shared" si="575"/>
        <v>567791</v>
      </c>
      <c r="AU175" s="460">
        <f t="shared" si="576"/>
        <v>0</v>
      </c>
      <c r="AV175" s="460">
        <f t="shared" si="577"/>
        <v>191913</v>
      </c>
      <c r="AW175" s="460">
        <f t="shared" si="577"/>
        <v>5678</v>
      </c>
      <c r="AX175" s="460">
        <f t="shared" si="578"/>
        <v>0</v>
      </c>
      <c r="AY175" s="461">
        <f t="shared" si="579"/>
        <v>1.64</v>
      </c>
      <c r="AZ175" s="461">
        <f t="shared" si="580"/>
        <v>1.64</v>
      </c>
      <c r="BA175" s="463">
        <f t="shared" si="580"/>
        <v>0</v>
      </c>
    </row>
    <row r="176" spans="1:53" s="229" customFormat="1" ht="12.75" customHeight="1" x14ac:dyDescent="0.2">
      <c r="A176" s="216">
        <v>31</v>
      </c>
      <c r="B176" s="217">
        <v>4431</v>
      </c>
      <c r="C176" s="217">
        <v>600074820</v>
      </c>
      <c r="D176" s="217">
        <v>70981515</v>
      </c>
      <c r="E176" s="215" t="s">
        <v>208</v>
      </c>
      <c r="F176" s="217">
        <v>3141</v>
      </c>
      <c r="G176" s="168" t="s">
        <v>311</v>
      </c>
      <c r="H176" s="218" t="s">
        <v>278</v>
      </c>
      <c r="I176" s="462">
        <f t="shared" si="559"/>
        <v>1093680</v>
      </c>
      <c r="J176" s="457">
        <v>807709</v>
      </c>
      <c r="K176" s="457">
        <f t="shared" si="560"/>
        <v>273006</v>
      </c>
      <c r="L176" s="457">
        <f t="shared" si="561"/>
        <v>8077</v>
      </c>
      <c r="M176" s="457">
        <v>4888</v>
      </c>
      <c r="N176" s="458">
        <f t="shared" si="562"/>
        <v>2.6</v>
      </c>
      <c r="O176" s="459">
        <v>0</v>
      </c>
      <c r="P176" s="468">
        <v>2.6</v>
      </c>
      <c r="Q176" s="470">
        <f t="shared" si="563"/>
        <v>-6500</v>
      </c>
      <c r="R176" s="460">
        <v>0</v>
      </c>
      <c r="S176" s="673">
        <v>0</v>
      </c>
      <c r="T176" s="460">
        <v>0</v>
      </c>
      <c r="U176" s="460">
        <v>0</v>
      </c>
      <c r="V176" s="460">
        <f t="shared" si="564"/>
        <v>-6500</v>
      </c>
      <c r="W176" s="460">
        <v>6500</v>
      </c>
      <c r="X176" s="460">
        <v>0</v>
      </c>
      <c r="Y176" s="460">
        <v>0</v>
      </c>
      <c r="Z176" s="460">
        <f t="shared" si="565"/>
        <v>6500</v>
      </c>
      <c r="AA176" s="460">
        <f t="shared" si="566"/>
        <v>0</v>
      </c>
      <c r="AB176" s="69">
        <f t="shared" si="567"/>
        <v>0</v>
      </c>
      <c r="AC176" s="69">
        <f t="shared" si="568"/>
        <v>-65</v>
      </c>
      <c r="AD176" s="460">
        <v>0</v>
      </c>
      <c r="AE176" s="460">
        <v>0</v>
      </c>
      <c r="AF176" s="460">
        <f t="shared" si="569"/>
        <v>0</v>
      </c>
      <c r="AG176" s="460">
        <f t="shared" si="570"/>
        <v>-65</v>
      </c>
      <c r="AH176" s="461">
        <v>0</v>
      </c>
      <c r="AI176" s="461">
        <v>0</v>
      </c>
      <c r="AJ176" s="461">
        <v>0</v>
      </c>
      <c r="AK176" s="461">
        <v>0</v>
      </c>
      <c r="AL176" s="674">
        <v>0</v>
      </c>
      <c r="AM176" s="461">
        <v>0</v>
      </c>
      <c r="AN176" s="461">
        <v>0</v>
      </c>
      <c r="AO176" s="461">
        <v>0</v>
      </c>
      <c r="AP176" s="461">
        <f t="shared" si="571"/>
        <v>0</v>
      </c>
      <c r="AQ176" s="461">
        <f t="shared" si="572"/>
        <v>0</v>
      </c>
      <c r="AR176" s="463">
        <f t="shared" si="573"/>
        <v>0</v>
      </c>
      <c r="AS176" s="469">
        <f t="shared" si="574"/>
        <v>1093615</v>
      </c>
      <c r="AT176" s="460">
        <f t="shared" si="575"/>
        <v>801209</v>
      </c>
      <c r="AU176" s="460">
        <f t="shared" si="576"/>
        <v>6500</v>
      </c>
      <c r="AV176" s="460">
        <f t="shared" si="577"/>
        <v>273006</v>
      </c>
      <c r="AW176" s="460">
        <f t="shared" si="577"/>
        <v>8012</v>
      </c>
      <c r="AX176" s="460">
        <f t="shared" si="578"/>
        <v>4888</v>
      </c>
      <c r="AY176" s="461">
        <f t="shared" si="579"/>
        <v>2.6</v>
      </c>
      <c r="AZ176" s="461">
        <f t="shared" si="580"/>
        <v>0</v>
      </c>
      <c r="BA176" s="463">
        <f t="shared" si="580"/>
        <v>2.6</v>
      </c>
    </row>
    <row r="177" spans="1:53" s="229" customFormat="1" ht="12.75" customHeight="1" x14ac:dyDescent="0.2">
      <c r="A177" s="216">
        <v>31</v>
      </c>
      <c r="B177" s="217">
        <v>4431</v>
      </c>
      <c r="C177" s="217">
        <v>600074820</v>
      </c>
      <c r="D177" s="217">
        <v>70981515</v>
      </c>
      <c r="E177" s="215" t="s">
        <v>208</v>
      </c>
      <c r="F177" s="217">
        <v>3143</v>
      </c>
      <c r="G177" s="168" t="s">
        <v>616</v>
      </c>
      <c r="H177" s="234" t="s">
        <v>277</v>
      </c>
      <c r="I177" s="462">
        <f t="shared" si="559"/>
        <v>867689</v>
      </c>
      <c r="J177" s="457">
        <v>643686</v>
      </c>
      <c r="K177" s="457">
        <f t="shared" si="560"/>
        <v>217566</v>
      </c>
      <c r="L177" s="457">
        <f t="shared" si="561"/>
        <v>6437</v>
      </c>
      <c r="M177" s="457">
        <v>0</v>
      </c>
      <c r="N177" s="458">
        <f t="shared" si="562"/>
        <v>1.5357000000000001</v>
      </c>
      <c r="O177" s="459">
        <v>1.5357000000000001</v>
      </c>
      <c r="P177" s="468">
        <v>0</v>
      </c>
      <c r="Q177" s="470">
        <f t="shared" si="563"/>
        <v>0</v>
      </c>
      <c r="R177" s="460">
        <v>0</v>
      </c>
      <c r="S177" s="673">
        <v>0</v>
      </c>
      <c r="T177" s="460">
        <v>0</v>
      </c>
      <c r="U177" s="460">
        <v>0</v>
      </c>
      <c r="V177" s="460">
        <f t="shared" si="564"/>
        <v>0</v>
      </c>
      <c r="W177" s="460">
        <v>0</v>
      </c>
      <c r="X177" s="460">
        <v>0</v>
      </c>
      <c r="Y177" s="460">
        <v>0</v>
      </c>
      <c r="Z177" s="460">
        <f t="shared" si="565"/>
        <v>0</v>
      </c>
      <c r="AA177" s="460">
        <f t="shared" si="566"/>
        <v>0</v>
      </c>
      <c r="AB177" s="69">
        <f t="shared" si="567"/>
        <v>0</v>
      </c>
      <c r="AC177" s="69">
        <f t="shared" si="568"/>
        <v>0</v>
      </c>
      <c r="AD177" s="460">
        <v>0</v>
      </c>
      <c r="AE177" s="460">
        <v>0</v>
      </c>
      <c r="AF177" s="460">
        <f t="shared" si="569"/>
        <v>0</v>
      </c>
      <c r="AG177" s="460">
        <f t="shared" si="570"/>
        <v>0</v>
      </c>
      <c r="AH177" s="461">
        <v>0</v>
      </c>
      <c r="AI177" s="461">
        <v>0</v>
      </c>
      <c r="AJ177" s="461">
        <v>0</v>
      </c>
      <c r="AK177" s="461">
        <v>0</v>
      </c>
      <c r="AL177" s="674">
        <v>0</v>
      </c>
      <c r="AM177" s="461">
        <v>0</v>
      </c>
      <c r="AN177" s="461">
        <v>0</v>
      </c>
      <c r="AO177" s="461">
        <v>0</v>
      </c>
      <c r="AP177" s="461">
        <f t="shared" si="571"/>
        <v>0</v>
      </c>
      <c r="AQ177" s="461">
        <f t="shared" si="572"/>
        <v>0</v>
      </c>
      <c r="AR177" s="463">
        <f t="shared" si="573"/>
        <v>0</v>
      </c>
      <c r="AS177" s="469">
        <f t="shared" si="574"/>
        <v>867689</v>
      </c>
      <c r="AT177" s="460">
        <f t="shared" si="575"/>
        <v>643686</v>
      </c>
      <c r="AU177" s="460">
        <f t="shared" si="576"/>
        <v>0</v>
      </c>
      <c r="AV177" s="460">
        <f t="shared" si="577"/>
        <v>217566</v>
      </c>
      <c r="AW177" s="460">
        <f t="shared" si="577"/>
        <v>6437</v>
      </c>
      <c r="AX177" s="460">
        <f t="shared" si="578"/>
        <v>0</v>
      </c>
      <c r="AY177" s="461">
        <f t="shared" si="579"/>
        <v>1.5357000000000001</v>
      </c>
      <c r="AZ177" s="461">
        <f t="shared" si="580"/>
        <v>1.5357000000000001</v>
      </c>
      <c r="BA177" s="463">
        <f t="shared" si="580"/>
        <v>0</v>
      </c>
    </row>
    <row r="178" spans="1:53" s="229" customFormat="1" ht="12.75" customHeight="1" x14ac:dyDescent="0.2">
      <c r="A178" s="216">
        <v>31</v>
      </c>
      <c r="B178" s="217">
        <v>4431</v>
      </c>
      <c r="C178" s="217">
        <v>600074820</v>
      </c>
      <c r="D178" s="217">
        <v>70981515</v>
      </c>
      <c r="E178" s="215" t="s">
        <v>208</v>
      </c>
      <c r="F178" s="217">
        <v>3143</v>
      </c>
      <c r="G178" s="168" t="s">
        <v>617</v>
      </c>
      <c r="H178" s="234" t="s">
        <v>278</v>
      </c>
      <c r="I178" s="462">
        <f t="shared" si="559"/>
        <v>21990</v>
      </c>
      <c r="J178" s="457">
        <v>15712</v>
      </c>
      <c r="K178" s="457">
        <f t="shared" si="560"/>
        <v>5311</v>
      </c>
      <c r="L178" s="457">
        <f t="shared" si="561"/>
        <v>157</v>
      </c>
      <c r="M178" s="457">
        <v>810</v>
      </c>
      <c r="N178" s="458">
        <f t="shared" si="562"/>
        <v>0.06</v>
      </c>
      <c r="O178" s="459">
        <v>0</v>
      </c>
      <c r="P178" s="468">
        <v>0.06</v>
      </c>
      <c r="Q178" s="470">
        <f t="shared" si="563"/>
        <v>0</v>
      </c>
      <c r="R178" s="460">
        <v>0</v>
      </c>
      <c r="S178" s="673">
        <v>0</v>
      </c>
      <c r="T178" s="460">
        <v>0</v>
      </c>
      <c r="U178" s="460">
        <v>0</v>
      </c>
      <c r="V178" s="460">
        <f t="shared" si="564"/>
        <v>0</v>
      </c>
      <c r="W178" s="460">
        <v>0</v>
      </c>
      <c r="X178" s="460">
        <v>0</v>
      </c>
      <c r="Y178" s="460">
        <v>0</v>
      </c>
      <c r="Z178" s="460">
        <f t="shared" si="565"/>
        <v>0</v>
      </c>
      <c r="AA178" s="460">
        <f t="shared" si="566"/>
        <v>0</v>
      </c>
      <c r="AB178" s="69">
        <f t="shared" si="567"/>
        <v>0</v>
      </c>
      <c r="AC178" s="69">
        <f t="shared" si="568"/>
        <v>0</v>
      </c>
      <c r="AD178" s="460">
        <v>0</v>
      </c>
      <c r="AE178" s="460">
        <v>0</v>
      </c>
      <c r="AF178" s="460">
        <f t="shared" si="569"/>
        <v>0</v>
      </c>
      <c r="AG178" s="460">
        <f t="shared" si="570"/>
        <v>0</v>
      </c>
      <c r="AH178" s="461">
        <v>0</v>
      </c>
      <c r="AI178" s="461">
        <v>0</v>
      </c>
      <c r="AJ178" s="461">
        <v>0</v>
      </c>
      <c r="AK178" s="461">
        <v>0</v>
      </c>
      <c r="AL178" s="674">
        <v>0</v>
      </c>
      <c r="AM178" s="461">
        <v>0</v>
      </c>
      <c r="AN178" s="461">
        <v>0</v>
      </c>
      <c r="AO178" s="461">
        <v>0</v>
      </c>
      <c r="AP178" s="461">
        <f t="shared" si="571"/>
        <v>0</v>
      </c>
      <c r="AQ178" s="461">
        <f t="shared" si="572"/>
        <v>0</v>
      </c>
      <c r="AR178" s="463">
        <f t="shared" si="573"/>
        <v>0</v>
      </c>
      <c r="AS178" s="469">
        <f t="shared" si="574"/>
        <v>21990</v>
      </c>
      <c r="AT178" s="460">
        <f t="shared" si="575"/>
        <v>15712</v>
      </c>
      <c r="AU178" s="460">
        <f t="shared" si="576"/>
        <v>0</v>
      </c>
      <c r="AV178" s="460">
        <f t="shared" si="577"/>
        <v>5311</v>
      </c>
      <c r="AW178" s="460">
        <f t="shared" si="577"/>
        <v>157</v>
      </c>
      <c r="AX178" s="460">
        <f t="shared" si="578"/>
        <v>810</v>
      </c>
      <c r="AY178" s="461">
        <f t="shared" si="579"/>
        <v>0.06</v>
      </c>
      <c r="AZ178" s="461">
        <f t="shared" si="580"/>
        <v>0</v>
      </c>
      <c r="BA178" s="463">
        <f t="shared" si="580"/>
        <v>0.06</v>
      </c>
    </row>
    <row r="179" spans="1:53" s="229" customFormat="1" ht="12.75" customHeight="1" x14ac:dyDescent="0.2">
      <c r="A179" s="158">
        <v>31</v>
      </c>
      <c r="B179" s="18">
        <v>4431</v>
      </c>
      <c r="C179" s="18">
        <v>600074820</v>
      </c>
      <c r="D179" s="18">
        <v>70981515</v>
      </c>
      <c r="E179" s="167" t="s">
        <v>209</v>
      </c>
      <c r="F179" s="18"/>
      <c r="G179" s="157"/>
      <c r="H179" s="191"/>
      <c r="I179" s="504">
        <f t="shared" ref="I179:P179" si="581">SUM(I173:I178)</f>
        <v>9869546</v>
      </c>
      <c r="J179" s="500">
        <f t="shared" si="581"/>
        <v>7231953</v>
      </c>
      <c r="K179" s="500">
        <f t="shared" si="581"/>
        <v>2444401</v>
      </c>
      <c r="L179" s="500">
        <f t="shared" si="581"/>
        <v>72319</v>
      </c>
      <c r="M179" s="500">
        <f t="shared" si="581"/>
        <v>120873</v>
      </c>
      <c r="N179" s="501">
        <f t="shared" si="581"/>
        <v>15.219600000000002</v>
      </c>
      <c r="O179" s="501">
        <f t="shared" si="581"/>
        <v>10.2629</v>
      </c>
      <c r="P179" s="506">
        <f t="shared" si="581"/>
        <v>4.9567000000000005</v>
      </c>
      <c r="Q179" s="504">
        <f t="shared" ref="Q179:BA179" si="582">SUM(Q173:Q178)</f>
        <v>-19500</v>
      </c>
      <c r="R179" s="500">
        <f t="shared" si="582"/>
        <v>567791</v>
      </c>
      <c r="S179" s="500">
        <f t="shared" si="582"/>
        <v>0</v>
      </c>
      <c r="T179" s="500">
        <f t="shared" si="582"/>
        <v>0</v>
      </c>
      <c r="U179" s="500">
        <f t="shared" si="582"/>
        <v>0</v>
      </c>
      <c r="V179" s="500">
        <f t="shared" si="582"/>
        <v>548291</v>
      </c>
      <c r="W179" s="500">
        <f t="shared" si="582"/>
        <v>19500</v>
      </c>
      <c r="X179" s="500">
        <f t="shared" si="582"/>
        <v>24760</v>
      </c>
      <c r="Y179" s="500">
        <f t="shared" si="582"/>
        <v>0</v>
      </c>
      <c r="Z179" s="500">
        <f t="shared" si="582"/>
        <v>44260</v>
      </c>
      <c r="AA179" s="500">
        <f t="shared" si="582"/>
        <v>592551</v>
      </c>
      <c r="AB179" s="500">
        <f t="shared" si="582"/>
        <v>200282</v>
      </c>
      <c r="AC179" s="500">
        <f t="shared" si="582"/>
        <v>5483</v>
      </c>
      <c r="AD179" s="500">
        <f t="shared" si="582"/>
        <v>0</v>
      </c>
      <c r="AE179" s="500">
        <f t="shared" si="582"/>
        <v>0</v>
      </c>
      <c r="AF179" s="500">
        <f t="shared" si="582"/>
        <v>0</v>
      </c>
      <c r="AG179" s="500">
        <f t="shared" si="582"/>
        <v>798316</v>
      </c>
      <c r="AH179" s="501">
        <f t="shared" si="582"/>
        <v>0</v>
      </c>
      <c r="AI179" s="501">
        <f t="shared" si="582"/>
        <v>0</v>
      </c>
      <c r="AJ179" s="501">
        <f t="shared" si="582"/>
        <v>1.64</v>
      </c>
      <c r="AK179" s="501">
        <f t="shared" si="582"/>
        <v>0</v>
      </c>
      <c r="AL179" s="501">
        <f t="shared" si="582"/>
        <v>0</v>
      </c>
      <c r="AM179" s="501">
        <f t="shared" si="582"/>
        <v>0</v>
      </c>
      <c r="AN179" s="501">
        <f t="shared" si="582"/>
        <v>0</v>
      </c>
      <c r="AO179" s="501">
        <f t="shared" si="582"/>
        <v>0</v>
      </c>
      <c r="AP179" s="501">
        <f t="shared" si="582"/>
        <v>1.64</v>
      </c>
      <c r="AQ179" s="501">
        <f t="shared" si="582"/>
        <v>0</v>
      </c>
      <c r="AR179" s="41">
        <f t="shared" si="582"/>
        <v>1.64</v>
      </c>
      <c r="AS179" s="508">
        <f t="shared" si="582"/>
        <v>10667862</v>
      </c>
      <c r="AT179" s="500">
        <f t="shared" si="582"/>
        <v>7780244</v>
      </c>
      <c r="AU179" s="500">
        <f t="shared" si="582"/>
        <v>44260</v>
      </c>
      <c r="AV179" s="500">
        <f t="shared" si="582"/>
        <v>2644683</v>
      </c>
      <c r="AW179" s="500">
        <f t="shared" si="582"/>
        <v>77802</v>
      </c>
      <c r="AX179" s="500">
        <f t="shared" si="582"/>
        <v>120873</v>
      </c>
      <c r="AY179" s="501">
        <f t="shared" si="582"/>
        <v>16.8596</v>
      </c>
      <c r="AZ179" s="501">
        <f t="shared" si="582"/>
        <v>11.902900000000001</v>
      </c>
      <c r="BA179" s="41">
        <f t="shared" si="582"/>
        <v>4.9567000000000005</v>
      </c>
    </row>
    <row r="180" spans="1:53" s="229" customFormat="1" ht="12.75" customHeight="1" x14ac:dyDescent="0.2">
      <c r="A180" s="216">
        <v>32</v>
      </c>
      <c r="B180" s="217">
        <v>4416</v>
      </c>
      <c r="C180" s="217">
        <v>600074153</v>
      </c>
      <c r="D180" s="217">
        <v>71013105</v>
      </c>
      <c r="E180" s="215" t="s">
        <v>210</v>
      </c>
      <c r="F180" s="217">
        <v>3111</v>
      </c>
      <c r="G180" s="168" t="s">
        <v>307</v>
      </c>
      <c r="H180" s="218" t="s">
        <v>277</v>
      </c>
      <c r="I180" s="462">
        <f t="shared" ref="I180:I184" si="583">SUM(J180:M180)</f>
        <v>3670024</v>
      </c>
      <c r="J180" s="457">
        <v>2706768</v>
      </c>
      <c r="K180" s="457">
        <f t="shared" ref="K180:K184" si="584">ROUND(J180*33.8%,0)</f>
        <v>914888</v>
      </c>
      <c r="L180" s="457">
        <f t="shared" ref="L180:L184" si="585">ROUND(J180*1%,0)</f>
        <v>27068</v>
      </c>
      <c r="M180" s="457">
        <v>21300</v>
      </c>
      <c r="N180" s="458">
        <f t="shared" ref="N180:N184" si="586">O180+P180</f>
        <v>5.5600000000000005</v>
      </c>
      <c r="O180" s="459">
        <v>4.3600000000000003</v>
      </c>
      <c r="P180" s="468">
        <v>1.2000000000000002</v>
      </c>
      <c r="Q180" s="470">
        <f t="shared" ref="Q180:Q184" si="587">W180*-1</f>
        <v>0</v>
      </c>
      <c r="R180" s="460">
        <v>0</v>
      </c>
      <c r="S180" s="673">
        <v>0</v>
      </c>
      <c r="T180" s="460">
        <v>0</v>
      </c>
      <c r="U180" s="460">
        <v>0</v>
      </c>
      <c r="V180" s="460">
        <f>SUM(Q180:U180)</f>
        <v>0</v>
      </c>
      <c r="W180" s="460">
        <v>0</v>
      </c>
      <c r="X180" s="460">
        <v>0</v>
      </c>
      <c r="Y180" s="460">
        <v>0</v>
      </c>
      <c r="Z180" s="460">
        <f t="shared" ref="Z180:Z184" si="588">SUM(W180:Y180)</f>
        <v>0</v>
      </c>
      <c r="AA180" s="460">
        <f t="shared" ref="AA180:AA184" si="589">V180+Z180</f>
        <v>0</v>
      </c>
      <c r="AB180" s="69">
        <f t="shared" ref="AB180:AB184" si="590">ROUND((V180+W180+X180)*33.8%,0)</f>
        <v>0</v>
      </c>
      <c r="AC180" s="69">
        <f t="shared" ref="AC180:AC184" si="591">ROUND(V180*1%,0)</f>
        <v>0</v>
      </c>
      <c r="AD180" s="460">
        <v>0</v>
      </c>
      <c r="AE180" s="460">
        <v>0</v>
      </c>
      <c r="AF180" s="460">
        <f t="shared" ref="AF180:AF184" si="592">SUM(AD180:AE180)</f>
        <v>0</v>
      </c>
      <c r="AG180" s="460">
        <f t="shared" ref="AG180:AG184" si="593">AA180+AB180+AC180+AF180</f>
        <v>0</v>
      </c>
      <c r="AH180" s="461">
        <v>0</v>
      </c>
      <c r="AI180" s="461">
        <v>0</v>
      </c>
      <c r="AJ180" s="461">
        <v>0</v>
      </c>
      <c r="AK180" s="461">
        <v>0</v>
      </c>
      <c r="AL180" s="674">
        <v>0</v>
      </c>
      <c r="AM180" s="461">
        <v>0</v>
      </c>
      <c r="AN180" s="461">
        <v>0</v>
      </c>
      <c r="AO180" s="461">
        <v>0</v>
      </c>
      <c r="AP180" s="461">
        <f>AH180+AJ180+AK180+AM180+AN180</f>
        <v>0</v>
      </c>
      <c r="AQ180" s="461">
        <f>AI180+AL180+AO180</f>
        <v>0</v>
      </c>
      <c r="AR180" s="463">
        <f t="shared" ref="AR180:AR184" si="594">SUM(AP180:AQ180)</f>
        <v>0</v>
      </c>
      <c r="AS180" s="469">
        <f>I180+AG180</f>
        <v>3670024</v>
      </c>
      <c r="AT180" s="460">
        <f>J180+V180</f>
        <v>2706768</v>
      </c>
      <c r="AU180" s="460">
        <f t="shared" ref="AU180:AU184" si="595">Z180</f>
        <v>0</v>
      </c>
      <c r="AV180" s="460">
        <f t="shared" ref="AV180:AW184" si="596">K180+AB180</f>
        <v>914888</v>
      </c>
      <c r="AW180" s="460">
        <f t="shared" si="596"/>
        <v>27068</v>
      </c>
      <c r="AX180" s="460">
        <f>M180+AF180</f>
        <v>21300</v>
      </c>
      <c r="AY180" s="461">
        <f>N180+AR180</f>
        <v>5.5600000000000005</v>
      </c>
      <c r="AZ180" s="461">
        <f t="shared" ref="AZ180:BA184" si="597">O180+AP180</f>
        <v>4.3600000000000003</v>
      </c>
      <c r="BA180" s="463">
        <f t="shared" si="597"/>
        <v>1.2000000000000002</v>
      </c>
    </row>
    <row r="181" spans="1:53" s="229" customFormat="1" ht="12.75" customHeight="1" x14ac:dyDescent="0.2">
      <c r="A181" s="216">
        <v>32</v>
      </c>
      <c r="B181" s="217">
        <v>4416</v>
      </c>
      <c r="C181" s="217">
        <v>600074153</v>
      </c>
      <c r="D181" s="217">
        <v>71013105</v>
      </c>
      <c r="E181" s="215" t="s">
        <v>210</v>
      </c>
      <c r="F181" s="217">
        <v>3111</v>
      </c>
      <c r="G181" s="168" t="s">
        <v>308</v>
      </c>
      <c r="H181" s="218" t="s">
        <v>278</v>
      </c>
      <c r="I181" s="462">
        <f t="shared" si="583"/>
        <v>0</v>
      </c>
      <c r="J181" s="457">
        <v>0</v>
      </c>
      <c r="K181" s="457">
        <f t="shared" si="584"/>
        <v>0</v>
      </c>
      <c r="L181" s="457">
        <f t="shared" si="585"/>
        <v>0</v>
      </c>
      <c r="M181" s="457">
        <v>0</v>
      </c>
      <c r="N181" s="458">
        <f t="shared" si="586"/>
        <v>0</v>
      </c>
      <c r="O181" s="459">
        <v>0</v>
      </c>
      <c r="P181" s="468">
        <v>0</v>
      </c>
      <c r="Q181" s="470">
        <f t="shared" si="587"/>
        <v>0</v>
      </c>
      <c r="R181" s="460">
        <v>692894</v>
      </c>
      <c r="S181" s="673">
        <v>0</v>
      </c>
      <c r="T181" s="460">
        <v>0</v>
      </c>
      <c r="U181" s="460">
        <v>0</v>
      </c>
      <c r="V181" s="460">
        <f>SUM(Q181:U181)</f>
        <v>692894</v>
      </c>
      <c r="W181" s="460">
        <v>0</v>
      </c>
      <c r="X181" s="460">
        <v>0</v>
      </c>
      <c r="Y181" s="460">
        <v>0</v>
      </c>
      <c r="Z181" s="460">
        <f t="shared" si="588"/>
        <v>0</v>
      </c>
      <c r="AA181" s="460">
        <f t="shared" si="589"/>
        <v>692894</v>
      </c>
      <c r="AB181" s="69">
        <f t="shared" si="590"/>
        <v>234198</v>
      </c>
      <c r="AC181" s="69">
        <f t="shared" si="591"/>
        <v>6929</v>
      </c>
      <c r="AD181" s="460">
        <v>0</v>
      </c>
      <c r="AE181" s="460">
        <v>0</v>
      </c>
      <c r="AF181" s="460">
        <f t="shared" si="592"/>
        <v>0</v>
      </c>
      <c r="AG181" s="460">
        <f t="shared" si="593"/>
        <v>934021</v>
      </c>
      <c r="AH181" s="461">
        <v>0</v>
      </c>
      <c r="AI181" s="461">
        <v>0</v>
      </c>
      <c r="AJ181" s="461">
        <v>2</v>
      </c>
      <c r="AK181" s="461">
        <v>0</v>
      </c>
      <c r="AL181" s="674">
        <v>0</v>
      </c>
      <c r="AM181" s="461">
        <v>0</v>
      </c>
      <c r="AN181" s="461">
        <v>0</v>
      </c>
      <c r="AO181" s="461">
        <v>0</v>
      </c>
      <c r="AP181" s="461">
        <f>AH181+AJ181+AK181+AM181+AN181</f>
        <v>2</v>
      </c>
      <c r="AQ181" s="461">
        <f>AI181+AL181+AO181</f>
        <v>0</v>
      </c>
      <c r="AR181" s="463">
        <f t="shared" si="594"/>
        <v>2</v>
      </c>
      <c r="AS181" s="469">
        <f>I181+AG181</f>
        <v>934021</v>
      </c>
      <c r="AT181" s="460">
        <f>J181+V181</f>
        <v>692894</v>
      </c>
      <c r="AU181" s="460">
        <f t="shared" si="595"/>
        <v>0</v>
      </c>
      <c r="AV181" s="460">
        <f t="shared" si="596"/>
        <v>234198</v>
      </c>
      <c r="AW181" s="460">
        <f t="shared" si="596"/>
        <v>6929</v>
      </c>
      <c r="AX181" s="460">
        <f>M181+AF181</f>
        <v>0</v>
      </c>
      <c r="AY181" s="461">
        <f>N181+AR181</f>
        <v>2</v>
      </c>
      <c r="AZ181" s="461">
        <f t="shared" si="597"/>
        <v>2</v>
      </c>
      <c r="BA181" s="463">
        <f t="shared" si="597"/>
        <v>0</v>
      </c>
    </row>
    <row r="182" spans="1:53" s="229" customFormat="1" ht="12.75" customHeight="1" x14ac:dyDescent="0.2">
      <c r="A182" s="216">
        <v>32</v>
      </c>
      <c r="B182" s="217">
        <v>4416</v>
      </c>
      <c r="C182" s="217">
        <v>600074153</v>
      </c>
      <c r="D182" s="217">
        <v>71013105</v>
      </c>
      <c r="E182" s="210" t="s">
        <v>210</v>
      </c>
      <c r="F182" s="217">
        <v>3141</v>
      </c>
      <c r="G182" s="168" t="s">
        <v>311</v>
      </c>
      <c r="H182" s="218" t="s">
        <v>278</v>
      </c>
      <c r="I182" s="462">
        <f t="shared" si="583"/>
        <v>575733</v>
      </c>
      <c r="J182" s="457">
        <v>425481</v>
      </c>
      <c r="K182" s="457">
        <f t="shared" si="584"/>
        <v>143813</v>
      </c>
      <c r="L182" s="457">
        <f t="shared" si="585"/>
        <v>4255</v>
      </c>
      <c r="M182" s="457">
        <v>2184</v>
      </c>
      <c r="N182" s="458">
        <f t="shared" si="586"/>
        <v>1.37</v>
      </c>
      <c r="O182" s="459">
        <v>0</v>
      </c>
      <c r="P182" s="468">
        <v>1.37</v>
      </c>
      <c r="Q182" s="470">
        <f t="shared" si="587"/>
        <v>0</v>
      </c>
      <c r="R182" s="460">
        <v>0</v>
      </c>
      <c r="S182" s="673">
        <v>0</v>
      </c>
      <c r="T182" s="460">
        <v>0</v>
      </c>
      <c r="U182" s="460">
        <v>0</v>
      </c>
      <c r="V182" s="460">
        <f>SUM(Q182:U182)</f>
        <v>0</v>
      </c>
      <c r="W182" s="460">
        <v>0</v>
      </c>
      <c r="X182" s="460">
        <v>0</v>
      </c>
      <c r="Y182" s="460">
        <v>0</v>
      </c>
      <c r="Z182" s="460">
        <f t="shared" si="588"/>
        <v>0</v>
      </c>
      <c r="AA182" s="460">
        <f t="shared" si="589"/>
        <v>0</v>
      </c>
      <c r="AB182" s="69">
        <f t="shared" si="590"/>
        <v>0</v>
      </c>
      <c r="AC182" s="69">
        <f t="shared" si="591"/>
        <v>0</v>
      </c>
      <c r="AD182" s="460">
        <v>0</v>
      </c>
      <c r="AE182" s="460">
        <v>0</v>
      </c>
      <c r="AF182" s="460">
        <f t="shared" si="592"/>
        <v>0</v>
      </c>
      <c r="AG182" s="460">
        <f t="shared" si="593"/>
        <v>0</v>
      </c>
      <c r="AH182" s="461">
        <v>0</v>
      </c>
      <c r="AI182" s="461">
        <v>0</v>
      </c>
      <c r="AJ182" s="461">
        <v>0</v>
      </c>
      <c r="AK182" s="461">
        <v>0</v>
      </c>
      <c r="AL182" s="674">
        <v>0</v>
      </c>
      <c r="AM182" s="461">
        <v>0</v>
      </c>
      <c r="AN182" s="461">
        <v>0</v>
      </c>
      <c r="AO182" s="461">
        <v>0</v>
      </c>
      <c r="AP182" s="461">
        <f>AH182+AJ182+AK182+AM182+AN182</f>
        <v>0</v>
      </c>
      <c r="AQ182" s="461">
        <f>AI182+AL182+AO182</f>
        <v>0</v>
      </c>
      <c r="AR182" s="463">
        <f t="shared" si="594"/>
        <v>0</v>
      </c>
      <c r="AS182" s="469">
        <f>I182+AG182</f>
        <v>575733</v>
      </c>
      <c r="AT182" s="460">
        <f>J182+V182</f>
        <v>425481</v>
      </c>
      <c r="AU182" s="460">
        <f t="shared" si="595"/>
        <v>0</v>
      </c>
      <c r="AV182" s="460">
        <f t="shared" si="596"/>
        <v>143813</v>
      </c>
      <c r="AW182" s="460">
        <f t="shared" si="596"/>
        <v>4255</v>
      </c>
      <c r="AX182" s="460">
        <f>M182+AF182</f>
        <v>2184</v>
      </c>
      <c r="AY182" s="461">
        <f>N182+AR182</f>
        <v>1.37</v>
      </c>
      <c r="AZ182" s="461">
        <f t="shared" si="597"/>
        <v>0</v>
      </c>
      <c r="BA182" s="463">
        <f t="shared" si="597"/>
        <v>1.37</v>
      </c>
    </row>
    <row r="183" spans="1:53" s="229" customFormat="1" ht="12.75" customHeight="1" x14ac:dyDescent="0.2">
      <c r="A183" s="216">
        <v>32</v>
      </c>
      <c r="B183" s="217">
        <v>4416</v>
      </c>
      <c r="C183" s="217">
        <v>600074153</v>
      </c>
      <c r="D183" s="217">
        <v>71013105</v>
      </c>
      <c r="E183" s="215" t="s">
        <v>210</v>
      </c>
      <c r="F183" s="217">
        <v>3143</v>
      </c>
      <c r="G183" s="168" t="s">
        <v>616</v>
      </c>
      <c r="H183" s="234" t="s">
        <v>277</v>
      </c>
      <c r="I183" s="462">
        <f t="shared" si="583"/>
        <v>865205</v>
      </c>
      <c r="J183" s="457">
        <v>641844</v>
      </c>
      <c r="K183" s="457">
        <f t="shared" si="584"/>
        <v>216943</v>
      </c>
      <c r="L183" s="457">
        <f t="shared" si="585"/>
        <v>6418</v>
      </c>
      <c r="M183" s="457">
        <v>0</v>
      </c>
      <c r="N183" s="458">
        <f t="shared" si="586"/>
        <v>1.417</v>
      </c>
      <c r="O183" s="459">
        <v>1.417</v>
      </c>
      <c r="P183" s="468">
        <v>0</v>
      </c>
      <c r="Q183" s="470">
        <f t="shared" si="587"/>
        <v>0</v>
      </c>
      <c r="R183" s="460">
        <v>0</v>
      </c>
      <c r="S183" s="673">
        <v>0</v>
      </c>
      <c r="T183" s="460">
        <v>0</v>
      </c>
      <c r="U183" s="460">
        <v>0</v>
      </c>
      <c r="V183" s="460">
        <f>SUM(Q183:U183)</f>
        <v>0</v>
      </c>
      <c r="W183" s="460">
        <v>0</v>
      </c>
      <c r="X183" s="460">
        <v>0</v>
      </c>
      <c r="Y183" s="460">
        <v>0</v>
      </c>
      <c r="Z183" s="460">
        <f t="shared" si="588"/>
        <v>0</v>
      </c>
      <c r="AA183" s="460">
        <f t="shared" si="589"/>
        <v>0</v>
      </c>
      <c r="AB183" s="69">
        <f t="shared" si="590"/>
        <v>0</v>
      </c>
      <c r="AC183" s="69">
        <f t="shared" si="591"/>
        <v>0</v>
      </c>
      <c r="AD183" s="460">
        <v>0</v>
      </c>
      <c r="AE183" s="460">
        <v>0</v>
      </c>
      <c r="AF183" s="460">
        <f t="shared" si="592"/>
        <v>0</v>
      </c>
      <c r="AG183" s="460">
        <f t="shared" si="593"/>
        <v>0</v>
      </c>
      <c r="AH183" s="461">
        <v>0</v>
      </c>
      <c r="AI183" s="461">
        <v>0</v>
      </c>
      <c r="AJ183" s="461">
        <v>0</v>
      </c>
      <c r="AK183" s="461">
        <v>0</v>
      </c>
      <c r="AL183" s="674">
        <v>0</v>
      </c>
      <c r="AM183" s="461">
        <v>0</v>
      </c>
      <c r="AN183" s="461">
        <v>0</v>
      </c>
      <c r="AO183" s="461">
        <v>0</v>
      </c>
      <c r="AP183" s="461">
        <f>AH183+AJ183+AK183+AM183+AN183</f>
        <v>0</v>
      </c>
      <c r="AQ183" s="461">
        <f>AI183+AL183+AO183</f>
        <v>0</v>
      </c>
      <c r="AR183" s="463">
        <f t="shared" si="594"/>
        <v>0</v>
      </c>
      <c r="AS183" s="469">
        <f>I183+AG183</f>
        <v>865205</v>
      </c>
      <c r="AT183" s="460">
        <f>J183+V183</f>
        <v>641844</v>
      </c>
      <c r="AU183" s="460">
        <f t="shared" si="595"/>
        <v>0</v>
      </c>
      <c r="AV183" s="460">
        <f t="shared" si="596"/>
        <v>216943</v>
      </c>
      <c r="AW183" s="460">
        <f t="shared" si="596"/>
        <v>6418</v>
      </c>
      <c r="AX183" s="460">
        <f>M183+AF183</f>
        <v>0</v>
      </c>
      <c r="AY183" s="461">
        <f>N183+AR183</f>
        <v>1.417</v>
      </c>
      <c r="AZ183" s="461">
        <f t="shared" si="597"/>
        <v>1.417</v>
      </c>
      <c r="BA183" s="463">
        <f t="shared" si="597"/>
        <v>0</v>
      </c>
    </row>
    <row r="184" spans="1:53" s="229" customFormat="1" ht="12.75" customHeight="1" x14ac:dyDescent="0.2">
      <c r="A184" s="216">
        <v>32</v>
      </c>
      <c r="B184" s="217">
        <v>4416</v>
      </c>
      <c r="C184" s="217">
        <v>600074153</v>
      </c>
      <c r="D184" s="217">
        <v>71013105</v>
      </c>
      <c r="E184" s="215" t="s">
        <v>210</v>
      </c>
      <c r="F184" s="217">
        <v>3143</v>
      </c>
      <c r="G184" s="168" t="s">
        <v>617</v>
      </c>
      <c r="H184" s="234" t="s">
        <v>278</v>
      </c>
      <c r="I184" s="462">
        <f t="shared" si="583"/>
        <v>29321</v>
      </c>
      <c r="J184" s="457">
        <v>20950</v>
      </c>
      <c r="K184" s="457">
        <f t="shared" si="584"/>
        <v>7081</v>
      </c>
      <c r="L184" s="457">
        <f t="shared" si="585"/>
        <v>210</v>
      </c>
      <c r="M184" s="457">
        <v>1080</v>
      </c>
      <c r="N184" s="458">
        <f t="shared" si="586"/>
        <v>0.08</v>
      </c>
      <c r="O184" s="459">
        <v>0</v>
      </c>
      <c r="P184" s="468">
        <v>0.08</v>
      </c>
      <c r="Q184" s="470">
        <f t="shared" si="587"/>
        <v>0</v>
      </c>
      <c r="R184" s="460">
        <v>0</v>
      </c>
      <c r="S184" s="673">
        <v>0</v>
      </c>
      <c r="T184" s="460">
        <v>0</v>
      </c>
      <c r="U184" s="460">
        <v>0</v>
      </c>
      <c r="V184" s="460">
        <f>SUM(Q184:U184)</f>
        <v>0</v>
      </c>
      <c r="W184" s="460">
        <v>0</v>
      </c>
      <c r="X184" s="460">
        <v>0</v>
      </c>
      <c r="Y184" s="460">
        <v>0</v>
      </c>
      <c r="Z184" s="460">
        <f t="shared" si="588"/>
        <v>0</v>
      </c>
      <c r="AA184" s="460">
        <f t="shared" si="589"/>
        <v>0</v>
      </c>
      <c r="AB184" s="69">
        <f t="shared" si="590"/>
        <v>0</v>
      </c>
      <c r="AC184" s="69">
        <f t="shared" si="591"/>
        <v>0</v>
      </c>
      <c r="AD184" s="460">
        <v>0</v>
      </c>
      <c r="AE184" s="460">
        <v>0</v>
      </c>
      <c r="AF184" s="460">
        <f t="shared" si="592"/>
        <v>0</v>
      </c>
      <c r="AG184" s="460">
        <f t="shared" si="593"/>
        <v>0</v>
      </c>
      <c r="AH184" s="461">
        <v>0</v>
      </c>
      <c r="AI184" s="461">
        <v>0</v>
      </c>
      <c r="AJ184" s="461">
        <v>0</v>
      </c>
      <c r="AK184" s="461">
        <v>0</v>
      </c>
      <c r="AL184" s="674">
        <v>0</v>
      </c>
      <c r="AM184" s="461">
        <v>0</v>
      </c>
      <c r="AN184" s="461">
        <v>0</v>
      </c>
      <c r="AO184" s="461">
        <v>0</v>
      </c>
      <c r="AP184" s="461">
        <f>AH184+AJ184+AK184+AM184+AN184</f>
        <v>0</v>
      </c>
      <c r="AQ184" s="461">
        <f>AI184+AL184+AO184</f>
        <v>0</v>
      </c>
      <c r="AR184" s="463">
        <f t="shared" si="594"/>
        <v>0</v>
      </c>
      <c r="AS184" s="469">
        <f>I184+AG184</f>
        <v>29321</v>
      </c>
      <c r="AT184" s="460">
        <f>J184+V184</f>
        <v>20950</v>
      </c>
      <c r="AU184" s="460">
        <f t="shared" si="595"/>
        <v>0</v>
      </c>
      <c r="AV184" s="460">
        <f t="shared" si="596"/>
        <v>7081</v>
      </c>
      <c r="AW184" s="460">
        <f t="shared" si="596"/>
        <v>210</v>
      </c>
      <c r="AX184" s="460">
        <f>M184+AF184</f>
        <v>1080</v>
      </c>
      <c r="AY184" s="461">
        <f>N184+AR184</f>
        <v>0.08</v>
      </c>
      <c r="AZ184" s="461">
        <f t="shared" si="597"/>
        <v>0</v>
      </c>
      <c r="BA184" s="463">
        <f t="shared" si="597"/>
        <v>0.08</v>
      </c>
    </row>
    <row r="185" spans="1:53" s="229" customFormat="1" ht="12.75" customHeight="1" x14ac:dyDescent="0.2">
      <c r="A185" s="158">
        <v>32</v>
      </c>
      <c r="B185" s="18">
        <v>4416</v>
      </c>
      <c r="C185" s="18">
        <v>600074153</v>
      </c>
      <c r="D185" s="18">
        <v>71013105</v>
      </c>
      <c r="E185" s="167" t="s">
        <v>211</v>
      </c>
      <c r="F185" s="18"/>
      <c r="G185" s="157"/>
      <c r="H185" s="191"/>
      <c r="I185" s="505">
        <f t="shared" ref="I185:P185" si="598">SUM(I180:I184)</f>
        <v>5140283</v>
      </c>
      <c r="J185" s="502">
        <f t="shared" si="598"/>
        <v>3795043</v>
      </c>
      <c r="K185" s="502">
        <f t="shared" si="598"/>
        <v>1282725</v>
      </c>
      <c r="L185" s="502">
        <f t="shared" si="598"/>
        <v>37951</v>
      </c>
      <c r="M185" s="502">
        <f t="shared" si="598"/>
        <v>24564</v>
      </c>
      <c r="N185" s="503">
        <f t="shared" si="598"/>
        <v>8.4270000000000014</v>
      </c>
      <c r="O185" s="503">
        <f t="shared" si="598"/>
        <v>5.7770000000000001</v>
      </c>
      <c r="P185" s="507">
        <f t="shared" si="598"/>
        <v>2.6500000000000004</v>
      </c>
      <c r="Q185" s="505">
        <f t="shared" ref="Q185:BA185" si="599">SUM(Q180:Q184)</f>
        <v>0</v>
      </c>
      <c r="R185" s="502">
        <f t="shared" si="599"/>
        <v>692894</v>
      </c>
      <c r="S185" s="502">
        <f t="shared" si="599"/>
        <v>0</v>
      </c>
      <c r="T185" s="502">
        <f t="shared" si="599"/>
        <v>0</v>
      </c>
      <c r="U185" s="502">
        <f t="shared" si="599"/>
        <v>0</v>
      </c>
      <c r="V185" s="502">
        <f t="shared" si="599"/>
        <v>692894</v>
      </c>
      <c r="W185" s="502">
        <f t="shared" si="599"/>
        <v>0</v>
      </c>
      <c r="X185" s="502">
        <f t="shared" si="599"/>
        <v>0</v>
      </c>
      <c r="Y185" s="502">
        <f t="shared" si="599"/>
        <v>0</v>
      </c>
      <c r="Z185" s="502">
        <f t="shared" si="599"/>
        <v>0</v>
      </c>
      <c r="AA185" s="502">
        <f t="shared" si="599"/>
        <v>692894</v>
      </c>
      <c r="AB185" s="502">
        <f t="shared" si="599"/>
        <v>234198</v>
      </c>
      <c r="AC185" s="502">
        <f t="shared" si="599"/>
        <v>6929</v>
      </c>
      <c r="AD185" s="502">
        <f t="shared" si="599"/>
        <v>0</v>
      </c>
      <c r="AE185" s="502">
        <f t="shared" si="599"/>
        <v>0</v>
      </c>
      <c r="AF185" s="502">
        <f t="shared" si="599"/>
        <v>0</v>
      </c>
      <c r="AG185" s="502">
        <f t="shared" si="599"/>
        <v>934021</v>
      </c>
      <c r="AH185" s="503">
        <f t="shared" si="599"/>
        <v>0</v>
      </c>
      <c r="AI185" s="503">
        <f t="shared" si="599"/>
        <v>0</v>
      </c>
      <c r="AJ185" s="503">
        <f t="shared" si="599"/>
        <v>2</v>
      </c>
      <c r="AK185" s="503">
        <f t="shared" si="599"/>
        <v>0</v>
      </c>
      <c r="AL185" s="503">
        <f t="shared" si="599"/>
        <v>0</v>
      </c>
      <c r="AM185" s="503">
        <f t="shared" si="599"/>
        <v>0</v>
      </c>
      <c r="AN185" s="503">
        <f t="shared" si="599"/>
        <v>0</v>
      </c>
      <c r="AO185" s="503">
        <f t="shared" si="599"/>
        <v>0</v>
      </c>
      <c r="AP185" s="503">
        <f t="shared" si="599"/>
        <v>2</v>
      </c>
      <c r="AQ185" s="503">
        <f t="shared" si="599"/>
        <v>0</v>
      </c>
      <c r="AR185" s="40">
        <f t="shared" si="599"/>
        <v>2</v>
      </c>
      <c r="AS185" s="509">
        <f t="shared" si="599"/>
        <v>6074304</v>
      </c>
      <c r="AT185" s="502">
        <f t="shared" si="599"/>
        <v>4487937</v>
      </c>
      <c r="AU185" s="502">
        <f t="shared" si="599"/>
        <v>0</v>
      </c>
      <c r="AV185" s="502">
        <f t="shared" si="599"/>
        <v>1516923</v>
      </c>
      <c r="AW185" s="502">
        <f t="shared" si="599"/>
        <v>44880</v>
      </c>
      <c r="AX185" s="502">
        <f t="shared" si="599"/>
        <v>24564</v>
      </c>
      <c r="AY185" s="503">
        <f t="shared" si="599"/>
        <v>10.427</v>
      </c>
      <c r="AZ185" s="503">
        <f t="shared" si="599"/>
        <v>7.7770000000000001</v>
      </c>
      <c r="BA185" s="40">
        <f t="shared" si="599"/>
        <v>2.6500000000000004</v>
      </c>
    </row>
    <row r="186" spans="1:53" s="229" customFormat="1" ht="12.75" customHeight="1" x14ac:dyDescent="0.2">
      <c r="A186" s="216">
        <v>33</v>
      </c>
      <c r="B186" s="217">
        <v>4447</v>
      </c>
      <c r="C186" s="217">
        <v>600074749</v>
      </c>
      <c r="D186" s="217">
        <v>70695962</v>
      </c>
      <c r="E186" s="215" t="s">
        <v>212</v>
      </c>
      <c r="F186" s="217">
        <v>3113</v>
      </c>
      <c r="G186" s="168" t="s">
        <v>310</v>
      </c>
      <c r="H186" s="218" t="s">
        <v>277</v>
      </c>
      <c r="I186" s="462">
        <f t="shared" ref="I186:I188" si="600">SUM(J186:M186)</f>
        <v>12568486</v>
      </c>
      <c r="J186" s="457">
        <v>9188480</v>
      </c>
      <c r="K186" s="457">
        <f t="shared" ref="K186:K188" si="601">ROUND(J186*33.8%,0)</f>
        <v>3105706</v>
      </c>
      <c r="L186" s="457">
        <f t="shared" ref="L186:L188" si="602">ROUND(J186*1%,0)</f>
        <v>91885</v>
      </c>
      <c r="M186" s="457">
        <v>182415</v>
      </c>
      <c r="N186" s="458">
        <f t="shared" ref="N186:N188" si="603">O186+P186</f>
        <v>15.587299999999999</v>
      </c>
      <c r="O186" s="459">
        <v>12.2273</v>
      </c>
      <c r="P186" s="468">
        <v>3.3600000000000003</v>
      </c>
      <c r="Q186" s="470">
        <f t="shared" ref="Q186:Q188" si="604">W186*-1</f>
        <v>0</v>
      </c>
      <c r="R186" s="460">
        <v>0</v>
      </c>
      <c r="S186" s="673">
        <v>0</v>
      </c>
      <c r="T186" s="460">
        <v>0</v>
      </c>
      <c r="U186" s="460">
        <v>0</v>
      </c>
      <c r="V186" s="460">
        <f>SUM(Q186:U186)</f>
        <v>0</v>
      </c>
      <c r="W186" s="460">
        <v>0</v>
      </c>
      <c r="X186" s="460">
        <v>0</v>
      </c>
      <c r="Y186" s="460">
        <v>0</v>
      </c>
      <c r="Z186" s="460">
        <f t="shared" ref="Z186:Z188" si="605">SUM(W186:Y186)</f>
        <v>0</v>
      </c>
      <c r="AA186" s="460">
        <f t="shared" ref="AA186:AA188" si="606">V186+Z186</f>
        <v>0</v>
      </c>
      <c r="AB186" s="69">
        <f t="shared" ref="AB186:AB188" si="607">ROUND((V186+W186+X186)*33.8%,0)</f>
        <v>0</v>
      </c>
      <c r="AC186" s="69">
        <f t="shared" ref="AC186:AC188" si="608">ROUND(V186*1%,0)</f>
        <v>0</v>
      </c>
      <c r="AD186" s="460">
        <v>0</v>
      </c>
      <c r="AE186" s="460">
        <v>0</v>
      </c>
      <c r="AF186" s="460">
        <f t="shared" ref="AF186:AF188" si="609">SUM(AD186:AE186)</f>
        <v>0</v>
      </c>
      <c r="AG186" s="460">
        <f t="shared" ref="AG186:AG188" si="610">AA186+AB186+AC186+AF186</f>
        <v>0</v>
      </c>
      <c r="AH186" s="461">
        <v>0</v>
      </c>
      <c r="AI186" s="461">
        <v>0</v>
      </c>
      <c r="AJ186" s="461">
        <v>0</v>
      </c>
      <c r="AK186" s="461">
        <v>0</v>
      </c>
      <c r="AL186" s="674">
        <v>0</v>
      </c>
      <c r="AM186" s="461">
        <v>0</v>
      </c>
      <c r="AN186" s="461">
        <v>0</v>
      </c>
      <c r="AO186" s="461">
        <v>0</v>
      </c>
      <c r="AP186" s="461">
        <f>AH186+AJ186+AK186+AM186+AN186</f>
        <v>0</v>
      </c>
      <c r="AQ186" s="461">
        <f>AI186+AL186+AO186</f>
        <v>0</v>
      </c>
      <c r="AR186" s="463">
        <f t="shared" ref="AR186:AR188" si="611">SUM(AP186:AQ186)</f>
        <v>0</v>
      </c>
      <c r="AS186" s="469">
        <f>I186+AG186</f>
        <v>12568486</v>
      </c>
      <c r="AT186" s="460">
        <f>J186+V186</f>
        <v>9188480</v>
      </c>
      <c r="AU186" s="460">
        <f t="shared" ref="AU186:AU188" si="612">Z186</f>
        <v>0</v>
      </c>
      <c r="AV186" s="460">
        <f t="shared" ref="AV186:AW188" si="613">K186+AB186</f>
        <v>3105706</v>
      </c>
      <c r="AW186" s="460">
        <f t="shared" si="613"/>
        <v>91885</v>
      </c>
      <c r="AX186" s="460">
        <f>M186+AF186</f>
        <v>182415</v>
      </c>
      <c r="AY186" s="461">
        <f>N186+AR186</f>
        <v>15.587299999999999</v>
      </c>
      <c r="AZ186" s="461">
        <f t="shared" ref="AZ186:BA188" si="614">O186+AP186</f>
        <v>12.2273</v>
      </c>
      <c r="BA186" s="463">
        <f t="shared" si="614"/>
        <v>3.3600000000000003</v>
      </c>
    </row>
    <row r="187" spans="1:53" s="229" customFormat="1" ht="12.75" customHeight="1" x14ac:dyDescent="0.2">
      <c r="A187" s="216">
        <v>33</v>
      </c>
      <c r="B187" s="217">
        <v>4447</v>
      </c>
      <c r="C187" s="217">
        <v>600074749</v>
      </c>
      <c r="D187" s="217">
        <v>70695962</v>
      </c>
      <c r="E187" s="215" t="s">
        <v>212</v>
      </c>
      <c r="F187" s="217">
        <v>3113</v>
      </c>
      <c r="G187" s="168" t="s">
        <v>308</v>
      </c>
      <c r="H187" s="218" t="s">
        <v>278</v>
      </c>
      <c r="I187" s="462">
        <f t="shared" si="600"/>
        <v>0</v>
      </c>
      <c r="J187" s="457">
        <v>0</v>
      </c>
      <c r="K187" s="457">
        <f t="shared" si="601"/>
        <v>0</v>
      </c>
      <c r="L187" s="457">
        <f t="shared" si="602"/>
        <v>0</v>
      </c>
      <c r="M187" s="457">
        <v>0</v>
      </c>
      <c r="N187" s="458">
        <f t="shared" si="603"/>
        <v>0</v>
      </c>
      <c r="O187" s="459">
        <v>0</v>
      </c>
      <c r="P187" s="468">
        <v>0</v>
      </c>
      <c r="Q187" s="470">
        <f t="shared" si="604"/>
        <v>0</v>
      </c>
      <c r="R187" s="460">
        <v>741014</v>
      </c>
      <c r="S187" s="673">
        <v>0</v>
      </c>
      <c r="T187" s="460">
        <v>0</v>
      </c>
      <c r="U187" s="460">
        <v>0</v>
      </c>
      <c r="V187" s="460">
        <f>SUM(Q187:U187)</f>
        <v>741014</v>
      </c>
      <c r="W187" s="460">
        <v>0</v>
      </c>
      <c r="X187" s="460">
        <v>0</v>
      </c>
      <c r="Y187" s="460">
        <v>0</v>
      </c>
      <c r="Z187" s="460">
        <f t="shared" si="605"/>
        <v>0</v>
      </c>
      <c r="AA187" s="460">
        <f t="shared" si="606"/>
        <v>741014</v>
      </c>
      <c r="AB187" s="69">
        <f t="shared" si="607"/>
        <v>250463</v>
      </c>
      <c r="AC187" s="69">
        <f t="shared" si="608"/>
        <v>7410</v>
      </c>
      <c r="AD187" s="460">
        <v>0</v>
      </c>
      <c r="AE187" s="460">
        <v>0</v>
      </c>
      <c r="AF187" s="460">
        <f t="shared" si="609"/>
        <v>0</v>
      </c>
      <c r="AG187" s="460">
        <f t="shared" si="610"/>
        <v>998887</v>
      </c>
      <c r="AH187" s="461">
        <v>0</v>
      </c>
      <c r="AI187" s="461">
        <v>0</v>
      </c>
      <c r="AJ187" s="461">
        <v>2.14</v>
      </c>
      <c r="AK187" s="461">
        <v>0</v>
      </c>
      <c r="AL187" s="674">
        <v>0</v>
      </c>
      <c r="AM187" s="461">
        <v>0</v>
      </c>
      <c r="AN187" s="461">
        <v>0</v>
      </c>
      <c r="AO187" s="461">
        <v>0</v>
      </c>
      <c r="AP187" s="461">
        <f>AH187+AJ187+AK187+AM187+AN187</f>
        <v>2.14</v>
      </c>
      <c r="AQ187" s="461">
        <f>AI187+AL187+AO187</f>
        <v>0</v>
      </c>
      <c r="AR187" s="463">
        <f t="shared" si="611"/>
        <v>2.14</v>
      </c>
      <c r="AS187" s="469">
        <f>I187+AG187</f>
        <v>998887</v>
      </c>
      <c r="AT187" s="460">
        <f>J187+V187</f>
        <v>741014</v>
      </c>
      <c r="AU187" s="460">
        <f t="shared" si="612"/>
        <v>0</v>
      </c>
      <c r="AV187" s="460">
        <f t="shared" si="613"/>
        <v>250463</v>
      </c>
      <c r="AW187" s="460">
        <f t="shared" si="613"/>
        <v>7410</v>
      </c>
      <c r="AX187" s="460">
        <f>M187+AF187</f>
        <v>0</v>
      </c>
      <c r="AY187" s="461">
        <f>N187+AR187</f>
        <v>2.14</v>
      </c>
      <c r="AZ187" s="461">
        <f t="shared" si="614"/>
        <v>2.14</v>
      </c>
      <c r="BA187" s="463">
        <f t="shared" si="614"/>
        <v>0</v>
      </c>
    </row>
    <row r="188" spans="1:53" s="229" customFormat="1" ht="12.75" customHeight="1" x14ac:dyDescent="0.2">
      <c r="A188" s="216">
        <v>33</v>
      </c>
      <c r="B188" s="217">
        <v>4447</v>
      </c>
      <c r="C188" s="217">
        <v>600074749</v>
      </c>
      <c r="D188" s="217">
        <v>70695962</v>
      </c>
      <c r="E188" s="215" t="s">
        <v>212</v>
      </c>
      <c r="F188" s="217">
        <v>3141</v>
      </c>
      <c r="G188" s="168" t="s">
        <v>311</v>
      </c>
      <c r="H188" s="218" t="s">
        <v>278</v>
      </c>
      <c r="I188" s="462">
        <f t="shared" si="600"/>
        <v>820900</v>
      </c>
      <c r="J188" s="457">
        <v>605196</v>
      </c>
      <c r="K188" s="457">
        <f t="shared" si="601"/>
        <v>204556</v>
      </c>
      <c r="L188" s="457">
        <f t="shared" si="602"/>
        <v>6052</v>
      </c>
      <c r="M188" s="457">
        <v>5096</v>
      </c>
      <c r="N188" s="458">
        <f t="shared" si="603"/>
        <v>1.94</v>
      </c>
      <c r="O188" s="459">
        <v>0</v>
      </c>
      <c r="P188" s="468">
        <v>1.94</v>
      </c>
      <c r="Q188" s="470">
        <f t="shared" si="604"/>
        <v>0</v>
      </c>
      <c r="R188" s="460">
        <v>0</v>
      </c>
      <c r="S188" s="673">
        <v>0</v>
      </c>
      <c r="T188" s="460">
        <v>0</v>
      </c>
      <c r="U188" s="460">
        <v>0</v>
      </c>
      <c r="V188" s="460">
        <f>SUM(Q188:U188)</f>
        <v>0</v>
      </c>
      <c r="W188" s="460">
        <v>0</v>
      </c>
      <c r="X188" s="460">
        <v>0</v>
      </c>
      <c r="Y188" s="460">
        <v>0</v>
      </c>
      <c r="Z188" s="460">
        <f t="shared" si="605"/>
        <v>0</v>
      </c>
      <c r="AA188" s="460">
        <f t="shared" si="606"/>
        <v>0</v>
      </c>
      <c r="AB188" s="69">
        <f t="shared" si="607"/>
        <v>0</v>
      </c>
      <c r="AC188" s="69">
        <f t="shared" si="608"/>
        <v>0</v>
      </c>
      <c r="AD188" s="460">
        <v>0</v>
      </c>
      <c r="AE188" s="460">
        <v>0</v>
      </c>
      <c r="AF188" s="460">
        <f t="shared" si="609"/>
        <v>0</v>
      </c>
      <c r="AG188" s="460">
        <f t="shared" si="610"/>
        <v>0</v>
      </c>
      <c r="AH188" s="461">
        <v>0</v>
      </c>
      <c r="AI188" s="461">
        <v>0</v>
      </c>
      <c r="AJ188" s="461">
        <v>0</v>
      </c>
      <c r="AK188" s="461">
        <v>0</v>
      </c>
      <c r="AL188" s="674">
        <v>0</v>
      </c>
      <c r="AM188" s="461">
        <v>0</v>
      </c>
      <c r="AN188" s="461">
        <v>0</v>
      </c>
      <c r="AO188" s="461">
        <v>0</v>
      </c>
      <c r="AP188" s="461">
        <f>AH188+AJ188+AK188+AM188+AN188</f>
        <v>0</v>
      </c>
      <c r="AQ188" s="461">
        <f>AI188+AL188+AO188</f>
        <v>0</v>
      </c>
      <c r="AR188" s="463">
        <f t="shared" si="611"/>
        <v>0</v>
      </c>
      <c r="AS188" s="469">
        <f>I188+AG188</f>
        <v>820900</v>
      </c>
      <c r="AT188" s="460">
        <f>J188+V188</f>
        <v>605196</v>
      </c>
      <c r="AU188" s="460">
        <f t="shared" si="612"/>
        <v>0</v>
      </c>
      <c r="AV188" s="460">
        <f t="shared" si="613"/>
        <v>204556</v>
      </c>
      <c r="AW188" s="460">
        <f t="shared" si="613"/>
        <v>6052</v>
      </c>
      <c r="AX188" s="460">
        <f>M188+AF188</f>
        <v>5096</v>
      </c>
      <c r="AY188" s="461">
        <f>N188+AR188</f>
        <v>1.94</v>
      </c>
      <c r="AZ188" s="461">
        <f t="shared" si="614"/>
        <v>0</v>
      </c>
      <c r="BA188" s="463">
        <f t="shared" si="614"/>
        <v>1.94</v>
      </c>
    </row>
    <row r="189" spans="1:53" s="229" customFormat="1" ht="12.75" customHeight="1" x14ac:dyDescent="0.2">
      <c r="A189" s="158">
        <v>33</v>
      </c>
      <c r="B189" s="18">
        <v>4447</v>
      </c>
      <c r="C189" s="18">
        <v>600074749</v>
      </c>
      <c r="D189" s="18">
        <v>70695962</v>
      </c>
      <c r="E189" s="167" t="s">
        <v>213</v>
      </c>
      <c r="F189" s="18"/>
      <c r="G189" s="157"/>
      <c r="H189" s="191"/>
      <c r="I189" s="505">
        <f t="shared" ref="I189:P189" si="615">SUM(I186:I188)</f>
        <v>13389386</v>
      </c>
      <c r="J189" s="502">
        <f t="shared" si="615"/>
        <v>9793676</v>
      </c>
      <c r="K189" s="502">
        <f t="shared" si="615"/>
        <v>3310262</v>
      </c>
      <c r="L189" s="502">
        <f t="shared" si="615"/>
        <v>97937</v>
      </c>
      <c r="M189" s="502">
        <f t="shared" si="615"/>
        <v>187511</v>
      </c>
      <c r="N189" s="503">
        <f t="shared" si="615"/>
        <v>17.5273</v>
      </c>
      <c r="O189" s="503">
        <f t="shared" si="615"/>
        <v>12.2273</v>
      </c>
      <c r="P189" s="507">
        <f t="shared" si="615"/>
        <v>5.3000000000000007</v>
      </c>
      <c r="Q189" s="505">
        <f t="shared" ref="Q189:BA189" si="616">SUM(Q186:Q188)</f>
        <v>0</v>
      </c>
      <c r="R189" s="502">
        <f t="shared" si="616"/>
        <v>741014</v>
      </c>
      <c r="S189" s="502">
        <f t="shared" si="616"/>
        <v>0</v>
      </c>
      <c r="T189" s="502">
        <f t="shared" si="616"/>
        <v>0</v>
      </c>
      <c r="U189" s="502">
        <f t="shared" si="616"/>
        <v>0</v>
      </c>
      <c r="V189" s="502">
        <f t="shared" si="616"/>
        <v>741014</v>
      </c>
      <c r="W189" s="502">
        <f t="shared" si="616"/>
        <v>0</v>
      </c>
      <c r="X189" s="502">
        <f t="shared" si="616"/>
        <v>0</v>
      </c>
      <c r="Y189" s="502">
        <f t="shared" si="616"/>
        <v>0</v>
      </c>
      <c r="Z189" s="502">
        <f t="shared" si="616"/>
        <v>0</v>
      </c>
      <c r="AA189" s="502">
        <f t="shared" si="616"/>
        <v>741014</v>
      </c>
      <c r="AB189" s="502">
        <f t="shared" si="616"/>
        <v>250463</v>
      </c>
      <c r="AC189" s="502">
        <f t="shared" si="616"/>
        <v>7410</v>
      </c>
      <c r="AD189" s="502">
        <f t="shared" si="616"/>
        <v>0</v>
      </c>
      <c r="AE189" s="502">
        <f t="shared" si="616"/>
        <v>0</v>
      </c>
      <c r="AF189" s="502">
        <f t="shared" si="616"/>
        <v>0</v>
      </c>
      <c r="AG189" s="502">
        <f t="shared" si="616"/>
        <v>998887</v>
      </c>
      <c r="AH189" s="503">
        <f t="shared" si="616"/>
        <v>0</v>
      </c>
      <c r="AI189" s="503">
        <f t="shared" si="616"/>
        <v>0</v>
      </c>
      <c r="AJ189" s="503">
        <f t="shared" si="616"/>
        <v>2.14</v>
      </c>
      <c r="AK189" s="503">
        <f t="shared" si="616"/>
        <v>0</v>
      </c>
      <c r="AL189" s="503">
        <f t="shared" si="616"/>
        <v>0</v>
      </c>
      <c r="AM189" s="503">
        <f t="shared" si="616"/>
        <v>0</v>
      </c>
      <c r="AN189" s="503">
        <f t="shared" si="616"/>
        <v>0</v>
      </c>
      <c r="AO189" s="503">
        <f t="shared" si="616"/>
        <v>0</v>
      </c>
      <c r="AP189" s="503">
        <f t="shared" si="616"/>
        <v>2.14</v>
      </c>
      <c r="AQ189" s="503">
        <f t="shared" si="616"/>
        <v>0</v>
      </c>
      <c r="AR189" s="40">
        <f t="shared" si="616"/>
        <v>2.14</v>
      </c>
      <c r="AS189" s="509">
        <f t="shared" si="616"/>
        <v>14388273</v>
      </c>
      <c r="AT189" s="502">
        <f t="shared" si="616"/>
        <v>10534690</v>
      </c>
      <c r="AU189" s="502">
        <f t="shared" si="616"/>
        <v>0</v>
      </c>
      <c r="AV189" s="502">
        <f t="shared" si="616"/>
        <v>3560725</v>
      </c>
      <c r="AW189" s="502">
        <f t="shared" si="616"/>
        <v>105347</v>
      </c>
      <c r="AX189" s="502">
        <f t="shared" si="616"/>
        <v>187511</v>
      </c>
      <c r="AY189" s="503">
        <f t="shared" si="616"/>
        <v>19.667300000000001</v>
      </c>
      <c r="AZ189" s="503">
        <f t="shared" si="616"/>
        <v>14.3673</v>
      </c>
      <c r="BA189" s="40">
        <f t="shared" si="616"/>
        <v>5.3000000000000007</v>
      </c>
    </row>
    <row r="190" spans="1:53" s="229" customFormat="1" ht="12.75" customHeight="1" x14ac:dyDescent="0.2">
      <c r="A190" s="216">
        <v>34</v>
      </c>
      <c r="B190" s="217">
        <v>4449</v>
      </c>
      <c r="C190" s="217">
        <v>650037090</v>
      </c>
      <c r="D190" s="217">
        <v>72744171</v>
      </c>
      <c r="E190" s="215" t="s">
        <v>214</v>
      </c>
      <c r="F190" s="217">
        <v>3111</v>
      </c>
      <c r="G190" s="168" t="s">
        <v>307</v>
      </c>
      <c r="H190" s="218" t="s">
        <v>277</v>
      </c>
      <c r="I190" s="462">
        <f t="shared" ref="I190:I195" si="617">SUM(J190:M190)</f>
        <v>2890827</v>
      </c>
      <c r="J190" s="457">
        <v>2134442</v>
      </c>
      <c r="K190" s="457">
        <f t="shared" ref="K190:K195" si="618">ROUND(J190*33.8%,0)</f>
        <v>721441</v>
      </c>
      <c r="L190" s="457">
        <f t="shared" ref="L190:L195" si="619">ROUND(J190*1%,0)</f>
        <v>21344</v>
      </c>
      <c r="M190" s="457">
        <v>13600</v>
      </c>
      <c r="N190" s="458">
        <f t="shared" ref="N190:N195" si="620">O190+P190</f>
        <v>4.72</v>
      </c>
      <c r="O190" s="459">
        <v>4</v>
      </c>
      <c r="P190" s="468">
        <v>0.72</v>
      </c>
      <c r="Q190" s="470">
        <f t="shared" ref="Q190:Q195" si="621">W190*-1</f>
        <v>0</v>
      </c>
      <c r="R190" s="460">
        <v>0</v>
      </c>
      <c r="S190" s="673">
        <v>0</v>
      </c>
      <c r="T190" s="460">
        <v>0</v>
      </c>
      <c r="U190" s="460">
        <v>0</v>
      </c>
      <c r="V190" s="460">
        <f t="shared" ref="V190:V195" si="622">SUM(Q190:U190)</f>
        <v>0</v>
      </c>
      <c r="W190" s="460">
        <v>0</v>
      </c>
      <c r="X190" s="460">
        <v>0</v>
      </c>
      <c r="Y190" s="460">
        <v>0</v>
      </c>
      <c r="Z190" s="460">
        <f t="shared" ref="Z190:Z195" si="623">SUM(W190:Y190)</f>
        <v>0</v>
      </c>
      <c r="AA190" s="460">
        <f t="shared" ref="AA190:AA195" si="624">V190+Z190</f>
        <v>0</v>
      </c>
      <c r="AB190" s="69">
        <f t="shared" ref="AB190:AB195" si="625">ROUND((V190+W190+X190)*33.8%,0)</f>
        <v>0</v>
      </c>
      <c r="AC190" s="69">
        <f t="shared" ref="AC190:AC195" si="626">ROUND(V190*1%,0)</f>
        <v>0</v>
      </c>
      <c r="AD190" s="460">
        <v>0</v>
      </c>
      <c r="AE190" s="460">
        <v>0</v>
      </c>
      <c r="AF190" s="460">
        <f t="shared" ref="AF190:AF195" si="627">SUM(AD190:AE190)</f>
        <v>0</v>
      </c>
      <c r="AG190" s="460">
        <f t="shared" ref="AG190:AG195" si="628">AA190+AB190+AC190+AF190</f>
        <v>0</v>
      </c>
      <c r="AH190" s="461">
        <v>0</v>
      </c>
      <c r="AI190" s="461">
        <v>0</v>
      </c>
      <c r="AJ190" s="461">
        <v>0</v>
      </c>
      <c r="AK190" s="461">
        <v>0</v>
      </c>
      <c r="AL190" s="674">
        <v>0</v>
      </c>
      <c r="AM190" s="461">
        <v>0</v>
      </c>
      <c r="AN190" s="461">
        <v>0</v>
      </c>
      <c r="AO190" s="461">
        <v>0</v>
      </c>
      <c r="AP190" s="461">
        <f t="shared" ref="AP190:AP195" si="629">AH190+AJ190+AK190+AM190+AN190</f>
        <v>0</v>
      </c>
      <c r="AQ190" s="461">
        <f t="shared" ref="AQ190:AQ195" si="630">AI190+AL190+AO190</f>
        <v>0</v>
      </c>
      <c r="AR190" s="463">
        <f t="shared" ref="AR190:AR195" si="631">SUM(AP190:AQ190)</f>
        <v>0</v>
      </c>
      <c r="AS190" s="469">
        <f t="shared" ref="AS190:AS195" si="632">I190+AG190</f>
        <v>2890827</v>
      </c>
      <c r="AT190" s="460">
        <f t="shared" ref="AT190:AT195" si="633">J190+V190</f>
        <v>2134442</v>
      </c>
      <c r="AU190" s="460">
        <f t="shared" ref="AU190:AU195" si="634">Z190</f>
        <v>0</v>
      </c>
      <c r="AV190" s="460">
        <f t="shared" ref="AV190:AW195" si="635">K190+AB190</f>
        <v>721441</v>
      </c>
      <c r="AW190" s="460">
        <f t="shared" si="635"/>
        <v>21344</v>
      </c>
      <c r="AX190" s="460">
        <f t="shared" ref="AX190:AX195" si="636">M190+AF190</f>
        <v>13600</v>
      </c>
      <c r="AY190" s="461">
        <f t="shared" ref="AY190:AY195" si="637">N190+AR190</f>
        <v>4.72</v>
      </c>
      <c r="AZ190" s="461">
        <f t="shared" ref="AZ190:BA195" si="638">O190+AP190</f>
        <v>4</v>
      </c>
      <c r="BA190" s="463">
        <f t="shared" si="638"/>
        <v>0.72</v>
      </c>
    </row>
    <row r="191" spans="1:53" s="229" customFormat="1" ht="12.75" customHeight="1" x14ac:dyDescent="0.2">
      <c r="A191" s="216">
        <v>34</v>
      </c>
      <c r="B191" s="217">
        <v>4449</v>
      </c>
      <c r="C191" s="217">
        <v>650037090</v>
      </c>
      <c r="D191" s="217">
        <v>72744171</v>
      </c>
      <c r="E191" s="215" t="s">
        <v>214</v>
      </c>
      <c r="F191" s="217">
        <v>3113</v>
      </c>
      <c r="G191" s="168" t="s">
        <v>310</v>
      </c>
      <c r="H191" s="218" t="s">
        <v>277</v>
      </c>
      <c r="I191" s="462">
        <f t="shared" si="617"/>
        <v>12441479</v>
      </c>
      <c r="J191" s="457">
        <v>9085641</v>
      </c>
      <c r="K191" s="457">
        <f t="shared" si="618"/>
        <v>3070947</v>
      </c>
      <c r="L191" s="457">
        <f t="shared" si="619"/>
        <v>90856</v>
      </c>
      <c r="M191" s="457">
        <v>194035</v>
      </c>
      <c r="N191" s="458">
        <f t="shared" si="620"/>
        <v>16.66</v>
      </c>
      <c r="O191" s="459">
        <v>12</v>
      </c>
      <c r="P191" s="468">
        <v>4.66</v>
      </c>
      <c r="Q191" s="470">
        <f t="shared" si="621"/>
        <v>-13624</v>
      </c>
      <c r="R191" s="460">
        <v>0</v>
      </c>
      <c r="S191" s="673">
        <v>0</v>
      </c>
      <c r="T191" s="460">
        <v>0</v>
      </c>
      <c r="U191" s="460">
        <v>0</v>
      </c>
      <c r="V191" s="460">
        <f t="shared" si="622"/>
        <v>-13624</v>
      </c>
      <c r="W191" s="460">
        <v>13624</v>
      </c>
      <c r="X191" s="460">
        <v>99040</v>
      </c>
      <c r="Y191" s="460">
        <v>0</v>
      </c>
      <c r="Z191" s="460">
        <f t="shared" si="623"/>
        <v>112664</v>
      </c>
      <c r="AA191" s="460">
        <f t="shared" si="624"/>
        <v>99040</v>
      </c>
      <c r="AB191" s="69">
        <f t="shared" si="625"/>
        <v>33476</v>
      </c>
      <c r="AC191" s="69">
        <f t="shared" si="626"/>
        <v>-136</v>
      </c>
      <c r="AD191" s="460">
        <v>0</v>
      </c>
      <c r="AE191" s="460">
        <v>0</v>
      </c>
      <c r="AF191" s="460">
        <f t="shared" si="627"/>
        <v>0</v>
      </c>
      <c r="AG191" s="460">
        <f t="shared" si="628"/>
        <v>132380</v>
      </c>
      <c r="AH191" s="461">
        <v>-0.01</v>
      </c>
      <c r="AI191" s="461">
        <v>-0.02</v>
      </c>
      <c r="AJ191" s="461">
        <v>0</v>
      </c>
      <c r="AK191" s="461">
        <v>0</v>
      </c>
      <c r="AL191" s="674">
        <v>0</v>
      </c>
      <c r="AM191" s="461">
        <v>0</v>
      </c>
      <c r="AN191" s="461">
        <v>0</v>
      </c>
      <c r="AO191" s="461">
        <v>0</v>
      </c>
      <c r="AP191" s="461">
        <f t="shared" si="629"/>
        <v>-0.01</v>
      </c>
      <c r="AQ191" s="461">
        <f t="shared" si="630"/>
        <v>-0.02</v>
      </c>
      <c r="AR191" s="463">
        <f t="shared" si="631"/>
        <v>-0.03</v>
      </c>
      <c r="AS191" s="469">
        <f t="shared" si="632"/>
        <v>12573859</v>
      </c>
      <c r="AT191" s="460">
        <f t="shared" si="633"/>
        <v>9072017</v>
      </c>
      <c r="AU191" s="460">
        <f t="shared" si="634"/>
        <v>112664</v>
      </c>
      <c r="AV191" s="460">
        <f t="shared" si="635"/>
        <v>3104423</v>
      </c>
      <c r="AW191" s="460">
        <f t="shared" si="635"/>
        <v>90720</v>
      </c>
      <c r="AX191" s="460">
        <f t="shared" si="636"/>
        <v>194035</v>
      </c>
      <c r="AY191" s="461">
        <f t="shared" si="637"/>
        <v>16.63</v>
      </c>
      <c r="AZ191" s="461">
        <f t="shared" si="638"/>
        <v>11.99</v>
      </c>
      <c r="BA191" s="463">
        <f t="shared" si="638"/>
        <v>4.6400000000000006</v>
      </c>
    </row>
    <row r="192" spans="1:53" s="229" customFormat="1" ht="12.75" customHeight="1" x14ac:dyDescent="0.2">
      <c r="A192" s="216">
        <v>34</v>
      </c>
      <c r="B192" s="217">
        <v>4449</v>
      </c>
      <c r="C192" s="217">
        <v>650037090</v>
      </c>
      <c r="D192" s="217">
        <v>72744171</v>
      </c>
      <c r="E192" s="215" t="s">
        <v>214</v>
      </c>
      <c r="F192" s="217">
        <v>3113</v>
      </c>
      <c r="G192" s="168" t="s">
        <v>308</v>
      </c>
      <c r="H192" s="218" t="s">
        <v>278</v>
      </c>
      <c r="I192" s="462">
        <f t="shared" si="617"/>
        <v>0</v>
      </c>
      <c r="J192" s="457">
        <v>0</v>
      </c>
      <c r="K192" s="457">
        <f t="shared" si="618"/>
        <v>0</v>
      </c>
      <c r="L192" s="457">
        <f t="shared" si="619"/>
        <v>0</v>
      </c>
      <c r="M192" s="457">
        <v>0</v>
      </c>
      <c r="N192" s="458">
        <f t="shared" si="620"/>
        <v>0</v>
      </c>
      <c r="O192" s="459">
        <v>0</v>
      </c>
      <c r="P192" s="468">
        <v>0</v>
      </c>
      <c r="Q192" s="470">
        <f t="shared" si="621"/>
        <v>0</v>
      </c>
      <c r="R192" s="460">
        <f>1258834+79394</f>
        <v>1338228</v>
      </c>
      <c r="S192" s="673">
        <v>0</v>
      </c>
      <c r="T192" s="460">
        <v>0</v>
      </c>
      <c r="U192" s="460">
        <v>0</v>
      </c>
      <c r="V192" s="460">
        <f t="shared" si="622"/>
        <v>1338228</v>
      </c>
      <c r="W192" s="460">
        <v>0</v>
      </c>
      <c r="X192" s="460">
        <v>0</v>
      </c>
      <c r="Y192" s="460">
        <v>0</v>
      </c>
      <c r="Z192" s="460">
        <f t="shared" si="623"/>
        <v>0</v>
      </c>
      <c r="AA192" s="460">
        <f t="shared" si="624"/>
        <v>1338228</v>
      </c>
      <c r="AB192" s="69">
        <f t="shared" si="625"/>
        <v>452321</v>
      </c>
      <c r="AC192" s="69">
        <f t="shared" si="626"/>
        <v>13382</v>
      </c>
      <c r="AD192" s="460">
        <v>2500</v>
      </c>
      <c r="AE192" s="460">
        <v>0</v>
      </c>
      <c r="AF192" s="460">
        <f t="shared" si="627"/>
        <v>2500</v>
      </c>
      <c r="AG192" s="460">
        <f t="shared" si="628"/>
        <v>1806431</v>
      </c>
      <c r="AH192" s="461">
        <v>0</v>
      </c>
      <c r="AI192" s="461">
        <v>0</v>
      </c>
      <c r="AJ192" s="461">
        <f>3.6+0.23</f>
        <v>3.83</v>
      </c>
      <c r="AK192" s="461">
        <v>0</v>
      </c>
      <c r="AL192" s="674">
        <v>0</v>
      </c>
      <c r="AM192" s="461">
        <v>0</v>
      </c>
      <c r="AN192" s="461">
        <v>0</v>
      </c>
      <c r="AO192" s="461">
        <v>0</v>
      </c>
      <c r="AP192" s="461">
        <f t="shared" si="629"/>
        <v>3.83</v>
      </c>
      <c r="AQ192" s="461">
        <f t="shared" si="630"/>
        <v>0</v>
      </c>
      <c r="AR192" s="463">
        <f t="shared" si="631"/>
        <v>3.83</v>
      </c>
      <c r="AS192" s="469">
        <f t="shared" si="632"/>
        <v>1806431</v>
      </c>
      <c r="AT192" s="460">
        <f t="shared" si="633"/>
        <v>1338228</v>
      </c>
      <c r="AU192" s="460">
        <f t="shared" si="634"/>
        <v>0</v>
      </c>
      <c r="AV192" s="460">
        <f t="shared" si="635"/>
        <v>452321</v>
      </c>
      <c r="AW192" s="460">
        <f t="shared" si="635"/>
        <v>13382</v>
      </c>
      <c r="AX192" s="460">
        <f t="shared" si="636"/>
        <v>2500</v>
      </c>
      <c r="AY192" s="461">
        <f t="shared" si="637"/>
        <v>3.83</v>
      </c>
      <c r="AZ192" s="461">
        <f t="shared" si="638"/>
        <v>3.83</v>
      </c>
      <c r="BA192" s="463">
        <f t="shared" si="638"/>
        <v>0</v>
      </c>
    </row>
    <row r="193" spans="1:53" s="229" customFormat="1" ht="12.75" customHeight="1" x14ac:dyDescent="0.2">
      <c r="A193" s="216">
        <v>34</v>
      </c>
      <c r="B193" s="217">
        <v>4449</v>
      </c>
      <c r="C193" s="217">
        <v>650037090</v>
      </c>
      <c r="D193" s="217">
        <v>72744171</v>
      </c>
      <c r="E193" s="215" t="s">
        <v>214</v>
      </c>
      <c r="F193" s="217">
        <v>3141</v>
      </c>
      <c r="G193" s="168" t="s">
        <v>311</v>
      </c>
      <c r="H193" s="218" t="s">
        <v>278</v>
      </c>
      <c r="I193" s="462">
        <f t="shared" si="617"/>
        <v>1125309</v>
      </c>
      <c r="J193" s="457">
        <v>830826</v>
      </c>
      <c r="K193" s="457">
        <f t="shared" si="618"/>
        <v>280819</v>
      </c>
      <c r="L193" s="457">
        <f t="shared" si="619"/>
        <v>8308</v>
      </c>
      <c r="M193" s="457">
        <v>5356</v>
      </c>
      <c r="N193" s="458">
        <f t="shared" si="620"/>
        <v>2.67</v>
      </c>
      <c r="O193" s="459">
        <v>0</v>
      </c>
      <c r="P193" s="468">
        <v>2.67</v>
      </c>
      <c r="Q193" s="470">
        <f t="shared" si="621"/>
        <v>0</v>
      </c>
      <c r="R193" s="460">
        <v>0</v>
      </c>
      <c r="S193" s="673">
        <v>0</v>
      </c>
      <c r="T193" s="460">
        <v>0</v>
      </c>
      <c r="U193" s="460">
        <v>0</v>
      </c>
      <c r="V193" s="460">
        <f t="shared" si="622"/>
        <v>0</v>
      </c>
      <c r="W193" s="460">
        <v>0</v>
      </c>
      <c r="X193" s="460">
        <v>0</v>
      </c>
      <c r="Y193" s="460">
        <v>0</v>
      </c>
      <c r="Z193" s="460">
        <f t="shared" si="623"/>
        <v>0</v>
      </c>
      <c r="AA193" s="460">
        <f t="shared" si="624"/>
        <v>0</v>
      </c>
      <c r="AB193" s="69">
        <f t="shared" si="625"/>
        <v>0</v>
      </c>
      <c r="AC193" s="69">
        <f t="shared" si="626"/>
        <v>0</v>
      </c>
      <c r="AD193" s="460">
        <v>0</v>
      </c>
      <c r="AE193" s="460">
        <v>0</v>
      </c>
      <c r="AF193" s="460">
        <f t="shared" si="627"/>
        <v>0</v>
      </c>
      <c r="AG193" s="460">
        <f t="shared" si="628"/>
        <v>0</v>
      </c>
      <c r="AH193" s="461">
        <v>0</v>
      </c>
      <c r="AI193" s="461">
        <v>0</v>
      </c>
      <c r="AJ193" s="461">
        <v>0</v>
      </c>
      <c r="AK193" s="461">
        <v>0</v>
      </c>
      <c r="AL193" s="674">
        <v>0</v>
      </c>
      <c r="AM193" s="461">
        <v>0</v>
      </c>
      <c r="AN193" s="461">
        <v>0</v>
      </c>
      <c r="AO193" s="461">
        <v>0</v>
      </c>
      <c r="AP193" s="461">
        <f t="shared" si="629"/>
        <v>0</v>
      </c>
      <c r="AQ193" s="461">
        <f t="shared" si="630"/>
        <v>0</v>
      </c>
      <c r="AR193" s="463">
        <f t="shared" si="631"/>
        <v>0</v>
      </c>
      <c r="AS193" s="469">
        <f t="shared" si="632"/>
        <v>1125309</v>
      </c>
      <c r="AT193" s="460">
        <f t="shared" si="633"/>
        <v>830826</v>
      </c>
      <c r="AU193" s="460">
        <f t="shared" si="634"/>
        <v>0</v>
      </c>
      <c r="AV193" s="460">
        <f t="shared" si="635"/>
        <v>280819</v>
      </c>
      <c r="AW193" s="460">
        <f t="shared" si="635"/>
        <v>8308</v>
      </c>
      <c r="AX193" s="460">
        <f t="shared" si="636"/>
        <v>5356</v>
      </c>
      <c r="AY193" s="461">
        <f t="shared" si="637"/>
        <v>2.67</v>
      </c>
      <c r="AZ193" s="461">
        <f t="shared" si="638"/>
        <v>0</v>
      </c>
      <c r="BA193" s="463">
        <f t="shared" si="638"/>
        <v>2.67</v>
      </c>
    </row>
    <row r="194" spans="1:53" s="229" customFormat="1" ht="12.75" customHeight="1" x14ac:dyDescent="0.2">
      <c r="A194" s="216">
        <v>34</v>
      </c>
      <c r="B194" s="217">
        <v>4449</v>
      </c>
      <c r="C194" s="217">
        <v>650037090</v>
      </c>
      <c r="D194" s="217">
        <v>72744171</v>
      </c>
      <c r="E194" s="215" t="s">
        <v>214</v>
      </c>
      <c r="F194" s="217">
        <v>3143</v>
      </c>
      <c r="G194" s="168" t="s">
        <v>616</v>
      </c>
      <c r="H194" s="234" t="s">
        <v>277</v>
      </c>
      <c r="I194" s="462">
        <f t="shared" si="617"/>
        <v>1232281</v>
      </c>
      <c r="J194" s="457">
        <v>914155</v>
      </c>
      <c r="K194" s="457">
        <f t="shared" si="618"/>
        <v>308984</v>
      </c>
      <c r="L194" s="457">
        <f t="shared" si="619"/>
        <v>9142</v>
      </c>
      <c r="M194" s="457">
        <v>0</v>
      </c>
      <c r="N194" s="458">
        <f t="shared" si="620"/>
        <v>2</v>
      </c>
      <c r="O194" s="459">
        <v>2</v>
      </c>
      <c r="P194" s="468">
        <v>0</v>
      </c>
      <c r="Q194" s="470">
        <f t="shared" si="621"/>
        <v>0</v>
      </c>
      <c r="R194" s="460">
        <v>0</v>
      </c>
      <c r="S194" s="673">
        <v>0</v>
      </c>
      <c r="T194" s="460">
        <v>0</v>
      </c>
      <c r="U194" s="460">
        <v>0</v>
      </c>
      <c r="V194" s="460">
        <f t="shared" si="622"/>
        <v>0</v>
      </c>
      <c r="W194" s="460">
        <v>0</v>
      </c>
      <c r="X194" s="460">
        <v>0</v>
      </c>
      <c r="Y194" s="460">
        <v>0</v>
      </c>
      <c r="Z194" s="460">
        <f t="shared" si="623"/>
        <v>0</v>
      </c>
      <c r="AA194" s="460">
        <f t="shared" si="624"/>
        <v>0</v>
      </c>
      <c r="AB194" s="69">
        <f t="shared" si="625"/>
        <v>0</v>
      </c>
      <c r="AC194" s="69">
        <f t="shared" si="626"/>
        <v>0</v>
      </c>
      <c r="AD194" s="460">
        <v>0</v>
      </c>
      <c r="AE194" s="460">
        <v>0</v>
      </c>
      <c r="AF194" s="460">
        <f t="shared" si="627"/>
        <v>0</v>
      </c>
      <c r="AG194" s="460">
        <f t="shared" si="628"/>
        <v>0</v>
      </c>
      <c r="AH194" s="461">
        <v>0</v>
      </c>
      <c r="AI194" s="461">
        <v>0</v>
      </c>
      <c r="AJ194" s="461">
        <v>0</v>
      </c>
      <c r="AK194" s="461">
        <v>0</v>
      </c>
      <c r="AL194" s="674">
        <v>0</v>
      </c>
      <c r="AM194" s="461">
        <v>0</v>
      </c>
      <c r="AN194" s="461">
        <v>0</v>
      </c>
      <c r="AO194" s="461">
        <v>0</v>
      </c>
      <c r="AP194" s="461">
        <f t="shared" si="629"/>
        <v>0</v>
      </c>
      <c r="AQ194" s="461">
        <f t="shared" si="630"/>
        <v>0</v>
      </c>
      <c r="AR194" s="463">
        <f t="shared" si="631"/>
        <v>0</v>
      </c>
      <c r="AS194" s="469">
        <f t="shared" si="632"/>
        <v>1232281</v>
      </c>
      <c r="AT194" s="460">
        <f t="shared" si="633"/>
        <v>914155</v>
      </c>
      <c r="AU194" s="460">
        <f t="shared" si="634"/>
        <v>0</v>
      </c>
      <c r="AV194" s="460">
        <f t="shared" si="635"/>
        <v>308984</v>
      </c>
      <c r="AW194" s="460">
        <f t="shared" si="635"/>
        <v>9142</v>
      </c>
      <c r="AX194" s="460">
        <f t="shared" si="636"/>
        <v>0</v>
      </c>
      <c r="AY194" s="461">
        <f t="shared" si="637"/>
        <v>2</v>
      </c>
      <c r="AZ194" s="461">
        <f t="shared" si="638"/>
        <v>2</v>
      </c>
      <c r="BA194" s="463">
        <f t="shared" si="638"/>
        <v>0</v>
      </c>
    </row>
    <row r="195" spans="1:53" s="229" customFormat="1" ht="12.75" customHeight="1" x14ac:dyDescent="0.2">
      <c r="A195" s="216">
        <v>34</v>
      </c>
      <c r="B195" s="217">
        <v>4449</v>
      </c>
      <c r="C195" s="217">
        <v>650037090</v>
      </c>
      <c r="D195" s="217">
        <v>72744171</v>
      </c>
      <c r="E195" s="215" t="s">
        <v>214</v>
      </c>
      <c r="F195" s="217">
        <v>3143</v>
      </c>
      <c r="G195" s="168" t="s">
        <v>617</v>
      </c>
      <c r="H195" s="234" t="s">
        <v>278</v>
      </c>
      <c r="I195" s="462">
        <f t="shared" si="617"/>
        <v>32985</v>
      </c>
      <c r="J195" s="457">
        <v>23568</v>
      </c>
      <c r="K195" s="457">
        <f t="shared" si="618"/>
        <v>7966</v>
      </c>
      <c r="L195" s="457">
        <f t="shared" si="619"/>
        <v>236</v>
      </c>
      <c r="M195" s="457">
        <v>1215</v>
      </c>
      <c r="N195" s="458">
        <f t="shared" si="620"/>
        <v>0.09</v>
      </c>
      <c r="O195" s="459">
        <v>0</v>
      </c>
      <c r="P195" s="468">
        <v>0.09</v>
      </c>
      <c r="Q195" s="470">
        <f t="shared" si="621"/>
        <v>0</v>
      </c>
      <c r="R195" s="460">
        <v>0</v>
      </c>
      <c r="S195" s="673">
        <v>0</v>
      </c>
      <c r="T195" s="460">
        <v>0</v>
      </c>
      <c r="U195" s="460">
        <v>0</v>
      </c>
      <c r="V195" s="460">
        <f t="shared" si="622"/>
        <v>0</v>
      </c>
      <c r="W195" s="460">
        <v>0</v>
      </c>
      <c r="X195" s="460">
        <v>0</v>
      </c>
      <c r="Y195" s="460">
        <v>0</v>
      </c>
      <c r="Z195" s="460">
        <f t="shared" si="623"/>
        <v>0</v>
      </c>
      <c r="AA195" s="460">
        <f t="shared" si="624"/>
        <v>0</v>
      </c>
      <c r="AB195" s="69">
        <f t="shared" si="625"/>
        <v>0</v>
      </c>
      <c r="AC195" s="69">
        <f t="shared" si="626"/>
        <v>0</v>
      </c>
      <c r="AD195" s="460">
        <v>0</v>
      </c>
      <c r="AE195" s="460">
        <v>0</v>
      </c>
      <c r="AF195" s="460">
        <f t="shared" si="627"/>
        <v>0</v>
      </c>
      <c r="AG195" s="460">
        <f t="shared" si="628"/>
        <v>0</v>
      </c>
      <c r="AH195" s="461">
        <v>0</v>
      </c>
      <c r="AI195" s="461">
        <v>0</v>
      </c>
      <c r="AJ195" s="461">
        <v>0</v>
      </c>
      <c r="AK195" s="461">
        <v>0</v>
      </c>
      <c r="AL195" s="674">
        <v>0</v>
      </c>
      <c r="AM195" s="461">
        <v>0</v>
      </c>
      <c r="AN195" s="461">
        <v>0</v>
      </c>
      <c r="AO195" s="461">
        <v>0</v>
      </c>
      <c r="AP195" s="461">
        <f t="shared" si="629"/>
        <v>0</v>
      </c>
      <c r="AQ195" s="461">
        <f t="shared" si="630"/>
        <v>0</v>
      </c>
      <c r="AR195" s="463">
        <f t="shared" si="631"/>
        <v>0</v>
      </c>
      <c r="AS195" s="469">
        <f t="shared" si="632"/>
        <v>32985</v>
      </c>
      <c r="AT195" s="460">
        <f t="shared" si="633"/>
        <v>23568</v>
      </c>
      <c r="AU195" s="460">
        <f t="shared" si="634"/>
        <v>0</v>
      </c>
      <c r="AV195" s="460">
        <f t="shared" si="635"/>
        <v>7966</v>
      </c>
      <c r="AW195" s="460">
        <f t="shared" si="635"/>
        <v>236</v>
      </c>
      <c r="AX195" s="460">
        <f t="shared" si="636"/>
        <v>1215</v>
      </c>
      <c r="AY195" s="461">
        <f t="shared" si="637"/>
        <v>0.09</v>
      </c>
      <c r="AZ195" s="461">
        <f t="shared" si="638"/>
        <v>0</v>
      </c>
      <c r="BA195" s="463">
        <f t="shared" si="638"/>
        <v>0.09</v>
      </c>
    </row>
    <row r="196" spans="1:53" s="229" customFormat="1" ht="12.75" customHeight="1" x14ac:dyDescent="0.2">
      <c r="A196" s="158">
        <v>34</v>
      </c>
      <c r="B196" s="18">
        <v>4449</v>
      </c>
      <c r="C196" s="18">
        <v>650037090</v>
      </c>
      <c r="D196" s="18">
        <v>72744171</v>
      </c>
      <c r="E196" s="167" t="s">
        <v>215</v>
      </c>
      <c r="F196" s="18"/>
      <c r="G196" s="157"/>
      <c r="H196" s="191"/>
      <c r="I196" s="505">
        <f t="shared" ref="I196:P196" si="639">SUM(I190:I195)</f>
        <v>17722881</v>
      </c>
      <c r="J196" s="502">
        <f t="shared" si="639"/>
        <v>12988632</v>
      </c>
      <c r="K196" s="502">
        <f t="shared" si="639"/>
        <v>4390157</v>
      </c>
      <c r="L196" s="502">
        <f t="shared" si="639"/>
        <v>129886</v>
      </c>
      <c r="M196" s="502">
        <f t="shared" si="639"/>
        <v>214206</v>
      </c>
      <c r="N196" s="503">
        <f t="shared" si="639"/>
        <v>26.139999999999997</v>
      </c>
      <c r="O196" s="503">
        <f t="shared" si="639"/>
        <v>18</v>
      </c>
      <c r="P196" s="507">
        <f t="shared" si="639"/>
        <v>8.14</v>
      </c>
      <c r="Q196" s="505">
        <f t="shared" ref="Q196:BA196" si="640">SUM(Q190:Q195)</f>
        <v>-13624</v>
      </c>
      <c r="R196" s="502">
        <f t="shared" si="640"/>
        <v>1338228</v>
      </c>
      <c r="S196" s="502">
        <f t="shared" si="640"/>
        <v>0</v>
      </c>
      <c r="T196" s="502">
        <f t="shared" si="640"/>
        <v>0</v>
      </c>
      <c r="U196" s="502">
        <f t="shared" si="640"/>
        <v>0</v>
      </c>
      <c r="V196" s="502">
        <f t="shared" si="640"/>
        <v>1324604</v>
      </c>
      <c r="W196" s="502">
        <f t="shared" si="640"/>
        <v>13624</v>
      </c>
      <c r="X196" s="502">
        <f t="shared" si="640"/>
        <v>99040</v>
      </c>
      <c r="Y196" s="502">
        <f t="shared" si="640"/>
        <v>0</v>
      </c>
      <c r="Z196" s="502">
        <f t="shared" si="640"/>
        <v>112664</v>
      </c>
      <c r="AA196" s="502">
        <f t="shared" si="640"/>
        <v>1437268</v>
      </c>
      <c r="AB196" s="502">
        <f t="shared" si="640"/>
        <v>485797</v>
      </c>
      <c r="AC196" s="502">
        <f t="shared" si="640"/>
        <v>13246</v>
      </c>
      <c r="AD196" s="502">
        <f t="shared" si="640"/>
        <v>2500</v>
      </c>
      <c r="AE196" s="502">
        <f t="shared" si="640"/>
        <v>0</v>
      </c>
      <c r="AF196" s="502">
        <f t="shared" si="640"/>
        <v>2500</v>
      </c>
      <c r="AG196" s="502">
        <f t="shared" si="640"/>
        <v>1938811</v>
      </c>
      <c r="AH196" s="503">
        <f t="shared" si="640"/>
        <v>-0.01</v>
      </c>
      <c r="AI196" s="503">
        <f t="shared" si="640"/>
        <v>-0.02</v>
      </c>
      <c r="AJ196" s="503">
        <f t="shared" si="640"/>
        <v>3.83</v>
      </c>
      <c r="AK196" s="503">
        <f t="shared" si="640"/>
        <v>0</v>
      </c>
      <c r="AL196" s="503">
        <f t="shared" si="640"/>
        <v>0</v>
      </c>
      <c r="AM196" s="503">
        <f t="shared" si="640"/>
        <v>0</v>
      </c>
      <c r="AN196" s="503">
        <f t="shared" si="640"/>
        <v>0</v>
      </c>
      <c r="AO196" s="503">
        <f t="shared" si="640"/>
        <v>0</v>
      </c>
      <c r="AP196" s="503">
        <f t="shared" si="640"/>
        <v>3.8200000000000003</v>
      </c>
      <c r="AQ196" s="503">
        <f t="shared" si="640"/>
        <v>-0.02</v>
      </c>
      <c r="AR196" s="40">
        <f t="shared" si="640"/>
        <v>3.8000000000000003</v>
      </c>
      <c r="AS196" s="509">
        <f t="shared" si="640"/>
        <v>19661692</v>
      </c>
      <c r="AT196" s="502">
        <f t="shared" si="640"/>
        <v>14313236</v>
      </c>
      <c r="AU196" s="502">
        <f t="shared" si="640"/>
        <v>112664</v>
      </c>
      <c r="AV196" s="502">
        <f t="shared" si="640"/>
        <v>4875954</v>
      </c>
      <c r="AW196" s="502">
        <f t="shared" si="640"/>
        <v>143132</v>
      </c>
      <c r="AX196" s="502">
        <f t="shared" si="640"/>
        <v>216706</v>
      </c>
      <c r="AY196" s="503">
        <f t="shared" si="640"/>
        <v>29.94</v>
      </c>
      <c r="AZ196" s="503">
        <f t="shared" si="640"/>
        <v>21.82</v>
      </c>
      <c r="BA196" s="40">
        <f t="shared" si="640"/>
        <v>8.120000000000001</v>
      </c>
    </row>
    <row r="197" spans="1:53" s="229" customFormat="1" ht="12.75" customHeight="1" x14ac:dyDescent="0.2">
      <c r="A197" s="216">
        <v>35</v>
      </c>
      <c r="B197" s="217">
        <v>4401</v>
      </c>
      <c r="C197" s="217">
        <v>600074196</v>
      </c>
      <c r="D197" s="217">
        <v>71011129</v>
      </c>
      <c r="E197" s="215" t="s">
        <v>216</v>
      </c>
      <c r="F197" s="217">
        <v>3111</v>
      </c>
      <c r="G197" s="168" t="s">
        <v>307</v>
      </c>
      <c r="H197" s="218" t="s">
        <v>277</v>
      </c>
      <c r="I197" s="462">
        <f t="shared" ref="I197:I199" si="641">SUM(J197:M197)</f>
        <v>3393356</v>
      </c>
      <c r="J197" s="457">
        <v>2503973</v>
      </c>
      <c r="K197" s="457">
        <f t="shared" ref="K197:K199" si="642">ROUND(J197*33.8%,0)</f>
        <v>846343</v>
      </c>
      <c r="L197" s="457">
        <f t="shared" ref="L197:L199" si="643">ROUND(J197*1%,0)</f>
        <v>25040</v>
      </c>
      <c r="M197" s="457">
        <v>18000</v>
      </c>
      <c r="N197" s="458">
        <f t="shared" ref="N197:N199" si="644">O197+P197</f>
        <v>5.2</v>
      </c>
      <c r="O197" s="459">
        <v>4</v>
      </c>
      <c r="P197" s="468">
        <v>1.2</v>
      </c>
      <c r="Q197" s="470">
        <f t="shared" ref="Q197:Q199" si="645">W197*-1</f>
        <v>-65000</v>
      </c>
      <c r="R197" s="460">
        <v>0</v>
      </c>
      <c r="S197" s="673">
        <v>0</v>
      </c>
      <c r="T197" s="460">
        <v>0</v>
      </c>
      <c r="U197" s="460">
        <v>0</v>
      </c>
      <c r="V197" s="460">
        <f>SUM(Q197:U197)</f>
        <v>-65000</v>
      </c>
      <c r="W197" s="460">
        <v>65000</v>
      </c>
      <c r="X197" s="460">
        <v>0</v>
      </c>
      <c r="Y197" s="460">
        <v>0</v>
      </c>
      <c r="Z197" s="460">
        <f t="shared" ref="Z197:Z199" si="646">SUM(W197:Y197)</f>
        <v>65000</v>
      </c>
      <c r="AA197" s="460">
        <f t="shared" ref="AA197:AA199" si="647">V197+Z197</f>
        <v>0</v>
      </c>
      <c r="AB197" s="69">
        <f t="shared" ref="AB197:AB199" si="648">ROUND((V197+W197+X197)*33.8%,0)</f>
        <v>0</v>
      </c>
      <c r="AC197" s="69">
        <f t="shared" ref="AC197:AC199" si="649">ROUND(V197*1%,0)</f>
        <v>-650</v>
      </c>
      <c r="AD197" s="460">
        <v>0</v>
      </c>
      <c r="AE197" s="460">
        <v>0</v>
      </c>
      <c r="AF197" s="460">
        <f t="shared" ref="AF197:AF199" si="650">SUM(AD197:AE197)</f>
        <v>0</v>
      </c>
      <c r="AG197" s="460">
        <f t="shared" ref="AG197:AG199" si="651">AA197+AB197+AC197+AF197</f>
        <v>-650</v>
      </c>
      <c r="AH197" s="461">
        <v>0</v>
      </c>
      <c r="AI197" s="461">
        <v>-0.22</v>
      </c>
      <c r="AJ197" s="461">
        <v>0</v>
      </c>
      <c r="AK197" s="461">
        <v>0</v>
      </c>
      <c r="AL197" s="674">
        <v>0</v>
      </c>
      <c r="AM197" s="461">
        <v>0</v>
      </c>
      <c r="AN197" s="461">
        <v>0</v>
      </c>
      <c r="AO197" s="461">
        <v>0</v>
      </c>
      <c r="AP197" s="461">
        <f>AH197+AJ197+AK197+AM197+AN197</f>
        <v>0</v>
      </c>
      <c r="AQ197" s="461">
        <f>AI197+AL197+AO197</f>
        <v>-0.22</v>
      </c>
      <c r="AR197" s="463">
        <f t="shared" ref="AR197:AR199" si="652">SUM(AP197:AQ197)</f>
        <v>-0.22</v>
      </c>
      <c r="AS197" s="469">
        <f>I197+AG197</f>
        <v>3392706</v>
      </c>
      <c r="AT197" s="460">
        <f>J197+V197</f>
        <v>2438973</v>
      </c>
      <c r="AU197" s="460">
        <f t="shared" ref="AU197:AU199" si="653">Z197</f>
        <v>65000</v>
      </c>
      <c r="AV197" s="460">
        <f t="shared" ref="AV197:AW199" si="654">K197+AB197</f>
        <v>846343</v>
      </c>
      <c r="AW197" s="460">
        <f t="shared" si="654"/>
        <v>24390</v>
      </c>
      <c r="AX197" s="460">
        <f>M197+AF197</f>
        <v>18000</v>
      </c>
      <c r="AY197" s="461">
        <f>N197+AR197</f>
        <v>4.9800000000000004</v>
      </c>
      <c r="AZ197" s="461">
        <f t="shared" ref="AZ197:BA199" si="655">O197+AP197</f>
        <v>4</v>
      </c>
      <c r="BA197" s="463">
        <f t="shared" si="655"/>
        <v>0.98</v>
      </c>
    </row>
    <row r="198" spans="1:53" s="229" customFormat="1" ht="12.75" customHeight="1" x14ac:dyDescent="0.2">
      <c r="A198" s="216">
        <v>35</v>
      </c>
      <c r="B198" s="217">
        <v>4401</v>
      </c>
      <c r="C198" s="217">
        <v>600074196</v>
      </c>
      <c r="D198" s="217">
        <v>71011129</v>
      </c>
      <c r="E198" s="215" t="s">
        <v>216</v>
      </c>
      <c r="F198" s="217">
        <v>3111</v>
      </c>
      <c r="G198" s="168" t="s">
        <v>308</v>
      </c>
      <c r="H198" s="218" t="s">
        <v>278</v>
      </c>
      <c r="I198" s="462">
        <f t="shared" si="641"/>
        <v>0</v>
      </c>
      <c r="J198" s="457">
        <v>0</v>
      </c>
      <c r="K198" s="457">
        <f t="shared" si="642"/>
        <v>0</v>
      </c>
      <c r="L198" s="457">
        <f t="shared" si="643"/>
        <v>0</v>
      </c>
      <c r="M198" s="457">
        <v>0</v>
      </c>
      <c r="N198" s="458">
        <f t="shared" si="644"/>
        <v>0</v>
      </c>
      <c r="O198" s="459">
        <v>0</v>
      </c>
      <c r="P198" s="468">
        <v>0</v>
      </c>
      <c r="Q198" s="470">
        <f t="shared" si="645"/>
        <v>0</v>
      </c>
      <c r="R198" s="460">
        <v>0</v>
      </c>
      <c r="S198" s="673">
        <v>0</v>
      </c>
      <c r="T198" s="460">
        <v>0</v>
      </c>
      <c r="U198" s="460">
        <v>0</v>
      </c>
      <c r="V198" s="460">
        <f>SUM(Q198:U198)</f>
        <v>0</v>
      </c>
      <c r="W198" s="460">
        <v>0</v>
      </c>
      <c r="X198" s="460">
        <v>0</v>
      </c>
      <c r="Y198" s="460">
        <v>0</v>
      </c>
      <c r="Z198" s="460">
        <f t="shared" si="646"/>
        <v>0</v>
      </c>
      <c r="AA198" s="460">
        <f t="shared" si="647"/>
        <v>0</v>
      </c>
      <c r="AB198" s="69">
        <f t="shared" si="648"/>
        <v>0</v>
      </c>
      <c r="AC198" s="69">
        <f t="shared" si="649"/>
        <v>0</v>
      </c>
      <c r="AD198" s="460">
        <v>0</v>
      </c>
      <c r="AE198" s="460">
        <v>0</v>
      </c>
      <c r="AF198" s="460">
        <f t="shared" si="650"/>
        <v>0</v>
      </c>
      <c r="AG198" s="460">
        <f t="shared" si="651"/>
        <v>0</v>
      </c>
      <c r="AH198" s="461">
        <v>0</v>
      </c>
      <c r="AI198" s="461">
        <v>0</v>
      </c>
      <c r="AJ198" s="461">
        <v>0</v>
      </c>
      <c r="AK198" s="461">
        <v>0</v>
      </c>
      <c r="AL198" s="674">
        <v>0</v>
      </c>
      <c r="AM198" s="461">
        <v>0</v>
      </c>
      <c r="AN198" s="461">
        <v>0</v>
      </c>
      <c r="AO198" s="461">
        <v>0</v>
      </c>
      <c r="AP198" s="461">
        <f>AH198+AJ198+AK198+AM198+AN198</f>
        <v>0</v>
      </c>
      <c r="AQ198" s="461">
        <f>AI198+AL198+AO198</f>
        <v>0</v>
      </c>
      <c r="AR198" s="463">
        <f t="shared" si="652"/>
        <v>0</v>
      </c>
      <c r="AS198" s="469">
        <f>I198+AG198</f>
        <v>0</v>
      </c>
      <c r="AT198" s="460">
        <f>J198+V198</f>
        <v>0</v>
      </c>
      <c r="AU198" s="460">
        <f t="shared" si="653"/>
        <v>0</v>
      </c>
      <c r="AV198" s="460">
        <f t="shared" si="654"/>
        <v>0</v>
      </c>
      <c r="AW198" s="460">
        <f t="shared" si="654"/>
        <v>0</v>
      </c>
      <c r="AX198" s="460">
        <f>M198+AF198</f>
        <v>0</v>
      </c>
      <c r="AY198" s="461">
        <f>N198+AR198</f>
        <v>0</v>
      </c>
      <c r="AZ198" s="461">
        <f t="shared" si="655"/>
        <v>0</v>
      </c>
      <c r="BA198" s="463">
        <f t="shared" si="655"/>
        <v>0</v>
      </c>
    </row>
    <row r="199" spans="1:53" s="229" customFormat="1" ht="12.75" customHeight="1" x14ac:dyDescent="0.2">
      <c r="A199" s="216">
        <v>35</v>
      </c>
      <c r="B199" s="217">
        <v>4401</v>
      </c>
      <c r="C199" s="217">
        <v>600074196</v>
      </c>
      <c r="D199" s="217">
        <v>71011129</v>
      </c>
      <c r="E199" s="210" t="s">
        <v>216</v>
      </c>
      <c r="F199" s="217">
        <v>3141</v>
      </c>
      <c r="G199" s="168" t="s">
        <v>311</v>
      </c>
      <c r="H199" s="218" t="s">
        <v>278</v>
      </c>
      <c r="I199" s="462">
        <f t="shared" si="641"/>
        <v>245910</v>
      </c>
      <c r="J199" s="457">
        <v>181265</v>
      </c>
      <c r="K199" s="457">
        <f t="shared" si="642"/>
        <v>61268</v>
      </c>
      <c r="L199" s="457">
        <f t="shared" si="643"/>
        <v>1813</v>
      </c>
      <c r="M199" s="457">
        <v>1564</v>
      </c>
      <c r="N199" s="458">
        <f t="shared" si="644"/>
        <v>0.57999999999999996</v>
      </c>
      <c r="O199" s="459">
        <v>0</v>
      </c>
      <c r="P199" s="468">
        <v>0.57999999999999996</v>
      </c>
      <c r="Q199" s="470">
        <f t="shared" si="645"/>
        <v>0</v>
      </c>
      <c r="R199" s="460">
        <v>0</v>
      </c>
      <c r="S199" s="673">
        <v>0</v>
      </c>
      <c r="T199" s="460">
        <v>0</v>
      </c>
      <c r="U199" s="460">
        <v>0</v>
      </c>
      <c r="V199" s="460">
        <f>SUM(Q199:U199)</f>
        <v>0</v>
      </c>
      <c r="W199" s="460">
        <v>0</v>
      </c>
      <c r="X199" s="460">
        <v>0</v>
      </c>
      <c r="Y199" s="460">
        <v>0</v>
      </c>
      <c r="Z199" s="460">
        <f t="shared" si="646"/>
        <v>0</v>
      </c>
      <c r="AA199" s="460">
        <f t="shared" si="647"/>
        <v>0</v>
      </c>
      <c r="AB199" s="69">
        <f t="shared" si="648"/>
        <v>0</v>
      </c>
      <c r="AC199" s="69">
        <f t="shared" si="649"/>
        <v>0</v>
      </c>
      <c r="AD199" s="460">
        <v>0</v>
      </c>
      <c r="AE199" s="460">
        <v>0</v>
      </c>
      <c r="AF199" s="460">
        <f t="shared" si="650"/>
        <v>0</v>
      </c>
      <c r="AG199" s="460">
        <f t="shared" si="651"/>
        <v>0</v>
      </c>
      <c r="AH199" s="461">
        <v>0</v>
      </c>
      <c r="AI199" s="461">
        <v>0</v>
      </c>
      <c r="AJ199" s="461">
        <v>0</v>
      </c>
      <c r="AK199" s="461">
        <v>0</v>
      </c>
      <c r="AL199" s="674">
        <v>0</v>
      </c>
      <c r="AM199" s="461">
        <v>0</v>
      </c>
      <c r="AN199" s="461">
        <v>0</v>
      </c>
      <c r="AO199" s="461">
        <v>0</v>
      </c>
      <c r="AP199" s="461">
        <f>AH199+AJ199+AK199+AM199+AN199</f>
        <v>0</v>
      </c>
      <c r="AQ199" s="461">
        <f>AI199+AL199+AO199</f>
        <v>0</v>
      </c>
      <c r="AR199" s="463">
        <f t="shared" si="652"/>
        <v>0</v>
      </c>
      <c r="AS199" s="469">
        <f>I199+AG199</f>
        <v>245910</v>
      </c>
      <c r="AT199" s="460">
        <f>J199+V199</f>
        <v>181265</v>
      </c>
      <c r="AU199" s="460">
        <f t="shared" si="653"/>
        <v>0</v>
      </c>
      <c r="AV199" s="460">
        <f t="shared" si="654"/>
        <v>61268</v>
      </c>
      <c r="AW199" s="460">
        <f t="shared" si="654"/>
        <v>1813</v>
      </c>
      <c r="AX199" s="460">
        <f>M199+AF199</f>
        <v>1564</v>
      </c>
      <c r="AY199" s="461">
        <f>N199+AR199</f>
        <v>0.57999999999999996</v>
      </c>
      <c r="AZ199" s="461">
        <f t="shared" si="655"/>
        <v>0</v>
      </c>
      <c r="BA199" s="463">
        <f t="shared" si="655"/>
        <v>0.57999999999999996</v>
      </c>
    </row>
    <row r="200" spans="1:53" s="229" customFormat="1" ht="12.75" customHeight="1" x14ac:dyDescent="0.2">
      <c r="A200" s="158">
        <v>35</v>
      </c>
      <c r="B200" s="18">
        <v>4401</v>
      </c>
      <c r="C200" s="18">
        <v>600074196</v>
      </c>
      <c r="D200" s="18">
        <v>71011129</v>
      </c>
      <c r="E200" s="167" t="s">
        <v>217</v>
      </c>
      <c r="F200" s="18"/>
      <c r="G200" s="157"/>
      <c r="H200" s="191"/>
      <c r="I200" s="505">
        <f t="shared" ref="I200:P200" si="656">SUM(I197:I199)</f>
        <v>3639266</v>
      </c>
      <c r="J200" s="502">
        <f t="shared" si="656"/>
        <v>2685238</v>
      </c>
      <c r="K200" s="502">
        <f t="shared" si="656"/>
        <v>907611</v>
      </c>
      <c r="L200" s="502">
        <f t="shared" si="656"/>
        <v>26853</v>
      </c>
      <c r="M200" s="502">
        <f t="shared" si="656"/>
        <v>19564</v>
      </c>
      <c r="N200" s="503">
        <f t="shared" si="656"/>
        <v>5.78</v>
      </c>
      <c r="O200" s="503">
        <f t="shared" si="656"/>
        <v>4</v>
      </c>
      <c r="P200" s="507">
        <f t="shared" si="656"/>
        <v>1.7799999999999998</v>
      </c>
      <c r="Q200" s="505">
        <f t="shared" ref="Q200:BA200" si="657">SUM(Q197:Q199)</f>
        <v>-65000</v>
      </c>
      <c r="R200" s="502">
        <f t="shared" si="657"/>
        <v>0</v>
      </c>
      <c r="S200" s="502">
        <f t="shared" si="657"/>
        <v>0</v>
      </c>
      <c r="T200" s="502">
        <f t="shared" si="657"/>
        <v>0</v>
      </c>
      <c r="U200" s="502">
        <f t="shared" si="657"/>
        <v>0</v>
      </c>
      <c r="V200" s="502">
        <f t="shared" si="657"/>
        <v>-65000</v>
      </c>
      <c r="W200" s="502">
        <f t="shared" si="657"/>
        <v>65000</v>
      </c>
      <c r="X200" s="502">
        <f t="shared" si="657"/>
        <v>0</v>
      </c>
      <c r="Y200" s="502">
        <f t="shared" si="657"/>
        <v>0</v>
      </c>
      <c r="Z200" s="502">
        <f t="shared" si="657"/>
        <v>65000</v>
      </c>
      <c r="AA200" s="502">
        <f t="shared" si="657"/>
        <v>0</v>
      </c>
      <c r="AB200" s="502">
        <f t="shared" si="657"/>
        <v>0</v>
      </c>
      <c r="AC200" s="502">
        <f t="shared" si="657"/>
        <v>-650</v>
      </c>
      <c r="AD200" s="502">
        <f t="shared" si="657"/>
        <v>0</v>
      </c>
      <c r="AE200" s="502">
        <f t="shared" si="657"/>
        <v>0</v>
      </c>
      <c r="AF200" s="502">
        <f t="shared" si="657"/>
        <v>0</v>
      </c>
      <c r="AG200" s="502">
        <f t="shared" si="657"/>
        <v>-650</v>
      </c>
      <c r="AH200" s="503">
        <f t="shared" si="657"/>
        <v>0</v>
      </c>
      <c r="AI200" s="503">
        <f t="shared" si="657"/>
        <v>-0.22</v>
      </c>
      <c r="AJ200" s="503">
        <f t="shared" si="657"/>
        <v>0</v>
      </c>
      <c r="AK200" s="503">
        <f t="shared" si="657"/>
        <v>0</v>
      </c>
      <c r="AL200" s="503">
        <f t="shared" si="657"/>
        <v>0</v>
      </c>
      <c r="AM200" s="503">
        <f t="shared" si="657"/>
        <v>0</v>
      </c>
      <c r="AN200" s="503">
        <f t="shared" si="657"/>
        <v>0</v>
      </c>
      <c r="AO200" s="503">
        <f t="shared" si="657"/>
        <v>0</v>
      </c>
      <c r="AP200" s="503">
        <f t="shared" si="657"/>
        <v>0</v>
      </c>
      <c r="AQ200" s="503">
        <f t="shared" si="657"/>
        <v>-0.22</v>
      </c>
      <c r="AR200" s="40">
        <f t="shared" si="657"/>
        <v>-0.22</v>
      </c>
      <c r="AS200" s="509">
        <f t="shared" si="657"/>
        <v>3638616</v>
      </c>
      <c r="AT200" s="502">
        <f t="shared" si="657"/>
        <v>2620238</v>
      </c>
      <c r="AU200" s="502">
        <f t="shared" si="657"/>
        <v>65000</v>
      </c>
      <c r="AV200" s="502">
        <f t="shared" si="657"/>
        <v>907611</v>
      </c>
      <c r="AW200" s="502">
        <f t="shared" si="657"/>
        <v>26203</v>
      </c>
      <c r="AX200" s="502">
        <f t="shared" si="657"/>
        <v>19564</v>
      </c>
      <c r="AY200" s="503">
        <f t="shared" si="657"/>
        <v>5.5600000000000005</v>
      </c>
      <c r="AZ200" s="503">
        <f t="shared" si="657"/>
        <v>4</v>
      </c>
      <c r="BA200" s="40">
        <f t="shared" si="657"/>
        <v>1.56</v>
      </c>
    </row>
    <row r="201" spans="1:53" s="229" customFormat="1" ht="12.75" customHeight="1" x14ac:dyDescent="0.2">
      <c r="A201" s="216">
        <v>36</v>
      </c>
      <c r="B201" s="217">
        <v>4453</v>
      </c>
      <c r="C201" s="217">
        <v>600074790</v>
      </c>
      <c r="D201" s="217">
        <v>71011111</v>
      </c>
      <c r="E201" s="215" t="s">
        <v>218</v>
      </c>
      <c r="F201" s="217">
        <v>3113</v>
      </c>
      <c r="G201" s="168" t="s">
        <v>310</v>
      </c>
      <c r="H201" s="218" t="s">
        <v>277</v>
      </c>
      <c r="I201" s="462">
        <f t="shared" ref="I201:I205" si="658">SUM(J201:M201)</f>
        <v>11752009</v>
      </c>
      <c r="J201" s="457">
        <v>8572815</v>
      </c>
      <c r="K201" s="457">
        <f t="shared" ref="K201:K205" si="659">ROUND(J201*33.8%,0)</f>
        <v>2897611</v>
      </c>
      <c r="L201" s="457">
        <f t="shared" ref="L201:L205" si="660">ROUND(J201*1%,0)</f>
        <v>85728</v>
      </c>
      <c r="M201" s="457">
        <v>195855</v>
      </c>
      <c r="N201" s="458">
        <f t="shared" ref="N201:N205" si="661">O201+P201</f>
        <v>15.346299999999999</v>
      </c>
      <c r="O201" s="459">
        <v>11.6363</v>
      </c>
      <c r="P201" s="468">
        <v>3.71</v>
      </c>
      <c r="Q201" s="470">
        <f t="shared" ref="Q201:Q205" si="662">W201*-1</f>
        <v>-19500</v>
      </c>
      <c r="R201" s="460">
        <v>0</v>
      </c>
      <c r="S201" s="673">
        <v>0</v>
      </c>
      <c r="T201" s="460">
        <v>0</v>
      </c>
      <c r="U201" s="460">
        <v>0</v>
      </c>
      <c r="V201" s="460">
        <f>SUM(Q201:U201)</f>
        <v>-19500</v>
      </c>
      <c r="W201" s="460">
        <v>19500</v>
      </c>
      <c r="X201" s="460">
        <v>0</v>
      </c>
      <c r="Y201" s="460">
        <v>0</v>
      </c>
      <c r="Z201" s="460">
        <f t="shared" ref="Z201:Z205" si="663">SUM(W201:Y201)</f>
        <v>19500</v>
      </c>
      <c r="AA201" s="460">
        <f t="shared" ref="AA201:AA205" si="664">V201+Z201</f>
        <v>0</v>
      </c>
      <c r="AB201" s="69">
        <f t="shared" ref="AB201:AB205" si="665">ROUND((V201+W201+X201)*33.8%,0)</f>
        <v>0</v>
      </c>
      <c r="AC201" s="69">
        <f t="shared" ref="AC201:AC205" si="666">ROUND(V201*1%,0)</f>
        <v>-195</v>
      </c>
      <c r="AD201" s="460">
        <v>0</v>
      </c>
      <c r="AE201" s="460">
        <v>0</v>
      </c>
      <c r="AF201" s="460">
        <f t="shared" ref="AF201:AF205" si="667">SUM(AD201:AE201)</f>
        <v>0</v>
      </c>
      <c r="AG201" s="460">
        <f t="shared" ref="AG201:AG205" si="668">AA201+AB201+AC201+AF201</f>
        <v>-195</v>
      </c>
      <c r="AH201" s="461">
        <v>-0.02</v>
      </c>
      <c r="AI201" s="461">
        <v>-0.04</v>
      </c>
      <c r="AJ201" s="461">
        <v>0</v>
      </c>
      <c r="AK201" s="461">
        <v>0</v>
      </c>
      <c r="AL201" s="674">
        <v>0</v>
      </c>
      <c r="AM201" s="461">
        <v>0</v>
      </c>
      <c r="AN201" s="461">
        <v>0</v>
      </c>
      <c r="AO201" s="461">
        <v>0</v>
      </c>
      <c r="AP201" s="461">
        <f>AH201+AJ201+AK201+AM201+AN201</f>
        <v>-0.02</v>
      </c>
      <c r="AQ201" s="461">
        <f>AI201+AL201+AO201</f>
        <v>-0.04</v>
      </c>
      <c r="AR201" s="463">
        <f t="shared" ref="AR201:AR205" si="669">SUM(AP201:AQ201)</f>
        <v>-0.06</v>
      </c>
      <c r="AS201" s="469">
        <f>I201+AG201</f>
        <v>11751814</v>
      </c>
      <c r="AT201" s="460">
        <f>J201+V201</f>
        <v>8553315</v>
      </c>
      <c r="AU201" s="460">
        <f t="shared" ref="AU201:AU205" si="670">Z201</f>
        <v>19500</v>
      </c>
      <c r="AV201" s="460">
        <f t="shared" ref="AV201:AW205" si="671">K201+AB201</f>
        <v>2897611</v>
      </c>
      <c r="AW201" s="460">
        <f t="shared" si="671"/>
        <v>85533</v>
      </c>
      <c r="AX201" s="460">
        <f>M201+AF201</f>
        <v>195855</v>
      </c>
      <c r="AY201" s="461">
        <f>N201+AR201</f>
        <v>15.286299999999999</v>
      </c>
      <c r="AZ201" s="461">
        <f t="shared" ref="AZ201:BA205" si="672">O201+AP201</f>
        <v>11.616300000000001</v>
      </c>
      <c r="BA201" s="463">
        <f t="shared" si="672"/>
        <v>3.67</v>
      </c>
    </row>
    <row r="202" spans="1:53" s="229" customFormat="1" ht="12.75" customHeight="1" x14ac:dyDescent="0.2">
      <c r="A202" s="216">
        <v>36</v>
      </c>
      <c r="B202" s="217">
        <v>4453</v>
      </c>
      <c r="C202" s="217">
        <v>600074790</v>
      </c>
      <c r="D202" s="217">
        <v>71011111</v>
      </c>
      <c r="E202" s="215" t="s">
        <v>218</v>
      </c>
      <c r="F202" s="217">
        <v>3113</v>
      </c>
      <c r="G202" s="168" t="s">
        <v>308</v>
      </c>
      <c r="H202" s="218" t="s">
        <v>278</v>
      </c>
      <c r="I202" s="462">
        <f t="shared" si="658"/>
        <v>0</v>
      </c>
      <c r="J202" s="457">
        <v>0</v>
      </c>
      <c r="K202" s="457">
        <f t="shared" si="659"/>
        <v>0</v>
      </c>
      <c r="L202" s="457">
        <f t="shared" si="660"/>
        <v>0</v>
      </c>
      <c r="M202" s="457">
        <v>0</v>
      </c>
      <c r="N202" s="458">
        <f t="shared" si="661"/>
        <v>0</v>
      </c>
      <c r="O202" s="459">
        <v>0</v>
      </c>
      <c r="P202" s="468">
        <v>0</v>
      </c>
      <c r="Q202" s="470">
        <f t="shared" si="662"/>
        <v>0</v>
      </c>
      <c r="R202" s="460">
        <v>307956</v>
      </c>
      <c r="S202" s="673">
        <v>0</v>
      </c>
      <c r="T202" s="460">
        <v>0</v>
      </c>
      <c r="U202" s="460">
        <v>0</v>
      </c>
      <c r="V202" s="460">
        <f>SUM(Q202:U202)</f>
        <v>307956</v>
      </c>
      <c r="W202" s="460">
        <v>0</v>
      </c>
      <c r="X202" s="460">
        <v>0</v>
      </c>
      <c r="Y202" s="460">
        <v>0</v>
      </c>
      <c r="Z202" s="460">
        <f t="shared" si="663"/>
        <v>0</v>
      </c>
      <c r="AA202" s="460">
        <f t="shared" si="664"/>
        <v>307956</v>
      </c>
      <c r="AB202" s="69">
        <f t="shared" si="665"/>
        <v>104089</v>
      </c>
      <c r="AC202" s="69">
        <f t="shared" si="666"/>
        <v>3080</v>
      </c>
      <c r="AD202" s="460">
        <v>0</v>
      </c>
      <c r="AE202" s="460">
        <v>0</v>
      </c>
      <c r="AF202" s="460">
        <f t="shared" si="667"/>
        <v>0</v>
      </c>
      <c r="AG202" s="460">
        <f t="shared" si="668"/>
        <v>415125</v>
      </c>
      <c r="AH202" s="461">
        <v>0</v>
      </c>
      <c r="AI202" s="461">
        <v>0</v>
      </c>
      <c r="AJ202" s="461">
        <v>0.89</v>
      </c>
      <c r="AK202" s="461">
        <v>0</v>
      </c>
      <c r="AL202" s="674">
        <v>0</v>
      </c>
      <c r="AM202" s="461">
        <v>0</v>
      </c>
      <c r="AN202" s="461">
        <v>0</v>
      </c>
      <c r="AO202" s="461">
        <v>0</v>
      </c>
      <c r="AP202" s="461">
        <f>AH202+AJ202+AK202+AM202+AN202</f>
        <v>0.89</v>
      </c>
      <c r="AQ202" s="461">
        <f>AI202+AL202+AO202</f>
        <v>0</v>
      </c>
      <c r="AR202" s="463">
        <f t="shared" si="669"/>
        <v>0.89</v>
      </c>
      <c r="AS202" s="469">
        <f>I202+AG202</f>
        <v>415125</v>
      </c>
      <c r="AT202" s="460">
        <f>J202+V202</f>
        <v>307956</v>
      </c>
      <c r="AU202" s="460">
        <f t="shared" si="670"/>
        <v>0</v>
      </c>
      <c r="AV202" s="460">
        <f t="shared" si="671"/>
        <v>104089</v>
      </c>
      <c r="AW202" s="460">
        <f t="shared" si="671"/>
        <v>3080</v>
      </c>
      <c r="AX202" s="460">
        <f>M202+AF202</f>
        <v>0</v>
      </c>
      <c r="AY202" s="461">
        <f>N202+AR202</f>
        <v>0.89</v>
      </c>
      <c r="AZ202" s="461">
        <f t="shared" si="672"/>
        <v>0.89</v>
      </c>
      <c r="BA202" s="463">
        <f t="shared" si="672"/>
        <v>0</v>
      </c>
    </row>
    <row r="203" spans="1:53" s="229" customFormat="1" ht="12.75" customHeight="1" x14ac:dyDescent="0.2">
      <c r="A203" s="216">
        <v>36</v>
      </c>
      <c r="B203" s="217">
        <v>4453</v>
      </c>
      <c r="C203" s="217">
        <v>600074790</v>
      </c>
      <c r="D203" s="217">
        <v>71011111</v>
      </c>
      <c r="E203" s="215" t="s">
        <v>218</v>
      </c>
      <c r="F203" s="217">
        <v>3141</v>
      </c>
      <c r="G203" s="168" t="s">
        <v>311</v>
      </c>
      <c r="H203" s="218" t="s">
        <v>278</v>
      </c>
      <c r="I203" s="462">
        <f t="shared" si="658"/>
        <v>1400722</v>
      </c>
      <c r="J203" s="457">
        <v>1032859</v>
      </c>
      <c r="K203" s="457">
        <f t="shared" si="659"/>
        <v>349106</v>
      </c>
      <c r="L203" s="457">
        <f t="shared" si="660"/>
        <v>10329</v>
      </c>
      <c r="M203" s="457">
        <v>8428</v>
      </c>
      <c r="N203" s="458">
        <f t="shared" si="661"/>
        <v>3.32</v>
      </c>
      <c r="O203" s="459">
        <v>0</v>
      </c>
      <c r="P203" s="468">
        <v>3.32</v>
      </c>
      <c r="Q203" s="470">
        <f t="shared" si="662"/>
        <v>0</v>
      </c>
      <c r="R203" s="460">
        <v>0</v>
      </c>
      <c r="S203" s="673">
        <v>0</v>
      </c>
      <c r="T203" s="460">
        <v>0</v>
      </c>
      <c r="U203" s="460">
        <v>0</v>
      </c>
      <c r="V203" s="460">
        <f>SUM(Q203:U203)</f>
        <v>0</v>
      </c>
      <c r="W203" s="460">
        <v>0</v>
      </c>
      <c r="X203" s="460">
        <v>0</v>
      </c>
      <c r="Y203" s="460">
        <v>0</v>
      </c>
      <c r="Z203" s="460">
        <f t="shared" si="663"/>
        <v>0</v>
      </c>
      <c r="AA203" s="460">
        <f t="shared" si="664"/>
        <v>0</v>
      </c>
      <c r="AB203" s="69">
        <f t="shared" si="665"/>
        <v>0</v>
      </c>
      <c r="AC203" s="69">
        <f t="shared" si="666"/>
        <v>0</v>
      </c>
      <c r="AD203" s="460">
        <v>0</v>
      </c>
      <c r="AE203" s="460">
        <v>0</v>
      </c>
      <c r="AF203" s="460">
        <f t="shared" si="667"/>
        <v>0</v>
      </c>
      <c r="AG203" s="460">
        <f t="shared" si="668"/>
        <v>0</v>
      </c>
      <c r="AH203" s="461">
        <v>0</v>
      </c>
      <c r="AI203" s="461">
        <v>0</v>
      </c>
      <c r="AJ203" s="461">
        <v>0</v>
      </c>
      <c r="AK203" s="461">
        <v>0</v>
      </c>
      <c r="AL203" s="674">
        <v>0</v>
      </c>
      <c r="AM203" s="461">
        <v>0</v>
      </c>
      <c r="AN203" s="461">
        <v>0</v>
      </c>
      <c r="AO203" s="461">
        <v>0</v>
      </c>
      <c r="AP203" s="461">
        <f>AH203+AJ203+AK203+AM203+AN203</f>
        <v>0</v>
      </c>
      <c r="AQ203" s="461">
        <f>AI203+AL203+AO203</f>
        <v>0</v>
      </c>
      <c r="AR203" s="463">
        <f t="shared" si="669"/>
        <v>0</v>
      </c>
      <c r="AS203" s="469">
        <f>I203+AG203</f>
        <v>1400722</v>
      </c>
      <c r="AT203" s="460">
        <f>J203+V203</f>
        <v>1032859</v>
      </c>
      <c r="AU203" s="460">
        <f t="shared" si="670"/>
        <v>0</v>
      </c>
      <c r="AV203" s="460">
        <f t="shared" si="671"/>
        <v>349106</v>
      </c>
      <c r="AW203" s="460">
        <f t="shared" si="671"/>
        <v>10329</v>
      </c>
      <c r="AX203" s="460">
        <f>M203+AF203</f>
        <v>8428</v>
      </c>
      <c r="AY203" s="461">
        <f>N203+AR203</f>
        <v>3.32</v>
      </c>
      <c r="AZ203" s="461">
        <f t="shared" si="672"/>
        <v>0</v>
      </c>
      <c r="BA203" s="463">
        <f t="shared" si="672"/>
        <v>3.32</v>
      </c>
    </row>
    <row r="204" spans="1:53" s="229" customFormat="1" ht="12.75" customHeight="1" x14ac:dyDescent="0.2">
      <c r="A204" s="216">
        <v>36</v>
      </c>
      <c r="B204" s="217">
        <v>4453</v>
      </c>
      <c r="C204" s="217">
        <v>600074790</v>
      </c>
      <c r="D204" s="217">
        <v>71011111</v>
      </c>
      <c r="E204" s="210" t="s">
        <v>218</v>
      </c>
      <c r="F204" s="217">
        <v>3143</v>
      </c>
      <c r="G204" s="168" t="s">
        <v>616</v>
      </c>
      <c r="H204" s="234" t="s">
        <v>277</v>
      </c>
      <c r="I204" s="462">
        <f t="shared" si="658"/>
        <v>691592</v>
      </c>
      <c r="J204" s="457">
        <v>513050</v>
      </c>
      <c r="K204" s="457">
        <f t="shared" si="659"/>
        <v>173411</v>
      </c>
      <c r="L204" s="457">
        <f t="shared" si="660"/>
        <v>5131</v>
      </c>
      <c r="M204" s="457">
        <v>0</v>
      </c>
      <c r="N204" s="458">
        <f t="shared" si="661"/>
        <v>1.2916000000000001</v>
      </c>
      <c r="O204" s="459">
        <v>1.2916000000000001</v>
      </c>
      <c r="P204" s="468">
        <v>0</v>
      </c>
      <c r="Q204" s="470">
        <f t="shared" si="662"/>
        <v>0</v>
      </c>
      <c r="R204" s="460">
        <v>0</v>
      </c>
      <c r="S204" s="673">
        <v>0</v>
      </c>
      <c r="T204" s="460">
        <v>0</v>
      </c>
      <c r="U204" s="460">
        <v>0</v>
      </c>
      <c r="V204" s="460">
        <f>SUM(Q204:U204)</f>
        <v>0</v>
      </c>
      <c r="W204" s="460">
        <v>0</v>
      </c>
      <c r="X204" s="460">
        <v>0</v>
      </c>
      <c r="Y204" s="460">
        <v>0</v>
      </c>
      <c r="Z204" s="460">
        <f t="shared" si="663"/>
        <v>0</v>
      </c>
      <c r="AA204" s="460">
        <f t="shared" si="664"/>
        <v>0</v>
      </c>
      <c r="AB204" s="69">
        <f t="shared" si="665"/>
        <v>0</v>
      </c>
      <c r="AC204" s="69">
        <f t="shared" si="666"/>
        <v>0</v>
      </c>
      <c r="AD204" s="460">
        <v>0</v>
      </c>
      <c r="AE204" s="460">
        <v>0</v>
      </c>
      <c r="AF204" s="460">
        <f t="shared" si="667"/>
        <v>0</v>
      </c>
      <c r="AG204" s="460">
        <f t="shared" si="668"/>
        <v>0</v>
      </c>
      <c r="AH204" s="461">
        <v>0</v>
      </c>
      <c r="AI204" s="461">
        <v>0</v>
      </c>
      <c r="AJ204" s="461">
        <v>0</v>
      </c>
      <c r="AK204" s="461">
        <v>0</v>
      </c>
      <c r="AL204" s="674">
        <v>0</v>
      </c>
      <c r="AM204" s="461">
        <v>0</v>
      </c>
      <c r="AN204" s="461">
        <v>0</v>
      </c>
      <c r="AO204" s="461">
        <v>0</v>
      </c>
      <c r="AP204" s="461">
        <f>AH204+AJ204+AK204+AM204+AN204</f>
        <v>0</v>
      </c>
      <c r="AQ204" s="461">
        <f>AI204+AL204+AO204</f>
        <v>0</v>
      </c>
      <c r="AR204" s="463">
        <f t="shared" si="669"/>
        <v>0</v>
      </c>
      <c r="AS204" s="469">
        <f>I204+AG204</f>
        <v>691592</v>
      </c>
      <c r="AT204" s="460">
        <f>J204+V204</f>
        <v>513050</v>
      </c>
      <c r="AU204" s="460">
        <f t="shared" si="670"/>
        <v>0</v>
      </c>
      <c r="AV204" s="460">
        <f t="shared" si="671"/>
        <v>173411</v>
      </c>
      <c r="AW204" s="460">
        <f t="shared" si="671"/>
        <v>5131</v>
      </c>
      <c r="AX204" s="460">
        <f>M204+AF204</f>
        <v>0</v>
      </c>
      <c r="AY204" s="461">
        <f>N204+AR204</f>
        <v>1.2916000000000001</v>
      </c>
      <c r="AZ204" s="461">
        <f t="shared" si="672"/>
        <v>1.2916000000000001</v>
      </c>
      <c r="BA204" s="463">
        <f t="shared" si="672"/>
        <v>0</v>
      </c>
    </row>
    <row r="205" spans="1:53" s="229" customFormat="1" ht="12.75" customHeight="1" x14ac:dyDescent="0.2">
      <c r="A205" s="216">
        <v>36</v>
      </c>
      <c r="B205" s="217">
        <v>4453</v>
      </c>
      <c r="C205" s="217">
        <v>600074790</v>
      </c>
      <c r="D205" s="217">
        <v>71011111</v>
      </c>
      <c r="E205" s="210" t="s">
        <v>218</v>
      </c>
      <c r="F205" s="217">
        <v>3143</v>
      </c>
      <c r="G205" s="168" t="s">
        <v>617</v>
      </c>
      <c r="H205" s="234" t="s">
        <v>278</v>
      </c>
      <c r="I205" s="462">
        <f t="shared" si="658"/>
        <v>34451</v>
      </c>
      <c r="J205" s="457">
        <v>24616</v>
      </c>
      <c r="K205" s="457">
        <f t="shared" si="659"/>
        <v>8320</v>
      </c>
      <c r="L205" s="457">
        <f t="shared" si="660"/>
        <v>246</v>
      </c>
      <c r="M205" s="457">
        <v>1269</v>
      </c>
      <c r="N205" s="458">
        <f t="shared" si="661"/>
        <v>0.1</v>
      </c>
      <c r="O205" s="459">
        <v>0</v>
      </c>
      <c r="P205" s="468">
        <v>0.1</v>
      </c>
      <c r="Q205" s="470">
        <f t="shared" si="662"/>
        <v>0</v>
      </c>
      <c r="R205" s="460">
        <v>0</v>
      </c>
      <c r="S205" s="673">
        <v>0</v>
      </c>
      <c r="T205" s="460">
        <v>0</v>
      </c>
      <c r="U205" s="460">
        <v>0</v>
      </c>
      <c r="V205" s="460">
        <f>SUM(Q205:U205)</f>
        <v>0</v>
      </c>
      <c r="W205" s="460">
        <v>0</v>
      </c>
      <c r="X205" s="460">
        <v>0</v>
      </c>
      <c r="Y205" s="460">
        <v>0</v>
      </c>
      <c r="Z205" s="460">
        <f t="shared" si="663"/>
        <v>0</v>
      </c>
      <c r="AA205" s="460">
        <f t="shared" si="664"/>
        <v>0</v>
      </c>
      <c r="AB205" s="69">
        <f t="shared" si="665"/>
        <v>0</v>
      </c>
      <c r="AC205" s="69">
        <f t="shared" si="666"/>
        <v>0</v>
      </c>
      <c r="AD205" s="460">
        <v>0</v>
      </c>
      <c r="AE205" s="460">
        <v>0</v>
      </c>
      <c r="AF205" s="460">
        <f t="shared" si="667"/>
        <v>0</v>
      </c>
      <c r="AG205" s="460">
        <f t="shared" si="668"/>
        <v>0</v>
      </c>
      <c r="AH205" s="461">
        <v>0</v>
      </c>
      <c r="AI205" s="461">
        <v>0</v>
      </c>
      <c r="AJ205" s="461">
        <v>0</v>
      </c>
      <c r="AK205" s="461">
        <v>0</v>
      </c>
      <c r="AL205" s="674">
        <v>0</v>
      </c>
      <c r="AM205" s="461">
        <v>0</v>
      </c>
      <c r="AN205" s="461">
        <v>0</v>
      </c>
      <c r="AO205" s="461">
        <v>0</v>
      </c>
      <c r="AP205" s="461">
        <f>AH205+AJ205+AK205+AM205+AN205</f>
        <v>0</v>
      </c>
      <c r="AQ205" s="461">
        <f>AI205+AL205+AO205</f>
        <v>0</v>
      </c>
      <c r="AR205" s="463">
        <f t="shared" si="669"/>
        <v>0</v>
      </c>
      <c r="AS205" s="469">
        <f>I205+AG205</f>
        <v>34451</v>
      </c>
      <c r="AT205" s="460">
        <f>J205+V205</f>
        <v>24616</v>
      </c>
      <c r="AU205" s="460">
        <f t="shared" si="670"/>
        <v>0</v>
      </c>
      <c r="AV205" s="460">
        <f t="shared" si="671"/>
        <v>8320</v>
      </c>
      <c r="AW205" s="460">
        <f t="shared" si="671"/>
        <v>246</v>
      </c>
      <c r="AX205" s="460">
        <f>M205+AF205</f>
        <v>1269</v>
      </c>
      <c r="AY205" s="461">
        <f>N205+AR205</f>
        <v>0.1</v>
      </c>
      <c r="AZ205" s="461">
        <f t="shared" si="672"/>
        <v>0</v>
      </c>
      <c r="BA205" s="463">
        <f t="shared" si="672"/>
        <v>0.1</v>
      </c>
    </row>
    <row r="206" spans="1:53" s="229" customFormat="1" ht="12.75" customHeight="1" x14ac:dyDescent="0.2">
      <c r="A206" s="158">
        <v>36</v>
      </c>
      <c r="B206" s="18">
        <v>4453</v>
      </c>
      <c r="C206" s="18">
        <v>600074790</v>
      </c>
      <c r="D206" s="18">
        <v>71011111</v>
      </c>
      <c r="E206" s="167" t="s">
        <v>219</v>
      </c>
      <c r="F206" s="18"/>
      <c r="G206" s="157"/>
      <c r="H206" s="191"/>
      <c r="I206" s="505">
        <f t="shared" ref="I206:P206" si="673">SUM(I201:I205)</f>
        <v>13878774</v>
      </c>
      <c r="J206" s="502">
        <f t="shared" si="673"/>
        <v>10143340</v>
      </c>
      <c r="K206" s="502">
        <f t="shared" si="673"/>
        <v>3428448</v>
      </c>
      <c r="L206" s="502">
        <f t="shared" si="673"/>
        <v>101434</v>
      </c>
      <c r="M206" s="502">
        <f t="shared" si="673"/>
        <v>205552</v>
      </c>
      <c r="N206" s="503">
        <f t="shared" si="673"/>
        <v>20.0579</v>
      </c>
      <c r="O206" s="503">
        <f t="shared" si="673"/>
        <v>12.927900000000001</v>
      </c>
      <c r="P206" s="507">
        <f t="shared" si="673"/>
        <v>7.129999999999999</v>
      </c>
      <c r="Q206" s="505">
        <f t="shared" ref="Q206:BA206" si="674">SUM(Q201:Q205)</f>
        <v>-19500</v>
      </c>
      <c r="R206" s="502">
        <f t="shared" si="674"/>
        <v>307956</v>
      </c>
      <c r="S206" s="502">
        <f t="shared" si="674"/>
        <v>0</v>
      </c>
      <c r="T206" s="502">
        <f t="shared" si="674"/>
        <v>0</v>
      </c>
      <c r="U206" s="502">
        <f t="shared" si="674"/>
        <v>0</v>
      </c>
      <c r="V206" s="502">
        <f t="shared" si="674"/>
        <v>288456</v>
      </c>
      <c r="W206" s="502">
        <f t="shared" si="674"/>
        <v>19500</v>
      </c>
      <c r="X206" s="502">
        <f t="shared" si="674"/>
        <v>0</v>
      </c>
      <c r="Y206" s="502">
        <f t="shared" si="674"/>
        <v>0</v>
      </c>
      <c r="Z206" s="502">
        <f t="shared" si="674"/>
        <v>19500</v>
      </c>
      <c r="AA206" s="502">
        <f t="shared" si="674"/>
        <v>307956</v>
      </c>
      <c r="AB206" s="502">
        <f t="shared" si="674"/>
        <v>104089</v>
      </c>
      <c r="AC206" s="502">
        <f t="shared" si="674"/>
        <v>2885</v>
      </c>
      <c r="AD206" s="502">
        <f t="shared" si="674"/>
        <v>0</v>
      </c>
      <c r="AE206" s="502">
        <f t="shared" si="674"/>
        <v>0</v>
      </c>
      <c r="AF206" s="502">
        <f t="shared" si="674"/>
        <v>0</v>
      </c>
      <c r="AG206" s="502">
        <f t="shared" si="674"/>
        <v>414930</v>
      </c>
      <c r="AH206" s="503">
        <f t="shared" si="674"/>
        <v>-0.02</v>
      </c>
      <c r="AI206" s="503">
        <f t="shared" si="674"/>
        <v>-0.04</v>
      </c>
      <c r="AJ206" s="503">
        <f t="shared" si="674"/>
        <v>0.89</v>
      </c>
      <c r="AK206" s="503">
        <f t="shared" si="674"/>
        <v>0</v>
      </c>
      <c r="AL206" s="503">
        <f t="shared" si="674"/>
        <v>0</v>
      </c>
      <c r="AM206" s="503">
        <f t="shared" si="674"/>
        <v>0</v>
      </c>
      <c r="AN206" s="503">
        <f t="shared" si="674"/>
        <v>0</v>
      </c>
      <c r="AO206" s="503">
        <f t="shared" si="674"/>
        <v>0</v>
      </c>
      <c r="AP206" s="503">
        <f t="shared" si="674"/>
        <v>0.87</v>
      </c>
      <c r="AQ206" s="503">
        <f t="shared" si="674"/>
        <v>-0.04</v>
      </c>
      <c r="AR206" s="40">
        <f t="shared" si="674"/>
        <v>0.83000000000000007</v>
      </c>
      <c r="AS206" s="509">
        <f t="shared" si="674"/>
        <v>14293704</v>
      </c>
      <c r="AT206" s="502">
        <f t="shared" si="674"/>
        <v>10431796</v>
      </c>
      <c r="AU206" s="502">
        <f t="shared" si="674"/>
        <v>19500</v>
      </c>
      <c r="AV206" s="502">
        <f t="shared" si="674"/>
        <v>3532537</v>
      </c>
      <c r="AW206" s="502">
        <f t="shared" si="674"/>
        <v>104319</v>
      </c>
      <c r="AX206" s="502">
        <f t="shared" si="674"/>
        <v>205552</v>
      </c>
      <c r="AY206" s="503">
        <f t="shared" si="674"/>
        <v>20.887899999999998</v>
      </c>
      <c r="AZ206" s="503">
        <f t="shared" si="674"/>
        <v>13.797900000000002</v>
      </c>
      <c r="BA206" s="40">
        <f t="shared" si="674"/>
        <v>7.09</v>
      </c>
    </row>
    <row r="207" spans="1:53" s="229" customFormat="1" ht="12.75" customHeight="1" x14ac:dyDescent="0.2">
      <c r="A207" s="216">
        <v>37</v>
      </c>
      <c r="B207" s="217">
        <v>4467</v>
      </c>
      <c r="C207" s="217">
        <v>600074935</v>
      </c>
      <c r="D207" s="217">
        <v>48282545</v>
      </c>
      <c r="E207" s="215" t="s">
        <v>220</v>
      </c>
      <c r="F207" s="217">
        <v>3111</v>
      </c>
      <c r="G207" s="168" t="s">
        <v>307</v>
      </c>
      <c r="H207" s="218" t="s">
        <v>277</v>
      </c>
      <c r="I207" s="462">
        <f t="shared" ref="I207:I214" si="675">SUM(J207:M207)</f>
        <v>9526972</v>
      </c>
      <c r="J207" s="457">
        <v>7029801</v>
      </c>
      <c r="K207" s="457">
        <f t="shared" ref="K207:K214" si="676">ROUND(J207*33.8%,0)</f>
        <v>2376073</v>
      </c>
      <c r="L207" s="457">
        <f t="shared" ref="L207:L214" si="677">ROUND(J207*1%,0)</f>
        <v>70298</v>
      </c>
      <c r="M207" s="457">
        <v>50800</v>
      </c>
      <c r="N207" s="458">
        <f t="shared" ref="N207:N214" si="678">O207+P207</f>
        <v>14.4</v>
      </c>
      <c r="O207" s="459">
        <v>12</v>
      </c>
      <c r="P207" s="468">
        <v>2.4</v>
      </c>
      <c r="Q207" s="470">
        <f t="shared" ref="Q207:Q214" si="679">W207*-1</f>
        <v>0</v>
      </c>
      <c r="R207" s="460">
        <v>0</v>
      </c>
      <c r="S207" s="673">
        <v>0</v>
      </c>
      <c r="T207" s="460">
        <v>0</v>
      </c>
      <c r="U207" s="460">
        <v>0</v>
      </c>
      <c r="V207" s="460">
        <f t="shared" ref="V207:V214" si="680">SUM(Q207:U207)</f>
        <v>0</v>
      </c>
      <c r="W207" s="460">
        <v>0</v>
      </c>
      <c r="X207" s="460">
        <v>0</v>
      </c>
      <c r="Y207" s="460">
        <v>0</v>
      </c>
      <c r="Z207" s="460">
        <f t="shared" ref="Z207:Z214" si="681">SUM(W207:Y207)</f>
        <v>0</v>
      </c>
      <c r="AA207" s="460">
        <f t="shared" ref="AA207:AA214" si="682">V207+Z207</f>
        <v>0</v>
      </c>
      <c r="AB207" s="69">
        <f t="shared" ref="AB207:AB214" si="683">ROUND((V207+W207+X207)*33.8%,0)</f>
        <v>0</v>
      </c>
      <c r="AC207" s="69">
        <f t="shared" ref="AC207:AC214" si="684">ROUND(V207*1%,0)</f>
        <v>0</v>
      </c>
      <c r="AD207" s="460">
        <v>0</v>
      </c>
      <c r="AE207" s="460">
        <v>0</v>
      </c>
      <c r="AF207" s="460">
        <f t="shared" ref="AF207:AF214" si="685">SUM(AD207:AE207)</f>
        <v>0</v>
      </c>
      <c r="AG207" s="460">
        <f t="shared" ref="AG207:AG214" si="686">AA207+AB207+AC207+AF207</f>
        <v>0</v>
      </c>
      <c r="AH207" s="461">
        <v>0</v>
      </c>
      <c r="AI207" s="461">
        <v>0</v>
      </c>
      <c r="AJ207" s="461">
        <v>0</v>
      </c>
      <c r="AK207" s="461">
        <v>0</v>
      </c>
      <c r="AL207" s="674">
        <v>0</v>
      </c>
      <c r="AM207" s="461">
        <v>0</v>
      </c>
      <c r="AN207" s="461">
        <v>0</v>
      </c>
      <c r="AO207" s="461">
        <v>0</v>
      </c>
      <c r="AP207" s="461">
        <f t="shared" ref="AP207:AP214" si="687">AH207+AJ207+AK207+AM207+AN207</f>
        <v>0</v>
      </c>
      <c r="AQ207" s="461">
        <f t="shared" ref="AQ207:AQ214" si="688">AI207+AL207+AO207</f>
        <v>0</v>
      </c>
      <c r="AR207" s="463">
        <f t="shared" ref="AR207:AR214" si="689">SUM(AP207:AQ207)</f>
        <v>0</v>
      </c>
      <c r="AS207" s="469">
        <f t="shared" ref="AS207:AS214" si="690">I207+AG207</f>
        <v>9526972</v>
      </c>
      <c r="AT207" s="460">
        <f t="shared" ref="AT207:AT214" si="691">J207+V207</f>
        <v>7029801</v>
      </c>
      <c r="AU207" s="460">
        <f t="shared" ref="AU207:AU214" si="692">Z207</f>
        <v>0</v>
      </c>
      <c r="AV207" s="460">
        <f t="shared" ref="AV207:AW214" si="693">K207+AB207</f>
        <v>2376073</v>
      </c>
      <c r="AW207" s="460">
        <f t="shared" si="693"/>
        <v>70298</v>
      </c>
      <c r="AX207" s="460">
        <f t="shared" ref="AX207:AX214" si="694">M207+AF207</f>
        <v>50800</v>
      </c>
      <c r="AY207" s="461">
        <f t="shared" ref="AY207:AY214" si="695">N207+AR207</f>
        <v>14.4</v>
      </c>
      <c r="AZ207" s="461">
        <f t="shared" ref="AZ207:BA214" si="696">O207+AP207</f>
        <v>12</v>
      </c>
      <c r="BA207" s="463">
        <f t="shared" si="696"/>
        <v>2.4</v>
      </c>
    </row>
    <row r="208" spans="1:53" s="229" customFormat="1" ht="12.75" customHeight="1" x14ac:dyDescent="0.2">
      <c r="A208" s="216">
        <v>37</v>
      </c>
      <c r="B208" s="217">
        <v>4467</v>
      </c>
      <c r="C208" s="217">
        <v>600074935</v>
      </c>
      <c r="D208" s="217">
        <v>48282545</v>
      </c>
      <c r="E208" s="215" t="s">
        <v>220</v>
      </c>
      <c r="F208" s="217">
        <v>3113</v>
      </c>
      <c r="G208" s="168" t="s">
        <v>310</v>
      </c>
      <c r="H208" s="218" t="s">
        <v>277</v>
      </c>
      <c r="I208" s="462">
        <f t="shared" si="675"/>
        <v>31042317</v>
      </c>
      <c r="J208" s="457">
        <v>22677899</v>
      </c>
      <c r="K208" s="457">
        <f t="shared" si="676"/>
        <v>7665130</v>
      </c>
      <c r="L208" s="457">
        <f>ROUND(J208*1%,0)-1</f>
        <v>226778</v>
      </c>
      <c r="M208" s="457">
        <v>472510</v>
      </c>
      <c r="N208" s="458">
        <f t="shared" si="678"/>
        <v>39.490400000000001</v>
      </c>
      <c r="O208" s="459">
        <v>31.090399999999999</v>
      </c>
      <c r="P208" s="468">
        <v>8.4</v>
      </c>
      <c r="Q208" s="470">
        <f t="shared" si="679"/>
        <v>-96850</v>
      </c>
      <c r="R208" s="460">
        <v>0</v>
      </c>
      <c r="S208" s="673">
        <v>0</v>
      </c>
      <c r="T208" s="460">
        <v>0</v>
      </c>
      <c r="U208" s="460">
        <v>0</v>
      </c>
      <c r="V208" s="460">
        <f t="shared" si="680"/>
        <v>-96850</v>
      </c>
      <c r="W208" s="460">
        <v>96850</v>
      </c>
      <c r="X208" s="460">
        <v>0</v>
      </c>
      <c r="Y208" s="460">
        <v>0</v>
      </c>
      <c r="Z208" s="460">
        <f t="shared" si="681"/>
        <v>96850</v>
      </c>
      <c r="AA208" s="460">
        <f t="shared" si="682"/>
        <v>0</v>
      </c>
      <c r="AB208" s="69">
        <f t="shared" si="683"/>
        <v>0</v>
      </c>
      <c r="AC208" s="69">
        <f t="shared" si="684"/>
        <v>-969</v>
      </c>
      <c r="AD208" s="460">
        <v>0</v>
      </c>
      <c r="AE208" s="460">
        <v>0</v>
      </c>
      <c r="AF208" s="460">
        <f t="shared" si="685"/>
        <v>0</v>
      </c>
      <c r="AG208" s="460">
        <f t="shared" si="686"/>
        <v>-969</v>
      </c>
      <c r="AH208" s="461">
        <v>-7.0000000000000007E-2</v>
      </c>
      <c r="AI208" s="461">
        <v>-0.22</v>
      </c>
      <c r="AJ208" s="461">
        <v>0</v>
      </c>
      <c r="AK208" s="461">
        <v>0</v>
      </c>
      <c r="AL208" s="674">
        <v>0</v>
      </c>
      <c r="AM208" s="461">
        <v>0</v>
      </c>
      <c r="AN208" s="461">
        <v>0</v>
      </c>
      <c r="AO208" s="461">
        <v>0</v>
      </c>
      <c r="AP208" s="461">
        <f t="shared" si="687"/>
        <v>-7.0000000000000007E-2</v>
      </c>
      <c r="AQ208" s="461">
        <f t="shared" si="688"/>
        <v>-0.22</v>
      </c>
      <c r="AR208" s="463">
        <f t="shared" si="689"/>
        <v>-0.29000000000000004</v>
      </c>
      <c r="AS208" s="469">
        <f t="shared" si="690"/>
        <v>31041348</v>
      </c>
      <c r="AT208" s="460">
        <f t="shared" si="691"/>
        <v>22581049</v>
      </c>
      <c r="AU208" s="460">
        <f t="shared" si="692"/>
        <v>96850</v>
      </c>
      <c r="AV208" s="460">
        <f t="shared" si="693"/>
        <v>7665130</v>
      </c>
      <c r="AW208" s="460">
        <f t="shared" si="693"/>
        <v>225809</v>
      </c>
      <c r="AX208" s="460">
        <f t="shared" si="694"/>
        <v>472510</v>
      </c>
      <c r="AY208" s="461">
        <f t="shared" si="695"/>
        <v>39.200400000000002</v>
      </c>
      <c r="AZ208" s="461">
        <f t="shared" si="696"/>
        <v>31.020399999999999</v>
      </c>
      <c r="BA208" s="463">
        <f t="shared" si="696"/>
        <v>8.18</v>
      </c>
    </row>
    <row r="209" spans="1:53" s="229" customFormat="1" ht="12.75" customHeight="1" x14ac:dyDescent="0.2">
      <c r="A209" s="216">
        <v>37</v>
      </c>
      <c r="B209" s="217">
        <v>4467</v>
      </c>
      <c r="C209" s="217">
        <v>600074935</v>
      </c>
      <c r="D209" s="217">
        <v>48282545</v>
      </c>
      <c r="E209" s="215" t="s">
        <v>220</v>
      </c>
      <c r="F209" s="217">
        <v>3113</v>
      </c>
      <c r="G209" s="168" t="s">
        <v>309</v>
      </c>
      <c r="H209" s="218" t="s">
        <v>277</v>
      </c>
      <c r="I209" s="462">
        <f t="shared" si="675"/>
        <v>2022387</v>
      </c>
      <c r="J209" s="457">
        <v>1500287</v>
      </c>
      <c r="K209" s="457">
        <f t="shared" si="676"/>
        <v>507097</v>
      </c>
      <c r="L209" s="457">
        <f t="shared" si="677"/>
        <v>15003</v>
      </c>
      <c r="M209" s="457">
        <v>0</v>
      </c>
      <c r="N209" s="458">
        <f t="shared" si="678"/>
        <v>3.9167000000000001</v>
      </c>
      <c r="O209" s="459">
        <v>3.9167000000000001</v>
      </c>
      <c r="P209" s="468">
        <v>0</v>
      </c>
      <c r="Q209" s="470">
        <f t="shared" si="679"/>
        <v>0</v>
      </c>
      <c r="R209" s="460">
        <v>0</v>
      </c>
      <c r="S209" s="673">
        <v>0</v>
      </c>
      <c r="T209" s="460">
        <v>0</v>
      </c>
      <c r="U209" s="460">
        <v>0</v>
      </c>
      <c r="V209" s="460">
        <f t="shared" si="680"/>
        <v>0</v>
      </c>
      <c r="W209" s="460">
        <v>0</v>
      </c>
      <c r="X209" s="460">
        <v>0</v>
      </c>
      <c r="Y209" s="460">
        <v>0</v>
      </c>
      <c r="Z209" s="460">
        <f t="shared" si="681"/>
        <v>0</v>
      </c>
      <c r="AA209" s="460">
        <f t="shared" si="682"/>
        <v>0</v>
      </c>
      <c r="AB209" s="69">
        <f t="shared" si="683"/>
        <v>0</v>
      </c>
      <c r="AC209" s="69">
        <f t="shared" si="684"/>
        <v>0</v>
      </c>
      <c r="AD209" s="460">
        <v>0</v>
      </c>
      <c r="AE209" s="460">
        <v>0</v>
      </c>
      <c r="AF209" s="460">
        <f t="shared" si="685"/>
        <v>0</v>
      </c>
      <c r="AG209" s="460">
        <f t="shared" si="686"/>
        <v>0</v>
      </c>
      <c r="AH209" s="461">
        <v>0</v>
      </c>
      <c r="AI209" s="461">
        <v>0</v>
      </c>
      <c r="AJ209" s="461">
        <v>0</v>
      </c>
      <c r="AK209" s="461">
        <v>0</v>
      </c>
      <c r="AL209" s="674">
        <v>0</v>
      </c>
      <c r="AM209" s="461">
        <v>0</v>
      </c>
      <c r="AN209" s="461">
        <v>0</v>
      </c>
      <c r="AO209" s="461">
        <v>0</v>
      </c>
      <c r="AP209" s="461">
        <f t="shared" si="687"/>
        <v>0</v>
      </c>
      <c r="AQ209" s="461">
        <f t="shared" si="688"/>
        <v>0</v>
      </c>
      <c r="AR209" s="463">
        <f t="shared" si="689"/>
        <v>0</v>
      </c>
      <c r="AS209" s="469">
        <f t="shared" si="690"/>
        <v>2022387</v>
      </c>
      <c r="AT209" s="460">
        <f t="shared" si="691"/>
        <v>1500287</v>
      </c>
      <c r="AU209" s="460">
        <f t="shared" si="692"/>
        <v>0</v>
      </c>
      <c r="AV209" s="460">
        <f t="shared" si="693"/>
        <v>507097</v>
      </c>
      <c r="AW209" s="460">
        <f t="shared" si="693"/>
        <v>15003</v>
      </c>
      <c r="AX209" s="460">
        <f t="shared" si="694"/>
        <v>0</v>
      </c>
      <c r="AY209" s="461">
        <f t="shared" si="695"/>
        <v>3.9167000000000001</v>
      </c>
      <c r="AZ209" s="461">
        <f t="shared" si="696"/>
        <v>3.9167000000000001</v>
      </c>
      <c r="BA209" s="463">
        <f t="shared" si="696"/>
        <v>0</v>
      </c>
    </row>
    <row r="210" spans="1:53" s="229" customFormat="1" ht="12.75" customHeight="1" x14ac:dyDescent="0.2">
      <c r="A210" s="216">
        <v>37</v>
      </c>
      <c r="B210" s="217">
        <v>4467</v>
      </c>
      <c r="C210" s="217">
        <v>600074935</v>
      </c>
      <c r="D210" s="217">
        <v>48282545</v>
      </c>
      <c r="E210" s="215" t="s">
        <v>220</v>
      </c>
      <c r="F210" s="217">
        <v>3113</v>
      </c>
      <c r="G210" s="168" t="s">
        <v>308</v>
      </c>
      <c r="H210" s="218" t="s">
        <v>278</v>
      </c>
      <c r="I210" s="462">
        <f t="shared" si="675"/>
        <v>0</v>
      </c>
      <c r="J210" s="457">
        <v>0</v>
      </c>
      <c r="K210" s="457">
        <f t="shared" si="676"/>
        <v>0</v>
      </c>
      <c r="L210" s="457">
        <f t="shared" si="677"/>
        <v>0</v>
      </c>
      <c r="M210" s="457">
        <v>0</v>
      </c>
      <c r="N210" s="458">
        <f t="shared" si="678"/>
        <v>0</v>
      </c>
      <c r="O210" s="459">
        <v>0</v>
      </c>
      <c r="P210" s="468">
        <v>0</v>
      </c>
      <c r="Q210" s="470">
        <f t="shared" si="679"/>
        <v>0</v>
      </c>
      <c r="R210" s="460">
        <f>2646471+307986</f>
        <v>2954457</v>
      </c>
      <c r="S210" s="673">
        <v>0</v>
      </c>
      <c r="T210" s="460">
        <v>0</v>
      </c>
      <c r="U210" s="460">
        <v>0</v>
      </c>
      <c r="V210" s="460">
        <f t="shared" si="680"/>
        <v>2954457</v>
      </c>
      <c r="W210" s="460">
        <v>0</v>
      </c>
      <c r="X210" s="460">
        <v>0</v>
      </c>
      <c r="Y210" s="460">
        <v>0</v>
      </c>
      <c r="Z210" s="460">
        <f t="shared" si="681"/>
        <v>0</v>
      </c>
      <c r="AA210" s="460">
        <f t="shared" si="682"/>
        <v>2954457</v>
      </c>
      <c r="AB210" s="69">
        <f t="shared" si="683"/>
        <v>998606</v>
      </c>
      <c r="AC210" s="69">
        <f t="shared" si="684"/>
        <v>29545</v>
      </c>
      <c r="AD210" s="460">
        <v>0</v>
      </c>
      <c r="AE210" s="460">
        <v>0</v>
      </c>
      <c r="AF210" s="460">
        <f t="shared" si="685"/>
        <v>0</v>
      </c>
      <c r="AG210" s="460">
        <f t="shared" si="686"/>
        <v>3982608</v>
      </c>
      <c r="AH210" s="461">
        <v>0</v>
      </c>
      <c r="AI210" s="461">
        <v>0</v>
      </c>
      <c r="AJ210" s="461">
        <f>7.64+0.87</f>
        <v>8.51</v>
      </c>
      <c r="AK210" s="461">
        <v>0</v>
      </c>
      <c r="AL210" s="674">
        <v>0</v>
      </c>
      <c r="AM210" s="461">
        <v>0</v>
      </c>
      <c r="AN210" s="461">
        <v>0</v>
      </c>
      <c r="AO210" s="461">
        <v>0</v>
      </c>
      <c r="AP210" s="461">
        <f t="shared" si="687"/>
        <v>8.51</v>
      </c>
      <c r="AQ210" s="461">
        <f t="shared" si="688"/>
        <v>0</v>
      </c>
      <c r="AR210" s="463">
        <f t="shared" si="689"/>
        <v>8.51</v>
      </c>
      <c r="AS210" s="469">
        <f t="shared" si="690"/>
        <v>3982608</v>
      </c>
      <c r="AT210" s="460">
        <f t="shared" si="691"/>
        <v>2954457</v>
      </c>
      <c r="AU210" s="460">
        <f t="shared" si="692"/>
        <v>0</v>
      </c>
      <c r="AV210" s="460">
        <f t="shared" si="693"/>
        <v>998606</v>
      </c>
      <c r="AW210" s="460">
        <f t="shared" si="693"/>
        <v>29545</v>
      </c>
      <c r="AX210" s="460">
        <f t="shared" si="694"/>
        <v>0</v>
      </c>
      <c r="AY210" s="461">
        <f t="shared" si="695"/>
        <v>8.51</v>
      </c>
      <c r="AZ210" s="461">
        <f t="shared" si="696"/>
        <v>8.51</v>
      </c>
      <c r="BA210" s="463">
        <f t="shared" si="696"/>
        <v>0</v>
      </c>
    </row>
    <row r="211" spans="1:53" s="229" customFormat="1" ht="12.75" customHeight="1" x14ac:dyDescent="0.2">
      <c r="A211" s="216">
        <v>37</v>
      </c>
      <c r="B211" s="217">
        <v>4467</v>
      </c>
      <c r="C211" s="217">
        <v>600074935</v>
      </c>
      <c r="D211" s="217">
        <v>48282545</v>
      </c>
      <c r="E211" s="215" t="s">
        <v>220</v>
      </c>
      <c r="F211" s="217">
        <v>3141</v>
      </c>
      <c r="G211" s="168" t="s">
        <v>311</v>
      </c>
      <c r="H211" s="218" t="s">
        <v>278</v>
      </c>
      <c r="I211" s="462">
        <f t="shared" si="675"/>
        <v>2866054</v>
      </c>
      <c r="J211" s="457">
        <v>2111518</v>
      </c>
      <c r="K211" s="457">
        <f t="shared" si="676"/>
        <v>713693</v>
      </c>
      <c r="L211" s="457">
        <f t="shared" si="677"/>
        <v>21115</v>
      </c>
      <c r="M211" s="457">
        <v>19728</v>
      </c>
      <c r="N211" s="458">
        <f t="shared" si="678"/>
        <v>6.78</v>
      </c>
      <c r="O211" s="459">
        <v>0</v>
      </c>
      <c r="P211" s="468">
        <v>6.78</v>
      </c>
      <c r="Q211" s="470">
        <f t="shared" si="679"/>
        <v>0</v>
      </c>
      <c r="R211" s="460">
        <v>0</v>
      </c>
      <c r="S211" s="673">
        <v>0</v>
      </c>
      <c r="T211" s="460">
        <v>0</v>
      </c>
      <c r="U211" s="460">
        <v>0</v>
      </c>
      <c r="V211" s="460">
        <f t="shared" si="680"/>
        <v>0</v>
      </c>
      <c r="W211" s="460">
        <v>0</v>
      </c>
      <c r="X211" s="460">
        <v>0</v>
      </c>
      <c r="Y211" s="460">
        <v>0</v>
      </c>
      <c r="Z211" s="460">
        <f t="shared" si="681"/>
        <v>0</v>
      </c>
      <c r="AA211" s="460">
        <f t="shared" si="682"/>
        <v>0</v>
      </c>
      <c r="AB211" s="69">
        <f t="shared" si="683"/>
        <v>0</v>
      </c>
      <c r="AC211" s="69">
        <f t="shared" si="684"/>
        <v>0</v>
      </c>
      <c r="AD211" s="460">
        <v>0</v>
      </c>
      <c r="AE211" s="460">
        <v>0</v>
      </c>
      <c r="AF211" s="460">
        <f t="shared" si="685"/>
        <v>0</v>
      </c>
      <c r="AG211" s="460">
        <f t="shared" si="686"/>
        <v>0</v>
      </c>
      <c r="AH211" s="461">
        <v>0</v>
      </c>
      <c r="AI211" s="461">
        <v>0</v>
      </c>
      <c r="AJ211" s="461">
        <v>0</v>
      </c>
      <c r="AK211" s="461">
        <v>0</v>
      </c>
      <c r="AL211" s="674">
        <v>0</v>
      </c>
      <c r="AM211" s="461">
        <v>0</v>
      </c>
      <c r="AN211" s="461">
        <v>0</v>
      </c>
      <c r="AO211" s="461">
        <v>0</v>
      </c>
      <c r="AP211" s="461">
        <f t="shared" si="687"/>
        <v>0</v>
      </c>
      <c r="AQ211" s="461">
        <f t="shared" si="688"/>
        <v>0</v>
      </c>
      <c r="AR211" s="463">
        <f t="shared" si="689"/>
        <v>0</v>
      </c>
      <c r="AS211" s="469">
        <f t="shared" si="690"/>
        <v>2866054</v>
      </c>
      <c r="AT211" s="460">
        <f t="shared" si="691"/>
        <v>2111518</v>
      </c>
      <c r="AU211" s="460">
        <f t="shared" si="692"/>
        <v>0</v>
      </c>
      <c r="AV211" s="460">
        <f t="shared" si="693"/>
        <v>713693</v>
      </c>
      <c r="AW211" s="460">
        <f t="shared" si="693"/>
        <v>21115</v>
      </c>
      <c r="AX211" s="460">
        <f t="shared" si="694"/>
        <v>19728</v>
      </c>
      <c r="AY211" s="461">
        <f t="shared" si="695"/>
        <v>6.78</v>
      </c>
      <c r="AZ211" s="461">
        <f t="shared" si="696"/>
        <v>0</v>
      </c>
      <c r="BA211" s="463">
        <f t="shared" si="696"/>
        <v>6.78</v>
      </c>
    </row>
    <row r="212" spans="1:53" s="229" customFormat="1" ht="12.75" customHeight="1" x14ac:dyDescent="0.2">
      <c r="A212" s="216">
        <v>37</v>
      </c>
      <c r="B212" s="217">
        <v>4467</v>
      </c>
      <c r="C212" s="217">
        <v>600074935</v>
      </c>
      <c r="D212" s="217">
        <v>48282545</v>
      </c>
      <c r="E212" s="210" t="s">
        <v>220</v>
      </c>
      <c r="F212" s="217">
        <v>3143</v>
      </c>
      <c r="G212" s="168" t="s">
        <v>616</v>
      </c>
      <c r="H212" s="234" t="s">
        <v>277</v>
      </c>
      <c r="I212" s="462">
        <f t="shared" si="675"/>
        <v>2195841</v>
      </c>
      <c r="J212" s="457">
        <v>1628962</v>
      </c>
      <c r="K212" s="457">
        <f t="shared" si="676"/>
        <v>550589</v>
      </c>
      <c r="L212" s="457">
        <f t="shared" si="677"/>
        <v>16290</v>
      </c>
      <c r="M212" s="457">
        <v>0</v>
      </c>
      <c r="N212" s="458">
        <f t="shared" si="678"/>
        <v>3.3130999999999999</v>
      </c>
      <c r="O212" s="459">
        <v>3.3130999999999999</v>
      </c>
      <c r="P212" s="468">
        <v>0</v>
      </c>
      <c r="Q212" s="470">
        <f t="shared" si="679"/>
        <v>0</v>
      </c>
      <c r="R212" s="460">
        <v>0</v>
      </c>
      <c r="S212" s="673">
        <v>0</v>
      </c>
      <c r="T212" s="460">
        <v>0</v>
      </c>
      <c r="U212" s="460">
        <v>0</v>
      </c>
      <c r="V212" s="460">
        <f t="shared" si="680"/>
        <v>0</v>
      </c>
      <c r="W212" s="460">
        <v>0</v>
      </c>
      <c r="X212" s="460">
        <v>0</v>
      </c>
      <c r="Y212" s="460">
        <v>0</v>
      </c>
      <c r="Z212" s="460">
        <f t="shared" si="681"/>
        <v>0</v>
      </c>
      <c r="AA212" s="460">
        <f t="shared" si="682"/>
        <v>0</v>
      </c>
      <c r="AB212" s="69">
        <f t="shared" si="683"/>
        <v>0</v>
      </c>
      <c r="AC212" s="69">
        <f t="shared" si="684"/>
        <v>0</v>
      </c>
      <c r="AD212" s="460">
        <v>0</v>
      </c>
      <c r="AE212" s="460">
        <v>0</v>
      </c>
      <c r="AF212" s="460">
        <f t="shared" si="685"/>
        <v>0</v>
      </c>
      <c r="AG212" s="460">
        <f t="shared" si="686"/>
        <v>0</v>
      </c>
      <c r="AH212" s="461">
        <v>0</v>
      </c>
      <c r="AI212" s="461">
        <v>0</v>
      </c>
      <c r="AJ212" s="461">
        <v>0</v>
      </c>
      <c r="AK212" s="461">
        <v>0</v>
      </c>
      <c r="AL212" s="674">
        <v>0</v>
      </c>
      <c r="AM212" s="461">
        <v>0</v>
      </c>
      <c r="AN212" s="461">
        <v>0</v>
      </c>
      <c r="AO212" s="461">
        <v>0</v>
      </c>
      <c r="AP212" s="461">
        <f t="shared" si="687"/>
        <v>0</v>
      </c>
      <c r="AQ212" s="461">
        <f t="shared" si="688"/>
        <v>0</v>
      </c>
      <c r="AR212" s="463">
        <f t="shared" si="689"/>
        <v>0</v>
      </c>
      <c r="AS212" s="469">
        <f t="shared" si="690"/>
        <v>2195841</v>
      </c>
      <c r="AT212" s="460">
        <f t="shared" si="691"/>
        <v>1628962</v>
      </c>
      <c r="AU212" s="460">
        <f t="shared" si="692"/>
        <v>0</v>
      </c>
      <c r="AV212" s="460">
        <f t="shared" si="693"/>
        <v>550589</v>
      </c>
      <c r="AW212" s="460">
        <f t="shared" si="693"/>
        <v>16290</v>
      </c>
      <c r="AX212" s="460">
        <f t="shared" si="694"/>
        <v>0</v>
      </c>
      <c r="AY212" s="461">
        <f t="shared" si="695"/>
        <v>3.3130999999999999</v>
      </c>
      <c r="AZ212" s="461">
        <f t="shared" si="696"/>
        <v>3.3130999999999999</v>
      </c>
      <c r="BA212" s="463">
        <f t="shared" si="696"/>
        <v>0</v>
      </c>
    </row>
    <row r="213" spans="1:53" s="229" customFormat="1" ht="12.75" customHeight="1" x14ac:dyDescent="0.2">
      <c r="A213" s="216">
        <v>37</v>
      </c>
      <c r="B213" s="217">
        <v>4467</v>
      </c>
      <c r="C213" s="217">
        <v>600074935</v>
      </c>
      <c r="D213" s="217">
        <v>48282545</v>
      </c>
      <c r="E213" s="210" t="s">
        <v>220</v>
      </c>
      <c r="F213" s="217">
        <v>3143</v>
      </c>
      <c r="G213" s="168" t="s">
        <v>617</v>
      </c>
      <c r="H213" s="234" t="s">
        <v>278</v>
      </c>
      <c r="I213" s="462">
        <f t="shared" si="675"/>
        <v>68902</v>
      </c>
      <c r="J213" s="457">
        <v>49232</v>
      </c>
      <c r="K213" s="457">
        <f t="shared" si="676"/>
        <v>16640</v>
      </c>
      <c r="L213" s="457">
        <f t="shared" si="677"/>
        <v>492</v>
      </c>
      <c r="M213" s="457">
        <v>2538</v>
      </c>
      <c r="N213" s="458">
        <f t="shared" si="678"/>
        <v>0.2</v>
      </c>
      <c r="O213" s="459">
        <v>0</v>
      </c>
      <c r="P213" s="468">
        <v>0.2</v>
      </c>
      <c r="Q213" s="470">
        <f t="shared" si="679"/>
        <v>0</v>
      </c>
      <c r="R213" s="460">
        <v>0</v>
      </c>
      <c r="S213" s="673">
        <v>0</v>
      </c>
      <c r="T213" s="460">
        <v>0</v>
      </c>
      <c r="U213" s="460">
        <v>0</v>
      </c>
      <c r="V213" s="460">
        <f t="shared" si="680"/>
        <v>0</v>
      </c>
      <c r="W213" s="460">
        <v>0</v>
      </c>
      <c r="X213" s="460">
        <v>0</v>
      </c>
      <c r="Y213" s="460">
        <v>0</v>
      </c>
      <c r="Z213" s="460">
        <f t="shared" si="681"/>
        <v>0</v>
      </c>
      <c r="AA213" s="460">
        <f t="shared" si="682"/>
        <v>0</v>
      </c>
      <c r="AB213" s="69">
        <f t="shared" si="683"/>
        <v>0</v>
      </c>
      <c r="AC213" s="69">
        <f t="shared" si="684"/>
        <v>0</v>
      </c>
      <c r="AD213" s="460">
        <v>0</v>
      </c>
      <c r="AE213" s="460">
        <v>0</v>
      </c>
      <c r="AF213" s="460">
        <f t="shared" si="685"/>
        <v>0</v>
      </c>
      <c r="AG213" s="460">
        <f t="shared" si="686"/>
        <v>0</v>
      </c>
      <c r="AH213" s="461">
        <v>0</v>
      </c>
      <c r="AI213" s="461">
        <v>0</v>
      </c>
      <c r="AJ213" s="461">
        <v>0</v>
      </c>
      <c r="AK213" s="461">
        <v>0</v>
      </c>
      <c r="AL213" s="674">
        <v>0</v>
      </c>
      <c r="AM213" s="461">
        <v>0</v>
      </c>
      <c r="AN213" s="461">
        <v>0</v>
      </c>
      <c r="AO213" s="461">
        <v>0</v>
      </c>
      <c r="AP213" s="461">
        <f t="shared" si="687"/>
        <v>0</v>
      </c>
      <c r="AQ213" s="461">
        <f t="shared" si="688"/>
        <v>0</v>
      </c>
      <c r="AR213" s="463">
        <f t="shared" si="689"/>
        <v>0</v>
      </c>
      <c r="AS213" s="469">
        <f t="shared" si="690"/>
        <v>68902</v>
      </c>
      <c r="AT213" s="460">
        <f t="shared" si="691"/>
        <v>49232</v>
      </c>
      <c r="AU213" s="460">
        <f t="shared" si="692"/>
        <v>0</v>
      </c>
      <c r="AV213" s="460">
        <f t="shared" si="693"/>
        <v>16640</v>
      </c>
      <c r="AW213" s="460">
        <f t="shared" si="693"/>
        <v>492</v>
      </c>
      <c r="AX213" s="460">
        <f t="shared" si="694"/>
        <v>2538</v>
      </c>
      <c r="AY213" s="461">
        <f t="shared" si="695"/>
        <v>0.2</v>
      </c>
      <c r="AZ213" s="461">
        <f t="shared" si="696"/>
        <v>0</v>
      </c>
      <c r="BA213" s="463">
        <f t="shared" si="696"/>
        <v>0.2</v>
      </c>
    </row>
    <row r="214" spans="1:53" s="229" customFormat="1" ht="12.75" customHeight="1" x14ac:dyDescent="0.2">
      <c r="A214" s="216">
        <v>37</v>
      </c>
      <c r="B214" s="217">
        <v>4467</v>
      </c>
      <c r="C214" s="217">
        <v>600074935</v>
      </c>
      <c r="D214" s="217">
        <v>48282545</v>
      </c>
      <c r="E214" s="215" t="s">
        <v>220</v>
      </c>
      <c r="F214" s="217">
        <v>3233</v>
      </c>
      <c r="G214" s="168" t="s">
        <v>314</v>
      </c>
      <c r="H214" s="218" t="s">
        <v>278</v>
      </c>
      <c r="I214" s="462">
        <f t="shared" si="675"/>
        <v>1841606</v>
      </c>
      <c r="J214" s="457">
        <v>1364920</v>
      </c>
      <c r="K214" s="457">
        <f t="shared" si="676"/>
        <v>461343</v>
      </c>
      <c r="L214" s="457">
        <f t="shared" si="677"/>
        <v>13649</v>
      </c>
      <c r="M214" s="457">
        <v>1694</v>
      </c>
      <c r="N214" s="458">
        <f t="shared" si="678"/>
        <v>2.96</v>
      </c>
      <c r="O214" s="459">
        <v>2.11</v>
      </c>
      <c r="P214" s="468">
        <v>0.85</v>
      </c>
      <c r="Q214" s="470">
        <f t="shared" si="679"/>
        <v>-65650</v>
      </c>
      <c r="R214" s="460">
        <v>0</v>
      </c>
      <c r="S214" s="673">
        <v>0</v>
      </c>
      <c r="T214" s="460">
        <v>0</v>
      </c>
      <c r="U214" s="460">
        <v>0</v>
      </c>
      <c r="V214" s="460">
        <f t="shared" si="680"/>
        <v>-65650</v>
      </c>
      <c r="W214" s="460">
        <v>65650</v>
      </c>
      <c r="X214" s="460">
        <v>0</v>
      </c>
      <c r="Y214" s="460">
        <v>0</v>
      </c>
      <c r="Z214" s="460">
        <f t="shared" si="681"/>
        <v>65650</v>
      </c>
      <c r="AA214" s="460">
        <f t="shared" si="682"/>
        <v>0</v>
      </c>
      <c r="AB214" s="69">
        <f t="shared" si="683"/>
        <v>0</v>
      </c>
      <c r="AC214" s="69">
        <f t="shared" si="684"/>
        <v>-657</v>
      </c>
      <c r="AD214" s="460">
        <v>0</v>
      </c>
      <c r="AE214" s="460">
        <v>0</v>
      </c>
      <c r="AF214" s="460">
        <f t="shared" si="685"/>
        <v>0</v>
      </c>
      <c r="AG214" s="460">
        <f t="shared" si="686"/>
        <v>-657</v>
      </c>
      <c r="AH214" s="461">
        <v>-0.13</v>
      </c>
      <c r="AI214" s="461">
        <v>-0.03</v>
      </c>
      <c r="AJ214" s="461">
        <v>0</v>
      </c>
      <c r="AK214" s="461">
        <v>0</v>
      </c>
      <c r="AL214" s="674">
        <v>0</v>
      </c>
      <c r="AM214" s="461">
        <v>0</v>
      </c>
      <c r="AN214" s="461">
        <v>0</v>
      </c>
      <c r="AO214" s="461">
        <v>0</v>
      </c>
      <c r="AP214" s="461">
        <f t="shared" si="687"/>
        <v>-0.13</v>
      </c>
      <c r="AQ214" s="461">
        <f t="shared" si="688"/>
        <v>-0.03</v>
      </c>
      <c r="AR214" s="463">
        <f t="shared" si="689"/>
        <v>-0.16</v>
      </c>
      <c r="AS214" s="469">
        <f t="shared" si="690"/>
        <v>1840949</v>
      </c>
      <c r="AT214" s="460">
        <f t="shared" si="691"/>
        <v>1299270</v>
      </c>
      <c r="AU214" s="460">
        <f t="shared" si="692"/>
        <v>65650</v>
      </c>
      <c r="AV214" s="460">
        <f t="shared" si="693"/>
        <v>461343</v>
      </c>
      <c r="AW214" s="460">
        <f t="shared" si="693"/>
        <v>12992</v>
      </c>
      <c r="AX214" s="460">
        <f t="shared" si="694"/>
        <v>1694</v>
      </c>
      <c r="AY214" s="461">
        <f t="shared" si="695"/>
        <v>2.8</v>
      </c>
      <c r="AZ214" s="461">
        <f t="shared" si="696"/>
        <v>1.98</v>
      </c>
      <c r="BA214" s="463">
        <f t="shared" si="696"/>
        <v>0.82</v>
      </c>
    </row>
    <row r="215" spans="1:53" s="229" customFormat="1" ht="12.75" customHeight="1" x14ac:dyDescent="0.2">
      <c r="A215" s="158">
        <v>37</v>
      </c>
      <c r="B215" s="18">
        <v>4467</v>
      </c>
      <c r="C215" s="18">
        <v>600074935</v>
      </c>
      <c r="D215" s="18">
        <v>48282545</v>
      </c>
      <c r="E215" s="167" t="s">
        <v>221</v>
      </c>
      <c r="F215" s="18"/>
      <c r="G215" s="157"/>
      <c r="H215" s="191"/>
      <c r="I215" s="505">
        <f t="shared" ref="I215:P215" si="697">SUM(I207:I214)</f>
        <v>49564079</v>
      </c>
      <c r="J215" s="502">
        <f t="shared" si="697"/>
        <v>36362619</v>
      </c>
      <c r="K215" s="502">
        <f t="shared" si="697"/>
        <v>12290565</v>
      </c>
      <c r="L215" s="502">
        <f t="shared" si="697"/>
        <v>363625</v>
      </c>
      <c r="M215" s="502">
        <f t="shared" si="697"/>
        <v>547270</v>
      </c>
      <c r="N215" s="503">
        <f t="shared" si="697"/>
        <v>71.060199999999995</v>
      </c>
      <c r="O215" s="503">
        <f t="shared" si="697"/>
        <v>52.430199999999999</v>
      </c>
      <c r="P215" s="507">
        <f t="shared" si="697"/>
        <v>18.630000000000003</v>
      </c>
      <c r="Q215" s="505">
        <f t="shared" ref="Q215:BA215" si="698">SUM(Q207:Q214)</f>
        <v>-162500</v>
      </c>
      <c r="R215" s="502">
        <f t="shared" si="698"/>
        <v>2954457</v>
      </c>
      <c r="S215" s="502">
        <f t="shared" si="698"/>
        <v>0</v>
      </c>
      <c r="T215" s="502">
        <f t="shared" si="698"/>
        <v>0</v>
      </c>
      <c r="U215" s="502">
        <f t="shared" si="698"/>
        <v>0</v>
      </c>
      <c r="V215" s="502">
        <f t="shared" si="698"/>
        <v>2791957</v>
      </c>
      <c r="W215" s="502">
        <f t="shared" si="698"/>
        <v>162500</v>
      </c>
      <c r="X215" s="502">
        <f t="shared" si="698"/>
        <v>0</v>
      </c>
      <c r="Y215" s="502">
        <f t="shared" si="698"/>
        <v>0</v>
      </c>
      <c r="Z215" s="502">
        <f t="shared" si="698"/>
        <v>162500</v>
      </c>
      <c r="AA215" s="502">
        <f t="shared" si="698"/>
        <v>2954457</v>
      </c>
      <c r="AB215" s="502">
        <f t="shared" si="698"/>
        <v>998606</v>
      </c>
      <c r="AC215" s="502">
        <f t="shared" si="698"/>
        <v>27919</v>
      </c>
      <c r="AD215" s="502">
        <f t="shared" si="698"/>
        <v>0</v>
      </c>
      <c r="AE215" s="502">
        <f t="shared" si="698"/>
        <v>0</v>
      </c>
      <c r="AF215" s="502">
        <f t="shared" si="698"/>
        <v>0</v>
      </c>
      <c r="AG215" s="502">
        <f t="shared" si="698"/>
        <v>3980982</v>
      </c>
      <c r="AH215" s="503">
        <f t="shared" si="698"/>
        <v>-0.2</v>
      </c>
      <c r="AI215" s="503">
        <f t="shared" si="698"/>
        <v>-0.25</v>
      </c>
      <c r="AJ215" s="503">
        <f t="shared" si="698"/>
        <v>8.51</v>
      </c>
      <c r="AK215" s="503">
        <f t="shared" si="698"/>
        <v>0</v>
      </c>
      <c r="AL215" s="503">
        <f t="shared" si="698"/>
        <v>0</v>
      </c>
      <c r="AM215" s="503">
        <f t="shared" si="698"/>
        <v>0</v>
      </c>
      <c r="AN215" s="503">
        <f t="shared" si="698"/>
        <v>0</v>
      </c>
      <c r="AO215" s="503">
        <f t="shared" si="698"/>
        <v>0</v>
      </c>
      <c r="AP215" s="503">
        <f t="shared" si="698"/>
        <v>8.3099999999999987</v>
      </c>
      <c r="AQ215" s="503">
        <f t="shared" si="698"/>
        <v>-0.25</v>
      </c>
      <c r="AR215" s="40">
        <f t="shared" si="698"/>
        <v>8.0599999999999987</v>
      </c>
      <c r="AS215" s="509">
        <f t="shared" si="698"/>
        <v>53545061</v>
      </c>
      <c r="AT215" s="502">
        <f t="shared" si="698"/>
        <v>39154576</v>
      </c>
      <c r="AU215" s="502">
        <f t="shared" si="698"/>
        <v>162500</v>
      </c>
      <c r="AV215" s="502">
        <f t="shared" si="698"/>
        <v>13289171</v>
      </c>
      <c r="AW215" s="502">
        <f t="shared" si="698"/>
        <v>391544</v>
      </c>
      <c r="AX215" s="502">
        <f t="shared" si="698"/>
        <v>547270</v>
      </c>
      <c r="AY215" s="503">
        <f t="shared" si="698"/>
        <v>79.120200000000011</v>
      </c>
      <c r="AZ215" s="503">
        <f t="shared" si="698"/>
        <v>60.740199999999987</v>
      </c>
      <c r="BA215" s="40">
        <f t="shared" si="698"/>
        <v>18.38</v>
      </c>
    </row>
    <row r="216" spans="1:53" s="229" customFormat="1" ht="12.75" customHeight="1" x14ac:dyDescent="0.2">
      <c r="A216" s="216">
        <v>38</v>
      </c>
      <c r="B216" s="217">
        <v>4460</v>
      </c>
      <c r="C216" s="217">
        <v>600074579</v>
      </c>
      <c r="D216" s="217">
        <v>48283011</v>
      </c>
      <c r="E216" s="215" t="s">
        <v>222</v>
      </c>
      <c r="F216" s="217">
        <v>3111</v>
      </c>
      <c r="G216" s="168" t="s">
        <v>307</v>
      </c>
      <c r="H216" s="218" t="s">
        <v>277</v>
      </c>
      <c r="I216" s="462">
        <f t="shared" ref="I216:I221" si="699">SUM(J216:M216)</f>
        <v>6707117</v>
      </c>
      <c r="J216" s="457">
        <v>4941407</v>
      </c>
      <c r="K216" s="457">
        <f t="shared" ref="K216:K221" si="700">ROUND(J216*33.8%,0)</f>
        <v>1670196</v>
      </c>
      <c r="L216" s="457">
        <f t="shared" ref="L216:L221" si="701">ROUND(J216*1%,0)</f>
        <v>49414</v>
      </c>
      <c r="M216" s="457">
        <v>46100</v>
      </c>
      <c r="N216" s="458">
        <f t="shared" ref="N216:N221" si="702">O216+P216</f>
        <v>9.6</v>
      </c>
      <c r="O216" s="459">
        <v>8</v>
      </c>
      <c r="P216" s="468">
        <v>1.6</v>
      </c>
      <c r="Q216" s="470">
        <f t="shared" ref="Q216:Q221" si="703">W216*-1</f>
        <v>0</v>
      </c>
      <c r="R216" s="460">
        <v>0</v>
      </c>
      <c r="S216" s="673">
        <v>0</v>
      </c>
      <c r="T216" s="460">
        <v>0</v>
      </c>
      <c r="U216" s="460">
        <v>0</v>
      </c>
      <c r="V216" s="460">
        <f t="shared" ref="V216:V221" si="704">SUM(Q216:U216)</f>
        <v>0</v>
      </c>
      <c r="W216" s="460">
        <v>0</v>
      </c>
      <c r="X216" s="460">
        <v>0</v>
      </c>
      <c r="Y216" s="460">
        <v>0</v>
      </c>
      <c r="Z216" s="460">
        <f t="shared" ref="Z216:Z221" si="705">SUM(W216:Y216)</f>
        <v>0</v>
      </c>
      <c r="AA216" s="460">
        <f t="shared" ref="AA216:AA221" si="706">V216+Z216</f>
        <v>0</v>
      </c>
      <c r="AB216" s="69">
        <f t="shared" ref="AB216:AB221" si="707">ROUND((V216+W216+X216)*33.8%,0)</f>
        <v>0</v>
      </c>
      <c r="AC216" s="69">
        <f t="shared" ref="AC216:AC221" si="708">ROUND(V216*1%,0)</f>
        <v>0</v>
      </c>
      <c r="AD216" s="460">
        <v>0</v>
      </c>
      <c r="AE216" s="460">
        <v>0</v>
      </c>
      <c r="AF216" s="460">
        <f t="shared" ref="AF216:AF221" si="709">SUM(AD216:AE216)</f>
        <v>0</v>
      </c>
      <c r="AG216" s="460">
        <f t="shared" ref="AG216:AG221" si="710">AA216+AB216+AC216+AF216</f>
        <v>0</v>
      </c>
      <c r="AH216" s="461">
        <v>0</v>
      </c>
      <c r="AI216" s="461">
        <v>0</v>
      </c>
      <c r="AJ216" s="461">
        <v>0</v>
      </c>
      <c r="AK216" s="461">
        <v>0</v>
      </c>
      <c r="AL216" s="674">
        <v>0</v>
      </c>
      <c r="AM216" s="461">
        <v>0</v>
      </c>
      <c r="AN216" s="461">
        <v>0</v>
      </c>
      <c r="AO216" s="461">
        <v>0</v>
      </c>
      <c r="AP216" s="461">
        <f t="shared" ref="AP216:AP221" si="711">AH216+AJ216+AK216+AM216+AN216</f>
        <v>0</v>
      </c>
      <c r="AQ216" s="461">
        <f t="shared" ref="AQ216:AQ221" si="712">AI216+AL216+AO216</f>
        <v>0</v>
      </c>
      <c r="AR216" s="463">
        <f t="shared" ref="AR216:AR221" si="713">SUM(AP216:AQ216)</f>
        <v>0</v>
      </c>
      <c r="AS216" s="469">
        <f t="shared" ref="AS216:AS221" si="714">I216+AG216</f>
        <v>6707117</v>
      </c>
      <c r="AT216" s="460">
        <f t="shared" ref="AT216:AT221" si="715">J216+V216</f>
        <v>4941407</v>
      </c>
      <c r="AU216" s="460">
        <f t="shared" ref="AU216:AU221" si="716">Z216</f>
        <v>0</v>
      </c>
      <c r="AV216" s="460">
        <f t="shared" ref="AV216:AW221" si="717">K216+AB216</f>
        <v>1670196</v>
      </c>
      <c r="AW216" s="460">
        <f t="shared" si="717"/>
        <v>49414</v>
      </c>
      <c r="AX216" s="460">
        <f t="shared" ref="AX216:AX221" si="718">M216+AF216</f>
        <v>46100</v>
      </c>
      <c r="AY216" s="461">
        <f t="shared" ref="AY216:AY221" si="719">N216+AR216</f>
        <v>9.6</v>
      </c>
      <c r="AZ216" s="461">
        <f t="shared" ref="AZ216:BA221" si="720">O216+AP216</f>
        <v>8</v>
      </c>
      <c r="BA216" s="463">
        <f t="shared" si="720"/>
        <v>1.6</v>
      </c>
    </row>
    <row r="217" spans="1:53" s="229" customFormat="1" ht="12.75" customHeight="1" x14ac:dyDescent="0.2">
      <c r="A217" s="216">
        <v>38</v>
      </c>
      <c r="B217" s="217">
        <v>4460</v>
      </c>
      <c r="C217" s="217">
        <v>600074579</v>
      </c>
      <c r="D217" s="217">
        <v>48283011</v>
      </c>
      <c r="E217" s="215" t="s">
        <v>222</v>
      </c>
      <c r="F217" s="217">
        <v>3113</v>
      </c>
      <c r="G217" s="168" t="s">
        <v>310</v>
      </c>
      <c r="H217" s="218" t="s">
        <v>277</v>
      </c>
      <c r="I217" s="462">
        <f t="shared" si="699"/>
        <v>25911807</v>
      </c>
      <c r="J217" s="457">
        <v>18830024</v>
      </c>
      <c r="K217" s="457">
        <f>ROUND(J217*33.8%,0)-1</f>
        <v>6364547</v>
      </c>
      <c r="L217" s="457">
        <f>ROUND(J217*1%,0)+1</f>
        <v>188301</v>
      </c>
      <c r="M217" s="457">
        <v>528935</v>
      </c>
      <c r="N217" s="458">
        <f t="shared" si="702"/>
        <v>32.165999999999997</v>
      </c>
      <c r="O217" s="459">
        <v>24.885999999999999</v>
      </c>
      <c r="P217" s="468">
        <v>7.28</v>
      </c>
      <c r="Q217" s="470">
        <f t="shared" si="703"/>
        <v>-83883</v>
      </c>
      <c r="R217" s="460">
        <v>0</v>
      </c>
      <c r="S217" s="673">
        <v>0</v>
      </c>
      <c r="T217" s="460">
        <v>0</v>
      </c>
      <c r="U217" s="460">
        <v>0</v>
      </c>
      <c r="V217" s="460">
        <f t="shared" si="704"/>
        <v>-83883</v>
      </c>
      <c r="W217" s="460">
        <v>83883</v>
      </c>
      <c r="X217" s="460">
        <v>0</v>
      </c>
      <c r="Y217" s="460">
        <v>0</v>
      </c>
      <c r="Z217" s="460">
        <f t="shared" si="705"/>
        <v>83883</v>
      </c>
      <c r="AA217" s="460">
        <f t="shared" si="706"/>
        <v>0</v>
      </c>
      <c r="AB217" s="69">
        <f t="shared" si="707"/>
        <v>0</v>
      </c>
      <c r="AC217" s="69">
        <f t="shared" si="708"/>
        <v>-839</v>
      </c>
      <c r="AD217" s="460">
        <v>0</v>
      </c>
      <c r="AE217" s="460">
        <v>0</v>
      </c>
      <c r="AF217" s="460">
        <f t="shared" si="709"/>
        <v>0</v>
      </c>
      <c r="AG217" s="460">
        <f t="shared" si="710"/>
        <v>-839</v>
      </c>
      <c r="AH217" s="461">
        <v>0</v>
      </c>
      <c r="AI217" s="461">
        <v>-0.09</v>
      </c>
      <c r="AJ217" s="461">
        <v>0</v>
      </c>
      <c r="AK217" s="461">
        <v>0</v>
      </c>
      <c r="AL217" s="674">
        <v>0</v>
      </c>
      <c r="AM217" s="461">
        <v>0</v>
      </c>
      <c r="AN217" s="461">
        <v>0</v>
      </c>
      <c r="AO217" s="461">
        <v>0</v>
      </c>
      <c r="AP217" s="461">
        <f t="shared" si="711"/>
        <v>0</v>
      </c>
      <c r="AQ217" s="461">
        <f t="shared" si="712"/>
        <v>-0.09</v>
      </c>
      <c r="AR217" s="463">
        <f t="shared" si="713"/>
        <v>-0.09</v>
      </c>
      <c r="AS217" s="469">
        <f t="shared" si="714"/>
        <v>25910968</v>
      </c>
      <c r="AT217" s="460">
        <f t="shared" si="715"/>
        <v>18746141</v>
      </c>
      <c r="AU217" s="460">
        <f t="shared" si="716"/>
        <v>83883</v>
      </c>
      <c r="AV217" s="460">
        <f t="shared" si="717"/>
        <v>6364547</v>
      </c>
      <c r="AW217" s="460">
        <f t="shared" si="717"/>
        <v>187462</v>
      </c>
      <c r="AX217" s="460">
        <f t="shared" si="718"/>
        <v>528935</v>
      </c>
      <c r="AY217" s="461">
        <f t="shared" si="719"/>
        <v>32.075999999999993</v>
      </c>
      <c r="AZ217" s="461">
        <f t="shared" si="720"/>
        <v>24.885999999999999</v>
      </c>
      <c r="BA217" s="463">
        <f t="shared" si="720"/>
        <v>7.19</v>
      </c>
    </row>
    <row r="218" spans="1:53" s="229" customFormat="1" ht="12.75" customHeight="1" x14ac:dyDescent="0.2">
      <c r="A218" s="216">
        <v>38</v>
      </c>
      <c r="B218" s="217">
        <v>4460</v>
      </c>
      <c r="C218" s="217">
        <v>600074579</v>
      </c>
      <c r="D218" s="217">
        <v>48283011</v>
      </c>
      <c r="E218" s="215" t="s">
        <v>222</v>
      </c>
      <c r="F218" s="217">
        <v>3113</v>
      </c>
      <c r="G218" s="168" t="s">
        <v>308</v>
      </c>
      <c r="H218" s="218" t="s">
        <v>278</v>
      </c>
      <c r="I218" s="462">
        <f t="shared" si="699"/>
        <v>0</v>
      </c>
      <c r="J218" s="457">
        <v>0</v>
      </c>
      <c r="K218" s="457">
        <f t="shared" si="700"/>
        <v>0</v>
      </c>
      <c r="L218" s="457">
        <f t="shared" si="701"/>
        <v>0</v>
      </c>
      <c r="M218" s="457">
        <v>0</v>
      </c>
      <c r="N218" s="458">
        <f t="shared" si="702"/>
        <v>0</v>
      </c>
      <c r="O218" s="459">
        <v>0</v>
      </c>
      <c r="P218" s="468">
        <v>0</v>
      </c>
      <c r="Q218" s="470">
        <f t="shared" si="703"/>
        <v>0</v>
      </c>
      <c r="R218" s="460">
        <v>1530151</v>
      </c>
      <c r="S218" s="673">
        <v>0</v>
      </c>
      <c r="T218" s="460">
        <v>0</v>
      </c>
      <c r="U218" s="460">
        <v>0</v>
      </c>
      <c r="V218" s="460">
        <f t="shared" si="704"/>
        <v>1530151</v>
      </c>
      <c r="W218" s="460">
        <v>0</v>
      </c>
      <c r="X218" s="460">
        <v>0</v>
      </c>
      <c r="Y218" s="460">
        <v>0</v>
      </c>
      <c r="Z218" s="460">
        <f t="shared" si="705"/>
        <v>0</v>
      </c>
      <c r="AA218" s="460">
        <f t="shared" si="706"/>
        <v>1530151</v>
      </c>
      <c r="AB218" s="69">
        <f t="shared" si="707"/>
        <v>517191</v>
      </c>
      <c r="AC218" s="69">
        <f t="shared" si="708"/>
        <v>15302</v>
      </c>
      <c r="AD218" s="460">
        <v>0</v>
      </c>
      <c r="AE218" s="460">
        <v>0</v>
      </c>
      <c r="AF218" s="460">
        <f t="shared" si="709"/>
        <v>0</v>
      </c>
      <c r="AG218" s="460">
        <f t="shared" si="710"/>
        <v>2062644</v>
      </c>
      <c r="AH218" s="461">
        <v>0</v>
      </c>
      <c r="AI218" s="461">
        <v>0</v>
      </c>
      <c r="AJ218" s="461">
        <v>4.42</v>
      </c>
      <c r="AK218" s="461">
        <v>0</v>
      </c>
      <c r="AL218" s="674">
        <v>0</v>
      </c>
      <c r="AM218" s="461">
        <v>0</v>
      </c>
      <c r="AN218" s="461">
        <v>0</v>
      </c>
      <c r="AO218" s="461">
        <v>0</v>
      </c>
      <c r="AP218" s="461">
        <f t="shared" si="711"/>
        <v>4.42</v>
      </c>
      <c r="AQ218" s="461">
        <f t="shared" si="712"/>
        <v>0</v>
      </c>
      <c r="AR218" s="463">
        <f t="shared" si="713"/>
        <v>4.42</v>
      </c>
      <c r="AS218" s="469">
        <f t="shared" si="714"/>
        <v>2062644</v>
      </c>
      <c r="AT218" s="460">
        <f t="shared" si="715"/>
        <v>1530151</v>
      </c>
      <c r="AU218" s="460">
        <f t="shared" si="716"/>
        <v>0</v>
      </c>
      <c r="AV218" s="460">
        <f t="shared" si="717"/>
        <v>517191</v>
      </c>
      <c r="AW218" s="460">
        <f t="shared" si="717"/>
        <v>15302</v>
      </c>
      <c r="AX218" s="460">
        <f t="shared" si="718"/>
        <v>0</v>
      </c>
      <c r="AY218" s="461">
        <f t="shared" si="719"/>
        <v>4.42</v>
      </c>
      <c r="AZ218" s="461">
        <f t="shared" si="720"/>
        <v>4.42</v>
      </c>
      <c r="BA218" s="463">
        <f t="shared" si="720"/>
        <v>0</v>
      </c>
    </row>
    <row r="219" spans="1:53" s="229" customFormat="1" ht="12.75" customHeight="1" x14ac:dyDescent="0.2">
      <c r="A219" s="216">
        <v>38</v>
      </c>
      <c r="B219" s="217">
        <v>4460</v>
      </c>
      <c r="C219" s="217">
        <v>600074579</v>
      </c>
      <c r="D219" s="217">
        <v>48283011</v>
      </c>
      <c r="E219" s="215" t="s">
        <v>222</v>
      </c>
      <c r="F219" s="217">
        <v>3141</v>
      </c>
      <c r="G219" s="168" t="s">
        <v>311</v>
      </c>
      <c r="H219" s="218" t="s">
        <v>278</v>
      </c>
      <c r="I219" s="462">
        <f t="shared" si="699"/>
        <v>3144082</v>
      </c>
      <c r="J219" s="457">
        <v>2314892</v>
      </c>
      <c r="K219" s="457">
        <f t="shared" si="700"/>
        <v>782433</v>
      </c>
      <c r="L219" s="457">
        <f t="shared" si="701"/>
        <v>23149</v>
      </c>
      <c r="M219" s="457">
        <v>23608</v>
      </c>
      <c r="N219" s="458">
        <f t="shared" si="702"/>
        <v>7.44</v>
      </c>
      <c r="O219" s="459">
        <v>0</v>
      </c>
      <c r="P219" s="468">
        <v>7.44</v>
      </c>
      <c r="Q219" s="470">
        <f t="shared" si="703"/>
        <v>0</v>
      </c>
      <c r="R219" s="460">
        <v>0</v>
      </c>
      <c r="S219" s="673">
        <v>0</v>
      </c>
      <c r="T219" s="460">
        <v>0</v>
      </c>
      <c r="U219" s="460">
        <v>0</v>
      </c>
      <c r="V219" s="460">
        <f t="shared" si="704"/>
        <v>0</v>
      </c>
      <c r="W219" s="460">
        <v>0</v>
      </c>
      <c r="X219" s="460">
        <v>0</v>
      </c>
      <c r="Y219" s="460">
        <v>0</v>
      </c>
      <c r="Z219" s="460">
        <f t="shared" si="705"/>
        <v>0</v>
      </c>
      <c r="AA219" s="460">
        <f t="shared" si="706"/>
        <v>0</v>
      </c>
      <c r="AB219" s="69">
        <f t="shared" si="707"/>
        <v>0</v>
      </c>
      <c r="AC219" s="69">
        <f t="shared" si="708"/>
        <v>0</v>
      </c>
      <c r="AD219" s="460">
        <v>0</v>
      </c>
      <c r="AE219" s="460">
        <v>0</v>
      </c>
      <c r="AF219" s="460">
        <f t="shared" si="709"/>
        <v>0</v>
      </c>
      <c r="AG219" s="460">
        <f t="shared" si="710"/>
        <v>0</v>
      </c>
      <c r="AH219" s="461">
        <v>0</v>
      </c>
      <c r="AI219" s="461">
        <v>0</v>
      </c>
      <c r="AJ219" s="461">
        <v>0</v>
      </c>
      <c r="AK219" s="461">
        <v>0</v>
      </c>
      <c r="AL219" s="674">
        <v>0</v>
      </c>
      <c r="AM219" s="461">
        <v>0</v>
      </c>
      <c r="AN219" s="461">
        <v>0</v>
      </c>
      <c r="AO219" s="461">
        <v>0</v>
      </c>
      <c r="AP219" s="461">
        <f t="shared" si="711"/>
        <v>0</v>
      </c>
      <c r="AQ219" s="461">
        <f t="shared" si="712"/>
        <v>0</v>
      </c>
      <c r="AR219" s="463">
        <f t="shared" si="713"/>
        <v>0</v>
      </c>
      <c r="AS219" s="469">
        <f t="shared" si="714"/>
        <v>3144082</v>
      </c>
      <c r="AT219" s="460">
        <f t="shared" si="715"/>
        <v>2314892</v>
      </c>
      <c r="AU219" s="460">
        <f t="shared" si="716"/>
        <v>0</v>
      </c>
      <c r="AV219" s="460">
        <f t="shared" si="717"/>
        <v>782433</v>
      </c>
      <c r="AW219" s="460">
        <f t="shared" si="717"/>
        <v>23149</v>
      </c>
      <c r="AX219" s="460">
        <f t="shared" si="718"/>
        <v>23608</v>
      </c>
      <c r="AY219" s="461">
        <f t="shared" si="719"/>
        <v>7.44</v>
      </c>
      <c r="AZ219" s="461">
        <f t="shared" si="720"/>
        <v>0</v>
      </c>
      <c r="BA219" s="463">
        <f t="shared" si="720"/>
        <v>7.44</v>
      </c>
    </row>
    <row r="220" spans="1:53" s="229" customFormat="1" ht="12.75" customHeight="1" x14ac:dyDescent="0.2">
      <c r="A220" s="216">
        <v>38</v>
      </c>
      <c r="B220" s="217">
        <v>4460</v>
      </c>
      <c r="C220" s="217">
        <v>600074579</v>
      </c>
      <c r="D220" s="217">
        <v>48283011</v>
      </c>
      <c r="E220" s="215" t="s">
        <v>222</v>
      </c>
      <c r="F220" s="217">
        <v>3143</v>
      </c>
      <c r="G220" s="168" t="s">
        <v>616</v>
      </c>
      <c r="H220" s="234" t="s">
        <v>277</v>
      </c>
      <c r="I220" s="462">
        <f t="shared" si="699"/>
        <v>2173836</v>
      </c>
      <c r="J220" s="457">
        <v>1612638</v>
      </c>
      <c r="K220" s="457">
        <f t="shared" si="700"/>
        <v>545072</v>
      </c>
      <c r="L220" s="457">
        <f t="shared" si="701"/>
        <v>16126</v>
      </c>
      <c r="M220" s="457">
        <v>0</v>
      </c>
      <c r="N220" s="458">
        <f t="shared" si="702"/>
        <v>3.3130999999999999</v>
      </c>
      <c r="O220" s="459">
        <v>3.3130999999999999</v>
      </c>
      <c r="P220" s="468">
        <v>0</v>
      </c>
      <c r="Q220" s="470">
        <f t="shared" si="703"/>
        <v>0</v>
      </c>
      <c r="R220" s="460">
        <v>0</v>
      </c>
      <c r="S220" s="673">
        <v>0</v>
      </c>
      <c r="T220" s="460">
        <v>0</v>
      </c>
      <c r="U220" s="460">
        <v>0</v>
      </c>
      <c r="V220" s="460">
        <f t="shared" si="704"/>
        <v>0</v>
      </c>
      <c r="W220" s="460">
        <v>0</v>
      </c>
      <c r="X220" s="460">
        <v>0</v>
      </c>
      <c r="Y220" s="460">
        <v>0</v>
      </c>
      <c r="Z220" s="460">
        <f t="shared" si="705"/>
        <v>0</v>
      </c>
      <c r="AA220" s="460">
        <f t="shared" si="706"/>
        <v>0</v>
      </c>
      <c r="AB220" s="69">
        <f t="shared" si="707"/>
        <v>0</v>
      </c>
      <c r="AC220" s="69">
        <f t="shared" si="708"/>
        <v>0</v>
      </c>
      <c r="AD220" s="460">
        <v>0</v>
      </c>
      <c r="AE220" s="460">
        <v>0</v>
      </c>
      <c r="AF220" s="460">
        <f t="shared" si="709"/>
        <v>0</v>
      </c>
      <c r="AG220" s="460">
        <f t="shared" si="710"/>
        <v>0</v>
      </c>
      <c r="AH220" s="461">
        <v>0</v>
      </c>
      <c r="AI220" s="461">
        <v>0</v>
      </c>
      <c r="AJ220" s="461">
        <v>0</v>
      </c>
      <c r="AK220" s="461">
        <v>0</v>
      </c>
      <c r="AL220" s="674">
        <v>0</v>
      </c>
      <c r="AM220" s="461">
        <v>0</v>
      </c>
      <c r="AN220" s="461">
        <v>0</v>
      </c>
      <c r="AO220" s="461">
        <v>0</v>
      </c>
      <c r="AP220" s="461">
        <f t="shared" si="711"/>
        <v>0</v>
      </c>
      <c r="AQ220" s="461">
        <f t="shared" si="712"/>
        <v>0</v>
      </c>
      <c r="AR220" s="463">
        <f t="shared" si="713"/>
        <v>0</v>
      </c>
      <c r="AS220" s="469">
        <f t="shared" si="714"/>
        <v>2173836</v>
      </c>
      <c r="AT220" s="460">
        <f t="shared" si="715"/>
        <v>1612638</v>
      </c>
      <c r="AU220" s="460">
        <f t="shared" si="716"/>
        <v>0</v>
      </c>
      <c r="AV220" s="460">
        <f t="shared" si="717"/>
        <v>545072</v>
      </c>
      <c r="AW220" s="460">
        <f t="shared" si="717"/>
        <v>16126</v>
      </c>
      <c r="AX220" s="460">
        <f t="shared" si="718"/>
        <v>0</v>
      </c>
      <c r="AY220" s="461">
        <f t="shared" si="719"/>
        <v>3.3130999999999999</v>
      </c>
      <c r="AZ220" s="461">
        <f t="shared" si="720"/>
        <v>3.3130999999999999</v>
      </c>
      <c r="BA220" s="463">
        <f t="shared" si="720"/>
        <v>0</v>
      </c>
    </row>
    <row r="221" spans="1:53" s="229" customFormat="1" ht="12.75" customHeight="1" x14ac:dyDescent="0.2">
      <c r="A221" s="216">
        <v>38</v>
      </c>
      <c r="B221" s="217">
        <v>4460</v>
      </c>
      <c r="C221" s="217">
        <v>600074579</v>
      </c>
      <c r="D221" s="217">
        <v>48283011</v>
      </c>
      <c r="E221" s="215" t="s">
        <v>222</v>
      </c>
      <c r="F221" s="217">
        <v>3143</v>
      </c>
      <c r="G221" s="168" t="s">
        <v>617</v>
      </c>
      <c r="H221" s="234" t="s">
        <v>278</v>
      </c>
      <c r="I221" s="462">
        <f t="shared" si="699"/>
        <v>76966</v>
      </c>
      <c r="J221" s="457">
        <v>54993</v>
      </c>
      <c r="K221" s="457">
        <f t="shared" si="700"/>
        <v>18588</v>
      </c>
      <c r="L221" s="457">
        <f t="shared" si="701"/>
        <v>550</v>
      </c>
      <c r="M221" s="457">
        <v>2835</v>
      </c>
      <c r="N221" s="458">
        <f t="shared" si="702"/>
        <v>0.22</v>
      </c>
      <c r="O221" s="459">
        <v>0</v>
      </c>
      <c r="P221" s="468">
        <v>0.22</v>
      </c>
      <c r="Q221" s="470">
        <f t="shared" si="703"/>
        <v>0</v>
      </c>
      <c r="R221" s="460">
        <v>0</v>
      </c>
      <c r="S221" s="673">
        <v>0</v>
      </c>
      <c r="T221" s="460">
        <v>0</v>
      </c>
      <c r="U221" s="460">
        <v>0</v>
      </c>
      <c r="V221" s="460">
        <f t="shared" si="704"/>
        <v>0</v>
      </c>
      <c r="W221" s="460">
        <v>0</v>
      </c>
      <c r="X221" s="460">
        <v>0</v>
      </c>
      <c r="Y221" s="460">
        <v>0</v>
      </c>
      <c r="Z221" s="460">
        <f t="shared" si="705"/>
        <v>0</v>
      </c>
      <c r="AA221" s="460">
        <f t="shared" si="706"/>
        <v>0</v>
      </c>
      <c r="AB221" s="69">
        <f t="shared" si="707"/>
        <v>0</v>
      </c>
      <c r="AC221" s="69">
        <f t="shared" si="708"/>
        <v>0</v>
      </c>
      <c r="AD221" s="460">
        <v>0</v>
      </c>
      <c r="AE221" s="460">
        <v>0</v>
      </c>
      <c r="AF221" s="460">
        <f t="shared" si="709"/>
        <v>0</v>
      </c>
      <c r="AG221" s="460">
        <f t="shared" si="710"/>
        <v>0</v>
      </c>
      <c r="AH221" s="461">
        <v>0</v>
      </c>
      <c r="AI221" s="461">
        <v>0</v>
      </c>
      <c r="AJ221" s="461">
        <v>0</v>
      </c>
      <c r="AK221" s="461">
        <v>0</v>
      </c>
      <c r="AL221" s="674">
        <v>0</v>
      </c>
      <c r="AM221" s="461">
        <v>0</v>
      </c>
      <c r="AN221" s="461">
        <v>0</v>
      </c>
      <c r="AO221" s="461">
        <v>0</v>
      </c>
      <c r="AP221" s="461">
        <f t="shared" si="711"/>
        <v>0</v>
      </c>
      <c r="AQ221" s="461">
        <f t="shared" si="712"/>
        <v>0</v>
      </c>
      <c r="AR221" s="463">
        <f t="shared" si="713"/>
        <v>0</v>
      </c>
      <c r="AS221" s="469">
        <f t="shared" si="714"/>
        <v>76966</v>
      </c>
      <c r="AT221" s="460">
        <f t="shared" si="715"/>
        <v>54993</v>
      </c>
      <c r="AU221" s="460">
        <f t="shared" si="716"/>
        <v>0</v>
      </c>
      <c r="AV221" s="460">
        <f t="shared" si="717"/>
        <v>18588</v>
      </c>
      <c r="AW221" s="460">
        <f t="shared" si="717"/>
        <v>550</v>
      </c>
      <c r="AX221" s="460">
        <f t="shared" si="718"/>
        <v>2835</v>
      </c>
      <c r="AY221" s="461">
        <f t="shared" si="719"/>
        <v>0.22</v>
      </c>
      <c r="AZ221" s="461">
        <f t="shared" si="720"/>
        <v>0</v>
      </c>
      <c r="BA221" s="463">
        <f t="shared" si="720"/>
        <v>0.22</v>
      </c>
    </row>
    <row r="222" spans="1:53" s="229" customFormat="1" ht="12.75" customHeight="1" x14ac:dyDescent="0.2">
      <c r="A222" s="158">
        <v>38</v>
      </c>
      <c r="B222" s="18">
        <v>4460</v>
      </c>
      <c r="C222" s="18">
        <v>600074579</v>
      </c>
      <c r="D222" s="18">
        <v>48283011</v>
      </c>
      <c r="E222" s="167" t="s">
        <v>223</v>
      </c>
      <c r="F222" s="18"/>
      <c r="G222" s="157"/>
      <c r="H222" s="191"/>
      <c r="I222" s="505">
        <f t="shared" ref="I222:P222" si="721">SUM(I216:I221)</f>
        <v>38013808</v>
      </c>
      <c r="J222" s="502">
        <f t="shared" si="721"/>
        <v>27753954</v>
      </c>
      <c r="K222" s="502">
        <f t="shared" si="721"/>
        <v>9380836</v>
      </c>
      <c r="L222" s="502">
        <f t="shared" si="721"/>
        <v>277540</v>
      </c>
      <c r="M222" s="502">
        <f t="shared" si="721"/>
        <v>601478</v>
      </c>
      <c r="N222" s="503">
        <f t="shared" si="721"/>
        <v>52.739099999999993</v>
      </c>
      <c r="O222" s="503">
        <f t="shared" si="721"/>
        <v>36.199099999999994</v>
      </c>
      <c r="P222" s="507">
        <f t="shared" si="721"/>
        <v>16.54</v>
      </c>
      <c r="Q222" s="505">
        <f t="shared" ref="Q222:BA222" si="722">SUM(Q216:Q221)</f>
        <v>-83883</v>
      </c>
      <c r="R222" s="502">
        <f t="shared" si="722"/>
        <v>1530151</v>
      </c>
      <c r="S222" s="502">
        <f t="shared" si="722"/>
        <v>0</v>
      </c>
      <c r="T222" s="502">
        <f t="shared" si="722"/>
        <v>0</v>
      </c>
      <c r="U222" s="502">
        <f t="shared" si="722"/>
        <v>0</v>
      </c>
      <c r="V222" s="502">
        <f t="shared" si="722"/>
        <v>1446268</v>
      </c>
      <c r="W222" s="502">
        <f t="shared" si="722"/>
        <v>83883</v>
      </c>
      <c r="X222" s="502">
        <f t="shared" si="722"/>
        <v>0</v>
      </c>
      <c r="Y222" s="502">
        <f t="shared" si="722"/>
        <v>0</v>
      </c>
      <c r="Z222" s="502">
        <f t="shared" si="722"/>
        <v>83883</v>
      </c>
      <c r="AA222" s="502">
        <f t="shared" si="722"/>
        <v>1530151</v>
      </c>
      <c r="AB222" s="502">
        <f t="shared" si="722"/>
        <v>517191</v>
      </c>
      <c r="AC222" s="502">
        <f t="shared" si="722"/>
        <v>14463</v>
      </c>
      <c r="AD222" s="502">
        <f t="shared" si="722"/>
        <v>0</v>
      </c>
      <c r="AE222" s="502">
        <f t="shared" si="722"/>
        <v>0</v>
      </c>
      <c r="AF222" s="502">
        <f t="shared" si="722"/>
        <v>0</v>
      </c>
      <c r="AG222" s="502">
        <f t="shared" si="722"/>
        <v>2061805</v>
      </c>
      <c r="AH222" s="503">
        <f t="shared" si="722"/>
        <v>0</v>
      </c>
      <c r="AI222" s="503">
        <f t="shared" si="722"/>
        <v>-0.09</v>
      </c>
      <c r="AJ222" s="503">
        <f t="shared" si="722"/>
        <v>4.42</v>
      </c>
      <c r="AK222" s="503">
        <f t="shared" si="722"/>
        <v>0</v>
      </c>
      <c r="AL222" s="503">
        <f t="shared" si="722"/>
        <v>0</v>
      </c>
      <c r="AM222" s="503">
        <f t="shared" si="722"/>
        <v>0</v>
      </c>
      <c r="AN222" s="503">
        <f t="shared" si="722"/>
        <v>0</v>
      </c>
      <c r="AO222" s="503">
        <f t="shared" si="722"/>
        <v>0</v>
      </c>
      <c r="AP222" s="503">
        <f t="shared" si="722"/>
        <v>4.42</v>
      </c>
      <c r="AQ222" s="503">
        <f t="shared" si="722"/>
        <v>-0.09</v>
      </c>
      <c r="AR222" s="40">
        <f t="shared" si="722"/>
        <v>4.33</v>
      </c>
      <c r="AS222" s="509">
        <f t="shared" si="722"/>
        <v>40075613</v>
      </c>
      <c r="AT222" s="502">
        <f t="shared" si="722"/>
        <v>29200222</v>
      </c>
      <c r="AU222" s="502">
        <f t="shared" si="722"/>
        <v>83883</v>
      </c>
      <c r="AV222" s="502">
        <f t="shared" si="722"/>
        <v>9898027</v>
      </c>
      <c r="AW222" s="502">
        <f t="shared" si="722"/>
        <v>292003</v>
      </c>
      <c r="AX222" s="502">
        <f t="shared" si="722"/>
        <v>601478</v>
      </c>
      <c r="AY222" s="503">
        <f t="shared" si="722"/>
        <v>57.069099999999992</v>
      </c>
      <c r="AZ222" s="503">
        <f t="shared" si="722"/>
        <v>40.619099999999996</v>
      </c>
      <c r="BA222" s="40">
        <f t="shared" si="722"/>
        <v>16.45</v>
      </c>
    </row>
    <row r="223" spans="1:53" s="229" customFormat="1" ht="12.75" customHeight="1" x14ac:dyDescent="0.2">
      <c r="A223" s="216">
        <v>39</v>
      </c>
      <c r="B223" s="217">
        <v>4472</v>
      </c>
      <c r="C223" s="217">
        <v>600075095</v>
      </c>
      <c r="D223" s="217">
        <v>48282561</v>
      </c>
      <c r="E223" s="215" t="s">
        <v>224</v>
      </c>
      <c r="F223" s="217">
        <v>3231</v>
      </c>
      <c r="G223" s="168" t="s">
        <v>312</v>
      </c>
      <c r="H223" s="218" t="s">
        <v>277</v>
      </c>
      <c r="I223" s="462">
        <f t="shared" ref="I223" si="723">SUM(J223:M223)</f>
        <v>10618071</v>
      </c>
      <c r="J223" s="457">
        <v>7859793</v>
      </c>
      <c r="K223" s="457">
        <f t="shared" ref="K223" si="724">ROUND(J223*33.8%,0)</f>
        <v>2656610</v>
      </c>
      <c r="L223" s="457">
        <f>ROUND(J223*1%,0)</f>
        <v>78598</v>
      </c>
      <c r="M223" s="457">
        <v>23070</v>
      </c>
      <c r="N223" s="458">
        <f t="shared" ref="N223" si="725">O223+P223</f>
        <v>13.867900000000001</v>
      </c>
      <c r="O223" s="459">
        <v>12.5219</v>
      </c>
      <c r="P223" s="468">
        <v>1.3460000000000001</v>
      </c>
      <c r="Q223" s="470">
        <f t="shared" ref="Q223" si="726">W223*-1</f>
        <v>-39000</v>
      </c>
      <c r="R223" s="460">
        <v>0</v>
      </c>
      <c r="S223" s="673">
        <v>0</v>
      </c>
      <c r="T223" s="460">
        <v>0</v>
      </c>
      <c r="U223" s="460">
        <v>0</v>
      </c>
      <c r="V223" s="460">
        <f>SUM(Q223:U223)</f>
        <v>-39000</v>
      </c>
      <c r="W223" s="460">
        <v>39000</v>
      </c>
      <c r="X223" s="460">
        <v>0</v>
      </c>
      <c r="Y223" s="460">
        <v>0</v>
      </c>
      <c r="Z223" s="460">
        <f t="shared" ref="Z223" si="727">SUM(W223:Y223)</f>
        <v>39000</v>
      </c>
      <c r="AA223" s="460">
        <f t="shared" ref="AA223" si="728">V223+Z223</f>
        <v>0</v>
      </c>
      <c r="AB223" s="69">
        <f t="shared" ref="AB223" si="729">ROUND((V223+W223+X223)*33.8%,0)</f>
        <v>0</v>
      </c>
      <c r="AC223" s="69">
        <f>ROUND(V223*1%,0)</f>
        <v>-390</v>
      </c>
      <c r="AD223" s="460">
        <v>0</v>
      </c>
      <c r="AE223" s="460">
        <v>0</v>
      </c>
      <c r="AF223" s="460">
        <f t="shared" ref="AF223" si="730">SUM(AD223:AE223)</f>
        <v>0</v>
      </c>
      <c r="AG223" s="460">
        <f t="shared" ref="AG223" si="731">AA223+AB223+AC223+AF223</f>
        <v>-390</v>
      </c>
      <c r="AH223" s="461">
        <v>-7.0000000000000007E-2</v>
      </c>
      <c r="AI223" s="461">
        <v>-0.02</v>
      </c>
      <c r="AJ223" s="461">
        <v>0</v>
      </c>
      <c r="AK223" s="461">
        <v>0</v>
      </c>
      <c r="AL223" s="674">
        <v>0</v>
      </c>
      <c r="AM223" s="461">
        <v>0</v>
      </c>
      <c r="AN223" s="461">
        <v>0</v>
      </c>
      <c r="AO223" s="461">
        <v>0</v>
      </c>
      <c r="AP223" s="461">
        <f>AH223+AJ223+AK223+AM223+AN223</f>
        <v>-7.0000000000000007E-2</v>
      </c>
      <c r="AQ223" s="461">
        <f>AI223+AL223+AO223</f>
        <v>-0.02</v>
      </c>
      <c r="AR223" s="463">
        <f t="shared" ref="AR223" si="732">SUM(AP223:AQ223)</f>
        <v>-9.0000000000000011E-2</v>
      </c>
      <c r="AS223" s="469">
        <f>I223+AG223</f>
        <v>10617681</v>
      </c>
      <c r="AT223" s="460">
        <f>J223+V223</f>
        <v>7820793</v>
      </c>
      <c r="AU223" s="460">
        <f>Z223</f>
        <v>39000</v>
      </c>
      <c r="AV223" s="460">
        <f>K223+AB223</f>
        <v>2656610</v>
      </c>
      <c r="AW223" s="460">
        <f>L223+AC223</f>
        <v>78208</v>
      </c>
      <c r="AX223" s="460">
        <f>M223+AF223</f>
        <v>23070</v>
      </c>
      <c r="AY223" s="461">
        <f>N223+AR223</f>
        <v>13.777900000000001</v>
      </c>
      <c r="AZ223" s="461">
        <f>O223+AP223</f>
        <v>12.4519</v>
      </c>
      <c r="BA223" s="463">
        <f>P223+AQ223</f>
        <v>1.3260000000000001</v>
      </c>
    </row>
    <row r="224" spans="1:53" s="229" customFormat="1" ht="12.75" customHeight="1" x14ac:dyDescent="0.2">
      <c r="A224" s="158">
        <v>39</v>
      </c>
      <c r="B224" s="18">
        <v>4472</v>
      </c>
      <c r="C224" s="18">
        <v>600075095</v>
      </c>
      <c r="D224" s="18">
        <v>48282561</v>
      </c>
      <c r="E224" s="167" t="s">
        <v>225</v>
      </c>
      <c r="F224" s="18"/>
      <c r="G224" s="157"/>
      <c r="H224" s="191"/>
      <c r="I224" s="505">
        <f t="shared" ref="I224:BA224" si="733">SUM(I223)</f>
        <v>10618071</v>
      </c>
      <c r="J224" s="502">
        <f t="shared" si="733"/>
        <v>7859793</v>
      </c>
      <c r="K224" s="502">
        <f t="shared" si="733"/>
        <v>2656610</v>
      </c>
      <c r="L224" s="502">
        <f t="shared" si="733"/>
        <v>78598</v>
      </c>
      <c r="M224" s="502">
        <f t="shared" si="733"/>
        <v>23070</v>
      </c>
      <c r="N224" s="503">
        <f t="shared" si="733"/>
        <v>13.867900000000001</v>
      </c>
      <c r="O224" s="503">
        <f t="shared" si="733"/>
        <v>12.5219</v>
      </c>
      <c r="P224" s="507">
        <f t="shared" si="733"/>
        <v>1.3460000000000001</v>
      </c>
      <c r="Q224" s="505">
        <f t="shared" si="733"/>
        <v>-39000</v>
      </c>
      <c r="R224" s="502">
        <f t="shared" si="733"/>
        <v>0</v>
      </c>
      <c r="S224" s="502">
        <f t="shared" si="733"/>
        <v>0</v>
      </c>
      <c r="T224" s="502">
        <f t="shared" si="733"/>
        <v>0</v>
      </c>
      <c r="U224" s="502">
        <f t="shared" si="733"/>
        <v>0</v>
      </c>
      <c r="V224" s="502">
        <f t="shared" si="733"/>
        <v>-39000</v>
      </c>
      <c r="W224" s="502">
        <f t="shared" si="733"/>
        <v>39000</v>
      </c>
      <c r="X224" s="502">
        <f t="shared" si="733"/>
        <v>0</v>
      </c>
      <c r="Y224" s="502">
        <f t="shared" si="733"/>
        <v>0</v>
      </c>
      <c r="Z224" s="502">
        <f t="shared" si="733"/>
        <v>39000</v>
      </c>
      <c r="AA224" s="502">
        <f t="shared" si="733"/>
        <v>0</v>
      </c>
      <c r="AB224" s="502">
        <f t="shared" si="733"/>
        <v>0</v>
      </c>
      <c r="AC224" s="502">
        <f t="shared" si="733"/>
        <v>-390</v>
      </c>
      <c r="AD224" s="502">
        <f t="shared" si="733"/>
        <v>0</v>
      </c>
      <c r="AE224" s="502">
        <f t="shared" si="733"/>
        <v>0</v>
      </c>
      <c r="AF224" s="502">
        <f t="shared" si="733"/>
        <v>0</v>
      </c>
      <c r="AG224" s="502">
        <f t="shared" si="733"/>
        <v>-390</v>
      </c>
      <c r="AH224" s="503">
        <f t="shared" si="733"/>
        <v>-7.0000000000000007E-2</v>
      </c>
      <c r="AI224" s="503">
        <f t="shared" si="733"/>
        <v>-0.02</v>
      </c>
      <c r="AJ224" s="503">
        <f t="shared" si="733"/>
        <v>0</v>
      </c>
      <c r="AK224" s="503">
        <f t="shared" si="733"/>
        <v>0</v>
      </c>
      <c r="AL224" s="503">
        <f t="shared" si="733"/>
        <v>0</v>
      </c>
      <c r="AM224" s="503">
        <f t="shared" si="733"/>
        <v>0</v>
      </c>
      <c r="AN224" s="503">
        <f t="shared" si="733"/>
        <v>0</v>
      </c>
      <c r="AO224" s="503">
        <f t="shared" si="733"/>
        <v>0</v>
      </c>
      <c r="AP224" s="503">
        <f t="shared" si="733"/>
        <v>-7.0000000000000007E-2</v>
      </c>
      <c r="AQ224" s="503">
        <f t="shared" si="733"/>
        <v>-0.02</v>
      </c>
      <c r="AR224" s="40">
        <f t="shared" si="733"/>
        <v>-9.0000000000000011E-2</v>
      </c>
      <c r="AS224" s="509">
        <f t="shared" si="733"/>
        <v>10617681</v>
      </c>
      <c r="AT224" s="502">
        <f t="shared" si="733"/>
        <v>7820793</v>
      </c>
      <c r="AU224" s="502">
        <f t="shared" si="733"/>
        <v>39000</v>
      </c>
      <c r="AV224" s="502">
        <f t="shared" si="733"/>
        <v>2656610</v>
      </c>
      <c r="AW224" s="502">
        <f t="shared" si="733"/>
        <v>78208</v>
      </c>
      <c r="AX224" s="502">
        <f t="shared" si="733"/>
        <v>23070</v>
      </c>
      <c r="AY224" s="503">
        <f t="shared" si="733"/>
        <v>13.777900000000001</v>
      </c>
      <c r="AZ224" s="503">
        <f t="shared" si="733"/>
        <v>12.4519</v>
      </c>
      <c r="BA224" s="40">
        <f t="shared" si="733"/>
        <v>1.3260000000000001</v>
      </c>
    </row>
    <row r="225" spans="1:53" s="229" customFormat="1" ht="12.75" customHeight="1" x14ac:dyDescent="0.2">
      <c r="A225" s="216">
        <v>40</v>
      </c>
      <c r="B225" s="217">
        <v>4418</v>
      </c>
      <c r="C225" s="217">
        <v>600074048</v>
      </c>
      <c r="D225" s="217">
        <v>72742411</v>
      </c>
      <c r="E225" s="215" t="s">
        <v>226</v>
      </c>
      <c r="F225" s="217">
        <v>3111</v>
      </c>
      <c r="G225" s="168" t="s">
        <v>307</v>
      </c>
      <c r="H225" s="218" t="s">
        <v>277</v>
      </c>
      <c r="I225" s="462">
        <f t="shared" ref="I225:I227" si="734">SUM(J225:M225)</f>
        <v>2002849</v>
      </c>
      <c r="J225" s="457">
        <v>1480155</v>
      </c>
      <c r="K225" s="457">
        <f t="shared" ref="K225:K227" si="735">ROUND(J225*33.8%,0)</f>
        <v>500292</v>
      </c>
      <c r="L225" s="457">
        <f t="shared" ref="L225:L227" si="736">ROUND(J225*1%,0)</f>
        <v>14802</v>
      </c>
      <c r="M225" s="457">
        <v>7600</v>
      </c>
      <c r="N225" s="458">
        <f t="shared" ref="N225:N227" si="737">O225+P225</f>
        <v>2.9308999999999998</v>
      </c>
      <c r="O225" s="459">
        <v>2.3708999999999998</v>
      </c>
      <c r="P225" s="468">
        <v>0.56000000000000005</v>
      </c>
      <c r="Q225" s="470">
        <f t="shared" ref="Q225:Q227" si="738">W225*-1</f>
        <v>-39000</v>
      </c>
      <c r="R225" s="460">
        <v>0</v>
      </c>
      <c r="S225" s="673">
        <v>0</v>
      </c>
      <c r="T225" s="460">
        <v>0</v>
      </c>
      <c r="U225" s="460">
        <v>0</v>
      </c>
      <c r="V225" s="460">
        <f>SUM(Q225:U225)</f>
        <v>-39000</v>
      </c>
      <c r="W225" s="460">
        <v>39000</v>
      </c>
      <c r="X225" s="460">
        <v>0</v>
      </c>
      <c r="Y225" s="460">
        <v>0</v>
      </c>
      <c r="Z225" s="460">
        <f t="shared" ref="Z225:Z227" si="739">SUM(W225:Y225)</f>
        <v>39000</v>
      </c>
      <c r="AA225" s="460">
        <f t="shared" ref="AA225:AA227" si="740">V225+Z225</f>
        <v>0</v>
      </c>
      <c r="AB225" s="69">
        <f t="shared" ref="AB225:AB227" si="741">ROUND((V225+W225+X225)*33.8%,0)</f>
        <v>0</v>
      </c>
      <c r="AC225" s="69">
        <f t="shared" ref="AC225:AC227" si="742">ROUND(V225*1%,0)</f>
        <v>-390</v>
      </c>
      <c r="AD225" s="460">
        <v>0</v>
      </c>
      <c r="AE225" s="460">
        <v>0</v>
      </c>
      <c r="AF225" s="460">
        <f t="shared" ref="AF225:AF227" si="743">SUM(AD225:AE225)</f>
        <v>0</v>
      </c>
      <c r="AG225" s="460">
        <f t="shared" ref="AG225:AG227" si="744">AA225+AB225+AC225+AF225</f>
        <v>-390</v>
      </c>
      <c r="AH225" s="461">
        <v>-0.01</v>
      </c>
      <c r="AI225" s="461">
        <v>-0.11</v>
      </c>
      <c r="AJ225" s="461">
        <v>0</v>
      </c>
      <c r="AK225" s="461">
        <v>0</v>
      </c>
      <c r="AL225" s="674">
        <v>0</v>
      </c>
      <c r="AM225" s="461">
        <v>0</v>
      </c>
      <c r="AN225" s="461">
        <v>0</v>
      </c>
      <c r="AO225" s="461">
        <v>0</v>
      </c>
      <c r="AP225" s="461">
        <f>AH225+AJ225+AK225+AM225+AN225</f>
        <v>-0.01</v>
      </c>
      <c r="AQ225" s="461">
        <f>AI225+AL225+AO225</f>
        <v>-0.11</v>
      </c>
      <c r="AR225" s="463">
        <f t="shared" ref="AR225:AR227" si="745">SUM(AP225:AQ225)</f>
        <v>-0.12</v>
      </c>
      <c r="AS225" s="469">
        <f>I225+AG225</f>
        <v>2002459</v>
      </c>
      <c r="AT225" s="460">
        <f>J225+V225</f>
        <v>1441155</v>
      </c>
      <c r="AU225" s="460">
        <f t="shared" ref="AU225:AU227" si="746">Z225</f>
        <v>39000</v>
      </c>
      <c r="AV225" s="460">
        <f t="shared" ref="AV225:AW227" si="747">K225+AB225</f>
        <v>500292</v>
      </c>
      <c r="AW225" s="460">
        <f t="shared" si="747"/>
        <v>14412</v>
      </c>
      <c r="AX225" s="460">
        <f>M225+AF225</f>
        <v>7600</v>
      </c>
      <c r="AY225" s="461">
        <f>N225+AR225</f>
        <v>2.8108999999999997</v>
      </c>
      <c r="AZ225" s="461">
        <f t="shared" ref="AZ225:BA227" si="748">O225+AP225</f>
        <v>2.3609</v>
      </c>
      <c r="BA225" s="463">
        <f t="shared" si="748"/>
        <v>0.45000000000000007</v>
      </c>
    </row>
    <row r="226" spans="1:53" s="229" customFormat="1" ht="12.75" customHeight="1" x14ac:dyDescent="0.2">
      <c r="A226" s="216">
        <v>40</v>
      </c>
      <c r="B226" s="217">
        <v>4418</v>
      </c>
      <c r="C226" s="217">
        <v>600074048</v>
      </c>
      <c r="D226" s="217">
        <v>72742411</v>
      </c>
      <c r="E226" s="215" t="s">
        <v>226</v>
      </c>
      <c r="F226" s="217">
        <v>3111</v>
      </c>
      <c r="G226" s="168" t="s">
        <v>308</v>
      </c>
      <c r="H226" s="218" t="s">
        <v>278</v>
      </c>
      <c r="I226" s="462">
        <f t="shared" si="734"/>
        <v>0</v>
      </c>
      <c r="J226" s="457">
        <v>0</v>
      </c>
      <c r="K226" s="457">
        <f t="shared" si="735"/>
        <v>0</v>
      </c>
      <c r="L226" s="457">
        <f t="shared" si="736"/>
        <v>0</v>
      </c>
      <c r="M226" s="457">
        <v>0</v>
      </c>
      <c r="N226" s="458">
        <f t="shared" si="737"/>
        <v>0</v>
      </c>
      <c r="O226" s="459">
        <v>0</v>
      </c>
      <c r="P226" s="468">
        <v>0</v>
      </c>
      <c r="Q226" s="470">
        <f t="shared" si="738"/>
        <v>0</v>
      </c>
      <c r="R226" s="460">
        <v>0</v>
      </c>
      <c r="S226" s="673">
        <v>0</v>
      </c>
      <c r="T226" s="460">
        <v>0</v>
      </c>
      <c r="U226" s="460">
        <v>0</v>
      </c>
      <c r="V226" s="460">
        <f>SUM(Q226:U226)</f>
        <v>0</v>
      </c>
      <c r="W226" s="460">
        <v>0</v>
      </c>
      <c r="X226" s="460">
        <v>0</v>
      </c>
      <c r="Y226" s="460">
        <v>0</v>
      </c>
      <c r="Z226" s="460">
        <f t="shared" si="739"/>
        <v>0</v>
      </c>
      <c r="AA226" s="460">
        <f t="shared" si="740"/>
        <v>0</v>
      </c>
      <c r="AB226" s="69">
        <f t="shared" si="741"/>
        <v>0</v>
      </c>
      <c r="AC226" s="69">
        <f t="shared" si="742"/>
        <v>0</v>
      </c>
      <c r="AD226" s="460">
        <v>0</v>
      </c>
      <c r="AE226" s="460">
        <v>0</v>
      </c>
      <c r="AF226" s="460">
        <f t="shared" si="743"/>
        <v>0</v>
      </c>
      <c r="AG226" s="460">
        <f t="shared" si="744"/>
        <v>0</v>
      </c>
      <c r="AH226" s="461">
        <v>0</v>
      </c>
      <c r="AI226" s="461">
        <v>0</v>
      </c>
      <c r="AJ226" s="461">
        <v>0</v>
      </c>
      <c r="AK226" s="461">
        <v>0</v>
      </c>
      <c r="AL226" s="674">
        <v>0</v>
      </c>
      <c r="AM226" s="461">
        <v>0</v>
      </c>
      <c r="AN226" s="461">
        <v>0</v>
      </c>
      <c r="AO226" s="461">
        <v>0</v>
      </c>
      <c r="AP226" s="461">
        <f>AH226+AJ226+AK226+AM226+AN226</f>
        <v>0</v>
      </c>
      <c r="AQ226" s="461">
        <f>AI226+AL226+AO226</f>
        <v>0</v>
      </c>
      <c r="AR226" s="463">
        <f t="shared" si="745"/>
        <v>0</v>
      </c>
      <c r="AS226" s="469">
        <f>I226+AG226</f>
        <v>0</v>
      </c>
      <c r="AT226" s="460">
        <f>J226+V226</f>
        <v>0</v>
      </c>
      <c r="AU226" s="460">
        <f t="shared" si="746"/>
        <v>0</v>
      </c>
      <c r="AV226" s="460">
        <f t="shared" si="747"/>
        <v>0</v>
      </c>
      <c r="AW226" s="460">
        <f t="shared" si="747"/>
        <v>0</v>
      </c>
      <c r="AX226" s="460">
        <f>M226+AF226</f>
        <v>0</v>
      </c>
      <c r="AY226" s="461">
        <f>N226+AR226</f>
        <v>0</v>
      </c>
      <c r="AZ226" s="461">
        <f t="shared" si="748"/>
        <v>0</v>
      </c>
      <c r="BA226" s="463">
        <f t="shared" si="748"/>
        <v>0</v>
      </c>
    </row>
    <row r="227" spans="1:53" s="229" customFormat="1" ht="12.75" customHeight="1" x14ac:dyDescent="0.2">
      <c r="A227" s="216">
        <v>40</v>
      </c>
      <c r="B227" s="217">
        <v>4418</v>
      </c>
      <c r="C227" s="217">
        <v>600074048</v>
      </c>
      <c r="D227" s="217">
        <v>72742411</v>
      </c>
      <c r="E227" s="210" t="s">
        <v>226</v>
      </c>
      <c r="F227" s="217">
        <v>3141</v>
      </c>
      <c r="G227" s="168" t="s">
        <v>311</v>
      </c>
      <c r="H227" s="218" t="s">
        <v>278</v>
      </c>
      <c r="I227" s="462">
        <f t="shared" si="734"/>
        <v>318192</v>
      </c>
      <c r="J227" s="457">
        <v>235315</v>
      </c>
      <c r="K227" s="457">
        <f t="shared" si="735"/>
        <v>79536</v>
      </c>
      <c r="L227" s="457">
        <f t="shared" si="736"/>
        <v>2353</v>
      </c>
      <c r="M227" s="457">
        <v>988</v>
      </c>
      <c r="N227" s="458">
        <f t="shared" si="737"/>
        <v>0.76</v>
      </c>
      <c r="O227" s="459">
        <v>0</v>
      </c>
      <c r="P227" s="468">
        <v>0.76</v>
      </c>
      <c r="Q227" s="470">
        <f t="shared" si="738"/>
        <v>0</v>
      </c>
      <c r="R227" s="460">
        <v>0</v>
      </c>
      <c r="S227" s="673">
        <v>0</v>
      </c>
      <c r="T227" s="460">
        <v>0</v>
      </c>
      <c r="U227" s="460">
        <v>0</v>
      </c>
      <c r="V227" s="460">
        <f>SUM(Q227:U227)</f>
        <v>0</v>
      </c>
      <c r="W227" s="460">
        <v>0</v>
      </c>
      <c r="X227" s="460">
        <v>0</v>
      </c>
      <c r="Y227" s="460">
        <v>0</v>
      </c>
      <c r="Z227" s="460">
        <f t="shared" si="739"/>
        <v>0</v>
      </c>
      <c r="AA227" s="460">
        <f t="shared" si="740"/>
        <v>0</v>
      </c>
      <c r="AB227" s="69">
        <f t="shared" si="741"/>
        <v>0</v>
      </c>
      <c r="AC227" s="69">
        <f t="shared" si="742"/>
        <v>0</v>
      </c>
      <c r="AD227" s="460">
        <v>0</v>
      </c>
      <c r="AE227" s="460">
        <v>0</v>
      </c>
      <c r="AF227" s="460">
        <f t="shared" si="743"/>
        <v>0</v>
      </c>
      <c r="AG227" s="460">
        <f t="shared" si="744"/>
        <v>0</v>
      </c>
      <c r="AH227" s="461">
        <v>0</v>
      </c>
      <c r="AI227" s="461">
        <v>0</v>
      </c>
      <c r="AJ227" s="461">
        <v>0</v>
      </c>
      <c r="AK227" s="461">
        <v>0</v>
      </c>
      <c r="AL227" s="674">
        <v>0</v>
      </c>
      <c r="AM227" s="461">
        <v>0</v>
      </c>
      <c r="AN227" s="461">
        <v>0</v>
      </c>
      <c r="AO227" s="461">
        <v>0</v>
      </c>
      <c r="AP227" s="461">
        <f>AH227+AJ227+AK227+AM227+AN227</f>
        <v>0</v>
      </c>
      <c r="AQ227" s="461">
        <f>AI227+AL227+AO227</f>
        <v>0</v>
      </c>
      <c r="AR227" s="463">
        <f t="shared" si="745"/>
        <v>0</v>
      </c>
      <c r="AS227" s="469">
        <f>I227+AG227</f>
        <v>318192</v>
      </c>
      <c r="AT227" s="460">
        <f>J227+V227</f>
        <v>235315</v>
      </c>
      <c r="AU227" s="460">
        <f t="shared" si="746"/>
        <v>0</v>
      </c>
      <c r="AV227" s="460">
        <f t="shared" si="747"/>
        <v>79536</v>
      </c>
      <c r="AW227" s="460">
        <f t="shared" si="747"/>
        <v>2353</v>
      </c>
      <c r="AX227" s="460">
        <f>M227+AF227</f>
        <v>988</v>
      </c>
      <c r="AY227" s="461">
        <f>N227+AR227</f>
        <v>0.76</v>
      </c>
      <c r="AZ227" s="461">
        <f t="shared" si="748"/>
        <v>0</v>
      </c>
      <c r="BA227" s="463">
        <f t="shared" si="748"/>
        <v>0.76</v>
      </c>
    </row>
    <row r="228" spans="1:53" s="229" customFormat="1" ht="12.75" customHeight="1" x14ac:dyDescent="0.2">
      <c r="A228" s="158">
        <v>40</v>
      </c>
      <c r="B228" s="18">
        <v>4418</v>
      </c>
      <c r="C228" s="18">
        <v>600074048</v>
      </c>
      <c r="D228" s="18">
        <v>72742411</v>
      </c>
      <c r="E228" s="167" t="s">
        <v>227</v>
      </c>
      <c r="F228" s="18"/>
      <c r="G228" s="157"/>
      <c r="H228" s="191"/>
      <c r="I228" s="505">
        <f t="shared" ref="I228:P228" si="749">SUM(I225:I227)</f>
        <v>2321041</v>
      </c>
      <c r="J228" s="502">
        <f t="shared" si="749"/>
        <v>1715470</v>
      </c>
      <c r="K228" s="502">
        <f t="shared" si="749"/>
        <v>579828</v>
      </c>
      <c r="L228" s="502">
        <f t="shared" si="749"/>
        <v>17155</v>
      </c>
      <c r="M228" s="502">
        <f t="shared" si="749"/>
        <v>8588</v>
      </c>
      <c r="N228" s="503">
        <f t="shared" si="749"/>
        <v>3.6909000000000001</v>
      </c>
      <c r="O228" s="503">
        <f t="shared" si="749"/>
        <v>2.3708999999999998</v>
      </c>
      <c r="P228" s="507">
        <f t="shared" si="749"/>
        <v>1.32</v>
      </c>
      <c r="Q228" s="505">
        <f t="shared" ref="Q228:BA228" si="750">SUM(Q225:Q227)</f>
        <v>-39000</v>
      </c>
      <c r="R228" s="502">
        <f t="shared" si="750"/>
        <v>0</v>
      </c>
      <c r="S228" s="502">
        <f t="shared" si="750"/>
        <v>0</v>
      </c>
      <c r="T228" s="502">
        <f t="shared" si="750"/>
        <v>0</v>
      </c>
      <c r="U228" s="502">
        <f t="shared" si="750"/>
        <v>0</v>
      </c>
      <c r="V228" s="502">
        <f t="shared" si="750"/>
        <v>-39000</v>
      </c>
      <c r="W228" s="502">
        <f t="shared" si="750"/>
        <v>39000</v>
      </c>
      <c r="X228" s="502">
        <f t="shared" si="750"/>
        <v>0</v>
      </c>
      <c r="Y228" s="502">
        <f t="shared" si="750"/>
        <v>0</v>
      </c>
      <c r="Z228" s="502">
        <f t="shared" si="750"/>
        <v>39000</v>
      </c>
      <c r="AA228" s="502">
        <f t="shared" si="750"/>
        <v>0</v>
      </c>
      <c r="AB228" s="502">
        <f t="shared" si="750"/>
        <v>0</v>
      </c>
      <c r="AC228" s="502">
        <f t="shared" si="750"/>
        <v>-390</v>
      </c>
      <c r="AD228" s="502">
        <f t="shared" si="750"/>
        <v>0</v>
      </c>
      <c r="AE228" s="502">
        <f t="shared" si="750"/>
        <v>0</v>
      </c>
      <c r="AF228" s="502">
        <f t="shared" si="750"/>
        <v>0</v>
      </c>
      <c r="AG228" s="502">
        <f t="shared" si="750"/>
        <v>-390</v>
      </c>
      <c r="AH228" s="503">
        <f t="shared" si="750"/>
        <v>-0.01</v>
      </c>
      <c r="AI228" s="503">
        <f t="shared" si="750"/>
        <v>-0.11</v>
      </c>
      <c r="AJ228" s="503">
        <f t="shared" si="750"/>
        <v>0</v>
      </c>
      <c r="AK228" s="503">
        <f t="shared" si="750"/>
        <v>0</v>
      </c>
      <c r="AL228" s="503">
        <f t="shared" si="750"/>
        <v>0</v>
      </c>
      <c r="AM228" s="503">
        <f t="shared" si="750"/>
        <v>0</v>
      </c>
      <c r="AN228" s="503">
        <f t="shared" si="750"/>
        <v>0</v>
      </c>
      <c r="AO228" s="503">
        <f t="shared" si="750"/>
        <v>0</v>
      </c>
      <c r="AP228" s="503">
        <f t="shared" si="750"/>
        <v>-0.01</v>
      </c>
      <c r="AQ228" s="503">
        <f t="shared" si="750"/>
        <v>-0.11</v>
      </c>
      <c r="AR228" s="40">
        <f t="shared" si="750"/>
        <v>-0.12</v>
      </c>
      <c r="AS228" s="509">
        <f t="shared" si="750"/>
        <v>2320651</v>
      </c>
      <c r="AT228" s="502">
        <f t="shared" si="750"/>
        <v>1676470</v>
      </c>
      <c r="AU228" s="502">
        <f t="shared" si="750"/>
        <v>39000</v>
      </c>
      <c r="AV228" s="502">
        <f t="shared" si="750"/>
        <v>579828</v>
      </c>
      <c r="AW228" s="502">
        <f t="shared" si="750"/>
        <v>16765</v>
      </c>
      <c r="AX228" s="502">
        <f t="shared" si="750"/>
        <v>8588</v>
      </c>
      <c r="AY228" s="503">
        <f t="shared" si="750"/>
        <v>3.5709</v>
      </c>
      <c r="AZ228" s="503">
        <f t="shared" si="750"/>
        <v>2.3609</v>
      </c>
      <c r="BA228" s="40">
        <f t="shared" si="750"/>
        <v>1.21</v>
      </c>
    </row>
    <row r="229" spans="1:53" s="229" customFormat="1" ht="12.75" customHeight="1" x14ac:dyDescent="0.2">
      <c r="A229" s="216">
        <v>41</v>
      </c>
      <c r="B229" s="217">
        <v>4432</v>
      </c>
      <c r="C229" s="217">
        <v>600074625</v>
      </c>
      <c r="D229" s="217">
        <v>70695903</v>
      </c>
      <c r="E229" s="215" t="s">
        <v>228</v>
      </c>
      <c r="F229" s="217">
        <v>3111</v>
      </c>
      <c r="G229" s="168" t="s">
        <v>307</v>
      </c>
      <c r="H229" s="218" t="s">
        <v>277</v>
      </c>
      <c r="I229" s="462">
        <f t="shared" ref="I229:I234" si="751">SUM(J229:M229)</f>
        <v>1743852</v>
      </c>
      <c r="J229" s="457">
        <v>1286537</v>
      </c>
      <c r="K229" s="457">
        <f t="shared" ref="K229:K234" si="752">ROUND(J229*33.8%,0)</f>
        <v>434850</v>
      </c>
      <c r="L229" s="457">
        <f t="shared" ref="L229:L234" si="753">ROUND(J229*1%,0)</f>
        <v>12865</v>
      </c>
      <c r="M229" s="457">
        <v>9600</v>
      </c>
      <c r="N229" s="458">
        <f t="shared" ref="N229:N234" si="754">O229+P229</f>
        <v>2.4</v>
      </c>
      <c r="O229" s="459">
        <v>2</v>
      </c>
      <c r="P229" s="468">
        <v>0.4</v>
      </c>
      <c r="Q229" s="470">
        <f t="shared" ref="Q229:Q234" si="755">W229*-1</f>
        <v>0</v>
      </c>
      <c r="R229" s="460">
        <v>0</v>
      </c>
      <c r="S229" s="673">
        <v>0</v>
      </c>
      <c r="T229" s="460">
        <v>0</v>
      </c>
      <c r="U229" s="460">
        <v>0</v>
      </c>
      <c r="V229" s="460">
        <f t="shared" ref="V229:V234" si="756">SUM(Q229:U229)</f>
        <v>0</v>
      </c>
      <c r="W229" s="460">
        <v>0</v>
      </c>
      <c r="X229" s="460">
        <v>0</v>
      </c>
      <c r="Y229" s="460">
        <v>0</v>
      </c>
      <c r="Z229" s="460">
        <f t="shared" ref="Z229:Z234" si="757">SUM(W229:Y229)</f>
        <v>0</v>
      </c>
      <c r="AA229" s="460">
        <f t="shared" ref="AA229:AA234" si="758">V229+Z229</f>
        <v>0</v>
      </c>
      <c r="AB229" s="69">
        <f t="shared" ref="AB229:AB234" si="759">ROUND((V229+W229+X229)*33.8%,0)</f>
        <v>0</v>
      </c>
      <c r="AC229" s="69">
        <f t="shared" ref="AC229:AC234" si="760">ROUND(V229*1%,0)</f>
        <v>0</v>
      </c>
      <c r="AD229" s="460">
        <v>0</v>
      </c>
      <c r="AE229" s="460">
        <v>0</v>
      </c>
      <c r="AF229" s="460">
        <f t="shared" ref="AF229:AF234" si="761">SUM(AD229:AE229)</f>
        <v>0</v>
      </c>
      <c r="AG229" s="460">
        <f t="shared" ref="AG229:AG234" si="762">AA229+AB229+AC229+AF229</f>
        <v>0</v>
      </c>
      <c r="AH229" s="461">
        <v>0</v>
      </c>
      <c r="AI229" s="461">
        <v>0</v>
      </c>
      <c r="AJ229" s="461">
        <v>0</v>
      </c>
      <c r="AK229" s="461">
        <v>0</v>
      </c>
      <c r="AL229" s="674">
        <v>0</v>
      </c>
      <c r="AM229" s="461">
        <v>0</v>
      </c>
      <c r="AN229" s="461">
        <v>0</v>
      </c>
      <c r="AO229" s="461">
        <v>0</v>
      </c>
      <c r="AP229" s="461">
        <f t="shared" ref="AP229:AP234" si="763">AH229+AJ229+AK229+AM229+AN229</f>
        <v>0</v>
      </c>
      <c r="AQ229" s="461">
        <f t="shared" ref="AQ229:AQ234" si="764">AI229+AL229+AO229</f>
        <v>0</v>
      </c>
      <c r="AR229" s="463">
        <f t="shared" ref="AR229:AR234" si="765">SUM(AP229:AQ229)</f>
        <v>0</v>
      </c>
      <c r="AS229" s="469">
        <f t="shared" ref="AS229:AS234" si="766">I229+AG229</f>
        <v>1743852</v>
      </c>
      <c r="AT229" s="460">
        <f t="shared" ref="AT229:AT234" si="767">J229+V229</f>
        <v>1286537</v>
      </c>
      <c r="AU229" s="460">
        <f t="shared" ref="AU229:AU234" si="768">Z229</f>
        <v>0</v>
      </c>
      <c r="AV229" s="460">
        <f t="shared" ref="AV229:AW234" si="769">K229+AB229</f>
        <v>434850</v>
      </c>
      <c r="AW229" s="460">
        <f t="shared" si="769"/>
        <v>12865</v>
      </c>
      <c r="AX229" s="460">
        <f t="shared" ref="AX229:AX234" si="770">M229+AF229</f>
        <v>9600</v>
      </c>
      <c r="AY229" s="461">
        <f t="shared" ref="AY229:AY234" si="771">N229+AR229</f>
        <v>2.4</v>
      </c>
      <c r="AZ229" s="461">
        <f t="shared" ref="AZ229:BA234" si="772">O229+AP229</f>
        <v>2</v>
      </c>
      <c r="BA229" s="463">
        <f t="shared" si="772"/>
        <v>0.4</v>
      </c>
    </row>
    <row r="230" spans="1:53" s="229" customFormat="1" ht="12.75" customHeight="1" x14ac:dyDescent="0.2">
      <c r="A230" s="216">
        <v>41</v>
      </c>
      <c r="B230" s="217">
        <v>4432</v>
      </c>
      <c r="C230" s="217">
        <v>600074625</v>
      </c>
      <c r="D230" s="217">
        <v>70695903</v>
      </c>
      <c r="E230" s="215" t="s">
        <v>228</v>
      </c>
      <c r="F230" s="217">
        <v>3117</v>
      </c>
      <c r="G230" s="168" t="s">
        <v>310</v>
      </c>
      <c r="H230" s="218" t="s">
        <v>277</v>
      </c>
      <c r="I230" s="462">
        <f t="shared" si="751"/>
        <v>3238017</v>
      </c>
      <c r="J230" s="457">
        <v>2369263</v>
      </c>
      <c r="K230" s="457">
        <f t="shared" si="752"/>
        <v>800811</v>
      </c>
      <c r="L230" s="457">
        <f t="shared" si="753"/>
        <v>23693</v>
      </c>
      <c r="M230" s="457">
        <v>44250</v>
      </c>
      <c r="N230" s="458">
        <f t="shared" si="754"/>
        <v>4.6253000000000002</v>
      </c>
      <c r="O230" s="459">
        <v>3.5682</v>
      </c>
      <c r="P230" s="468">
        <v>1.0570999999999999</v>
      </c>
      <c r="Q230" s="470">
        <f t="shared" si="755"/>
        <v>0</v>
      </c>
      <c r="R230" s="460">
        <v>0</v>
      </c>
      <c r="S230" s="673">
        <v>0</v>
      </c>
      <c r="T230" s="460">
        <v>0</v>
      </c>
      <c r="U230" s="460">
        <v>0</v>
      </c>
      <c r="V230" s="460">
        <f t="shared" si="756"/>
        <v>0</v>
      </c>
      <c r="W230" s="460">
        <v>0</v>
      </c>
      <c r="X230" s="460">
        <v>0</v>
      </c>
      <c r="Y230" s="460">
        <v>0</v>
      </c>
      <c r="Z230" s="460">
        <f t="shared" si="757"/>
        <v>0</v>
      </c>
      <c r="AA230" s="460">
        <f t="shared" si="758"/>
        <v>0</v>
      </c>
      <c r="AB230" s="69">
        <f t="shared" si="759"/>
        <v>0</v>
      </c>
      <c r="AC230" s="69">
        <f t="shared" si="760"/>
        <v>0</v>
      </c>
      <c r="AD230" s="460">
        <v>0</v>
      </c>
      <c r="AE230" s="460">
        <v>0</v>
      </c>
      <c r="AF230" s="460">
        <f t="shared" si="761"/>
        <v>0</v>
      </c>
      <c r="AG230" s="460">
        <f t="shared" si="762"/>
        <v>0</v>
      </c>
      <c r="AH230" s="461">
        <v>0</v>
      </c>
      <c r="AI230" s="461">
        <v>0</v>
      </c>
      <c r="AJ230" s="461">
        <v>0</v>
      </c>
      <c r="AK230" s="461">
        <v>0</v>
      </c>
      <c r="AL230" s="674">
        <v>0</v>
      </c>
      <c r="AM230" s="461">
        <v>0</v>
      </c>
      <c r="AN230" s="461">
        <v>0</v>
      </c>
      <c r="AO230" s="461">
        <v>0</v>
      </c>
      <c r="AP230" s="461">
        <f t="shared" si="763"/>
        <v>0</v>
      </c>
      <c r="AQ230" s="461">
        <f t="shared" si="764"/>
        <v>0</v>
      </c>
      <c r="AR230" s="463">
        <f t="shared" si="765"/>
        <v>0</v>
      </c>
      <c r="AS230" s="469">
        <f t="shared" si="766"/>
        <v>3238017</v>
      </c>
      <c r="AT230" s="460">
        <f t="shared" si="767"/>
        <v>2369263</v>
      </c>
      <c r="AU230" s="460">
        <f t="shared" si="768"/>
        <v>0</v>
      </c>
      <c r="AV230" s="460">
        <f t="shared" si="769"/>
        <v>800811</v>
      </c>
      <c r="AW230" s="460">
        <f t="shared" si="769"/>
        <v>23693</v>
      </c>
      <c r="AX230" s="460">
        <f t="shared" si="770"/>
        <v>44250</v>
      </c>
      <c r="AY230" s="461">
        <f t="shared" si="771"/>
        <v>4.6253000000000002</v>
      </c>
      <c r="AZ230" s="461">
        <f t="shared" si="772"/>
        <v>3.5682</v>
      </c>
      <c r="BA230" s="463">
        <f t="shared" si="772"/>
        <v>1.0570999999999999</v>
      </c>
    </row>
    <row r="231" spans="1:53" s="229" customFormat="1" ht="12.75" customHeight="1" x14ac:dyDescent="0.2">
      <c r="A231" s="216">
        <v>41</v>
      </c>
      <c r="B231" s="217">
        <v>4432</v>
      </c>
      <c r="C231" s="217">
        <v>600074625</v>
      </c>
      <c r="D231" s="217">
        <v>70695903</v>
      </c>
      <c r="E231" s="215" t="s">
        <v>228</v>
      </c>
      <c r="F231" s="217">
        <v>3117</v>
      </c>
      <c r="G231" s="168" t="s">
        <v>308</v>
      </c>
      <c r="H231" s="218" t="s">
        <v>278</v>
      </c>
      <c r="I231" s="462">
        <f t="shared" si="751"/>
        <v>0</v>
      </c>
      <c r="J231" s="457">
        <v>0</v>
      </c>
      <c r="K231" s="457">
        <f t="shared" si="752"/>
        <v>0</v>
      </c>
      <c r="L231" s="457">
        <f t="shared" si="753"/>
        <v>0</v>
      </c>
      <c r="M231" s="457">
        <v>0</v>
      </c>
      <c r="N231" s="458">
        <f t="shared" si="754"/>
        <v>0</v>
      </c>
      <c r="O231" s="459">
        <v>0</v>
      </c>
      <c r="P231" s="468">
        <v>0</v>
      </c>
      <c r="Q231" s="470">
        <f t="shared" si="755"/>
        <v>0</v>
      </c>
      <c r="R231" s="460">
        <v>1318436</v>
      </c>
      <c r="S231" s="673">
        <v>0</v>
      </c>
      <c r="T231" s="460">
        <v>0</v>
      </c>
      <c r="U231" s="460">
        <v>0</v>
      </c>
      <c r="V231" s="460">
        <f t="shared" si="756"/>
        <v>1318436</v>
      </c>
      <c r="W231" s="460">
        <v>0</v>
      </c>
      <c r="X231" s="460">
        <v>0</v>
      </c>
      <c r="Y231" s="460">
        <v>0</v>
      </c>
      <c r="Z231" s="460">
        <f t="shared" si="757"/>
        <v>0</v>
      </c>
      <c r="AA231" s="460">
        <f t="shared" si="758"/>
        <v>1318436</v>
      </c>
      <c r="AB231" s="69">
        <f t="shared" si="759"/>
        <v>445631</v>
      </c>
      <c r="AC231" s="69">
        <f t="shared" si="760"/>
        <v>13184</v>
      </c>
      <c r="AD231" s="460">
        <f>4500+3000</f>
        <v>7500</v>
      </c>
      <c r="AE231" s="460">
        <v>0</v>
      </c>
      <c r="AF231" s="460">
        <f t="shared" si="761"/>
        <v>7500</v>
      </c>
      <c r="AG231" s="460">
        <f t="shared" si="762"/>
        <v>1784751</v>
      </c>
      <c r="AH231" s="461">
        <v>0</v>
      </c>
      <c r="AI231" s="461">
        <v>0</v>
      </c>
      <c r="AJ231" s="461">
        <v>3.81</v>
      </c>
      <c r="AK231" s="461">
        <v>0</v>
      </c>
      <c r="AL231" s="674">
        <v>0</v>
      </c>
      <c r="AM231" s="461">
        <v>0</v>
      </c>
      <c r="AN231" s="461">
        <v>0</v>
      </c>
      <c r="AO231" s="461">
        <v>0</v>
      </c>
      <c r="AP231" s="461">
        <f t="shared" si="763"/>
        <v>3.81</v>
      </c>
      <c r="AQ231" s="461">
        <f t="shared" si="764"/>
        <v>0</v>
      </c>
      <c r="AR231" s="463">
        <f t="shared" si="765"/>
        <v>3.81</v>
      </c>
      <c r="AS231" s="469">
        <f t="shared" si="766"/>
        <v>1784751</v>
      </c>
      <c r="AT231" s="460">
        <f t="shared" si="767"/>
        <v>1318436</v>
      </c>
      <c r="AU231" s="460">
        <f t="shared" si="768"/>
        <v>0</v>
      </c>
      <c r="AV231" s="460">
        <f t="shared" si="769"/>
        <v>445631</v>
      </c>
      <c r="AW231" s="460">
        <f t="shared" si="769"/>
        <v>13184</v>
      </c>
      <c r="AX231" s="460">
        <f t="shared" si="770"/>
        <v>7500</v>
      </c>
      <c r="AY231" s="461">
        <f t="shared" si="771"/>
        <v>3.81</v>
      </c>
      <c r="AZ231" s="461">
        <f t="shared" si="772"/>
        <v>3.81</v>
      </c>
      <c r="BA231" s="463">
        <f t="shared" si="772"/>
        <v>0</v>
      </c>
    </row>
    <row r="232" spans="1:53" s="229" customFormat="1" ht="12.75" customHeight="1" x14ac:dyDescent="0.2">
      <c r="A232" s="216">
        <v>41</v>
      </c>
      <c r="B232" s="217">
        <v>4432</v>
      </c>
      <c r="C232" s="217">
        <v>600074625</v>
      </c>
      <c r="D232" s="217">
        <v>70695903</v>
      </c>
      <c r="E232" s="215" t="s">
        <v>228</v>
      </c>
      <c r="F232" s="217">
        <v>3141</v>
      </c>
      <c r="G232" s="168" t="s">
        <v>311</v>
      </c>
      <c r="H232" s="218" t="s">
        <v>278</v>
      </c>
      <c r="I232" s="462">
        <f t="shared" si="751"/>
        <v>725185</v>
      </c>
      <c r="J232" s="457">
        <v>535888</v>
      </c>
      <c r="K232" s="457">
        <f t="shared" si="752"/>
        <v>181130</v>
      </c>
      <c r="L232" s="457">
        <f t="shared" si="753"/>
        <v>5359</v>
      </c>
      <c r="M232" s="457">
        <v>2808</v>
      </c>
      <c r="N232" s="458">
        <f t="shared" si="754"/>
        <v>1.72</v>
      </c>
      <c r="O232" s="459">
        <v>0</v>
      </c>
      <c r="P232" s="468">
        <v>1.72</v>
      </c>
      <c r="Q232" s="470">
        <f t="shared" si="755"/>
        <v>0</v>
      </c>
      <c r="R232" s="460">
        <v>0</v>
      </c>
      <c r="S232" s="673">
        <v>0</v>
      </c>
      <c r="T232" s="460">
        <v>0</v>
      </c>
      <c r="U232" s="460">
        <v>0</v>
      </c>
      <c r="V232" s="460">
        <f t="shared" si="756"/>
        <v>0</v>
      </c>
      <c r="W232" s="460">
        <v>0</v>
      </c>
      <c r="X232" s="460">
        <v>0</v>
      </c>
      <c r="Y232" s="460">
        <v>0</v>
      </c>
      <c r="Z232" s="460">
        <f t="shared" si="757"/>
        <v>0</v>
      </c>
      <c r="AA232" s="460">
        <f t="shared" si="758"/>
        <v>0</v>
      </c>
      <c r="AB232" s="69">
        <f t="shared" si="759"/>
        <v>0</v>
      </c>
      <c r="AC232" s="69">
        <f t="shared" si="760"/>
        <v>0</v>
      </c>
      <c r="AD232" s="460">
        <v>0</v>
      </c>
      <c r="AE232" s="460">
        <v>0</v>
      </c>
      <c r="AF232" s="460">
        <f t="shared" si="761"/>
        <v>0</v>
      </c>
      <c r="AG232" s="460">
        <f t="shared" si="762"/>
        <v>0</v>
      </c>
      <c r="AH232" s="461">
        <v>0</v>
      </c>
      <c r="AI232" s="461">
        <v>0</v>
      </c>
      <c r="AJ232" s="461">
        <v>0</v>
      </c>
      <c r="AK232" s="461">
        <v>0</v>
      </c>
      <c r="AL232" s="674">
        <v>0</v>
      </c>
      <c r="AM232" s="461">
        <v>0</v>
      </c>
      <c r="AN232" s="461">
        <v>0</v>
      </c>
      <c r="AO232" s="461">
        <v>0</v>
      </c>
      <c r="AP232" s="461">
        <f t="shared" si="763"/>
        <v>0</v>
      </c>
      <c r="AQ232" s="461">
        <f t="shared" si="764"/>
        <v>0</v>
      </c>
      <c r="AR232" s="463">
        <f t="shared" si="765"/>
        <v>0</v>
      </c>
      <c r="AS232" s="469">
        <f t="shared" si="766"/>
        <v>725185</v>
      </c>
      <c r="AT232" s="460">
        <f t="shared" si="767"/>
        <v>535888</v>
      </c>
      <c r="AU232" s="460">
        <f t="shared" si="768"/>
        <v>0</v>
      </c>
      <c r="AV232" s="460">
        <f t="shared" si="769"/>
        <v>181130</v>
      </c>
      <c r="AW232" s="460">
        <f t="shared" si="769"/>
        <v>5359</v>
      </c>
      <c r="AX232" s="460">
        <f t="shared" si="770"/>
        <v>2808</v>
      </c>
      <c r="AY232" s="461">
        <f t="shared" si="771"/>
        <v>1.72</v>
      </c>
      <c r="AZ232" s="461">
        <f t="shared" si="772"/>
        <v>0</v>
      </c>
      <c r="BA232" s="463">
        <f t="shared" si="772"/>
        <v>1.72</v>
      </c>
    </row>
    <row r="233" spans="1:53" s="229" customFormat="1" ht="12.75" customHeight="1" x14ac:dyDescent="0.2">
      <c r="A233" s="216">
        <v>41</v>
      </c>
      <c r="B233" s="217">
        <v>4432</v>
      </c>
      <c r="C233" s="217">
        <v>600074625</v>
      </c>
      <c r="D233" s="217">
        <v>70695903</v>
      </c>
      <c r="E233" s="215" t="s">
        <v>228</v>
      </c>
      <c r="F233" s="217">
        <v>3143</v>
      </c>
      <c r="G233" s="168" t="s">
        <v>616</v>
      </c>
      <c r="H233" s="234" t="s">
        <v>277</v>
      </c>
      <c r="I233" s="462">
        <f t="shared" si="751"/>
        <v>759607</v>
      </c>
      <c r="J233" s="457">
        <v>563507</v>
      </c>
      <c r="K233" s="457">
        <f t="shared" si="752"/>
        <v>190465</v>
      </c>
      <c r="L233" s="457">
        <f t="shared" si="753"/>
        <v>5635</v>
      </c>
      <c r="M233" s="457">
        <v>0</v>
      </c>
      <c r="N233" s="458">
        <f t="shared" si="754"/>
        <v>1.3035000000000001</v>
      </c>
      <c r="O233" s="459">
        <v>1.3035000000000001</v>
      </c>
      <c r="P233" s="468">
        <v>0</v>
      </c>
      <c r="Q233" s="470">
        <f t="shared" si="755"/>
        <v>0</v>
      </c>
      <c r="R233" s="460">
        <v>0</v>
      </c>
      <c r="S233" s="673">
        <v>0</v>
      </c>
      <c r="T233" s="460">
        <v>0</v>
      </c>
      <c r="U233" s="460">
        <v>0</v>
      </c>
      <c r="V233" s="460">
        <f t="shared" si="756"/>
        <v>0</v>
      </c>
      <c r="W233" s="460">
        <v>0</v>
      </c>
      <c r="X233" s="460">
        <v>0</v>
      </c>
      <c r="Y233" s="460">
        <v>0</v>
      </c>
      <c r="Z233" s="460">
        <f t="shared" si="757"/>
        <v>0</v>
      </c>
      <c r="AA233" s="460">
        <f t="shared" si="758"/>
        <v>0</v>
      </c>
      <c r="AB233" s="69">
        <f t="shared" si="759"/>
        <v>0</v>
      </c>
      <c r="AC233" s="69">
        <f t="shared" si="760"/>
        <v>0</v>
      </c>
      <c r="AD233" s="460">
        <v>0</v>
      </c>
      <c r="AE233" s="460">
        <v>0</v>
      </c>
      <c r="AF233" s="460">
        <f t="shared" si="761"/>
        <v>0</v>
      </c>
      <c r="AG233" s="460">
        <f t="shared" si="762"/>
        <v>0</v>
      </c>
      <c r="AH233" s="461">
        <v>0</v>
      </c>
      <c r="AI233" s="461">
        <v>0</v>
      </c>
      <c r="AJ233" s="461">
        <v>0</v>
      </c>
      <c r="AK233" s="461">
        <v>0</v>
      </c>
      <c r="AL233" s="674">
        <v>0</v>
      </c>
      <c r="AM233" s="461">
        <v>0</v>
      </c>
      <c r="AN233" s="461">
        <v>0</v>
      </c>
      <c r="AO233" s="461">
        <v>0</v>
      </c>
      <c r="AP233" s="461">
        <f t="shared" si="763"/>
        <v>0</v>
      </c>
      <c r="AQ233" s="461">
        <f t="shared" si="764"/>
        <v>0</v>
      </c>
      <c r="AR233" s="463">
        <f t="shared" si="765"/>
        <v>0</v>
      </c>
      <c r="AS233" s="469">
        <f t="shared" si="766"/>
        <v>759607</v>
      </c>
      <c r="AT233" s="460">
        <f t="shared" si="767"/>
        <v>563507</v>
      </c>
      <c r="AU233" s="460">
        <f t="shared" si="768"/>
        <v>0</v>
      </c>
      <c r="AV233" s="460">
        <f t="shared" si="769"/>
        <v>190465</v>
      </c>
      <c r="AW233" s="460">
        <f t="shared" si="769"/>
        <v>5635</v>
      </c>
      <c r="AX233" s="460">
        <f t="shared" si="770"/>
        <v>0</v>
      </c>
      <c r="AY233" s="461">
        <f t="shared" si="771"/>
        <v>1.3035000000000001</v>
      </c>
      <c r="AZ233" s="461">
        <f t="shared" si="772"/>
        <v>1.3035000000000001</v>
      </c>
      <c r="BA233" s="463">
        <f t="shared" si="772"/>
        <v>0</v>
      </c>
    </row>
    <row r="234" spans="1:53" s="229" customFormat="1" ht="12.75" customHeight="1" x14ac:dyDescent="0.2">
      <c r="A234" s="216">
        <v>41</v>
      </c>
      <c r="B234" s="217">
        <v>4432</v>
      </c>
      <c r="C234" s="217">
        <v>600074625</v>
      </c>
      <c r="D234" s="217">
        <v>70695903</v>
      </c>
      <c r="E234" s="215" t="s">
        <v>228</v>
      </c>
      <c r="F234" s="217">
        <v>3143</v>
      </c>
      <c r="G234" s="168" t="s">
        <v>617</v>
      </c>
      <c r="H234" s="234" t="s">
        <v>278</v>
      </c>
      <c r="I234" s="462">
        <f t="shared" si="751"/>
        <v>14661</v>
      </c>
      <c r="J234" s="457">
        <v>10475</v>
      </c>
      <c r="K234" s="457">
        <f t="shared" si="752"/>
        <v>3541</v>
      </c>
      <c r="L234" s="457">
        <f t="shared" si="753"/>
        <v>105</v>
      </c>
      <c r="M234" s="457">
        <v>540</v>
      </c>
      <c r="N234" s="458">
        <f t="shared" si="754"/>
        <v>0.04</v>
      </c>
      <c r="O234" s="459">
        <v>0</v>
      </c>
      <c r="P234" s="468">
        <v>0.04</v>
      </c>
      <c r="Q234" s="470">
        <f t="shared" si="755"/>
        <v>0</v>
      </c>
      <c r="R234" s="460">
        <v>0</v>
      </c>
      <c r="S234" s="673">
        <v>0</v>
      </c>
      <c r="T234" s="460">
        <v>0</v>
      </c>
      <c r="U234" s="460">
        <v>0</v>
      </c>
      <c r="V234" s="460">
        <f t="shared" si="756"/>
        <v>0</v>
      </c>
      <c r="W234" s="460">
        <v>0</v>
      </c>
      <c r="X234" s="460">
        <v>0</v>
      </c>
      <c r="Y234" s="460">
        <v>0</v>
      </c>
      <c r="Z234" s="460">
        <f t="shared" si="757"/>
        <v>0</v>
      </c>
      <c r="AA234" s="460">
        <f t="shared" si="758"/>
        <v>0</v>
      </c>
      <c r="AB234" s="69">
        <f t="shared" si="759"/>
        <v>0</v>
      </c>
      <c r="AC234" s="69">
        <f t="shared" si="760"/>
        <v>0</v>
      </c>
      <c r="AD234" s="460">
        <v>0</v>
      </c>
      <c r="AE234" s="460">
        <v>0</v>
      </c>
      <c r="AF234" s="460">
        <f t="shared" si="761"/>
        <v>0</v>
      </c>
      <c r="AG234" s="460">
        <f t="shared" si="762"/>
        <v>0</v>
      </c>
      <c r="AH234" s="461">
        <v>0</v>
      </c>
      <c r="AI234" s="461">
        <v>0</v>
      </c>
      <c r="AJ234" s="461">
        <v>0</v>
      </c>
      <c r="AK234" s="461">
        <v>0</v>
      </c>
      <c r="AL234" s="674">
        <v>0</v>
      </c>
      <c r="AM234" s="461">
        <v>0</v>
      </c>
      <c r="AN234" s="461">
        <v>0</v>
      </c>
      <c r="AO234" s="461">
        <v>0</v>
      </c>
      <c r="AP234" s="461">
        <f t="shared" si="763"/>
        <v>0</v>
      </c>
      <c r="AQ234" s="461">
        <f t="shared" si="764"/>
        <v>0</v>
      </c>
      <c r="AR234" s="463">
        <f t="shared" si="765"/>
        <v>0</v>
      </c>
      <c r="AS234" s="469">
        <f t="shared" si="766"/>
        <v>14661</v>
      </c>
      <c r="AT234" s="460">
        <f t="shared" si="767"/>
        <v>10475</v>
      </c>
      <c r="AU234" s="460">
        <f t="shared" si="768"/>
        <v>0</v>
      </c>
      <c r="AV234" s="460">
        <f t="shared" si="769"/>
        <v>3541</v>
      </c>
      <c r="AW234" s="460">
        <f t="shared" si="769"/>
        <v>105</v>
      </c>
      <c r="AX234" s="460">
        <f t="shared" si="770"/>
        <v>540</v>
      </c>
      <c r="AY234" s="461">
        <f t="shared" si="771"/>
        <v>0.04</v>
      </c>
      <c r="AZ234" s="461">
        <f t="shared" si="772"/>
        <v>0</v>
      </c>
      <c r="BA234" s="463">
        <f t="shared" si="772"/>
        <v>0.04</v>
      </c>
    </row>
    <row r="235" spans="1:53" s="229" customFormat="1" ht="12.75" customHeight="1" x14ac:dyDescent="0.2">
      <c r="A235" s="158">
        <v>41</v>
      </c>
      <c r="B235" s="18">
        <v>4432</v>
      </c>
      <c r="C235" s="18">
        <v>600074625</v>
      </c>
      <c r="D235" s="18">
        <v>70695903</v>
      </c>
      <c r="E235" s="167" t="s">
        <v>229</v>
      </c>
      <c r="F235" s="18"/>
      <c r="G235" s="157"/>
      <c r="H235" s="191"/>
      <c r="I235" s="505">
        <f t="shared" ref="I235:BA235" si="773">SUM(I229:I234)</f>
        <v>6481322</v>
      </c>
      <c r="J235" s="502">
        <f t="shared" si="773"/>
        <v>4765670</v>
      </c>
      <c r="K235" s="502">
        <f t="shared" si="773"/>
        <v>1610797</v>
      </c>
      <c r="L235" s="502">
        <f t="shared" si="773"/>
        <v>47657</v>
      </c>
      <c r="M235" s="502">
        <f t="shared" si="773"/>
        <v>57198</v>
      </c>
      <c r="N235" s="503">
        <f t="shared" si="773"/>
        <v>10.088799999999999</v>
      </c>
      <c r="O235" s="503">
        <f t="shared" si="773"/>
        <v>6.8717000000000006</v>
      </c>
      <c r="P235" s="507">
        <f t="shared" si="773"/>
        <v>3.2171000000000003</v>
      </c>
      <c r="Q235" s="505">
        <f t="shared" si="773"/>
        <v>0</v>
      </c>
      <c r="R235" s="502">
        <f t="shared" si="773"/>
        <v>1318436</v>
      </c>
      <c r="S235" s="502">
        <f t="shared" si="773"/>
        <v>0</v>
      </c>
      <c r="T235" s="502">
        <f t="shared" si="773"/>
        <v>0</v>
      </c>
      <c r="U235" s="502">
        <f t="shared" si="773"/>
        <v>0</v>
      </c>
      <c r="V235" s="502">
        <f t="shared" si="773"/>
        <v>1318436</v>
      </c>
      <c r="W235" s="502">
        <f t="shared" si="773"/>
        <v>0</v>
      </c>
      <c r="X235" s="502">
        <f t="shared" si="773"/>
        <v>0</v>
      </c>
      <c r="Y235" s="502">
        <f t="shared" si="773"/>
        <v>0</v>
      </c>
      <c r="Z235" s="502">
        <f t="shared" si="773"/>
        <v>0</v>
      </c>
      <c r="AA235" s="502">
        <f t="shared" si="773"/>
        <v>1318436</v>
      </c>
      <c r="AB235" s="502">
        <f t="shared" si="773"/>
        <v>445631</v>
      </c>
      <c r="AC235" s="502">
        <f t="shared" si="773"/>
        <v>13184</v>
      </c>
      <c r="AD235" s="502">
        <f t="shared" si="773"/>
        <v>7500</v>
      </c>
      <c r="AE235" s="502">
        <f t="shared" si="773"/>
        <v>0</v>
      </c>
      <c r="AF235" s="502">
        <f t="shared" si="773"/>
        <v>7500</v>
      </c>
      <c r="AG235" s="502">
        <f t="shared" si="773"/>
        <v>1784751</v>
      </c>
      <c r="AH235" s="503">
        <f t="shared" si="773"/>
        <v>0</v>
      </c>
      <c r="AI235" s="503">
        <f t="shared" si="773"/>
        <v>0</v>
      </c>
      <c r="AJ235" s="503">
        <f t="shared" si="773"/>
        <v>3.81</v>
      </c>
      <c r="AK235" s="503">
        <f t="shared" si="773"/>
        <v>0</v>
      </c>
      <c r="AL235" s="503">
        <f t="shared" si="773"/>
        <v>0</v>
      </c>
      <c r="AM235" s="503">
        <f t="shared" si="773"/>
        <v>0</v>
      </c>
      <c r="AN235" s="503">
        <f t="shared" si="773"/>
        <v>0</v>
      </c>
      <c r="AO235" s="503">
        <f t="shared" si="773"/>
        <v>0</v>
      </c>
      <c r="AP235" s="503">
        <f t="shared" si="773"/>
        <v>3.81</v>
      </c>
      <c r="AQ235" s="503">
        <f t="shared" si="773"/>
        <v>0</v>
      </c>
      <c r="AR235" s="40">
        <f t="shared" si="773"/>
        <v>3.81</v>
      </c>
      <c r="AS235" s="509">
        <f t="shared" si="773"/>
        <v>8266073</v>
      </c>
      <c r="AT235" s="502">
        <f t="shared" si="773"/>
        <v>6084106</v>
      </c>
      <c r="AU235" s="502">
        <f t="shared" si="773"/>
        <v>0</v>
      </c>
      <c r="AV235" s="502">
        <f t="shared" si="773"/>
        <v>2056428</v>
      </c>
      <c r="AW235" s="502">
        <f t="shared" si="773"/>
        <v>60841</v>
      </c>
      <c r="AX235" s="502">
        <f t="shared" si="773"/>
        <v>64698</v>
      </c>
      <c r="AY235" s="503">
        <f t="shared" si="773"/>
        <v>13.8988</v>
      </c>
      <c r="AZ235" s="503">
        <f t="shared" si="773"/>
        <v>10.681699999999999</v>
      </c>
      <c r="BA235" s="40">
        <f t="shared" si="773"/>
        <v>3.2171000000000003</v>
      </c>
    </row>
    <row r="236" spans="1:53" s="229" customFormat="1" ht="12.75" customHeight="1" x14ac:dyDescent="0.2">
      <c r="A236" s="216">
        <v>42</v>
      </c>
      <c r="B236" s="217">
        <v>4459</v>
      </c>
      <c r="C236" s="217">
        <v>650037171</v>
      </c>
      <c r="D236" s="217">
        <v>72742356</v>
      </c>
      <c r="E236" s="215" t="s">
        <v>230</v>
      </c>
      <c r="F236" s="217">
        <v>3111</v>
      </c>
      <c r="G236" s="168" t="s">
        <v>307</v>
      </c>
      <c r="H236" s="218" t="s">
        <v>277</v>
      </c>
      <c r="I236" s="462">
        <f t="shared" ref="I236:I241" si="774">SUM(J236:M236)</f>
        <v>3160843</v>
      </c>
      <c r="J236" s="457">
        <v>2325403</v>
      </c>
      <c r="K236" s="457">
        <f t="shared" ref="K236:K241" si="775">ROUND(J236*33.8%,0)</f>
        <v>785986</v>
      </c>
      <c r="L236" s="457">
        <f t="shared" ref="L236:L241" si="776">ROUND(J236*1%,0)</f>
        <v>23254</v>
      </c>
      <c r="M236" s="457">
        <v>26200</v>
      </c>
      <c r="N236" s="458">
        <f t="shared" ref="N236:N241" si="777">O236+P236</f>
        <v>4.7515999999999998</v>
      </c>
      <c r="O236" s="459">
        <v>3.9516</v>
      </c>
      <c r="P236" s="468">
        <v>0.8</v>
      </c>
      <c r="Q236" s="470">
        <f t="shared" ref="Q236:Q241" si="778">W236*-1</f>
        <v>0</v>
      </c>
      <c r="R236" s="460">
        <v>0</v>
      </c>
      <c r="S236" s="673">
        <v>0</v>
      </c>
      <c r="T236" s="460">
        <v>0</v>
      </c>
      <c r="U236" s="460">
        <v>0</v>
      </c>
      <c r="V236" s="460">
        <f t="shared" ref="V236:V241" si="779">SUM(Q236:U236)</f>
        <v>0</v>
      </c>
      <c r="W236" s="460">
        <v>0</v>
      </c>
      <c r="X236" s="460">
        <v>0</v>
      </c>
      <c r="Y236" s="460">
        <v>0</v>
      </c>
      <c r="Z236" s="460">
        <f t="shared" ref="Z236:Z241" si="780">SUM(W236:Y236)</f>
        <v>0</v>
      </c>
      <c r="AA236" s="460">
        <f t="shared" ref="AA236:AA241" si="781">V236+Z236</f>
        <v>0</v>
      </c>
      <c r="AB236" s="69">
        <f t="shared" ref="AB236:AB241" si="782">ROUND((V236+W236+X236)*33.8%,0)</f>
        <v>0</v>
      </c>
      <c r="AC236" s="69">
        <f t="shared" ref="AC236:AC241" si="783">ROUND(V236*1%,0)</f>
        <v>0</v>
      </c>
      <c r="AD236" s="460">
        <v>0</v>
      </c>
      <c r="AE236" s="460">
        <v>0</v>
      </c>
      <c r="AF236" s="460">
        <f t="shared" ref="AF236:AF241" si="784">SUM(AD236:AE236)</f>
        <v>0</v>
      </c>
      <c r="AG236" s="460">
        <f t="shared" ref="AG236:AG241" si="785">AA236+AB236+AC236+AF236</f>
        <v>0</v>
      </c>
      <c r="AH236" s="461">
        <v>0</v>
      </c>
      <c r="AI236" s="461">
        <v>0</v>
      </c>
      <c r="AJ236" s="461">
        <v>0</v>
      </c>
      <c r="AK236" s="461">
        <v>0</v>
      </c>
      <c r="AL236" s="674">
        <v>0</v>
      </c>
      <c r="AM236" s="461">
        <v>0</v>
      </c>
      <c r="AN236" s="461">
        <v>0</v>
      </c>
      <c r="AO236" s="461">
        <v>0</v>
      </c>
      <c r="AP236" s="461">
        <f t="shared" ref="AP236:AP241" si="786">AH236+AJ236+AK236+AM236+AN236</f>
        <v>0</v>
      </c>
      <c r="AQ236" s="461">
        <f t="shared" ref="AQ236:AQ241" si="787">AI236+AL236+AO236</f>
        <v>0</v>
      </c>
      <c r="AR236" s="463">
        <f t="shared" ref="AR236:AR241" si="788">SUM(AP236:AQ236)</f>
        <v>0</v>
      </c>
      <c r="AS236" s="469">
        <f t="shared" ref="AS236:AS241" si="789">I236+AG236</f>
        <v>3160843</v>
      </c>
      <c r="AT236" s="460">
        <f t="shared" ref="AT236:AT241" si="790">J236+V236</f>
        <v>2325403</v>
      </c>
      <c r="AU236" s="460">
        <f t="shared" ref="AU236:AU241" si="791">Z236</f>
        <v>0</v>
      </c>
      <c r="AV236" s="460">
        <f t="shared" ref="AV236:AW241" si="792">K236+AB236</f>
        <v>785986</v>
      </c>
      <c r="AW236" s="460">
        <f t="shared" si="792"/>
        <v>23254</v>
      </c>
      <c r="AX236" s="460">
        <f t="shared" ref="AX236:AX241" si="793">M236+AF236</f>
        <v>26200</v>
      </c>
      <c r="AY236" s="461">
        <f t="shared" ref="AY236:AY241" si="794">N236+AR236</f>
        <v>4.7515999999999998</v>
      </c>
      <c r="AZ236" s="461">
        <f t="shared" ref="AZ236:BA241" si="795">O236+AP236</f>
        <v>3.9516</v>
      </c>
      <c r="BA236" s="463">
        <f t="shared" si="795"/>
        <v>0.8</v>
      </c>
    </row>
    <row r="237" spans="1:53" s="229" customFormat="1" ht="12.75" customHeight="1" x14ac:dyDescent="0.2">
      <c r="A237" s="216">
        <v>42</v>
      </c>
      <c r="B237" s="217">
        <v>4459</v>
      </c>
      <c r="C237" s="217">
        <v>650037171</v>
      </c>
      <c r="D237" s="217">
        <v>72742356</v>
      </c>
      <c r="E237" s="215" t="s">
        <v>230</v>
      </c>
      <c r="F237" s="217">
        <v>3113</v>
      </c>
      <c r="G237" s="168" t="s">
        <v>310</v>
      </c>
      <c r="H237" s="218" t="s">
        <v>277</v>
      </c>
      <c r="I237" s="462">
        <f t="shared" si="774"/>
        <v>12649948</v>
      </c>
      <c r="J237" s="457">
        <v>9185573</v>
      </c>
      <c r="K237" s="457">
        <f t="shared" si="775"/>
        <v>3104724</v>
      </c>
      <c r="L237" s="457">
        <f t="shared" si="776"/>
        <v>91856</v>
      </c>
      <c r="M237" s="457">
        <v>267795</v>
      </c>
      <c r="N237" s="458">
        <f t="shared" si="777"/>
        <v>17.812799999999999</v>
      </c>
      <c r="O237" s="459">
        <v>13.152799999999999</v>
      </c>
      <c r="P237" s="468">
        <v>4.66</v>
      </c>
      <c r="Q237" s="470">
        <f t="shared" si="778"/>
        <v>0</v>
      </c>
      <c r="R237" s="460">
        <v>0</v>
      </c>
      <c r="S237" s="673">
        <v>0</v>
      </c>
      <c r="T237" s="460">
        <v>46425</v>
      </c>
      <c r="U237" s="460">
        <v>0</v>
      </c>
      <c r="V237" s="460">
        <f t="shared" si="779"/>
        <v>46425</v>
      </c>
      <c r="W237" s="460">
        <v>0</v>
      </c>
      <c r="X237" s="460">
        <v>0</v>
      </c>
      <c r="Y237" s="460">
        <v>0</v>
      </c>
      <c r="Z237" s="460">
        <f t="shared" si="780"/>
        <v>0</v>
      </c>
      <c r="AA237" s="460">
        <f t="shared" si="781"/>
        <v>46425</v>
      </c>
      <c r="AB237" s="69">
        <f t="shared" si="782"/>
        <v>15692</v>
      </c>
      <c r="AC237" s="69">
        <f t="shared" si="783"/>
        <v>464</v>
      </c>
      <c r="AD237" s="460">
        <v>0</v>
      </c>
      <c r="AE237" s="460">
        <v>0</v>
      </c>
      <c r="AF237" s="460">
        <f t="shared" si="784"/>
        <v>0</v>
      </c>
      <c r="AG237" s="460">
        <f t="shared" si="785"/>
        <v>62581</v>
      </c>
      <c r="AH237" s="461">
        <v>0</v>
      </c>
      <c r="AI237" s="461">
        <v>0</v>
      </c>
      <c r="AJ237" s="461">
        <v>0</v>
      </c>
      <c r="AK237" s="461">
        <v>0</v>
      </c>
      <c r="AL237" s="674">
        <v>0</v>
      </c>
      <c r="AM237" s="461">
        <v>7.0000000000000007E-2</v>
      </c>
      <c r="AN237" s="461">
        <v>0</v>
      </c>
      <c r="AO237" s="461">
        <v>0</v>
      </c>
      <c r="AP237" s="461">
        <f t="shared" si="786"/>
        <v>7.0000000000000007E-2</v>
      </c>
      <c r="AQ237" s="461">
        <f t="shared" si="787"/>
        <v>0</v>
      </c>
      <c r="AR237" s="463">
        <f t="shared" si="788"/>
        <v>7.0000000000000007E-2</v>
      </c>
      <c r="AS237" s="469">
        <f t="shared" si="789"/>
        <v>12712529</v>
      </c>
      <c r="AT237" s="460">
        <f t="shared" si="790"/>
        <v>9231998</v>
      </c>
      <c r="AU237" s="460">
        <f t="shared" si="791"/>
        <v>0</v>
      </c>
      <c r="AV237" s="460">
        <f t="shared" si="792"/>
        <v>3120416</v>
      </c>
      <c r="AW237" s="460">
        <f t="shared" si="792"/>
        <v>92320</v>
      </c>
      <c r="AX237" s="460">
        <f t="shared" si="793"/>
        <v>267795</v>
      </c>
      <c r="AY237" s="461">
        <f t="shared" si="794"/>
        <v>17.8828</v>
      </c>
      <c r="AZ237" s="461">
        <f t="shared" si="795"/>
        <v>13.222799999999999</v>
      </c>
      <c r="BA237" s="463">
        <f t="shared" si="795"/>
        <v>4.66</v>
      </c>
    </row>
    <row r="238" spans="1:53" s="229" customFormat="1" ht="12.75" customHeight="1" x14ac:dyDescent="0.2">
      <c r="A238" s="216">
        <v>42</v>
      </c>
      <c r="B238" s="217">
        <v>4459</v>
      </c>
      <c r="C238" s="217">
        <v>650037171</v>
      </c>
      <c r="D238" s="217">
        <v>72742356</v>
      </c>
      <c r="E238" s="215" t="s">
        <v>230</v>
      </c>
      <c r="F238" s="217">
        <v>3113</v>
      </c>
      <c r="G238" s="168" t="s">
        <v>308</v>
      </c>
      <c r="H238" s="218" t="s">
        <v>278</v>
      </c>
      <c r="I238" s="462">
        <f t="shared" si="774"/>
        <v>0</v>
      </c>
      <c r="J238" s="457">
        <v>0</v>
      </c>
      <c r="K238" s="457">
        <f t="shared" si="775"/>
        <v>0</v>
      </c>
      <c r="L238" s="457">
        <f t="shared" si="776"/>
        <v>0</v>
      </c>
      <c r="M238" s="457">
        <v>0</v>
      </c>
      <c r="N238" s="458">
        <f t="shared" si="777"/>
        <v>0</v>
      </c>
      <c r="O238" s="459">
        <v>0</v>
      </c>
      <c r="P238" s="468">
        <v>0</v>
      </c>
      <c r="Q238" s="470">
        <f t="shared" si="778"/>
        <v>0</v>
      </c>
      <c r="R238" s="460">
        <f>1905455+21208</f>
        <v>1926663</v>
      </c>
      <c r="S238" s="673">
        <v>0</v>
      </c>
      <c r="T238" s="460">
        <v>0</v>
      </c>
      <c r="U238" s="460">
        <v>0</v>
      </c>
      <c r="V238" s="460">
        <f t="shared" si="779"/>
        <v>1926663</v>
      </c>
      <c r="W238" s="460">
        <v>0</v>
      </c>
      <c r="X238" s="460">
        <v>0</v>
      </c>
      <c r="Y238" s="460">
        <v>0</v>
      </c>
      <c r="Z238" s="460">
        <f t="shared" si="780"/>
        <v>0</v>
      </c>
      <c r="AA238" s="460">
        <f t="shared" si="781"/>
        <v>1926663</v>
      </c>
      <c r="AB238" s="69">
        <f t="shared" si="782"/>
        <v>651212</v>
      </c>
      <c r="AC238" s="69">
        <f t="shared" si="783"/>
        <v>19267</v>
      </c>
      <c r="AD238" s="460">
        <v>0</v>
      </c>
      <c r="AE238" s="460">
        <v>0</v>
      </c>
      <c r="AF238" s="460">
        <f t="shared" si="784"/>
        <v>0</v>
      </c>
      <c r="AG238" s="460">
        <f t="shared" si="785"/>
        <v>2597142</v>
      </c>
      <c r="AH238" s="461">
        <v>0</v>
      </c>
      <c r="AI238" s="461">
        <v>0</v>
      </c>
      <c r="AJ238" s="461">
        <f>4.8+0.05</f>
        <v>4.8499999999999996</v>
      </c>
      <c r="AK238" s="461">
        <v>0</v>
      </c>
      <c r="AL238" s="674">
        <v>0</v>
      </c>
      <c r="AM238" s="461">
        <v>0</v>
      </c>
      <c r="AN238" s="461">
        <v>0</v>
      </c>
      <c r="AO238" s="461">
        <v>0</v>
      </c>
      <c r="AP238" s="461">
        <f t="shared" si="786"/>
        <v>4.8499999999999996</v>
      </c>
      <c r="AQ238" s="461">
        <f t="shared" si="787"/>
        <v>0</v>
      </c>
      <c r="AR238" s="463">
        <f t="shared" si="788"/>
        <v>4.8499999999999996</v>
      </c>
      <c r="AS238" s="469">
        <f t="shared" si="789"/>
        <v>2597142</v>
      </c>
      <c r="AT238" s="460">
        <f t="shared" si="790"/>
        <v>1926663</v>
      </c>
      <c r="AU238" s="460">
        <f t="shared" si="791"/>
        <v>0</v>
      </c>
      <c r="AV238" s="460">
        <f t="shared" si="792"/>
        <v>651212</v>
      </c>
      <c r="AW238" s="460">
        <f t="shared" si="792"/>
        <v>19267</v>
      </c>
      <c r="AX238" s="460">
        <f t="shared" si="793"/>
        <v>0</v>
      </c>
      <c r="AY238" s="461">
        <f t="shared" si="794"/>
        <v>4.8499999999999996</v>
      </c>
      <c r="AZ238" s="461">
        <f t="shared" si="795"/>
        <v>4.8499999999999996</v>
      </c>
      <c r="BA238" s="463">
        <f t="shared" si="795"/>
        <v>0</v>
      </c>
    </row>
    <row r="239" spans="1:53" s="229" customFormat="1" ht="12.75" customHeight="1" x14ac:dyDescent="0.2">
      <c r="A239" s="216">
        <v>42</v>
      </c>
      <c r="B239" s="217">
        <v>4459</v>
      </c>
      <c r="C239" s="217">
        <v>650037171</v>
      </c>
      <c r="D239" s="217">
        <v>72742356</v>
      </c>
      <c r="E239" s="210" t="s">
        <v>230</v>
      </c>
      <c r="F239" s="217">
        <v>3141</v>
      </c>
      <c r="G239" s="168" t="s">
        <v>311</v>
      </c>
      <c r="H239" s="218" t="s">
        <v>278</v>
      </c>
      <c r="I239" s="462">
        <f t="shared" si="774"/>
        <v>1597407</v>
      </c>
      <c r="J239" s="457">
        <v>1178969</v>
      </c>
      <c r="K239" s="457">
        <f t="shared" si="775"/>
        <v>398492</v>
      </c>
      <c r="L239" s="457">
        <f t="shared" si="776"/>
        <v>11790</v>
      </c>
      <c r="M239" s="457">
        <v>8156</v>
      </c>
      <c r="N239" s="458">
        <f t="shared" si="777"/>
        <v>3.79</v>
      </c>
      <c r="O239" s="459">
        <v>0</v>
      </c>
      <c r="P239" s="468">
        <v>3.79</v>
      </c>
      <c r="Q239" s="470">
        <f t="shared" si="778"/>
        <v>0</v>
      </c>
      <c r="R239" s="460">
        <v>0</v>
      </c>
      <c r="S239" s="673">
        <v>0</v>
      </c>
      <c r="T239" s="460">
        <v>0</v>
      </c>
      <c r="U239" s="460">
        <v>0</v>
      </c>
      <c r="V239" s="460">
        <f t="shared" si="779"/>
        <v>0</v>
      </c>
      <c r="W239" s="460">
        <v>0</v>
      </c>
      <c r="X239" s="460">
        <v>0</v>
      </c>
      <c r="Y239" s="460">
        <v>0</v>
      </c>
      <c r="Z239" s="460">
        <f t="shared" si="780"/>
        <v>0</v>
      </c>
      <c r="AA239" s="460">
        <f t="shared" si="781"/>
        <v>0</v>
      </c>
      <c r="AB239" s="69">
        <f t="shared" si="782"/>
        <v>0</v>
      </c>
      <c r="AC239" s="69">
        <f t="shared" si="783"/>
        <v>0</v>
      </c>
      <c r="AD239" s="460">
        <v>0</v>
      </c>
      <c r="AE239" s="460">
        <v>0</v>
      </c>
      <c r="AF239" s="460">
        <f t="shared" si="784"/>
        <v>0</v>
      </c>
      <c r="AG239" s="460">
        <f t="shared" si="785"/>
        <v>0</v>
      </c>
      <c r="AH239" s="461">
        <v>0</v>
      </c>
      <c r="AI239" s="461">
        <v>0</v>
      </c>
      <c r="AJ239" s="461">
        <v>0</v>
      </c>
      <c r="AK239" s="461">
        <v>0</v>
      </c>
      <c r="AL239" s="674">
        <v>0</v>
      </c>
      <c r="AM239" s="461">
        <v>0</v>
      </c>
      <c r="AN239" s="461">
        <v>0</v>
      </c>
      <c r="AO239" s="461">
        <v>0</v>
      </c>
      <c r="AP239" s="461">
        <f t="shared" si="786"/>
        <v>0</v>
      </c>
      <c r="AQ239" s="461">
        <f t="shared" si="787"/>
        <v>0</v>
      </c>
      <c r="AR239" s="463">
        <f t="shared" si="788"/>
        <v>0</v>
      </c>
      <c r="AS239" s="469">
        <f t="shared" si="789"/>
        <v>1597407</v>
      </c>
      <c r="AT239" s="460">
        <f t="shared" si="790"/>
        <v>1178969</v>
      </c>
      <c r="AU239" s="460">
        <f t="shared" si="791"/>
        <v>0</v>
      </c>
      <c r="AV239" s="460">
        <f t="shared" si="792"/>
        <v>398492</v>
      </c>
      <c r="AW239" s="460">
        <f t="shared" si="792"/>
        <v>11790</v>
      </c>
      <c r="AX239" s="460">
        <f t="shared" si="793"/>
        <v>8156</v>
      </c>
      <c r="AY239" s="461">
        <f t="shared" si="794"/>
        <v>3.79</v>
      </c>
      <c r="AZ239" s="461">
        <f t="shared" si="795"/>
        <v>0</v>
      </c>
      <c r="BA239" s="463">
        <f t="shared" si="795"/>
        <v>3.79</v>
      </c>
    </row>
    <row r="240" spans="1:53" s="229" customFormat="1" ht="12.75" customHeight="1" x14ac:dyDescent="0.2">
      <c r="A240" s="216">
        <v>42</v>
      </c>
      <c r="B240" s="217">
        <v>4459</v>
      </c>
      <c r="C240" s="217">
        <v>650037171</v>
      </c>
      <c r="D240" s="217">
        <v>72742356</v>
      </c>
      <c r="E240" s="215" t="s">
        <v>230</v>
      </c>
      <c r="F240" s="217">
        <v>3143</v>
      </c>
      <c r="G240" s="168" t="s">
        <v>616</v>
      </c>
      <c r="H240" s="234" t="s">
        <v>277</v>
      </c>
      <c r="I240" s="462">
        <f t="shared" si="774"/>
        <v>1025142</v>
      </c>
      <c r="J240" s="457">
        <v>760491</v>
      </c>
      <c r="K240" s="457">
        <f t="shared" si="775"/>
        <v>257046</v>
      </c>
      <c r="L240" s="457">
        <f t="shared" si="776"/>
        <v>7605</v>
      </c>
      <c r="M240" s="457">
        <v>0</v>
      </c>
      <c r="N240" s="458">
        <f t="shared" si="777"/>
        <v>1.75</v>
      </c>
      <c r="O240" s="459">
        <v>1.75</v>
      </c>
      <c r="P240" s="468">
        <v>0</v>
      </c>
      <c r="Q240" s="470">
        <f t="shared" si="778"/>
        <v>0</v>
      </c>
      <c r="R240" s="460">
        <v>0</v>
      </c>
      <c r="S240" s="673">
        <v>0</v>
      </c>
      <c r="T240" s="460">
        <v>0</v>
      </c>
      <c r="U240" s="460">
        <v>0</v>
      </c>
      <c r="V240" s="460">
        <f t="shared" si="779"/>
        <v>0</v>
      </c>
      <c r="W240" s="460">
        <v>0</v>
      </c>
      <c r="X240" s="460">
        <v>0</v>
      </c>
      <c r="Y240" s="460">
        <v>0</v>
      </c>
      <c r="Z240" s="460">
        <f t="shared" si="780"/>
        <v>0</v>
      </c>
      <c r="AA240" s="460">
        <f t="shared" si="781"/>
        <v>0</v>
      </c>
      <c r="AB240" s="69">
        <f t="shared" si="782"/>
        <v>0</v>
      </c>
      <c r="AC240" s="69">
        <f t="shared" si="783"/>
        <v>0</v>
      </c>
      <c r="AD240" s="460">
        <v>0</v>
      </c>
      <c r="AE240" s="460">
        <v>0</v>
      </c>
      <c r="AF240" s="460">
        <f t="shared" si="784"/>
        <v>0</v>
      </c>
      <c r="AG240" s="460">
        <f t="shared" si="785"/>
        <v>0</v>
      </c>
      <c r="AH240" s="461">
        <v>0</v>
      </c>
      <c r="AI240" s="461">
        <v>0</v>
      </c>
      <c r="AJ240" s="461">
        <v>0</v>
      </c>
      <c r="AK240" s="461">
        <v>0</v>
      </c>
      <c r="AL240" s="674">
        <v>0</v>
      </c>
      <c r="AM240" s="461">
        <v>0</v>
      </c>
      <c r="AN240" s="461">
        <v>0</v>
      </c>
      <c r="AO240" s="461">
        <v>0</v>
      </c>
      <c r="AP240" s="461">
        <f t="shared" si="786"/>
        <v>0</v>
      </c>
      <c r="AQ240" s="461">
        <f t="shared" si="787"/>
        <v>0</v>
      </c>
      <c r="AR240" s="463">
        <f t="shared" si="788"/>
        <v>0</v>
      </c>
      <c r="AS240" s="469">
        <f t="shared" si="789"/>
        <v>1025142</v>
      </c>
      <c r="AT240" s="460">
        <f t="shared" si="790"/>
        <v>760491</v>
      </c>
      <c r="AU240" s="460">
        <f t="shared" si="791"/>
        <v>0</v>
      </c>
      <c r="AV240" s="460">
        <f t="shared" si="792"/>
        <v>257046</v>
      </c>
      <c r="AW240" s="460">
        <f t="shared" si="792"/>
        <v>7605</v>
      </c>
      <c r="AX240" s="460">
        <f t="shared" si="793"/>
        <v>0</v>
      </c>
      <c r="AY240" s="461">
        <f t="shared" si="794"/>
        <v>1.75</v>
      </c>
      <c r="AZ240" s="461">
        <f t="shared" si="795"/>
        <v>1.75</v>
      </c>
      <c r="BA240" s="463">
        <f t="shared" si="795"/>
        <v>0</v>
      </c>
    </row>
    <row r="241" spans="1:53" s="229" customFormat="1" ht="12.75" customHeight="1" x14ac:dyDescent="0.2">
      <c r="A241" s="216">
        <v>42</v>
      </c>
      <c r="B241" s="217">
        <v>4459</v>
      </c>
      <c r="C241" s="217">
        <v>650037171</v>
      </c>
      <c r="D241" s="217">
        <v>72742356</v>
      </c>
      <c r="E241" s="215" t="s">
        <v>230</v>
      </c>
      <c r="F241" s="217">
        <v>3143</v>
      </c>
      <c r="G241" s="168" t="s">
        <v>617</v>
      </c>
      <c r="H241" s="234" t="s">
        <v>278</v>
      </c>
      <c r="I241" s="462">
        <f t="shared" si="774"/>
        <v>25655</v>
      </c>
      <c r="J241" s="457">
        <v>18331</v>
      </c>
      <c r="K241" s="457">
        <f t="shared" si="775"/>
        <v>6196</v>
      </c>
      <c r="L241" s="457">
        <f t="shared" si="776"/>
        <v>183</v>
      </c>
      <c r="M241" s="457">
        <v>945</v>
      </c>
      <c r="N241" s="458">
        <f t="shared" si="777"/>
        <v>7.0000000000000007E-2</v>
      </c>
      <c r="O241" s="459">
        <v>0</v>
      </c>
      <c r="P241" s="468">
        <v>7.0000000000000007E-2</v>
      </c>
      <c r="Q241" s="470">
        <f t="shared" si="778"/>
        <v>0</v>
      </c>
      <c r="R241" s="460">
        <v>0</v>
      </c>
      <c r="S241" s="673">
        <v>0</v>
      </c>
      <c r="T241" s="460">
        <v>0</v>
      </c>
      <c r="U241" s="460">
        <v>0</v>
      </c>
      <c r="V241" s="460">
        <f t="shared" si="779"/>
        <v>0</v>
      </c>
      <c r="W241" s="460">
        <v>0</v>
      </c>
      <c r="X241" s="460">
        <v>0</v>
      </c>
      <c r="Y241" s="460">
        <v>0</v>
      </c>
      <c r="Z241" s="460">
        <f t="shared" si="780"/>
        <v>0</v>
      </c>
      <c r="AA241" s="460">
        <f t="shared" si="781"/>
        <v>0</v>
      </c>
      <c r="AB241" s="69">
        <f t="shared" si="782"/>
        <v>0</v>
      </c>
      <c r="AC241" s="69">
        <f t="shared" si="783"/>
        <v>0</v>
      </c>
      <c r="AD241" s="460">
        <v>0</v>
      </c>
      <c r="AE241" s="460">
        <v>0</v>
      </c>
      <c r="AF241" s="460">
        <f t="shared" si="784"/>
        <v>0</v>
      </c>
      <c r="AG241" s="460">
        <f t="shared" si="785"/>
        <v>0</v>
      </c>
      <c r="AH241" s="461">
        <v>0</v>
      </c>
      <c r="AI241" s="461">
        <v>0</v>
      </c>
      <c r="AJ241" s="461">
        <v>0</v>
      </c>
      <c r="AK241" s="461">
        <v>0</v>
      </c>
      <c r="AL241" s="674">
        <v>0</v>
      </c>
      <c r="AM241" s="461">
        <v>0</v>
      </c>
      <c r="AN241" s="461">
        <v>0</v>
      </c>
      <c r="AO241" s="461">
        <v>0</v>
      </c>
      <c r="AP241" s="461">
        <f t="shared" si="786"/>
        <v>0</v>
      </c>
      <c r="AQ241" s="461">
        <f t="shared" si="787"/>
        <v>0</v>
      </c>
      <c r="AR241" s="463">
        <f t="shared" si="788"/>
        <v>0</v>
      </c>
      <c r="AS241" s="469">
        <f t="shared" si="789"/>
        <v>25655</v>
      </c>
      <c r="AT241" s="460">
        <f t="shared" si="790"/>
        <v>18331</v>
      </c>
      <c r="AU241" s="460">
        <f t="shared" si="791"/>
        <v>0</v>
      </c>
      <c r="AV241" s="460">
        <f t="shared" si="792"/>
        <v>6196</v>
      </c>
      <c r="AW241" s="460">
        <f t="shared" si="792"/>
        <v>183</v>
      </c>
      <c r="AX241" s="460">
        <f t="shared" si="793"/>
        <v>945</v>
      </c>
      <c r="AY241" s="461">
        <f t="shared" si="794"/>
        <v>7.0000000000000007E-2</v>
      </c>
      <c r="AZ241" s="461">
        <f t="shared" si="795"/>
        <v>0</v>
      </c>
      <c r="BA241" s="463">
        <f t="shared" si="795"/>
        <v>7.0000000000000007E-2</v>
      </c>
    </row>
    <row r="242" spans="1:53" s="229" customFormat="1" ht="12.75" customHeight="1" x14ac:dyDescent="0.2">
      <c r="A242" s="158">
        <v>42</v>
      </c>
      <c r="B242" s="18">
        <v>4459</v>
      </c>
      <c r="C242" s="18">
        <v>650037171</v>
      </c>
      <c r="D242" s="18">
        <v>72742356</v>
      </c>
      <c r="E242" s="167" t="s">
        <v>231</v>
      </c>
      <c r="F242" s="18"/>
      <c r="G242" s="157"/>
      <c r="H242" s="191"/>
      <c r="I242" s="505">
        <f t="shared" ref="I242:P242" si="796">SUM(I236:I241)</f>
        <v>18458995</v>
      </c>
      <c r="J242" s="502">
        <f t="shared" si="796"/>
        <v>13468767</v>
      </c>
      <c r="K242" s="502">
        <f t="shared" si="796"/>
        <v>4552444</v>
      </c>
      <c r="L242" s="502">
        <f t="shared" si="796"/>
        <v>134688</v>
      </c>
      <c r="M242" s="502">
        <f t="shared" si="796"/>
        <v>303096</v>
      </c>
      <c r="N242" s="503">
        <f t="shared" si="796"/>
        <v>28.174399999999999</v>
      </c>
      <c r="O242" s="503">
        <f t="shared" si="796"/>
        <v>18.854399999999998</v>
      </c>
      <c r="P242" s="507">
        <f t="shared" si="796"/>
        <v>9.32</v>
      </c>
      <c r="Q242" s="505">
        <f t="shared" ref="Q242:BA242" si="797">SUM(Q236:Q241)</f>
        <v>0</v>
      </c>
      <c r="R242" s="502">
        <f t="shared" si="797"/>
        <v>1926663</v>
      </c>
      <c r="S242" s="502">
        <f t="shared" si="797"/>
        <v>0</v>
      </c>
      <c r="T242" s="502">
        <f t="shared" si="797"/>
        <v>46425</v>
      </c>
      <c r="U242" s="502">
        <f t="shared" si="797"/>
        <v>0</v>
      </c>
      <c r="V242" s="502">
        <f t="shared" si="797"/>
        <v>1973088</v>
      </c>
      <c r="W242" s="502">
        <f t="shared" si="797"/>
        <v>0</v>
      </c>
      <c r="X242" s="502">
        <f t="shared" si="797"/>
        <v>0</v>
      </c>
      <c r="Y242" s="502">
        <f t="shared" si="797"/>
        <v>0</v>
      </c>
      <c r="Z242" s="502">
        <f t="shared" si="797"/>
        <v>0</v>
      </c>
      <c r="AA242" s="502">
        <f t="shared" si="797"/>
        <v>1973088</v>
      </c>
      <c r="AB242" s="502">
        <f t="shared" si="797"/>
        <v>666904</v>
      </c>
      <c r="AC242" s="502">
        <f t="shared" si="797"/>
        <v>19731</v>
      </c>
      <c r="AD242" s="502">
        <f t="shared" si="797"/>
        <v>0</v>
      </c>
      <c r="AE242" s="502">
        <f t="shared" si="797"/>
        <v>0</v>
      </c>
      <c r="AF242" s="502">
        <f t="shared" si="797"/>
        <v>0</v>
      </c>
      <c r="AG242" s="502">
        <f t="shared" si="797"/>
        <v>2659723</v>
      </c>
      <c r="AH242" s="503">
        <f t="shared" si="797"/>
        <v>0</v>
      </c>
      <c r="AI242" s="503">
        <f t="shared" si="797"/>
        <v>0</v>
      </c>
      <c r="AJ242" s="503">
        <f t="shared" si="797"/>
        <v>4.8499999999999996</v>
      </c>
      <c r="AK242" s="503">
        <f t="shared" si="797"/>
        <v>0</v>
      </c>
      <c r="AL242" s="503">
        <f t="shared" si="797"/>
        <v>0</v>
      </c>
      <c r="AM242" s="503">
        <f t="shared" si="797"/>
        <v>7.0000000000000007E-2</v>
      </c>
      <c r="AN242" s="503">
        <f t="shared" si="797"/>
        <v>0</v>
      </c>
      <c r="AO242" s="503">
        <f t="shared" si="797"/>
        <v>0</v>
      </c>
      <c r="AP242" s="503">
        <f t="shared" si="797"/>
        <v>4.92</v>
      </c>
      <c r="AQ242" s="503">
        <f t="shared" si="797"/>
        <v>0</v>
      </c>
      <c r="AR242" s="40">
        <f t="shared" si="797"/>
        <v>4.92</v>
      </c>
      <c r="AS242" s="509">
        <f t="shared" si="797"/>
        <v>21118718</v>
      </c>
      <c r="AT242" s="502">
        <f t="shared" si="797"/>
        <v>15441855</v>
      </c>
      <c r="AU242" s="502">
        <f t="shared" si="797"/>
        <v>0</v>
      </c>
      <c r="AV242" s="502">
        <f t="shared" si="797"/>
        <v>5219348</v>
      </c>
      <c r="AW242" s="502">
        <f t="shared" si="797"/>
        <v>154419</v>
      </c>
      <c r="AX242" s="502">
        <f t="shared" si="797"/>
        <v>303096</v>
      </c>
      <c r="AY242" s="503">
        <f t="shared" si="797"/>
        <v>33.0944</v>
      </c>
      <c r="AZ242" s="503">
        <f t="shared" si="797"/>
        <v>23.7744</v>
      </c>
      <c r="BA242" s="40">
        <f t="shared" si="797"/>
        <v>9.32</v>
      </c>
    </row>
    <row r="243" spans="1:53" s="229" customFormat="1" ht="12.75" customHeight="1" x14ac:dyDescent="0.2">
      <c r="A243" s="216">
        <v>43</v>
      </c>
      <c r="B243" s="217">
        <v>4424</v>
      </c>
      <c r="C243" s="217">
        <v>600074170</v>
      </c>
      <c r="D243" s="217">
        <v>72741562</v>
      </c>
      <c r="E243" s="215" t="s">
        <v>232</v>
      </c>
      <c r="F243" s="217">
        <v>3111</v>
      </c>
      <c r="G243" s="168" t="s">
        <v>307</v>
      </c>
      <c r="H243" s="218" t="s">
        <v>277</v>
      </c>
      <c r="I243" s="462">
        <f t="shared" ref="I243:I245" si="798">SUM(J243:M243)</f>
        <v>3423618</v>
      </c>
      <c r="J243" s="457">
        <v>2528797</v>
      </c>
      <c r="K243" s="457">
        <f t="shared" ref="K243:K245" si="799">ROUND(J243*33.8%,0)</f>
        <v>854733</v>
      </c>
      <c r="L243" s="457">
        <f t="shared" ref="L243:L245" si="800">ROUND(J243*1%,0)</f>
        <v>25288</v>
      </c>
      <c r="M243" s="457">
        <v>14800</v>
      </c>
      <c r="N243" s="458">
        <f t="shared" ref="N243:N245" si="801">O243+P243</f>
        <v>5.3457999999999997</v>
      </c>
      <c r="O243" s="459">
        <v>4.2257999999999996</v>
      </c>
      <c r="P243" s="468">
        <v>1.1200000000000001</v>
      </c>
      <c r="Q243" s="470">
        <f t="shared" ref="Q243:Q245" si="802">W243*-1</f>
        <v>0</v>
      </c>
      <c r="R243" s="460">
        <v>0</v>
      </c>
      <c r="S243" s="673">
        <v>0</v>
      </c>
      <c r="T243" s="460">
        <v>0</v>
      </c>
      <c r="U243" s="460">
        <v>0</v>
      </c>
      <c r="V243" s="460">
        <f>SUM(Q243:U243)</f>
        <v>0</v>
      </c>
      <c r="W243" s="460">
        <v>0</v>
      </c>
      <c r="X243" s="460">
        <v>0</v>
      </c>
      <c r="Y243" s="460">
        <v>0</v>
      </c>
      <c r="Z243" s="460">
        <f t="shared" ref="Z243:Z245" si="803">SUM(W243:Y243)</f>
        <v>0</v>
      </c>
      <c r="AA243" s="460">
        <f t="shared" ref="AA243:AA245" si="804">V243+Z243</f>
        <v>0</v>
      </c>
      <c r="AB243" s="69">
        <f t="shared" ref="AB243:AB245" si="805">ROUND((V243+W243+X243)*33.8%,0)</f>
        <v>0</v>
      </c>
      <c r="AC243" s="69">
        <f t="shared" ref="AC243:AC245" si="806">ROUND(V243*1%,0)</f>
        <v>0</v>
      </c>
      <c r="AD243" s="460">
        <v>0</v>
      </c>
      <c r="AE243" s="460">
        <v>0</v>
      </c>
      <c r="AF243" s="460">
        <f t="shared" ref="AF243:AF245" si="807">SUM(AD243:AE243)</f>
        <v>0</v>
      </c>
      <c r="AG243" s="460">
        <f t="shared" ref="AG243:AG245" si="808">AA243+AB243+AC243+AF243</f>
        <v>0</v>
      </c>
      <c r="AH243" s="461">
        <v>0</v>
      </c>
      <c r="AI243" s="461">
        <v>0</v>
      </c>
      <c r="AJ243" s="461">
        <v>0</v>
      </c>
      <c r="AK243" s="461">
        <v>0</v>
      </c>
      <c r="AL243" s="674">
        <v>0</v>
      </c>
      <c r="AM243" s="461">
        <v>0</v>
      </c>
      <c r="AN243" s="461">
        <v>0</v>
      </c>
      <c r="AO243" s="461">
        <v>0</v>
      </c>
      <c r="AP243" s="461">
        <f>AH243+AJ243+AK243+AM243+AN243</f>
        <v>0</v>
      </c>
      <c r="AQ243" s="461">
        <f>AI243+AL243+AO243</f>
        <v>0</v>
      </c>
      <c r="AR243" s="463">
        <f t="shared" ref="AR243:AR245" si="809">SUM(AP243:AQ243)</f>
        <v>0</v>
      </c>
      <c r="AS243" s="469">
        <f>I243+AG243</f>
        <v>3423618</v>
      </c>
      <c r="AT243" s="460">
        <f>J243+V243</f>
        <v>2528797</v>
      </c>
      <c r="AU243" s="460">
        <f t="shared" ref="AU243:AU245" si="810">Z243</f>
        <v>0</v>
      </c>
      <c r="AV243" s="460">
        <f t="shared" ref="AV243:AW245" si="811">K243+AB243</f>
        <v>854733</v>
      </c>
      <c r="AW243" s="460">
        <f t="shared" si="811"/>
        <v>25288</v>
      </c>
      <c r="AX243" s="460">
        <f>M243+AF243</f>
        <v>14800</v>
      </c>
      <c r="AY243" s="461">
        <f>N243+AR243</f>
        <v>5.3457999999999997</v>
      </c>
      <c r="AZ243" s="461">
        <f t="shared" ref="AZ243:BA245" si="812">O243+AP243</f>
        <v>4.2257999999999996</v>
      </c>
      <c r="BA243" s="463">
        <f t="shared" si="812"/>
        <v>1.1200000000000001</v>
      </c>
    </row>
    <row r="244" spans="1:53" s="229" customFormat="1" ht="12.75" customHeight="1" x14ac:dyDescent="0.2">
      <c r="A244" s="216">
        <v>43</v>
      </c>
      <c r="B244" s="217">
        <v>4424</v>
      </c>
      <c r="C244" s="217">
        <v>600074170</v>
      </c>
      <c r="D244" s="217">
        <v>72741562</v>
      </c>
      <c r="E244" s="215" t="s">
        <v>232</v>
      </c>
      <c r="F244" s="217">
        <v>3111</v>
      </c>
      <c r="G244" s="168" t="s">
        <v>308</v>
      </c>
      <c r="H244" s="218" t="s">
        <v>278</v>
      </c>
      <c r="I244" s="462">
        <f t="shared" si="798"/>
        <v>0</v>
      </c>
      <c r="J244" s="457">
        <v>0</v>
      </c>
      <c r="K244" s="457">
        <f t="shared" si="799"/>
        <v>0</v>
      </c>
      <c r="L244" s="457">
        <f t="shared" si="800"/>
        <v>0</v>
      </c>
      <c r="M244" s="457">
        <v>0</v>
      </c>
      <c r="N244" s="458">
        <f t="shared" si="801"/>
        <v>0</v>
      </c>
      <c r="O244" s="459">
        <v>0</v>
      </c>
      <c r="P244" s="468">
        <v>0</v>
      </c>
      <c r="Q244" s="470">
        <f t="shared" si="802"/>
        <v>0</v>
      </c>
      <c r="R244" s="460">
        <v>0</v>
      </c>
      <c r="S244" s="673">
        <v>0</v>
      </c>
      <c r="T244" s="460">
        <v>0</v>
      </c>
      <c r="U244" s="460">
        <v>0</v>
      </c>
      <c r="V244" s="460">
        <f>SUM(Q244:U244)</f>
        <v>0</v>
      </c>
      <c r="W244" s="460">
        <v>0</v>
      </c>
      <c r="X244" s="460">
        <v>0</v>
      </c>
      <c r="Y244" s="460">
        <v>0</v>
      </c>
      <c r="Z244" s="460">
        <f t="shared" si="803"/>
        <v>0</v>
      </c>
      <c r="AA244" s="460">
        <f t="shared" si="804"/>
        <v>0</v>
      </c>
      <c r="AB244" s="69">
        <f t="shared" si="805"/>
        <v>0</v>
      </c>
      <c r="AC244" s="69">
        <f t="shared" si="806"/>
        <v>0</v>
      </c>
      <c r="AD244" s="460">
        <v>0</v>
      </c>
      <c r="AE244" s="460">
        <v>0</v>
      </c>
      <c r="AF244" s="460">
        <f t="shared" si="807"/>
        <v>0</v>
      </c>
      <c r="AG244" s="460">
        <f t="shared" si="808"/>
        <v>0</v>
      </c>
      <c r="AH244" s="461">
        <v>0</v>
      </c>
      <c r="AI244" s="461">
        <v>0</v>
      </c>
      <c r="AJ244" s="461">
        <v>0</v>
      </c>
      <c r="AK244" s="461">
        <v>0</v>
      </c>
      <c r="AL244" s="674">
        <v>0</v>
      </c>
      <c r="AM244" s="461">
        <v>0</v>
      </c>
      <c r="AN244" s="461">
        <v>0</v>
      </c>
      <c r="AO244" s="461">
        <v>0</v>
      </c>
      <c r="AP244" s="461">
        <f>AH244+AJ244+AK244+AM244+AN244</f>
        <v>0</v>
      </c>
      <c r="AQ244" s="461">
        <f>AI244+AL244+AO244</f>
        <v>0</v>
      </c>
      <c r="AR244" s="463">
        <f t="shared" si="809"/>
        <v>0</v>
      </c>
      <c r="AS244" s="469">
        <f>I244+AG244</f>
        <v>0</v>
      </c>
      <c r="AT244" s="460">
        <f>J244+V244</f>
        <v>0</v>
      </c>
      <c r="AU244" s="460">
        <f t="shared" si="810"/>
        <v>0</v>
      </c>
      <c r="AV244" s="460">
        <f t="shared" si="811"/>
        <v>0</v>
      </c>
      <c r="AW244" s="460">
        <f t="shared" si="811"/>
        <v>0</v>
      </c>
      <c r="AX244" s="460">
        <f>M244+AF244</f>
        <v>0</v>
      </c>
      <c r="AY244" s="461">
        <f>N244+AR244</f>
        <v>0</v>
      </c>
      <c r="AZ244" s="461">
        <f t="shared" si="812"/>
        <v>0</v>
      </c>
      <c r="BA244" s="463">
        <f t="shared" si="812"/>
        <v>0</v>
      </c>
    </row>
    <row r="245" spans="1:53" s="229" customFormat="1" ht="12.75" customHeight="1" x14ac:dyDescent="0.2">
      <c r="A245" s="216">
        <v>43</v>
      </c>
      <c r="B245" s="217">
        <v>4424</v>
      </c>
      <c r="C245" s="217">
        <v>600074170</v>
      </c>
      <c r="D245" s="217">
        <v>72741562</v>
      </c>
      <c r="E245" s="215" t="s">
        <v>232</v>
      </c>
      <c r="F245" s="217">
        <v>3141</v>
      </c>
      <c r="G245" s="168" t="s">
        <v>311</v>
      </c>
      <c r="H245" s="218" t="s">
        <v>278</v>
      </c>
      <c r="I245" s="462">
        <f t="shared" si="798"/>
        <v>994338</v>
      </c>
      <c r="J245" s="457">
        <v>734438</v>
      </c>
      <c r="K245" s="457">
        <f t="shared" si="799"/>
        <v>248240</v>
      </c>
      <c r="L245" s="457">
        <f t="shared" si="800"/>
        <v>7344</v>
      </c>
      <c r="M245" s="457">
        <v>4316</v>
      </c>
      <c r="N245" s="458">
        <f t="shared" si="801"/>
        <v>2.36</v>
      </c>
      <c r="O245" s="459">
        <v>0</v>
      </c>
      <c r="P245" s="468">
        <v>2.36</v>
      </c>
      <c r="Q245" s="470">
        <f t="shared" si="802"/>
        <v>0</v>
      </c>
      <c r="R245" s="460">
        <v>0</v>
      </c>
      <c r="S245" s="673">
        <v>0</v>
      </c>
      <c r="T245" s="460">
        <v>0</v>
      </c>
      <c r="U245" s="460">
        <v>0</v>
      </c>
      <c r="V245" s="460">
        <f>SUM(Q245:U245)</f>
        <v>0</v>
      </c>
      <c r="W245" s="460">
        <v>0</v>
      </c>
      <c r="X245" s="460">
        <v>0</v>
      </c>
      <c r="Y245" s="460">
        <v>0</v>
      </c>
      <c r="Z245" s="460">
        <f t="shared" si="803"/>
        <v>0</v>
      </c>
      <c r="AA245" s="460">
        <f t="shared" si="804"/>
        <v>0</v>
      </c>
      <c r="AB245" s="69">
        <f t="shared" si="805"/>
        <v>0</v>
      </c>
      <c r="AC245" s="69">
        <f t="shared" si="806"/>
        <v>0</v>
      </c>
      <c r="AD245" s="460">
        <v>0</v>
      </c>
      <c r="AE245" s="460">
        <v>0</v>
      </c>
      <c r="AF245" s="460">
        <f t="shared" si="807"/>
        <v>0</v>
      </c>
      <c r="AG245" s="460">
        <f t="shared" si="808"/>
        <v>0</v>
      </c>
      <c r="AH245" s="461">
        <v>0</v>
      </c>
      <c r="AI245" s="461">
        <v>0</v>
      </c>
      <c r="AJ245" s="461">
        <v>0</v>
      </c>
      <c r="AK245" s="461">
        <v>0</v>
      </c>
      <c r="AL245" s="674">
        <v>0</v>
      </c>
      <c r="AM245" s="461">
        <v>0</v>
      </c>
      <c r="AN245" s="461">
        <v>0</v>
      </c>
      <c r="AO245" s="461">
        <v>0</v>
      </c>
      <c r="AP245" s="461">
        <f>AH245+AJ245+AK245+AM245+AN245</f>
        <v>0</v>
      </c>
      <c r="AQ245" s="461">
        <f>AI245+AL245+AO245</f>
        <v>0</v>
      </c>
      <c r="AR245" s="463">
        <f t="shared" si="809"/>
        <v>0</v>
      </c>
      <c r="AS245" s="469">
        <f>I245+AG245</f>
        <v>994338</v>
      </c>
      <c r="AT245" s="460">
        <f>J245+V245</f>
        <v>734438</v>
      </c>
      <c r="AU245" s="460">
        <f t="shared" si="810"/>
        <v>0</v>
      </c>
      <c r="AV245" s="460">
        <f t="shared" si="811"/>
        <v>248240</v>
      </c>
      <c r="AW245" s="460">
        <f t="shared" si="811"/>
        <v>7344</v>
      </c>
      <c r="AX245" s="460">
        <f>M245+AF245</f>
        <v>4316</v>
      </c>
      <c r="AY245" s="461">
        <f>N245+AR245</f>
        <v>2.36</v>
      </c>
      <c r="AZ245" s="461">
        <f t="shared" si="812"/>
        <v>0</v>
      </c>
      <c r="BA245" s="463">
        <f t="shared" si="812"/>
        <v>2.36</v>
      </c>
    </row>
    <row r="246" spans="1:53" s="229" customFormat="1" ht="12.75" customHeight="1" x14ac:dyDescent="0.2">
      <c r="A246" s="158">
        <v>43</v>
      </c>
      <c r="B246" s="18">
        <v>4424</v>
      </c>
      <c r="C246" s="18">
        <v>600074170</v>
      </c>
      <c r="D246" s="18">
        <v>72741562</v>
      </c>
      <c r="E246" s="167" t="s">
        <v>233</v>
      </c>
      <c r="F246" s="18"/>
      <c r="G246" s="157"/>
      <c r="H246" s="191"/>
      <c r="I246" s="505">
        <f t="shared" ref="I246:P246" si="813">SUM(I243:I245)</f>
        <v>4417956</v>
      </c>
      <c r="J246" s="502">
        <f t="shared" si="813"/>
        <v>3263235</v>
      </c>
      <c r="K246" s="502">
        <f t="shared" si="813"/>
        <v>1102973</v>
      </c>
      <c r="L246" s="502">
        <f t="shared" si="813"/>
        <v>32632</v>
      </c>
      <c r="M246" s="502">
        <f t="shared" si="813"/>
        <v>19116</v>
      </c>
      <c r="N246" s="503">
        <f t="shared" si="813"/>
        <v>7.7058</v>
      </c>
      <c r="O246" s="503">
        <f t="shared" si="813"/>
        <v>4.2257999999999996</v>
      </c>
      <c r="P246" s="507">
        <f t="shared" si="813"/>
        <v>3.48</v>
      </c>
      <c r="Q246" s="505">
        <f t="shared" ref="Q246:BA246" si="814">SUM(Q243:Q245)</f>
        <v>0</v>
      </c>
      <c r="R246" s="502">
        <f t="shared" si="814"/>
        <v>0</v>
      </c>
      <c r="S246" s="502">
        <f t="shared" si="814"/>
        <v>0</v>
      </c>
      <c r="T246" s="502">
        <f t="shared" si="814"/>
        <v>0</v>
      </c>
      <c r="U246" s="502">
        <f t="shared" si="814"/>
        <v>0</v>
      </c>
      <c r="V246" s="502">
        <f t="shared" si="814"/>
        <v>0</v>
      </c>
      <c r="W246" s="502">
        <f t="shared" si="814"/>
        <v>0</v>
      </c>
      <c r="X246" s="502">
        <f t="shared" si="814"/>
        <v>0</v>
      </c>
      <c r="Y246" s="502">
        <f t="shared" si="814"/>
        <v>0</v>
      </c>
      <c r="Z246" s="502">
        <f t="shared" si="814"/>
        <v>0</v>
      </c>
      <c r="AA246" s="502">
        <f t="shared" si="814"/>
        <v>0</v>
      </c>
      <c r="AB246" s="502">
        <f t="shared" si="814"/>
        <v>0</v>
      </c>
      <c r="AC246" s="502">
        <f t="shared" si="814"/>
        <v>0</v>
      </c>
      <c r="AD246" s="502">
        <f t="shared" si="814"/>
        <v>0</v>
      </c>
      <c r="AE246" s="502">
        <f t="shared" si="814"/>
        <v>0</v>
      </c>
      <c r="AF246" s="502">
        <f t="shared" si="814"/>
        <v>0</v>
      </c>
      <c r="AG246" s="502">
        <f t="shared" si="814"/>
        <v>0</v>
      </c>
      <c r="AH246" s="503">
        <f t="shared" si="814"/>
        <v>0</v>
      </c>
      <c r="AI246" s="503">
        <f t="shared" si="814"/>
        <v>0</v>
      </c>
      <c r="AJ246" s="503">
        <f t="shared" si="814"/>
        <v>0</v>
      </c>
      <c r="AK246" s="503">
        <f t="shared" si="814"/>
        <v>0</v>
      </c>
      <c r="AL246" s="503">
        <f t="shared" si="814"/>
        <v>0</v>
      </c>
      <c r="AM246" s="503">
        <f t="shared" si="814"/>
        <v>0</v>
      </c>
      <c r="AN246" s="503">
        <f t="shared" si="814"/>
        <v>0</v>
      </c>
      <c r="AO246" s="503">
        <f t="shared" si="814"/>
        <v>0</v>
      </c>
      <c r="AP246" s="503">
        <f t="shared" si="814"/>
        <v>0</v>
      </c>
      <c r="AQ246" s="503">
        <f t="shared" si="814"/>
        <v>0</v>
      </c>
      <c r="AR246" s="40">
        <f t="shared" si="814"/>
        <v>0</v>
      </c>
      <c r="AS246" s="509">
        <f t="shared" si="814"/>
        <v>4417956</v>
      </c>
      <c r="AT246" s="502">
        <f t="shared" si="814"/>
        <v>3263235</v>
      </c>
      <c r="AU246" s="502">
        <f t="shared" si="814"/>
        <v>0</v>
      </c>
      <c r="AV246" s="502">
        <f t="shared" si="814"/>
        <v>1102973</v>
      </c>
      <c r="AW246" s="502">
        <f t="shared" si="814"/>
        <v>32632</v>
      </c>
      <c r="AX246" s="502">
        <f t="shared" si="814"/>
        <v>19116</v>
      </c>
      <c r="AY246" s="503">
        <f t="shared" si="814"/>
        <v>7.7058</v>
      </c>
      <c r="AZ246" s="503">
        <f t="shared" si="814"/>
        <v>4.2257999999999996</v>
      </c>
      <c r="BA246" s="40">
        <f t="shared" si="814"/>
        <v>3.48</v>
      </c>
    </row>
    <row r="247" spans="1:53" s="229" customFormat="1" ht="12.75" customHeight="1" x14ac:dyDescent="0.2">
      <c r="A247" s="216">
        <v>44</v>
      </c>
      <c r="B247" s="217">
        <v>4489</v>
      </c>
      <c r="C247" s="217">
        <v>600075036</v>
      </c>
      <c r="D247" s="217">
        <v>72742607</v>
      </c>
      <c r="E247" s="215" t="s">
        <v>234</v>
      </c>
      <c r="F247" s="217">
        <v>3111</v>
      </c>
      <c r="G247" s="168" t="s">
        <v>307</v>
      </c>
      <c r="H247" s="218" t="s">
        <v>277</v>
      </c>
      <c r="I247" s="462">
        <f t="shared" ref="I247:I252" si="815">SUM(J247:M247)</f>
        <v>3343231</v>
      </c>
      <c r="J247" s="457">
        <v>2465305</v>
      </c>
      <c r="K247" s="457">
        <f t="shared" ref="K247:K252" si="816">ROUND(J247*33.8%,0)</f>
        <v>833273</v>
      </c>
      <c r="L247" s="457">
        <f t="shared" ref="L247:L252" si="817">ROUND(J247*1%,0)</f>
        <v>24653</v>
      </c>
      <c r="M247" s="457">
        <v>20000</v>
      </c>
      <c r="N247" s="458">
        <f t="shared" ref="N247:N252" si="818">O247+P247</f>
        <v>4.8</v>
      </c>
      <c r="O247" s="459">
        <v>4</v>
      </c>
      <c r="P247" s="468">
        <v>0.8</v>
      </c>
      <c r="Q247" s="470">
        <f t="shared" ref="Q247:Q252" si="819">W247*-1</f>
        <v>-9750</v>
      </c>
      <c r="R247" s="460">
        <v>0</v>
      </c>
      <c r="S247" s="673">
        <v>0</v>
      </c>
      <c r="T247" s="460">
        <v>0</v>
      </c>
      <c r="U247" s="460">
        <v>0</v>
      </c>
      <c r="V247" s="460">
        <f t="shared" ref="V247:V252" si="820">SUM(Q247:U247)</f>
        <v>-9750</v>
      </c>
      <c r="W247" s="460">
        <v>9750</v>
      </c>
      <c r="X247" s="460">
        <v>0</v>
      </c>
      <c r="Y247" s="460">
        <v>0</v>
      </c>
      <c r="Z247" s="460">
        <f t="shared" ref="Z247:Z252" si="821">SUM(W247:Y247)</f>
        <v>9750</v>
      </c>
      <c r="AA247" s="460">
        <f t="shared" ref="AA247:AA252" si="822">V247+Z247</f>
        <v>0</v>
      </c>
      <c r="AB247" s="69">
        <f t="shared" ref="AB247:AB252" si="823">ROUND((V247+W247+X247)*33.8%,0)</f>
        <v>0</v>
      </c>
      <c r="AC247" s="69">
        <f t="shared" ref="AC247:AC252" si="824">ROUND(V247*1%,0)</f>
        <v>-98</v>
      </c>
      <c r="AD247" s="460">
        <v>0</v>
      </c>
      <c r="AE247" s="460">
        <v>0</v>
      </c>
      <c r="AF247" s="460">
        <f t="shared" ref="AF247:AF252" si="825">SUM(AD247:AE247)</f>
        <v>0</v>
      </c>
      <c r="AG247" s="460">
        <f t="shared" ref="AG247:AG252" si="826">AA247+AB247+AC247+AF247</f>
        <v>-98</v>
      </c>
      <c r="AH247" s="461">
        <v>-0.02</v>
      </c>
      <c r="AI247" s="461">
        <v>0</v>
      </c>
      <c r="AJ247" s="461">
        <v>0</v>
      </c>
      <c r="AK247" s="461">
        <v>0</v>
      </c>
      <c r="AL247" s="674">
        <v>0</v>
      </c>
      <c r="AM247" s="461">
        <v>0</v>
      </c>
      <c r="AN247" s="461">
        <v>0</v>
      </c>
      <c r="AO247" s="461">
        <v>0</v>
      </c>
      <c r="AP247" s="461">
        <f t="shared" ref="AP247:AP252" si="827">AH247+AJ247+AK247+AM247+AN247</f>
        <v>-0.02</v>
      </c>
      <c r="AQ247" s="461">
        <f t="shared" ref="AQ247:AQ252" si="828">AI247+AL247+AO247</f>
        <v>0</v>
      </c>
      <c r="AR247" s="463">
        <f t="shared" ref="AR247:AR252" si="829">SUM(AP247:AQ247)</f>
        <v>-0.02</v>
      </c>
      <c r="AS247" s="469">
        <f t="shared" ref="AS247:AS252" si="830">I247+AG247</f>
        <v>3343133</v>
      </c>
      <c r="AT247" s="460">
        <f t="shared" ref="AT247:AT252" si="831">J247+V247</f>
        <v>2455555</v>
      </c>
      <c r="AU247" s="460">
        <f t="shared" ref="AU247:AU252" si="832">Z247</f>
        <v>9750</v>
      </c>
      <c r="AV247" s="460">
        <f t="shared" ref="AV247:AW252" si="833">K247+AB247</f>
        <v>833273</v>
      </c>
      <c r="AW247" s="460">
        <f t="shared" si="833"/>
        <v>24555</v>
      </c>
      <c r="AX247" s="460">
        <f t="shared" ref="AX247:AX252" si="834">M247+AF247</f>
        <v>20000</v>
      </c>
      <c r="AY247" s="461">
        <f t="shared" ref="AY247:AY252" si="835">N247+AR247</f>
        <v>4.78</v>
      </c>
      <c r="AZ247" s="461">
        <f t="shared" ref="AZ247:BA252" si="836">O247+AP247</f>
        <v>3.98</v>
      </c>
      <c r="BA247" s="463">
        <f t="shared" si="836"/>
        <v>0.8</v>
      </c>
    </row>
    <row r="248" spans="1:53" s="229" customFormat="1" ht="12.75" customHeight="1" x14ac:dyDescent="0.2">
      <c r="A248" s="216">
        <v>44</v>
      </c>
      <c r="B248" s="217">
        <v>4489</v>
      </c>
      <c r="C248" s="217">
        <v>600075036</v>
      </c>
      <c r="D248" s="217">
        <v>72742607</v>
      </c>
      <c r="E248" s="215" t="s">
        <v>234</v>
      </c>
      <c r="F248" s="217">
        <v>3117</v>
      </c>
      <c r="G248" s="168" t="s">
        <v>310</v>
      </c>
      <c r="H248" s="218" t="s">
        <v>277</v>
      </c>
      <c r="I248" s="462">
        <f t="shared" si="815"/>
        <v>3686864</v>
      </c>
      <c r="J248" s="457">
        <v>2686917</v>
      </c>
      <c r="K248" s="457">
        <f t="shared" si="816"/>
        <v>908178</v>
      </c>
      <c r="L248" s="457">
        <f t="shared" si="817"/>
        <v>26869</v>
      </c>
      <c r="M248" s="457">
        <v>64900</v>
      </c>
      <c r="N248" s="458">
        <f t="shared" si="818"/>
        <v>5.26</v>
      </c>
      <c r="O248" s="459">
        <v>3.82</v>
      </c>
      <c r="P248" s="468">
        <v>1.44</v>
      </c>
      <c r="Q248" s="470">
        <f t="shared" si="819"/>
        <v>-45500</v>
      </c>
      <c r="R248" s="460">
        <v>0</v>
      </c>
      <c r="S248" s="673">
        <v>0</v>
      </c>
      <c r="T248" s="460">
        <v>61900</v>
      </c>
      <c r="U248" s="460">
        <v>0</v>
      </c>
      <c r="V248" s="460">
        <f t="shared" si="820"/>
        <v>16400</v>
      </c>
      <c r="W248" s="460">
        <v>45500</v>
      </c>
      <c r="X248" s="460">
        <v>0</v>
      </c>
      <c r="Y248" s="460">
        <v>0</v>
      </c>
      <c r="Z248" s="460">
        <f t="shared" si="821"/>
        <v>45500</v>
      </c>
      <c r="AA248" s="460">
        <f t="shared" si="822"/>
        <v>61900</v>
      </c>
      <c r="AB248" s="69">
        <f t="shared" si="823"/>
        <v>20922</v>
      </c>
      <c r="AC248" s="69">
        <f t="shared" si="824"/>
        <v>164</v>
      </c>
      <c r="AD248" s="460">
        <v>0</v>
      </c>
      <c r="AE248" s="460">
        <v>0</v>
      </c>
      <c r="AF248" s="460">
        <f t="shared" si="825"/>
        <v>0</v>
      </c>
      <c r="AG248" s="460">
        <f t="shared" si="826"/>
        <v>82986</v>
      </c>
      <c r="AH248" s="461">
        <v>-0.08</v>
      </c>
      <c r="AI248" s="461">
        <v>0</v>
      </c>
      <c r="AJ248" s="461">
        <v>0</v>
      </c>
      <c r="AK248" s="461">
        <v>0</v>
      </c>
      <c r="AL248" s="674">
        <v>0</v>
      </c>
      <c r="AM248" s="461">
        <v>0.09</v>
      </c>
      <c r="AN248" s="461">
        <v>0</v>
      </c>
      <c r="AO248" s="461">
        <v>0</v>
      </c>
      <c r="AP248" s="461">
        <f t="shared" si="827"/>
        <v>9.999999999999995E-3</v>
      </c>
      <c r="AQ248" s="461">
        <f t="shared" si="828"/>
        <v>0</v>
      </c>
      <c r="AR248" s="463">
        <f t="shared" si="829"/>
        <v>9.999999999999995E-3</v>
      </c>
      <c r="AS248" s="469">
        <f t="shared" si="830"/>
        <v>3769850</v>
      </c>
      <c r="AT248" s="460">
        <f t="shared" si="831"/>
        <v>2703317</v>
      </c>
      <c r="AU248" s="460">
        <f t="shared" si="832"/>
        <v>45500</v>
      </c>
      <c r="AV248" s="460">
        <f t="shared" si="833"/>
        <v>929100</v>
      </c>
      <c r="AW248" s="460">
        <f t="shared" si="833"/>
        <v>27033</v>
      </c>
      <c r="AX248" s="460">
        <f t="shared" si="834"/>
        <v>64900</v>
      </c>
      <c r="AY248" s="461">
        <f t="shared" si="835"/>
        <v>5.27</v>
      </c>
      <c r="AZ248" s="461">
        <f t="shared" si="836"/>
        <v>3.8299999999999996</v>
      </c>
      <c r="BA248" s="463">
        <f t="shared" si="836"/>
        <v>1.44</v>
      </c>
    </row>
    <row r="249" spans="1:53" s="229" customFormat="1" ht="12.75" customHeight="1" x14ac:dyDescent="0.2">
      <c r="A249" s="216">
        <v>44</v>
      </c>
      <c r="B249" s="217">
        <v>4489</v>
      </c>
      <c r="C249" s="217">
        <v>600075036</v>
      </c>
      <c r="D249" s="217">
        <v>72742607</v>
      </c>
      <c r="E249" s="215" t="s">
        <v>234</v>
      </c>
      <c r="F249" s="217">
        <v>3117</v>
      </c>
      <c r="G249" s="168" t="s">
        <v>308</v>
      </c>
      <c r="H249" s="218" t="s">
        <v>278</v>
      </c>
      <c r="I249" s="462">
        <f t="shared" si="815"/>
        <v>0</v>
      </c>
      <c r="J249" s="457">
        <v>0</v>
      </c>
      <c r="K249" s="457">
        <f t="shared" si="816"/>
        <v>0</v>
      </c>
      <c r="L249" s="457">
        <f t="shared" si="817"/>
        <v>0</v>
      </c>
      <c r="M249" s="457">
        <v>0</v>
      </c>
      <c r="N249" s="458">
        <f t="shared" si="818"/>
        <v>0</v>
      </c>
      <c r="O249" s="459">
        <v>0</v>
      </c>
      <c r="P249" s="468">
        <v>0</v>
      </c>
      <c r="Q249" s="470">
        <f t="shared" si="819"/>
        <v>0</v>
      </c>
      <c r="R249" s="460">
        <v>1039340</v>
      </c>
      <c r="S249" s="673">
        <v>0</v>
      </c>
      <c r="T249" s="460">
        <v>0</v>
      </c>
      <c r="U249" s="460">
        <v>0</v>
      </c>
      <c r="V249" s="460">
        <f t="shared" si="820"/>
        <v>1039340</v>
      </c>
      <c r="W249" s="460">
        <v>0</v>
      </c>
      <c r="X249" s="460">
        <v>0</v>
      </c>
      <c r="Y249" s="460">
        <v>0</v>
      </c>
      <c r="Z249" s="460">
        <f t="shared" si="821"/>
        <v>0</v>
      </c>
      <c r="AA249" s="460">
        <f t="shared" si="822"/>
        <v>1039340</v>
      </c>
      <c r="AB249" s="69">
        <f t="shared" si="823"/>
        <v>351297</v>
      </c>
      <c r="AC249" s="69">
        <f t="shared" si="824"/>
        <v>10393</v>
      </c>
      <c r="AD249" s="460">
        <v>0</v>
      </c>
      <c r="AE249" s="460">
        <v>0</v>
      </c>
      <c r="AF249" s="460">
        <f t="shared" si="825"/>
        <v>0</v>
      </c>
      <c r="AG249" s="460">
        <f t="shared" si="826"/>
        <v>1401030</v>
      </c>
      <c r="AH249" s="461">
        <v>0</v>
      </c>
      <c r="AI249" s="461">
        <v>0</v>
      </c>
      <c r="AJ249" s="461">
        <v>3</v>
      </c>
      <c r="AK249" s="461">
        <v>0</v>
      </c>
      <c r="AL249" s="674">
        <v>0</v>
      </c>
      <c r="AM249" s="461">
        <v>0</v>
      </c>
      <c r="AN249" s="461">
        <v>0</v>
      </c>
      <c r="AO249" s="461">
        <v>0</v>
      </c>
      <c r="AP249" s="461">
        <f t="shared" si="827"/>
        <v>3</v>
      </c>
      <c r="AQ249" s="461">
        <f t="shared" si="828"/>
        <v>0</v>
      </c>
      <c r="AR249" s="463">
        <f t="shared" si="829"/>
        <v>3</v>
      </c>
      <c r="AS249" s="469">
        <f t="shared" si="830"/>
        <v>1401030</v>
      </c>
      <c r="AT249" s="460">
        <f t="shared" si="831"/>
        <v>1039340</v>
      </c>
      <c r="AU249" s="460">
        <f t="shared" si="832"/>
        <v>0</v>
      </c>
      <c r="AV249" s="460">
        <f t="shared" si="833"/>
        <v>351297</v>
      </c>
      <c r="AW249" s="460">
        <f t="shared" si="833"/>
        <v>10393</v>
      </c>
      <c r="AX249" s="460">
        <f t="shared" si="834"/>
        <v>0</v>
      </c>
      <c r="AY249" s="461">
        <f t="shared" si="835"/>
        <v>3</v>
      </c>
      <c r="AZ249" s="461">
        <f t="shared" si="836"/>
        <v>3</v>
      </c>
      <c r="BA249" s="463">
        <f t="shared" si="836"/>
        <v>0</v>
      </c>
    </row>
    <row r="250" spans="1:53" s="229" customFormat="1" ht="12.75" customHeight="1" x14ac:dyDescent="0.2">
      <c r="A250" s="216">
        <v>44</v>
      </c>
      <c r="B250" s="217">
        <v>4489</v>
      </c>
      <c r="C250" s="217">
        <v>600075036</v>
      </c>
      <c r="D250" s="217">
        <v>72742607</v>
      </c>
      <c r="E250" s="215" t="s">
        <v>234</v>
      </c>
      <c r="F250" s="217">
        <v>3141</v>
      </c>
      <c r="G250" s="168" t="s">
        <v>311</v>
      </c>
      <c r="H250" s="218" t="s">
        <v>278</v>
      </c>
      <c r="I250" s="462">
        <f t="shared" si="815"/>
        <v>1056355</v>
      </c>
      <c r="J250" s="457">
        <v>780251</v>
      </c>
      <c r="K250" s="457">
        <f t="shared" si="816"/>
        <v>263725</v>
      </c>
      <c r="L250" s="457">
        <f t="shared" si="817"/>
        <v>7803</v>
      </c>
      <c r="M250" s="457">
        <v>4576</v>
      </c>
      <c r="N250" s="458">
        <f t="shared" si="818"/>
        <v>2.5099999999999998</v>
      </c>
      <c r="O250" s="459">
        <v>0</v>
      </c>
      <c r="P250" s="468">
        <v>2.5099999999999998</v>
      </c>
      <c r="Q250" s="470">
        <f t="shared" si="819"/>
        <v>-16250</v>
      </c>
      <c r="R250" s="460">
        <v>0</v>
      </c>
      <c r="S250" s="673">
        <v>0</v>
      </c>
      <c r="T250" s="460">
        <v>0</v>
      </c>
      <c r="U250" s="460">
        <v>0</v>
      </c>
      <c r="V250" s="460">
        <f t="shared" si="820"/>
        <v>-16250</v>
      </c>
      <c r="W250" s="460">
        <v>16250</v>
      </c>
      <c r="X250" s="460">
        <v>0</v>
      </c>
      <c r="Y250" s="460">
        <v>0</v>
      </c>
      <c r="Z250" s="460">
        <f t="shared" si="821"/>
        <v>16250</v>
      </c>
      <c r="AA250" s="460">
        <f t="shared" si="822"/>
        <v>0</v>
      </c>
      <c r="AB250" s="69">
        <f t="shared" si="823"/>
        <v>0</v>
      </c>
      <c r="AC250" s="69">
        <f t="shared" si="824"/>
        <v>-163</v>
      </c>
      <c r="AD250" s="460">
        <v>0</v>
      </c>
      <c r="AE250" s="460">
        <v>0</v>
      </c>
      <c r="AF250" s="460">
        <f t="shared" si="825"/>
        <v>0</v>
      </c>
      <c r="AG250" s="460">
        <f t="shared" si="826"/>
        <v>-163</v>
      </c>
      <c r="AH250" s="461">
        <v>0</v>
      </c>
      <c r="AI250" s="461">
        <v>0</v>
      </c>
      <c r="AJ250" s="461">
        <v>0</v>
      </c>
      <c r="AK250" s="461">
        <v>0</v>
      </c>
      <c r="AL250" s="674">
        <v>0</v>
      </c>
      <c r="AM250" s="461">
        <v>0</v>
      </c>
      <c r="AN250" s="461">
        <v>0</v>
      </c>
      <c r="AO250" s="461">
        <v>0</v>
      </c>
      <c r="AP250" s="461">
        <f t="shared" si="827"/>
        <v>0</v>
      </c>
      <c r="AQ250" s="461">
        <f t="shared" si="828"/>
        <v>0</v>
      </c>
      <c r="AR250" s="463">
        <f t="shared" si="829"/>
        <v>0</v>
      </c>
      <c r="AS250" s="469">
        <f t="shared" si="830"/>
        <v>1056192</v>
      </c>
      <c r="AT250" s="460">
        <f t="shared" si="831"/>
        <v>764001</v>
      </c>
      <c r="AU250" s="460">
        <f t="shared" si="832"/>
        <v>16250</v>
      </c>
      <c r="AV250" s="460">
        <f t="shared" si="833"/>
        <v>263725</v>
      </c>
      <c r="AW250" s="460">
        <f t="shared" si="833"/>
        <v>7640</v>
      </c>
      <c r="AX250" s="460">
        <f t="shared" si="834"/>
        <v>4576</v>
      </c>
      <c r="AY250" s="461">
        <f t="shared" si="835"/>
        <v>2.5099999999999998</v>
      </c>
      <c r="AZ250" s="461">
        <f t="shared" si="836"/>
        <v>0</v>
      </c>
      <c r="BA250" s="463">
        <f t="shared" si="836"/>
        <v>2.5099999999999998</v>
      </c>
    </row>
    <row r="251" spans="1:53" s="229" customFormat="1" ht="12.75" customHeight="1" x14ac:dyDescent="0.2">
      <c r="A251" s="216">
        <v>44</v>
      </c>
      <c r="B251" s="217">
        <v>4489</v>
      </c>
      <c r="C251" s="217">
        <v>600075036</v>
      </c>
      <c r="D251" s="217">
        <v>72742607</v>
      </c>
      <c r="E251" s="215" t="s">
        <v>234</v>
      </c>
      <c r="F251" s="217">
        <v>3143</v>
      </c>
      <c r="G251" s="168" t="s">
        <v>616</v>
      </c>
      <c r="H251" s="234" t="s">
        <v>277</v>
      </c>
      <c r="I251" s="462">
        <f t="shared" si="815"/>
        <v>658027</v>
      </c>
      <c r="J251" s="457">
        <v>488150</v>
      </c>
      <c r="K251" s="457">
        <f t="shared" si="816"/>
        <v>164995</v>
      </c>
      <c r="L251" s="457">
        <f t="shared" si="817"/>
        <v>4882</v>
      </c>
      <c r="M251" s="457">
        <v>0</v>
      </c>
      <c r="N251" s="458">
        <f t="shared" si="818"/>
        <v>1</v>
      </c>
      <c r="O251" s="459">
        <v>1</v>
      </c>
      <c r="P251" s="468">
        <v>0</v>
      </c>
      <c r="Q251" s="470">
        <f t="shared" si="819"/>
        <v>-6500</v>
      </c>
      <c r="R251" s="460">
        <v>0</v>
      </c>
      <c r="S251" s="673">
        <v>0</v>
      </c>
      <c r="T251" s="460">
        <v>0</v>
      </c>
      <c r="U251" s="460">
        <v>0</v>
      </c>
      <c r="V251" s="460">
        <f t="shared" si="820"/>
        <v>-6500</v>
      </c>
      <c r="W251" s="460">
        <v>6500</v>
      </c>
      <c r="X251" s="460">
        <v>0</v>
      </c>
      <c r="Y251" s="460">
        <v>0</v>
      </c>
      <c r="Z251" s="460">
        <f t="shared" si="821"/>
        <v>6500</v>
      </c>
      <c r="AA251" s="460">
        <f t="shared" si="822"/>
        <v>0</v>
      </c>
      <c r="AB251" s="69">
        <f t="shared" si="823"/>
        <v>0</v>
      </c>
      <c r="AC251" s="69">
        <f t="shared" si="824"/>
        <v>-65</v>
      </c>
      <c r="AD251" s="460">
        <v>0</v>
      </c>
      <c r="AE251" s="460">
        <v>0</v>
      </c>
      <c r="AF251" s="460">
        <f t="shared" si="825"/>
        <v>0</v>
      </c>
      <c r="AG251" s="460">
        <f t="shared" si="826"/>
        <v>-65</v>
      </c>
      <c r="AH251" s="461">
        <v>-0.02</v>
      </c>
      <c r="AI251" s="461">
        <v>0</v>
      </c>
      <c r="AJ251" s="461">
        <v>0</v>
      </c>
      <c r="AK251" s="461">
        <v>0</v>
      </c>
      <c r="AL251" s="674">
        <v>0</v>
      </c>
      <c r="AM251" s="461">
        <v>0</v>
      </c>
      <c r="AN251" s="461">
        <v>0</v>
      </c>
      <c r="AO251" s="461">
        <v>0</v>
      </c>
      <c r="AP251" s="461">
        <f t="shared" si="827"/>
        <v>-0.02</v>
      </c>
      <c r="AQ251" s="461">
        <f t="shared" si="828"/>
        <v>0</v>
      </c>
      <c r="AR251" s="463">
        <f t="shared" si="829"/>
        <v>-0.02</v>
      </c>
      <c r="AS251" s="469">
        <f t="shared" si="830"/>
        <v>657962</v>
      </c>
      <c r="AT251" s="460">
        <f t="shared" si="831"/>
        <v>481650</v>
      </c>
      <c r="AU251" s="460">
        <f t="shared" si="832"/>
        <v>6500</v>
      </c>
      <c r="AV251" s="460">
        <f t="shared" si="833"/>
        <v>164995</v>
      </c>
      <c r="AW251" s="460">
        <f t="shared" si="833"/>
        <v>4817</v>
      </c>
      <c r="AX251" s="460">
        <f t="shared" si="834"/>
        <v>0</v>
      </c>
      <c r="AY251" s="461">
        <f t="shared" si="835"/>
        <v>0.98</v>
      </c>
      <c r="AZ251" s="461">
        <f t="shared" si="836"/>
        <v>0.98</v>
      </c>
      <c r="BA251" s="463">
        <f t="shared" si="836"/>
        <v>0</v>
      </c>
    </row>
    <row r="252" spans="1:53" s="229" customFormat="1" ht="12.75" customHeight="1" x14ac:dyDescent="0.2">
      <c r="A252" s="216">
        <v>44</v>
      </c>
      <c r="B252" s="217">
        <v>4489</v>
      </c>
      <c r="C252" s="217">
        <v>600075036</v>
      </c>
      <c r="D252" s="217">
        <v>72742607</v>
      </c>
      <c r="E252" s="215" t="s">
        <v>234</v>
      </c>
      <c r="F252" s="217">
        <v>3143</v>
      </c>
      <c r="G252" s="168" t="s">
        <v>617</v>
      </c>
      <c r="H252" s="234" t="s">
        <v>278</v>
      </c>
      <c r="I252" s="462">
        <f t="shared" si="815"/>
        <v>16859</v>
      </c>
      <c r="J252" s="457">
        <v>12046</v>
      </c>
      <c r="K252" s="457">
        <f t="shared" si="816"/>
        <v>4072</v>
      </c>
      <c r="L252" s="457">
        <f t="shared" si="817"/>
        <v>120</v>
      </c>
      <c r="M252" s="457">
        <v>621</v>
      </c>
      <c r="N252" s="458">
        <f t="shared" si="818"/>
        <v>0.05</v>
      </c>
      <c r="O252" s="459">
        <v>0</v>
      </c>
      <c r="P252" s="468">
        <v>0.05</v>
      </c>
      <c r="Q252" s="470">
        <f t="shared" si="819"/>
        <v>0</v>
      </c>
      <c r="R252" s="460">
        <v>0</v>
      </c>
      <c r="S252" s="673">
        <v>0</v>
      </c>
      <c r="T252" s="460">
        <v>0</v>
      </c>
      <c r="U252" s="460">
        <v>0</v>
      </c>
      <c r="V252" s="460">
        <f t="shared" si="820"/>
        <v>0</v>
      </c>
      <c r="W252" s="460">
        <v>0</v>
      </c>
      <c r="X252" s="460">
        <v>0</v>
      </c>
      <c r="Y252" s="460">
        <v>0</v>
      </c>
      <c r="Z252" s="460">
        <f t="shared" si="821"/>
        <v>0</v>
      </c>
      <c r="AA252" s="460">
        <f t="shared" si="822"/>
        <v>0</v>
      </c>
      <c r="AB252" s="69">
        <f t="shared" si="823"/>
        <v>0</v>
      </c>
      <c r="AC252" s="69">
        <f t="shared" si="824"/>
        <v>0</v>
      </c>
      <c r="AD252" s="460">
        <v>0</v>
      </c>
      <c r="AE252" s="460">
        <v>0</v>
      </c>
      <c r="AF252" s="460">
        <f t="shared" si="825"/>
        <v>0</v>
      </c>
      <c r="AG252" s="460">
        <f t="shared" si="826"/>
        <v>0</v>
      </c>
      <c r="AH252" s="461">
        <v>0</v>
      </c>
      <c r="AI252" s="461">
        <v>0</v>
      </c>
      <c r="AJ252" s="461">
        <v>0</v>
      </c>
      <c r="AK252" s="461">
        <v>0</v>
      </c>
      <c r="AL252" s="674">
        <v>0</v>
      </c>
      <c r="AM252" s="461">
        <v>0</v>
      </c>
      <c r="AN252" s="461">
        <v>0</v>
      </c>
      <c r="AO252" s="461">
        <v>0</v>
      </c>
      <c r="AP252" s="461">
        <f t="shared" si="827"/>
        <v>0</v>
      </c>
      <c r="AQ252" s="461">
        <f t="shared" si="828"/>
        <v>0</v>
      </c>
      <c r="AR252" s="463">
        <f t="shared" si="829"/>
        <v>0</v>
      </c>
      <c r="AS252" s="469">
        <f t="shared" si="830"/>
        <v>16859</v>
      </c>
      <c r="AT252" s="460">
        <f t="shared" si="831"/>
        <v>12046</v>
      </c>
      <c r="AU252" s="460">
        <f t="shared" si="832"/>
        <v>0</v>
      </c>
      <c r="AV252" s="460">
        <f t="shared" si="833"/>
        <v>4072</v>
      </c>
      <c r="AW252" s="460">
        <f t="shared" si="833"/>
        <v>120</v>
      </c>
      <c r="AX252" s="460">
        <f t="shared" si="834"/>
        <v>621</v>
      </c>
      <c r="AY252" s="461">
        <f t="shared" si="835"/>
        <v>0.05</v>
      </c>
      <c r="AZ252" s="461">
        <f t="shared" si="836"/>
        <v>0</v>
      </c>
      <c r="BA252" s="463">
        <f t="shared" si="836"/>
        <v>0.05</v>
      </c>
    </row>
    <row r="253" spans="1:53" s="229" customFormat="1" ht="12.75" customHeight="1" x14ac:dyDescent="0.2">
      <c r="A253" s="158">
        <v>44</v>
      </c>
      <c r="B253" s="18">
        <v>4489</v>
      </c>
      <c r="C253" s="18">
        <v>600075036</v>
      </c>
      <c r="D253" s="18">
        <v>72742607</v>
      </c>
      <c r="E253" s="167" t="s">
        <v>235</v>
      </c>
      <c r="F253" s="18"/>
      <c r="G253" s="157"/>
      <c r="H253" s="191"/>
      <c r="I253" s="505">
        <f t="shared" ref="I253:BA253" si="837">SUM(I247:I252)</f>
        <v>8761336</v>
      </c>
      <c r="J253" s="502">
        <f t="shared" si="837"/>
        <v>6432669</v>
      </c>
      <c r="K253" s="502">
        <f t="shared" si="837"/>
        <v>2174243</v>
      </c>
      <c r="L253" s="502">
        <f t="shared" si="837"/>
        <v>64327</v>
      </c>
      <c r="M253" s="502">
        <f t="shared" si="837"/>
        <v>90097</v>
      </c>
      <c r="N253" s="503">
        <f t="shared" si="837"/>
        <v>13.62</v>
      </c>
      <c r="O253" s="503">
        <f t="shared" si="837"/>
        <v>8.82</v>
      </c>
      <c r="P253" s="507">
        <f t="shared" si="837"/>
        <v>4.8</v>
      </c>
      <c r="Q253" s="505">
        <f t="shared" si="837"/>
        <v>-78000</v>
      </c>
      <c r="R253" s="502">
        <f t="shared" si="837"/>
        <v>1039340</v>
      </c>
      <c r="S253" s="502">
        <f t="shared" si="837"/>
        <v>0</v>
      </c>
      <c r="T253" s="502">
        <f t="shared" si="837"/>
        <v>61900</v>
      </c>
      <c r="U253" s="502">
        <f t="shared" si="837"/>
        <v>0</v>
      </c>
      <c r="V253" s="502">
        <f t="shared" si="837"/>
        <v>1023240</v>
      </c>
      <c r="W253" s="502">
        <f t="shared" si="837"/>
        <v>78000</v>
      </c>
      <c r="X253" s="502">
        <f t="shared" si="837"/>
        <v>0</v>
      </c>
      <c r="Y253" s="502">
        <f t="shared" si="837"/>
        <v>0</v>
      </c>
      <c r="Z253" s="502">
        <f t="shared" si="837"/>
        <v>78000</v>
      </c>
      <c r="AA253" s="502">
        <f t="shared" si="837"/>
        <v>1101240</v>
      </c>
      <c r="AB253" s="502">
        <f t="shared" si="837"/>
        <v>372219</v>
      </c>
      <c r="AC253" s="502">
        <f t="shared" si="837"/>
        <v>10231</v>
      </c>
      <c r="AD253" s="502">
        <f t="shared" si="837"/>
        <v>0</v>
      </c>
      <c r="AE253" s="502">
        <f t="shared" si="837"/>
        <v>0</v>
      </c>
      <c r="AF253" s="502">
        <f t="shared" si="837"/>
        <v>0</v>
      </c>
      <c r="AG253" s="502">
        <f t="shared" si="837"/>
        <v>1483690</v>
      </c>
      <c r="AH253" s="503">
        <f t="shared" si="837"/>
        <v>-0.12000000000000001</v>
      </c>
      <c r="AI253" s="503">
        <f t="shared" si="837"/>
        <v>0</v>
      </c>
      <c r="AJ253" s="503">
        <f t="shared" si="837"/>
        <v>3</v>
      </c>
      <c r="AK253" s="503">
        <f t="shared" si="837"/>
        <v>0</v>
      </c>
      <c r="AL253" s="503">
        <f t="shared" si="837"/>
        <v>0</v>
      </c>
      <c r="AM253" s="503">
        <f t="shared" si="837"/>
        <v>0.09</v>
      </c>
      <c r="AN253" s="503">
        <f t="shared" si="837"/>
        <v>0</v>
      </c>
      <c r="AO253" s="503">
        <f t="shared" si="837"/>
        <v>0</v>
      </c>
      <c r="AP253" s="503">
        <f t="shared" si="837"/>
        <v>2.97</v>
      </c>
      <c r="AQ253" s="503">
        <f t="shared" si="837"/>
        <v>0</v>
      </c>
      <c r="AR253" s="40">
        <f t="shared" si="837"/>
        <v>2.97</v>
      </c>
      <c r="AS253" s="509">
        <f t="shared" si="837"/>
        <v>10245026</v>
      </c>
      <c r="AT253" s="502">
        <f t="shared" si="837"/>
        <v>7455909</v>
      </c>
      <c r="AU253" s="502">
        <f t="shared" si="837"/>
        <v>78000</v>
      </c>
      <c r="AV253" s="502">
        <f t="shared" si="837"/>
        <v>2546462</v>
      </c>
      <c r="AW253" s="502">
        <f t="shared" si="837"/>
        <v>74558</v>
      </c>
      <c r="AX253" s="502">
        <f t="shared" si="837"/>
        <v>90097</v>
      </c>
      <c r="AY253" s="503">
        <f t="shared" si="837"/>
        <v>16.59</v>
      </c>
      <c r="AZ253" s="503">
        <f t="shared" si="837"/>
        <v>11.79</v>
      </c>
      <c r="BA253" s="40">
        <f t="shared" si="837"/>
        <v>4.8</v>
      </c>
    </row>
    <row r="254" spans="1:53" s="229" customFormat="1" ht="12.75" customHeight="1" x14ac:dyDescent="0.2">
      <c r="A254" s="216">
        <v>45</v>
      </c>
      <c r="B254" s="217">
        <v>4426</v>
      </c>
      <c r="C254" s="217">
        <v>600074129</v>
      </c>
      <c r="D254" s="217">
        <v>72742160</v>
      </c>
      <c r="E254" s="215" t="s">
        <v>236</v>
      </c>
      <c r="F254" s="217">
        <v>3111</v>
      </c>
      <c r="G254" s="168" t="s">
        <v>307</v>
      </c>
      <c r="H254" s="218" t="s">
        <v>277</v>
      </c>
      <c r="I254" s="462">
        <f t="shared" ref="I254:I255" si="838">SUM(J254:M254)</f>
        <v>3242254</v>
      </c>
      <c r="J254" s="457">
        <v>2397518</v>
      </c>
      <c r="K254" s="457">
        <f t="shared" ref="K254:K255" si="839">ROUND(J254*33.8%,0)</f>
        <v>810361</v>
      </c>
      <c r="L254" s="457">
        <f t="shared" ref="L254:L255" si="840">ROUND(J254*1%,0)</f>
        <v>23975</v>
      </c>
      <c r="M254" s="457">
        <v>10400</v>
      </c>
      <c r="N254" s="458">
        <f t="shared" ref="N254:N255" si="841">O254+P254</f>
        <v>5.12</v>
      </c>
      <c r="O254" s="459">
        <v>4</v>
      </c>
      <c r="P254" s="468">
        <v>1.1200000000000001</v>
      </c>
      <c r="Q254" s="470">
        <f t="shared" ref="Q254:Q255" si="842">W254*-1</f>
        <v>0</v>
      </c>
      <c r="R254" s="460">
        <v>0</v>
      </c>
      <c r="S254" s="673">
        <v>0</v>
      </c>
      <c r="T254" s="460">
        <v>0</v>
      </c>
      <c r="U254" s="460">
        <v>0</v>
      </c>
      <c r="V254" s="460">
        <f>SUM(Q254:U254)</f>
        <v>0</v>
      </c>
      <c r="W254" s="460">
        <v>0</v>
      </c>
      <c r="X254" s="460">
        <v>0</v>
      </c>
      <c r="Y254" s="460">
        <v>0</v>
      </c>
      <c r="Z254" s="460">
        <f t="shared" ref="Z254:Z255" si="843">SUM(W254:Y254)</f>
        <v>0</v>
      </c>
      <c r="AA254" s="460">
        <f t="shared" ref="AA254:AA255" si="844">V254+Z254</f>
        <v>0</v>
      </c>
      <c r="AB254" s="69">
        <f t="shared" ref="AB254:AB255" si="845">ROUND((V254+W254+X254)*33.8%,0)</f>
        <v>0</v>
      </c>
      <c r="AC254" s="69">
        <f t="shared" ref="AC254:AC255" si="846">ROUND(V254*1%,0)</f>
        <v>0</v>
      </c>
      <c r="AD254" s="460">
        <v>0</v>
      </c>
      <c r="AE254" s="460">
        <v>0</v>
      </c>
      <c r="AF254" s="460">
        <f t="shared" ref="AF254:AF255" si="847">SUM(AD254:AE254)</f>
        <v>0</v>
      </c>
      <c r="AG254" s="460">
        <f t="shared" ref="AG254:AG255" si="848">AA254+AB254+AC254+AF254</f>
        <v>0</v>
      </c>
      <c r="AH254" s="461">
        <v>0</v>
      </c>
      <c r="AI254" s="461">
        <v>0</v>
      </c>
      <c r="AJ254" s="461">
        <v>0</v>
      </c>
      <c r="AK254" s="461">
        <v>0</v>
      </c>
      <c r="AL254" s="674">
        <v>0</v>
      </c>
      <c r="AM254" s="461">
        <v>0</v>
      </c>
      <c r="AN254" s="461">
        <v>0</v>
      </c>
      <c r="AO254" s="461">
        <v>0</v>
      </c>
      <c r="AP254" s="461">
        <f>AH254+AJ254+AK254+AM254+AN254</f>
        <v>0</v>
      </c>
      <c r="AQ254" s="461">
        <f>AI254+AL254+AO254</f>
        <v>0</v>
      </c>
      <c r="AR254" s="463">
        <f t="shared" ref="AR254:AR255" si="849">SUM(AP254:AQ254)</f>
        <v>0</v>
      </c>
      <c r="AS254" s="469">
        <f>I254+AG254</f>
        <v>3242254</v>
      </c>
      <c r="AT254" s="460">
        <f>J254+V254</f>
        <v>2397518</v>
      </c>
      <c r="AU254" s="460">
        <f t="shared" ref="AU254:AU255" si="850">Z254</f>
        <v>0</v>
      </c>
      <c r="AV254" s="460">
        <f>K254+AB254</f>
        <v>810361</v>
      </c>
      <c r="AW254" s="460">
        <f>L254+AC254</f>
        <v>23975</v>
      </c>
      <c r="AX254" s="460">
        <f>M254+AF254</f>
        <v>10400</v>
      </c>
      <c r="AY254" s="461">
        <f>N254+AR254</f>
        <v>5.12</v>
      </c>
      <c r="AZ254" s="461">
        <f>O254+AP254</f>
        <v>4</v>
      </c>
      <c r="BA254" s="463">
        <f>P254+AQ254</f>
        <v>1.1200000000000001</v>
      </c>
    </row>
    <row r="255" spans="1:53" s="229" customFormat="1" ht="12.75" customHeight="1" x14ac:dyDescent="0.2">
      <c r="A255" s="216">
        <v>45</v>
      </c>
      <c r="B255" s="217">
        <v>4426</v>
      </c>
      <c r="C255" s="217">
        <v>600074129</v>
      </c>
      <c r="D255" s="217">
        <v>72742160</v>
      </c>
      <c r="E255" s="215" t="s">
        <v>236</v>
      </c>
      <c r="F255" s="217">
        <v>3141</v>
      </c>
      <c r="G255" s="168" t="s">
        <v>311</v>
      </c>
      <c r="H255" s="218" t="s">
        <v>278</v>
      </c>
      <c r="I255" s="462">
        <f t="shared" si="838"/>
        <v>406289</v>
      </c>
      <c r="J255" s="457">
        <v>300398</v>
      </c>
      <c r="K255" s="457">
        <f t="shared" si="839"/>
        <v>101535</v>
      </c>
      <c r="L255" s="457">
        <f t="shared" si="840"/>
        <v>3004</v>
      </c>
      <c r="M255" s="457">
        <v>1352</v>
      </c>
      <c r="N255" s="458">
        <f t="shared" si="841"/>
        <v>0.97</v>
      </c>
      <c r="O255" s="459">
        <v>0</v>
      </c>
      <c r="P255" s="468">
        <v>0.97</v>
      </c>
      <c r="Q255" s="470">
        <f t="shared" si="842"/>
        <v>-6500</v>
      </c>
      <c r="R255" s="460">
        <v>0</v>
      </c>
      <c r="S255" s="673">
        <v>0</v>
      </c>
      <c r="T255" s="460">
        <v>0</v>
      </c>
      <c r="U255" s="460">
        <v>0</v>
      </c>
      <c r="V255" s="460">
        <f>SUM(Q255:U255)</f>
        <v>-6500</v>
      </c>
      <c r="W255" s="460">
        <v>6500</v>
      </c>
      <c r="X255" s="460">
        <v>0</v>
      </c>
      <c r="Y255" s="460">
        <v>0</v>
      </c>
      <c r="Z255" s="460">
        <f t="shared" si="843"/>
        <v>6500</v>
      </c>
      <c r="AA255" s="460">
        <f t="shared" si="844"/>
        <v>0</v>
      </c>
      <c r="AB255" s="69">
        <f t="shared" si="845"/>
        <v>0</v>
      </c>
      <c r="AC255" s="69">
        <f t="shared" si="846"/>
        <v>-65</v>
      </c>
      <c r="AD255" s="460">
        <v>0</v>
      </c>
      <c r="AE255" s="460">
        <v>0</v>
      </c>
      <c r="AF255" s="460">
        <f t="shared" si="847"/>
        <v>0</v>
      </c>
      <c r="AG255" s="460">
        <f t="shared" si="848"/>
        <v>-65</v>
      </c>
      <c r="AH255" s="461">
        <v>0</v>
      </c>
      <c r="AI255" s="461">
        <v>0</v>
      </c>
      <c r="AJ255" s="461">
        <v>0</v>
      </c>
      <c r="AK255" s="461">
        <v>0</v>
      </c>
      <c r="AL255" s="674">
        <v>0</v>
      </c>
      <c r="AM255" s="461">
        <v>0</v>
      </c>
      <c r="AN255" s="461">
        <v>0</v>
      </c>
      <c r="AO255" s="461">
        <v>0</v>
      </c>
      <c r="AP255" s="461">
        <f>AH255+AJ255+AK255+AM255+AN255</f>
        <v>0</v>
      </c>
      <c r="AQ255" s="461">
        <f>AI255+AL255+AO255</f>
        <v>0</v>
      </c>
      <c r="AR255" s="463">
        <f t="shared" si="849"/>
        <v>0</v>
      </c>
      <c r="AS255" s="469">
        <f>I255+AG255</f>
        <v>406224</v>
      </c>
      <c r="AT255" s="460">
        <f>J255+V255</f>
        <v>293898</v>
      </c>
      <c r="AU255" s="460">
        <f t="shared" si="850"/>
        <v>6500</v>
      </c>
      <c r="AV255" s="460">
        <f>K255+AB255</f>
        <v>101535</v>
      </c>
      <c r="AW255" s="460">
        <f>L255+AC255</f>
        <v>2939</v>
      </c>
      <c r="AX255" s="460">
        <f>M255+AF255</f>
        <v>1352</v>
      </c>
      <c r="AY255" s="461">
        <f>N255+AR255</f>
        <v>0.97</v>
      </c>
      <c r="AZ255" s="461">
        <f>O255+AP255</f>
        <v>0</v>
      </c>
      <c r="BA255" s="463">
        <f>P255+AQ255</f>
        <v>0.97</v>
      </c>
    </row>
    <row r="256" spans="1:53" s="229" customFormat="1" ht="12.75" customHeight="1" x14ac:dyDescent="0.2">
      <c r="A256" s="158">
        <v>45</v>
      </c>
      <c r="B256" s="18">
        <v>4426</v>
      </c>
      <c r="C256" s="18">
        <v>600074129</v>
      </c>
      <c r="D256" s="18">
        <v>72742160</v>
      </c>
      <c r="E256" s="167" t="s">
        <v>237</v>
      </c>
      <c r="F256" s="18"/>
      <c r="G256" s="157"/>
      <c r="H256" s="191"/>
      <c r="I256" s="504">
        <f t="shared" ref="I256:P256" si="851">SUM(I254:I255)</f>
        <v>3648543</v>
      </c>
      <c r="J256" s="500">
        <f t="shared" si="851"/>
        <v>2697916</v>
      </c>
      <c r="K256" s="500">
        <f t="shared" si="851"/>
        <v>911896</v>
      </c>
      <c r="L256" s="500">
        <f t="shared" si="851"/>
        <v>26979</v>
      </c>
      <c r="M256" s="500">
        <f t="shared" si="851"/>
        <v>11752</v>
      </c>
      <c r="N256" s="501">
        <f t="shared" si="851"/>
        <v>6.09</v>
      </c>
      <c r="O256" s="501">
        <f t="shared" si="851"/>
        <v>4</v>
      </c>
      <c r="P256" s="506">
        <f t="shared" si="851"/>
        <v>2.09</v>
      </c>
      <c r="Q256" s="504">
        <f t="shared" ref="Q256:BA256" si="852">SUM(Q254:Q255)</f>
        <v>-6500</v>
      </c>
      <c r="R256" s="500">
        <f t="shared" si="852"/>
        <v>0</v>
      </c>
      <c r="S256" s="500">
        <f t="shared" si="852"/>
        <v>0</v>
      </c>
      <c r="T256" s="500">
        <f t="shared" si="852"/>
        <v>0</v>
      </c>
      <c r="U256" s="500">
        <f t="shared" si="852"/>
        <v>0</v>
      </c>
      <c r="V256" s="500">
        <f t="shared" si="852"/>
        <v>-6500</v>
      </c>
      <c r="W256" s="500">
        <f t="shared" si="852"/>
        <v>6500</v>
      </c>
      <c r="X256" s="500">
        <f t="shared" si="852"/>
        <v>0</v>
      </c>
      <c r="Y256" s="500">
        <f t="shared" si="852"/>
        <v>0</v>
      </c>
      <c r="Z256" s="500">
        <f t="shared" si="852"/>
        <v>6500</v>
      </c>
      <c r="AA256" s="500">
        <f t="shared" si="852"/>
        <v>0</v>
      </c>
      <c r="AB256" s="500">
        <f t="shared" si="852"/>
        <v>0</v>
      </c>
      <c r="AC256" s="500">
        <f t="shared" si="852"/>
        <v>-65</v>
      </c>
      <c r="AD256" s="500">
        <f t="shared" si="852"/>
        <v>0</v>
      </c>
      <c r="AE256" s="500">
        <f t="shared" si="852"/>
        <v>0</v>
      </c>
      <c r="AF256" s="500">
        <f t="shared" si="852"/>
        <v>0</v>
      </c>
      <c r="AG256" s="500">
        <f t="shared" si="852"/>
        <v>-65</v>
      </c>
      <c r="AH256" s="501">
        <f t="shared" si="852"/>
        <v>0</v>
      </c>
      <c r="AI256" s="501">
        <f t="shared" si="852"/>
        <v>0</v>
      </c>
      <c r="AJ256" s="501">
        <f t="shared" si="852"/>
        <v>0</v>
      </c>
      <c r="AK256" s="501">
        <f t="shared" si="852"/>
        <v>0</v>
      </c>
      <c r="AL256" s="501">
        <f t="shared" si="852"/>
        <v>0</v>
      </c>
      <c r="AM256" s="501">
        <f t="shared" si="852"/>
        <v>0</v>
      </c>
      <c r="AN256" s="501">
        <f t="shared" si="852"/>
        <v>0</v>
      </c>
      <c r="AO256" s="501">
        <f t="shared" si="852"/>
        <v>0</v>
      </c>
      <c r="AP256" s="501">
        <f t="shared" si="852"/>
        <v>0</v>
      </c>
      <c r="AQ256" s="501">
        <f t="shared" si="852"/>
        <v>0</v>
      </c>
      <c r="AR256" s="41">
        <f t="shared" si="852"/>
        <v>0</v>
      </c>
      <c r="AS256" s="508">
        <f t="shared" si="852"/>
        <v>3648478</v>
      </c>
      <c r="AT256" s="500">
        <f t="shared" si="852"/>
        <v>2691416</v>
      </c>
      <c r="AU256" s="500">
        <f t="shared" si="852"/>
        <v>6500</v>
      </c>
      <c r="AV256" s="500">
        <f t="shared" si="852"/>
        <v>911896</v>
      </c>
      <c r="AW256" s="500">
        <f t="shared" si="852"/>
        <v>26914</v>
      </c>
      <c r="AX256" s="500">
        <f t="shared" si="852"/>
        <v>11752</v>
      </c>
      <c r="AY256" s="501">
        <f t="shared" si="852"/>
        <v>6.09</v>
      </c>
      <c r="AZ256" s="501">
        <f t="shared" si="852"/>
        <v>4</v>
      </c>
      <c r="BA256" s="41">
        <f t="shared" si="852"/>
        <v>2.09</v>
      </c>
    </row>
    <row r="257" spans="1:53" s="229" customFormat="1" ht="12.75" customHeight="1" x14ac:dyDescent="0.2">
      <c r="A257" s="216">
        <v>46</v>
      </c>
      <c r="B257" s="217">
        <v>4461</v>
      </c>
      <c r="C257" s="217">
        <v>600074765</v>
      </c>
      <c r="D257" s="217">
        <v>46750088</v>
      </c>
      <c r="E257" s="215" t="s">
        <v>238</v>
      </c>
      <c r="F257" s="217">
        <v>3111</v>
      </c>
      <c r="G257" s="168" t="s">
        <v>307</v>
      </c>
      <c r="H257" s="218" t="s">
        <v>277</v>
      </c>
      <c r="I257" s="462">
        <f t="shared" ref="I257:I262" si="853">SUM(J257:M257)</f>
        <v>9226129</v>
      </c>
      <c r="J257" s="457">
        <v>6804472</v>
      </c>
      <c r="K257" s="457">
        <f t="shared" ref="K257:K262" si="854">ROUND(J257*33.8%,0)</f>
        <v>2299912</v>
      </c>
      <c r="L257" s="457">
        <f t="shared" ref="L257:L262" si="855">ROUND(J257*1%,0)</f>
        <v>68045</v>
      </c>
      <c r="M257" s="457">
        <v>53700</v>
      </c>
      <c r="N257" s="458">
        <f t="shared" ref="N257:N262" si="856">O257+P257</f>
        <v>13.833500000000001</v>
      </c>
      <c r="O257" s="459">
        <v>11.673500000000001</v>
      </c>
      <c r="P257" s="468">
        <v>2.16</v>
      </c>
      <c r="Q257" s="470">
        <f t="shared" ref="Q257:Q262" si="857">W257*-1</f>
        <v>-17550</v>
      </c>
      <c r="R257" s="460">
        <v>0</v>
      </c>
      <c r="S257" s="673">
        <v>0</v>
      </c>
      <c r="T257" s="460">
        <v>0</v>
      </c>
      <c r="U257" s="460">
        <v>0</v>
      </c>
      <c r="V257" s="460">
        <f t="shared" ref="V257:V262" si="858">SUM(Q257:U257)</f>
        <v>-17550</v>
      </c>
      <c r="W257" s="460">
        <v>17550</v>
      </c>
      <c r="X257" s="460">
        <v>0</v>
      </c>
      <c r="Y257" s="460">
        <v>0</v>
      </c>
      <c r="Z257" s="460">
        <f t="shared" ref="Z257:Z262" si="859">SUM(W257:Y257)</f>
        <v>17550</v>
      </c>
      <c r="AA257" s="460">
        <f t="shared" ref="AA257:AA262" si="860">V257+Z257</f>
        <v>0</v>
      </c>
      <c r="AB257" s="69">
        <f t="shared" ref="AB257:AB262" si="861">ROUND((V257+W257+X257)*33.8%,0)</f>
        <v>0</v>
      </c>
      <c r="AC257" s="69">
        <f t="shared" ref="AC257:AC262" si="862">ROUND(V257*1%,0)</f>
        <v>-176</v>
      </c>
      <c r="AD257" s="460">
        <v>0</v>
      </c>
      <c r="AE257" s="460">
        <v>0</v>
      </c>
      <c r="AF257" s="460">
        <f t="shared" ref="AF257:AF262" si="863">SUM(AD257:AE257)</f>
        <v>0</v>
      </c>
      <c r="AG257" s="460">
        <f t="shared" ref="AG257:AG262" si="864">AA257+AB257+AC257+AF257</f>
        <v>-176</v>
      </c>
      <c r="AH257" s="461">
        <v>0</v>
      </c>
      <c r="AI257" s="461">
        <v>0</v>
      </c>
      <c r="AJ257" s="461">
        <v>0</v>
      </c>
      <c r="AK257" s="461">
        <v>0</v>
      </c>
      <c r="AL257" s="674">
        <v>0</v>
      </c>
      <c r="AM257" s="461">
        <v>0</v>
      </c>
      <c r="AN257" s="461">
        <v>0</v>
      </c>
      <c r="AO257" s="461">
        <v>0</v>
      </c>
      <c r="AP257" s="461">
        <f t="shared" ref="AP257:AP262" si="865">AH257+AJ257+AK257+AM257+AN257</f>
        <v>0</v>
      </c>
      <c r="AQ257" s="461">
        <f t="shared" ref="AQ257:AQ262" si="866">AI257+AL257+AO257</f>
        <v>0</v>
      </c>
      <c r="AR257" s="463">
        <f t="shared" ref="AR257:AR262" si="867">SUM(AP257:AQ257)</f>
        <v>0</v>
      </c>
      <c r="AS257" s="469">
        <f t="shared" ref="AS257:AS262" si="868">I257+AG257</f>
        <v>9225953</v>
      </c>
      <c r="AT257" s="460">
        <f t="shared" ref="AT257:AT262" si="869">J257+V257</f>
        <v>6786922</v>
      </c>
      <c r="AU257" s="460">
        <f t="shared" ref="AU257:AU262" si="870">Z257</f>
        <v>17550</v>
      </c>
      <c r="AV257" s="460">
        <f t="shared" ref="AV257:AW262" si="871">K257+AB257</f>
        <v>2299912</v>
      </c>
      <c r="AW257" s="460">
        <f t="shared" si="871"/>
        <v>67869</v>
      </c>
      <c r="AX257" s="460">
        <f t="shared" ref="AX257:AX262" si="872">M257+AF257</f>
        <v>53700</v>
      </c>
      <c r="AY257" s="461">
        <f t="shared" ref="AY257:AY262" si="873">N257+AR257</f>
        <v>13.833500000000001</v>
      </c>
      <c r="AZ257" s="461">
        <f t="shared" ref="AZ257:BA262" si="874">O257+AP257</f>
        <v>11.673500000000001</v>
      </c>
      <c r="BA257" s="463">
        <f t="shared" si="874"/>
        <v>2.16</v>
      </c>
    </row>
    <row r="258" spans="1:53" s="229" customFormat="1" ht="12.75" customHeight="1" x14ac:dyDescent="0.2">
      <c r="A258" s="216">
        <v>46</v>
      </c>
      <c r="B258" s="217">
        <v>4461</v>
      </c>
      <c r="C258" s="217">
        <v>600074765</v>
      </c>
      <c r="D258" s="217">
        <v>46750088</v>
      </c>
      <c r="E258" s="215" t="s">
        <v>238</v>
      </c>
      <c r="F258" s="217">
        <v>3113</v>
      </c>
      <c r="G258" s="168" t="s">
        <v>310</v>
      </c>
      <c r="H258" s="218" t="s">
        <v>277</v>
      </c>
      <c r="I258" s="462">
        <f t="shared" si="853"/>
        <v>27917929</v>
      </c>
      <c r="J258" s="457">
        <v>20307607</v>
      </c>
      <c r="K258" s="457">
        <f t="shared" si="854"/>
        <v>6863971</v>
      </c>
      <c r="L258" s="457">
        <f t="shared" si="855"/>
        <v>203076</v>
      </c>
      <c r="M258" s="457">
        <v>543275</v>
      </c>
      <c r="N258" s="458">
        <f t="shared" si="856"/>
        <v>34.669800000000002</v>
      </c>
      <c r="O258" s="459">
        <v>26.9998</v>
      </c>
      <c r="P258" s="468">
        <v>7.67</v>
      </c>
      <c r="Q258" s="470">
        <f t="shared" si="857"/>
        <v>-140400</v>
      </c>
      <c r="R258" s="460">
        <v>0</v>
      </c>
      <c r="S258" s="673">
        <v>0</v>
      </c>
      <c r="T258" s="460">
        <v>30950</v>
      </c>
      <c r="U258" s="460">
        <v>0</v>
      </c>
      <c r="V258" s="460">
        <f t="shared" si="858"/>
        <v>-109450</v>
      </c>
      <c r="W258" s="460">
        <v>140400</v>
      </c>
      <c r="X258" s="460">
        <v>0</v>
      </c>
      <c r="Y258" s="460">
        <v>0</v>
      </c>
      <c r="Z258" s="460">
        <f t="shared" si="859"/>
        <v>140400</v>
      </c>
      <c r="AA258" s="460">
        <f t="shared" si="860"/>
        <v>30950</v>
      </c>
      <c r="AB258" s="69">
        <f t="shared" si="861"/>
        <v>10461</v>
      </c>
      <c r="AC258" s="69">
        <f t="shared" si="862"/>
        <v>-1095</v>
      </c>
      <c r="AD258" s="460">
        <v>0</v>
      </c>
      <c r="AE258" s="460">
        <v>0</v>
      </c>
      <c r="AF258" s="460">
        <f t="shared" si="863"/>
        <v>0</v>
      </c>
      <c r="AG258" s="460">
        <f t="shared" si="864"/>
        <v>40316</v>
      </c>
      <c r="AH258" s="461">
        <v>0</v>
      </c>
      <c r="AI258" s="461">
        <v>-0.5</v>
      </c>
      <c r="AJ258" s="461">
        <v>0</v>
      </c>
      <c r="AK258" s="461">
        <v>0</v>
      </c>
      <c r="AL258" s="674">
        <v>0</v>
      </c>
      <c r="AM258" s="461">
        <v>0.05</v>
      </c>
      <c r="AN258" s="461">
        <v>0</v>
      </c>
      <c r="AO258" s="461">
        <v>0</v>
      </c>
      <c r="AP258" s="461">
        <f t="shared" si="865"/>
        <v>0.05</v>
      </c>
      <c r="AQ258" s="461">
        <f t="shared" si="866"/>
        <v>-0.5</v>
      </c>
      <c r="AR258" s="463">
        <f t="shared" si="867"/>
        <v>-0.45</v>
      </c>
      <c r="AS258" s="469">
        <f t="shared" si="868"/>
        <v>27958245</v>
      </c>
      <c r="AT258" s="460">
        <f t="shared" si="869"/>
        <v>20198157</v>
      </c>
      <c r="AU258" s="460">
        <f t="shared" si="870"/>
        <v>140400</v>
      </c>
      <c r="AV258" s="460">
        <f t="shared" si="871"/>
        <v>6874432</v>
      </c>
      <c r="AW258" s="460">
        <f t="shared" si="871"/>
        <v>201981</v>
      </c>
      <c r="AX258" s="460">
        <f t="shared" si="872"/>
        <v>543275</v>
      </c>
      <c r="AY258" s="461">
        <f t="shared" si="873"/>
        <v>34.219799999999999</v>
      </c>
      <c r="AZ258" s="461">
        <f t="shared" si="874"/>
        <v>27.049800000000001</v>
      </c>
      <c r="BA258" s="463">
        <f t="shared" si="874"/>
        <v>7.17</v>
      </c>
    </row>
    <row r="259" spans="1:53" s="229" customFormat="1" ht="12.75" customHeight="1" x14ac:dyDescent="0.2">
      <c r="A259" s="216">
        <v>46</v>
      </c>
      <c r="B259" s="217">
        <v>4461</v>
      </c>
      <c r="C259" s="217">
        <v>600074765</v>
      </c>
      <c r="D259" s="217">
        <v>46750088</v>
      </c>
      <c r="E259" s="215" t="s">
        <v>238</v>
      </c>
      <c r="F259" s="217">
        <v>3113</v>
      </c>
      <c r="G259" s="168" t="s">
        <v>308</v>
      </c>
      <c r="H259" s="218" t="s">
        <v>278</v>
      </c>
      <c r="I259" s="462">
        <f t="shared" si="853"/>
        <v>0</v>
      </c>
      <c r="J259" s="457">
        <v>0</v>
      </c>
      <c r="K259" s="457">
        <f t="shared" si="854"/>
        <v>0</v>
      </c>
      <c r="L259" s="457">
        <f t="shared" si="855"/>
        <v>0</v>
      </c>
      <c r="M259" s="457">
        <v>0</v>
      </c>
      <c r="N259" s="458">
        <f t="shared" si="856"/>
        <v>0</v>
      </c>
      <c r="O259" s="459">
        <v>0</v>
      </c>
      <c r="P259" s="468">
        <v>0</v>
      </c>
      <c r="Q259" s="470">
        <f t="shared" si="857"/>
        <v>0</v>
      </c>
      <c r="R259" s="460">
        <v>1087461</v>
      </c>
      <c r="S259" s="673">
        <v>0</v>
      </c>
      <c r="T259" s="460">
        <v>0</v>
      </c>
      <c r="U259" s="460">
        <v>0</v>
      </c>
      <c r="V259" s="460">
        <f t="shared" si="858"/>
        <v>1087461</v>
      </c>
      <c r="W259" s="460">
        <v>0</v>
      </c>
      <c r="X259" s="460">
        <v>0</v>
      </c>
      <c r="Y259" s="460">
        <v>0</v>
      </c>
      <c r="Z259" s="460">
        <f t="shared" si="859"/>
        <v>0</v>
      </c>
      <c r="AA259" s="460">
        <f t="shared" si="860"/>
        <v>1087461</v>
      </c>
      <c r="AB259" s="69">
        <f t="shared" si="861"/>
        <v>367562</v>
      </c>
      <c r="AC259" s="69">
        <f t="shared" si="862"/>
        <v>10875</v>
      </c>
      <c r="AD259" s="460">
        <v>0</v>
      </c>
      <c r="AE259" s="460">
        <v>0</v>
      </c>
      <c r="AF259" s="460">
        <f t="shared" si="863"/>
        <v>0</v>
      </c>
      <c r="AG259" s="460">
        <f t="shared" si="864"/>
        <v>1465898</v>
      </c>
      <c r="AH259" s="461">
        <v>0</v>
      </c>
      <c r="AI259" s="461">
        <v>0</v>
      </c>
      <c r="AJ259" s="461">
        <v>3.14</v>
      </c>
      <c r="AK259" s="461">
        <v>0</v>
      </c>
      <c r="AL259" s="674">
        <v>0</v>
      </c>
      <c r="AM259" s="461">
        <v>0</v>
      </c>
      <c r="AN259" s="461">
        <v>0</v>
      </c>
      <c r="AO259" s="461">
        <v>0</v>
      </c>
      <c r="AP259" s="461">
        <f t="shared" si="865"/>
        <v>3.14</v>
      </c>
      <c r="AQ259" s="461">
        <f t="shared" si="866"/>
        <v>0</v>
      </c>
      <c r="AR259" s="463">
        <f t="shared" si="867"/>
        <v>3.14</v>
      </c>
      <c r="AS259" s="469">
        <f t="shared" si="868"/>
        <v>1465898</v>
      </c>
      <c r="AT259" s="460">
        <f t="shared" si="869"/>
        <v>1087461</v>
      </c>
      <c r="AU259" s="460">
        <f t="shared" si="870"/>
        <v>0</v>
      </c>
      <c r="AV259" s="460">
        <f t="shared" si="871"/>
        <v>367562</v>
      </c>
      <c r="AW259" s="460">
        <f t="shared" si="871"/>
        <v>10875</v>
      </c>
      <c r="AX259" s="460">
        <f t="shared" si="872"/>
        <v>0</v>
      </c>
      <c r="AY259" s="461">
        <f t="shared" si="873"/>
        <v>3.14</v>
      </c>
      <c r="AZ259" s="461">
        <f t="shared" si="874"/>
        <v>3.14</v>
      </c>
      <c r="BA259" s="463">
        <f t="shared" si="874"/>
        <v>0</v>
      </c>
    </row>
    <row r="260" spans="1:53" s="229" customFormat="1" ht="12.75" customHeight="1" x14ac:dyDescent="0.2">
      <c r="A260" s="216">
        <v>46</v>
      </c>
      <c r="B260" s="217">
        <v>4461</v>
      </c>
      <c r="C260" s="217">
        <v>600074765</v>
      </c>
      <c r="D260" s="217">
        <v>46750088</v>
      </c>
      <c r="E260" s="210" t="s">
        <v>238</v>
      </c>
      <c r="F260" s="217">
        <v>3141</v>
      </c>
      <c r="G260" s="168" t="s">
        <v>311</v>
      </c>
      <c r="H260" s="218" t="s">
        <v>278</v>
      </c>
      <c r="I260" s="462">
        <f t="shared" si="853"/>
        <v>2952148</v>
      </c>
      <c r="J260" s="457">
        <v>2174048</v>
      </c>
      <c r="K260" s="457">
        <f t="shared" si="854"/>
        <v>734828</v>
      </c>
      <c r="L260" s="457">
        <f t="shared" si="855"/>
        <v>21740</v>
      </c>
      <c r="M260" s="457">
        <v>21532</v>
      </c>
      <c r="N260" s="458">
        <f t="shared" si="856"/>
        <v>6.99</v>
      </c>
      <c r="O260" s="459">
        <v>0</v>
      </c>
      <c r="P260" s="468">
        <v>6.99</v>
      </c>
      <c r="Q260" s="470">
        <f t="shared" si="857"/>
        <v>-13000</v>
      </c>
      <c r="R260" s="460">
        <v>0</v>
      </c>
      <c r="S260" s="673">
        <v>0</v>
      </c>
      <c r="T260" s="460">
        <v>0</v>
      </c>
      <c r="U260" s="460">
        <v>0</v>
      </c>
      <c r="V260" s="460">
        <f t="shared" si="858"/>
        <v>-13000</v>
      </c>
      <c r="W260" s="460">
        <v>13000</v>
      </c>
      <c r="X260" s="460">
        <v>0</v>
      </c>
      <c r="Y260" s="460">
        <v>0</v>
      </c>
      <c r="Z260" s="460">
        <f t="shared" si="859"/>
        <v>13000</v>
      </c>
      <c r="AA260" s="460">
        <f t="shared" si="860"/>
        <v>0</v>
      </c>
      <c r="AB260" s="69">
        <f t="shared" si="861"/>
        <v>0</v>
      </c>
      <c r="AC260" s="69">
        <f t="shared" si="862"/>
        <v>-130</v>
      </c>
      <c r="AD260" s="460">
        <v>0</v>
      </c>
      <c r="AE260" s="460">
        <v>0</v>
      </c>
      <c r="AF260" s="460">
        <f t="shared" si="863"/>
        <v>0</v>
      </c>
      <c r="AG260" s="460">
        <f t="shared" si="864"/>
        <v>-130</v>
      </c>
      <c r="AH260" s="461">
        <v>0</v>
      </c>
      <c r="AI260" s="461">
        <v>0</v>
      </c>
      <c r="AJ260" s="461">
        <v>0</v>
      </c>
      <c r="AK260" s="461">
        <v>0</v>
      </c>
      <c r="AL260" s="674">
        <v>0</v>
      </c>
      <c r="AM260" s="461">
        <v>0</v>
      </c>
      <c r="AN260" s="461">
        <v>0</v>
      </c>
      <c r="AO260" s="461">
        <v>0</v>
      </c>
      <c r="AP260" s="461">
        <f t="shared" si="865"/>
        <v>0</v>
      </c>
      <c r="AQ260" s="461">
        <f t="shared" si="866"/>
        <v>0</v>
      </c>
      <c r="AR260" s="463">
        <f t="shared" si="867"/>
        <v>0</v>
      </c>
      <c r="AS260" s="469">
        <f t="shared" si="868"/>
        <v>2952018</v>
      </c>
      <c r="AT260" s="460">
        <f t="shared" si="869"/>
        <v>2161048</v>
      </c>
      <c r="AU260" s="460">
        <f t="shared" si="870"/>
        <v>13000</v>
      </c>
      <c r="AV260" s="460">
        <f t="shared" si="871"/>
        <v>734828</v>
      </c>
      <c r="AW260" s="460">
        <f t="shared" si="871"/>
        <v>21610</v>
      </c>
      <c r="AX260" s="460">
        <f t="shared" si="872"/>
        <v>21532</v>
      </c>
      <c r="AY260" s="461">
        <f t="shared" si="873"/>
        <v>6.99</v>
      </c>
      <c r="AZ260" s="461">
        <f t="shared" si="874"/>
        <v>0</v>
      </c>
      <c r="BA260" s="463">
        <f t="shared" si="874"/>
        <v>6.99</v>
      </c>
    </row>
    <row r="261" spans="1:53" s="229" customFormat="1" ht="12.75" customHeight="1" x14ac:dyDescent="0.2">
      <c r="A261" s="216">
        <v>46</v>
      </c>
      <c r="B261" s="217">
        <v>4461</v>
      </c>
      <c r="C261" s="217">
        <v>600074765</v>
      </c>
      <c r="D261" s="217">
        <v>46750088</v>
      </c>
      <c r="E261" s="215" t="s">
        <v>238</v>
      </c>
      <c r="F261" s="217">
        <v>3143</v>
      </c>
      <c r="G261" s="168" t="s">
        <v>616</v>
      </c>
      <c r="H261" s="234" t="s">
        <v>277</v>
      </c>
      <c r="I261" s="462">
        <f t="shared" si="853"/>
        <v>2066405</v>
      </c>
      <c r="J261" s="457">
        <v>1532942</v>
      </c>
      <c r="K261" s="457">
        <f t="shared" si="854"/>
        <v>518134</v>
      </c>
      <c r="L261" s="457">
        <f t="shared" si="855"/>
        <v>15329</v>
      </c>
      <c r="M261" s="457">
        <v>0</v>
      </c>
      <c r="N261" s="458">
        <f t="shared" si="856"/>
        <v>3.3214000000000001</v>
      </c>
      <c r="O261" s="459">
        <v>3.3214000000000001</v>
      </c>
      <c r="P261" s="468">
        <v>0</v>
      </c>
      <c r="Q261" s="470">
        <f t="shared" si="857"/>
        <v>-9100</v>
      </c>
      <c r="R261" s="460">
        <v>0</v>
      </c>
      <c r="S261" s="673">
        <v>0</v>
      </c>
      <c r="T261" s="460">
        <v>0</v>
      </c>
      <c r="U261" s="460">
        <v>0</v>
      </c>
      <c r="V261" s="460">
        <f t="shared" si="858"/>
        <v>-9100</v>
      </c>
      <c r="W261" s="460">
        <v>9100</v>
      </c>
      <c r="X261" s="460">
        <v>0</v>
      </c>
      <c r="Y261" s="460">
        <v>0</v>
      </c>
      <c r="Z261" s="460">
        <f t="shared" si="859"/>
        <v>9100</v>
      </c>
      <c r="AA261" s="460">
        <f t="shared" si="860"/>
        <v>0</v>
      </c>
      <c r="AB261" s="69">
        <f t="shared" si="861"/>
        <v>0</v>
      </c>
      <c r="AC261" s="69">
        <f t="shared" si="862"/>
        <v>-91</v>
      </c>
      <c r="AD261" s="460">
        <v>0</v>
      </c>
      <c r="AE261" s="460">
        <v>0</v>
      </c>
      <c r="AF261" s="460">
        <f t="shared" si="863"/>
        <v>0</v>
      </c>
      <c r="AG261" s="460">
        <f t="shared" si="864"/>
        <v>-91</v>
      </c>
      <c r="AH261" s="461">
        <v>0</v>
      </c>
      <c r="AI261" s="461">
        <v>0</v>
      </c>
      <c r="AJ261" s="461">
        <v>0</v>
      </c>
      <c r="AK261" s="461">
        <v>0</v>
      </c>
      <c r="AL261" s="674">
        <v>0</v>
      </c>
      <c r="AM261" s="461">
        <v>0</v>
      </c>
      <c r="AN261" s="461">
        <v>0</v>
      </c>
      <c r="AO261" s="461">
        <v>0</v>
      </c>
      <c r="AP261" s="461">
        <f t="shared" si="865"/>
        <v>0</v>
      </c>
      <c r="AQ261" s="461">
        <f t="shared" si="866"/>
        <v>0</v>
      </c>
      <c r="AR261" s="463">
        <f t="shared" si="867"/>
        <v>0</v>
      </c>
      <c r="AS261" s="469">
        <f t="shared" si="868"/>
        <v>2066314</v>
      </c>
      <c r="AT261" s="460">
        <f t="shared" si="869"/>
        <v>1523842</v>
      </c>
      <c r="AU261" s="460">
        <f t="shared" si="870"/>
        <v>9100</v>
      </c>
      <c r="AV261" s="460">
        <f t="shared" si="871"/>
        <v>518134</v>
      </c>
      <c r="AW261" s="460">
        <f t="shared" si="871"/>
        <v>15238</v>
      </c>
      <c r="AX261" s="460">
        <f t="shared" si="872"/>
        <v>0</v>
      </c>
      <c r="AY261" s="461">
        <f t="shared" si="873"/>
        <v>3.3214000000000001</v>
      </c>
      <c r="AZ261" s="461">
        <f t="shared" si="874"/>
        <v>3.3214000000000001</v>
      </c>
      <c r="BA261" s="463">
        <f t="shared" si="874"/>
        <v>0</v>
      </c>
    </row>
    <row r="262" spans="1:53" s="229" customFormat="1" ht="12.75" customHeight="1" x14ac:dyDescent="0.2">
      <c r="A262" s="216">
        <v>46</v>
      </c>
      <c r="B262" s="217">
        <v>4461</v>
      </c>
      <c r="C262" s="217">
        <v>600074765</v>
      </c>
      <c r="D262" s="217">
        <v>46750088</v>
      </c>
      <c r="E262" s="215" t="s">
        <v>238</v>
      </c>
      <c r="F262" s="217">
        <v>3143</v>
      </c>
      <c r="G262" s="168" t="s">
        <v>617</v>
      </c>
      <c r="H262" s="234" t="s">
        <v>278</v>
      </c>
      <c r="I262" s="462">
        <f t="shared" si="853"/>
        <v>85761</v>
      </c>
      <c r="J262" s="457">
        <v>61277</v>
      </c>
      <c r="K262" s="457">
        <f t="shared" si="854"/>
        <v>20712</v>
      </c>
      <c r="L262" s="457">
        <f t="shared" si="855"/>
        <v>613</v>
      </c>
      <c r="M262" s="457">
        <v>3159</v>
      </c>
      <c r="N262" s="458">
        <f t="shared" si="856"/>
        <v>0.24</v>
      </c>
      <c r="O262" s="459">
        <v>0</v>
      </c>
      <c r="P262" s="468">
        <v>0.24</v>
      </c>
      <c r="Q262" s="470">
        <f t="shared" si="857"/>
        <v>0</v>
      </c>
      <c r="R262" s="460">
        <v>0</v>
      </c>
      <c r="S262" s="673">
        <v>0</v>
      </c>
      <c r="T262" s="460">
        <v>0</v>
      </c>
      <c r="U262" s="460">
        <v>0</v>
      </c>
      <c r="V262" s="460">
        <f t="shared" si="858"/>
        <v>0</v>
      </c>
      <c r="W262" s="460">
        <v>0</v>
      </c>
      <c r="X262" s="460">
        <v>0</v>
      </c>
      <c r="Y262" s="460">
        <v>0</v>
      </c>
      <c r="Z262" s="460">
        <f t="shared" si="859"/>
        <v>0</v>
      </c>
      <c r="AA262" s="460">
        <f t="shared" si="860"/>
        <v>0</v>
      </c>
      <c r="AB262" s="69">
        <f t="shared" si="861"/>
        <v>0</v>
      </c>
      <c r="AC262" s="69">
        <f t="shared" si="862"/>
        <v>0</v>
      </c>
      <c r="AD262" s="460">
        <v>0</v>
      </c>
      <c r="AE262" s="460">
        <v>0</v>
      </c>
      <c r="AF262" s="460">
        <f t="shared" si="863"/>
        <v>0</v>
      </c>
      <c r="AG262" s="460">
        <f t="shared" si="864"/>
        <v>0</v>
      </c>
      <c r="AH262" s="461">
        <v>0</v>
      </c>
      <c r="AI262" s="461">
        <v>0</v>
      </c>
      <c r="AJ262" s="461">
        <v>0</v>
      </c>
      <c r="AK262" s="461">
        <v>0</v>
      </c>
      <c r="AL262" s="674">
        <v>0</v>
      </c>
      <c r="AM262" s="461">
        <v>0</v>
      </c>
      <c r="AN262" s="461">
        <v>0</v>
      </c>
      <c r="AO262" s="461">
        <v>0</v>
      </c>
      <c r="AP262" s="461">
        <f t="shared" si="865"/>
        <v>0</v>
      </c>
      <c r="AQ262" s="461">
        <f t="shared" si="866"/>
        <v>0</v>
      </c>
      <c r="AR262" s="463">
        <f t="shared" si="867"/>
        <v>0</v>
      </c>
      <c r="AS262" s="469">
        <f t="shared" si="868"/>
        <v>85761</v>
      </c>
      <c r="AT262" s="460">
        <f t="shared" si="869"/>
        <v>61277</v>
      </c>
      <c r="AU262" s="460">
        <f t="shared" si="870"/>
        <v>0</v>
      </c>
      <c r="AV262" s="460">
        <f t="shared" si="871"/>
        <v>20712</v>
      </c>
      <c r="AW262" s="460">
        <f t="shared" si="871"/>
        <v>613</v>
      </c>
      <c r="AX262" s="460">
        <f t="shared" si="872"/>
        <v>3159</v>
      </c>
      <c r="AY262" s="461">
        <f t="shared" si="873"/>
        <v>0.24</v>
      </c>
      <c r="AZ262" s="461">
        <f t="shared" si="874"/>
        <v>0</v>
      </c>
      <c r="BA262" s="463">
        <f t="shared" si="874"/>
        <v>0.24</v>
      </c>
    </row>
    <row r="263" spans="1:53" s="229" customFormat="1" ht="12.75" customHeight="1" x14ac:dyDescent="0.2">
      <c r="A263" s="158">
        <v>46</v>
      </c>
      <c r="B263" s="18">
        <v>4461</v>
      </c>
      <c r="C263" s="18">
        <v>600074765</v>
      </c>
      <c r="D263" s="18">
        <v>46750088</v>
      </c>
      <c r="E263" s="167" t="s">
        <v>239</v>
      </c>
      <c r="F263" s="18"/>
      <c r="G263" s="157"/>
      <c r="H263" s="191"/>
      <c r="I263" s="505">
        <f t="shared" ref="I263:BA263" si="875">SUM(I257:I262)</f>
        <v>42248372</v>
      </c>
      <c r="J263" s="502">
        <f t="shared" si="875"/>
        <v>30880346</v>
      </c>
      <c r="K263" s="502">
        <f t="shared" si="875"/>
        <v>10437557</v>
      </c>
      <c r="L263" s="502">
        <f t="shared" si="875"/>
        <v>308803</v>
      </c>
      <c r="M263" s="502">
        <f t="shared" si="875"/>
        <v>621666</v>
      </c>
      <c r="N263" s="503">
        <f t="shared" si="875"/>
        <v>59.054700000000004</v>
      </c>
      <c r="O263" s="503">
        <f t="shared" si="875"/>
        <v>41.994699999999995</v>
      </c>
      <c r="P263" s="507">
        <f t="shared" si="875"/>
        <v>17.059999999999999</v>
      </c>
      <c r="Q263" s="505">
        <f t="shared" si="875"/>
        <v>-180050</v>
      </c>
      <c r="R263" s="502">
        <f t="shared" si="875"/>
        <v>1087461</v>
      </c>
      <c r="S263" s="502">
        <f t="shared" si="875"/>
        <v>0</v>
      </c>
      <c r="T263" s="502">
        <f t="shared" si="875"/>
        <v>30950</v>
      </c>
      <c r="U263" s="502">
        <f t="shared" si="875"/>
        <v>0</v>
      </c>
      <c r="V263" s="502">
        <f t="shared" si="875"/>
        <v>938361</v>
      </c>
      <c r="W263" s="502">
        <f t="shared" si="875"/>
        <v>180050</v>
      </c>
      <c r="X263" s="502">
        <f t="shared" si="875"/>
        <v>0</v>
      </c>
      <c r="Y263" s="502">
        <f t="shared" si="875"/>
        <v>0</v>
      </c>
      <c r="Z263" s="502">
        <f t="shared" si="875"/>
        <v>180050</v>
      </c>
      <c r="AA263" s="502">
        <f t="shared" si="875"/>
        <v>1118411</v>
      </c>
      <c r="AB263" s="502">
        <f t="shared" si="875"/>
        <v>378023</v>
      </c>
      <c r="AC263" s="502">
        <f t="shared" si="875"/>
        <v>9383</v>
      </c>
      <c r="AD263" s="502">
        <f t="shared" si="875"/>
        <v>0</v>
      </c>
      <c r="AE263" s="502">
        <f t="shared" si="875"/>
        <v>0</v>
      </c>
      <c r="AF263" s="502">
        <f t="shared" si="875"/>
        <v>0</v>
      </c>
      <c r="AG263" s="502">
        <f t="shared" si="875"/>
        <v>1505817</v>
      </c>
      <c r="AH263" s="503">
        <f t="shared" si="875"/>
        <v>0</v>
      </c>
      <c r="AI263" s="503">
        <f t="shared" si="875"/>
        <v>-0.5</v>
      </c>
      <c r="AJ263" s="503">
        <f t="shared" si="875"/>
        <v>3.14</v>
      </c>
      <c r="AK263" s="503">
        <f t="shared" si="875"/>
        <v>0</v>
      </c>
      <c r="AL263" s="503">
        <f t="shared" si="875"/>
        <v>0</v>
      </c>
      <c r="AM263" s="503">
        <f t="shared" si="875"/>
        <v>0.05</v>
      </c>
      <c r="AN263" s="503">
        <f t="shared" si="875"/>
        <v>0</v>
      </c>
      <c r="AO263" s="503">
        <f t="shared" si="875"/>
        <v>0</v>
      </c>
      <c r="AP263" s="503">
        <f t="shared" si="875"/>
        <v>3.19</v>
      </c>
      <c r="AQ263" s="503">
        <f t="shared" si="875"/>
        <v>-0.5</v>
      </c>
      <c r="AR263" s="40">
        <f t="shared" si="875"/>
        <v>2.69</v>
      </c>
      <c r="AS263" s="509">
        <f t="shared" si="875"/>
        <v>43754189</v>
      </c>
      <c r="AT263" s="502">
        <f t="shared" si="875"/>
        <v>31818707</v>
      </c>
      <c r="AU263" s="502">
        <f t="shared" si="875"/>
        <v>180050</v>
      </c>
      <c r="AV263" s="502">
        <f t="shared" si="875"/>
        <v>10815580</v>
      </c>
      <c r="AW263" s="502">
        <f t="shared" si="875"/>
        <v>318186</v>
      </c>
      <c r="AX263" s="502">
        <f t="shared" si="875"/>
        <v>621666</v>
      </c>
      <c r="AY263" s="503">
        <f t="shared" si="875"/>
        <v>61.744700000000002</v>
      </c>
      <c r="AZ263" s="503">
        <f t="shared" si="875"/>
        <v>45.184699999999999</v>
      </c>
      <c r="BA263" s="40">
        <f t="shared" si="875"/>
        <v>16.559999999999999</v>
      </c>
    </row>
    <row r="264" spans="1:53" s="229" customFormat="1" ht="12.75" customHeight="1" x14ac:dyDescent="0.2">
      <c r="A264" s="216">
        <v>47</v>
      </c>
      <c r="B264" s="217">
        <v>4427</v>
      </c>
      <c r="C264" s="217">
        <v>600074188</v>
      </c>
      <c r="D264" s="217">
        <v>70982678</v>
      </c>
      <c r="E264" s="215" t="s">
        <v>815</v>
      </c>
      <c r="F264" s="217">
        <v>3111</v>
      </c>
      <c r="G264" s="168" t="s">
        <v>307</v>
      </c>
      <c r="H264" s="218" t="s">
        <v>277</v>
      </c>
      <c r="I264" s="462">
        <f t="shared" ref="I264:I269" si="876">SUM(J264:M264)</f>
        <v>3285286</v>
      </c>
      <c r="J264" s="457">
        <v>2427066</v>
      </c>
      <c r="K264" s="457">
        <f>ROUND(J264*33.8%,0)+1</f>
        <v>820349</v>
      </c>
      <c r="L264" s="457">
        <f t="shared" ref="L264:L269" si="877">ROUND(J264*1%,0)</f>
        <v>24271</v>
      </c>
      <c r="M264" s="457">
        <v>13600</v>
      </c>
      <c r="N264" s="458">
        <f t="shared" ref="N264:N269" si="878">O264+P264</f>
        <v>5.1394000000000002</v>
      </c>
      <c r="O264" s="459">
        <v>4.4194000000000004</v>
      </c>
      <c r="P264" s="468">
        <v>0.72</v>
      </c>
      <c r="Q264" s="470">
        <f t="shared" ref="Q264:Q269" si="879">W264*-1</f>
        <v>-6500</v>
      </c>
      <c r="R264" s="460">
        <v>0</v>
      </c>
      <c r="S264" s="673">
        <v>0</v>
      </c>
      <c r="T264" s="460">
        <v>0</v>
      </c>
      <c r="U264" s="460">
        <v>0</v>
      </c>
      <c r="V264" s="460">
        <f t="shared" ref="V264:V269" si="880">SUM(Q264:U264)</f>
        <v>-6500</v>
      </c>
      <c r="W264" s="460">
        <v>6500</v>
      </c>
      <c r="X264" s="460">
        <v>0</v>
      </c>
      <c r="Y264" s="460">
        <v>0</v>
      </c>
      <c r="Z264" s="460">
        <f t="shared" ref="Z264:Z269" si="881">SUM(W264:Y264)</f>
        <v>6500</v>
      </c>
      <c r="AA264" s="460">
        <f t="shared" ref="AA264:AA269" si="882">V264+Z264</f>
        <v>0</v>
      </c>
      <c r="AB264" s="69">
        <f t="shared" ref="AB264:AB269" si="883">ROUND((V264+W264+X264)*33.8%,0)</f>
        <v>0</v>
      </c>
      <c r="AC264" s="69">
        <f t="shared" ref="AC264:AC269" si="884">ROUND(V264*1%,0)</f>
        <v>-65</v>
      </c>
      <c r="AD264" s="460">
        <v>0</v>
      </c>
      <c r="AE264" s="460">
        <v>0</v>
      </c>
      <c r="AF264" s="460">
        <f t="shared" ref="AF264:AF269" si="885">SUM(AD264:AE264)</f>
        <v>0</v>
      </c>
      <c r="AG264" s="460">
        <f t="shared" ref="AG264:AG269" si="886">AA264+AB264+AC264+AF264</f>
        <v>-65</v>
      </c>
      <c r="AH264" s="461">
        <v>0</v>
      </c>
      <c r="AI264" s="461">
        <v>0</v>
      </c>
      <c r="AJ264" s="461">
        <v>0</v>
      </c>
      <c r="AK264" s="461">
        <v>0</v>
      </c>
      <c r="AL264" s="674">
        <v>0</v>
      </c>
      <c r="AM264" s="461">
        <v>0</v>
      </c>
      <c r="AN264" s="461">
        <v>0</v>
      </c>
      <c r="AO264" s="461">
        <v>0</v>
      </c>
      <c r="AP264" s="461">
        <f t="shared" ref="AP264:AP269" si="887">AH264+AJ264+AK264+AM264+AN264</f>
        <v>0</v>
      </c>
      <c r="AQ264" s="461">
        <f t="shared" ref="AQ264:AQ269" si="888">AI264+AL264+AO264</f>
        <v>0</v>
      </c>
      <c r="AR264" s="463">
        <f t="shared" ref="AR264:AR269" si="889">SUM(AP264:AQ264)</f>
        <v>0</v>
      </c>
      <c r="AS264" s="469">
        <f t="shared" ref="AS264:AS269" si="890">I264+AG264</f>
        <v>3285221</v>
      </c>
      <c r="AT264" s="460">
        <f t="shared" ref="AT264:AT269" si="891">J264+V264</f>
        <v>2420566</v>
      </c>
      <c r="AU264" s="460">
        <f t="shared" ref="AU264:AU269" si="892">Z264</f>
        <v>6500</v>
      </c>
      <c r="AV264" s="460">
        <f t="shared" ref="AV264:AW269" si="893">K264+AB264</f>
        <v>820349</v>
      </c>
      <c r="AW264" s="460">
        <f t="shared" si="893"/>
        <v>24206</v>
      </c>
      <c r="AX264" s="460">
        <f t="shared" ref="AX264:AX269" si="894">M264+AF264</f>
        <v>13600</v>
      </c>
      <c r="AY264" s="461">
        <f t="shared" ref="AY264:AY269" si="895">N264+AR264</f>
        <v>5.1394000000000002</v>
      </c>
      <c r="AZ264" s="461">
        <f t="shared" ref="AZ264:BA269" si="896">O264+AP264</f>
        <v>4.4194000000000004</v>
      </c>
      <c r="BA264" s="463">
        <f t="shared" si="896"/>
        <v>0.72</v>
      </c>
    </row>
    <row r="265" spans="1:53" s="229" customFormat="1" ht="12.75" customHeight="1" x14ac:dyDescent="0.2">
      <c r="A265" s="216">
        <v>47</v>
      </c>
      <c r="B265" s="217">
        <v>4427</v>
      </c>
      <c r="C265" s="217">
        <v>600074188</v>
      </c>
      <c r="D265" s="217">
        <v>70982678</v>
      </c>
      <c r="E265" s="215" t="s">
        <v>812</v>
      </c>
      <c r="F265" s="217">
        <v>3117</v>
      </c>
      <c r="G265" s="168" t="s">
        <v>310</v>
      </c>
      <c r="H265" s="218" t="s">
        <v>277</v>
      </c>
      <c r="I265" s="462">
        <f t="shared" si="876"/>
        <v>1274469</v>
      </c>
      <c r="J265" s="457">
        <v>936698</v>
      </c>
      <c r="K265" s="457">
        <f t="shared" ref="K265:K269" si="897">ROUND(J265*33.8%,0)</f>
        <v>316604</v>
      </c>
      <c r="L265" s="457">
        <f t="shared" si="877"/>
        <v>9367</v>
      </c>
      <c r="M265" s="457">
        <v>11800</v>
      </c>
      <c r="N265" s="458">
        <f t="shared" si="878"/>
        <v>2.1810999999999998</v>
      </c>
      <c r="O265" s="459">
        <v>1.0911</v>
      </c>
      <c r="P265" s="468">
        <v>1.0900000000000001</v>
      </c>
      <c r="Q265" s="470">
        <f t="shared" si="879"/>
        <v>-26000</v>
      </c>
      <c r="R265" s="460">
        <v>0</v>
      </c>
      <c r="S265" s="673">
        <v>0</v>
      </c>
      <c r="T265" s="460">
        <v>0</v>
      </c>
      <c r="U265" s="460">
        <v>0</v>
      </c>
      <c r="V265" s="460">
        <f t="shared" si="880"/>
        <v>-26000</v>
      </c>
      <c r="W265" s="460">
        <v>26000</v>
      </c>
      <c r="X265" s="460">
        <v>0</v>
      </c>
      <c r="Y265" s="460">
        <v>0</v>
      </c>
      <c r="Z265" s="460">
        <f t="shared" si="881"/>
        <v>26000</v>
      </c>
      <c r="AA265" s="460">
        <f t="shared" si="882"/>
        <v>0</v>
      </c>
      <c r="AB265" s="69">
        <f t="shared" si="883"/>
        <v>0</v>
      </c>
      <c r="AC265" s="69">
        <f t="shared" si="884"/>
        <v>-260</v>
      </c>
      <c r="AD265" s="460">
        <v>0</v>
      </c>
      <c r="AE265" s="460">
        <v>0</v>
      </c>
      <c r="AF265" s="460">
        <f t="shared" si="885"/>
        <v>0</v>
      </c>
      <c r="AG265" s="460">
        <f t="shared" si="886"/>
        <v>-260</v>
      </c>
      <c r="AH265" s="461">
        <v>0</v>
      </c>
      <c r="AI265" s="461">
        <v>-0.1</v>
      </c>
      <c r="AJ265" s="461">
        <v>0</v>
      </c>
      <c r="AK265" s="461">
        <v>0</v>
      </c>
      <c r="AL265" s="674">
        <v>0</v>
      </c>
      <c r="AM265" s="461">
        <v>0</v>
      </c>
      <c r="AN265" s="461">
        <v>0</v>
      </c>
      <c r="AO265" s="461">
        <v>0</v>
      </c>
      <c r="AP265" s="461">
        <f t="shared" si="887"/>
        <v>0</v>
      </c>
      <c r="AQ265" s="461">
        <f t="shared" si="888"/>
        <v>-0.1</v>
      </c>
      <c r="AR265" s="463">
        <f t="shared" si="889"/>
        <v>-0.1</v>
      </c>
      <c r="AS265" s="469">
        <f t="shared" si="890"/>
        <v>1274209</v>
      </c>
      <c r="AT265" s="460">
        <f t="shared" si="891"/>
        <v>910698</v>
      </c>
      <c r="AU265" s="460">
        <f t="shared" si="892"/>
        <v>26000</v>
      </c>
      <c r="AV265" s="460">
        <f t="shared" si="893"/>
        <v>316604</v>
      </c>
      <c r="AW265" s="460">
        <f t="shared" si="893"/>
        <v>9107</v>
      </c>
      <c r="AX265" s="460">
        <f t="shared" si="894"/>
        <v>11800</v>
      </c>
      <c r="AY265" s="461">
        <f t="shared" si="895"/>
        <v>2.0810999999999997</v>
      </c>
      <c r="AZ265" s="461">
        <f t="shared" si="896"/>
        <v>1.0911</v>
      </c>
      <c r="BA265" s="463">
        <f t="shared" si="896"/>
        <v>0.9900000000000001</v>
      </c>
    </row>
    <row r="266" spans="1:53" s="229" customFormat="1" ht="12.75" customHeight="1" x14ac:dyDescent="0.2">
      <c r="A266" s="216">
        <v>47</v>
      </c>
      <c r="B266" s="217">
        <v>4427</v>
      </c>
      <c r="C266" s="217">
        <v>600074188</v>
      </c>
      <c r="D266" s="217">
        <v>70982678</v>
      </c>
      <c r="E266" s="215" t="s">
        <v>812</v>
      </c>
      <c r="F266" s="217">
        <v>3117</v>
      </c>
      <c r="G266" s="168" t="s">
        <v>308</v>
      </c>
      <c r="H266" s="218" t="s">
        <v>278</v>
      </c>
      <c r="I266" s="462">
        <f t="shared" si="876"/>
        <v>0</v>
      </c>
      <c r="J266" s="457">
        <v>0</v>
      </c>
      <c r="K266" s="457">
        <f t="shared" si="897"/>
        <v>0</v>
      </c>
      <c r="L266" s="457">
        <f t="shared" si="877"/>
        <v>0</v>
      </c>
      <c r="M266" s="457">
        <v>0</v>
      </c>
      <c r="N266" s="458">
        <f t="shared" si="878"/>
        <v>0</v>
      </c>
      <c r="O266" s="459">
        <v>0</v>
      </c>
      <c r="P266" s="468">
        <v>0</v>
      </c>
      <c r="Q266" s="470">
        <f t="shared" si="879"/>
        <v>0</v>
      </c>
      <c r="R266" s="460">
        <v>0</v>
      </c>
      <c r="S266" s="673">
        <v>0</v>
      </c>
      <c r="T266" s="460">
        <v>0</v>
      </c>
      <c r="U266" s="460">
        <v>0</v>
      </c>
      <c r="V266" s="460">
        <f t="shared" si="880"/>
        <v>0</v>
      </c>
      <c r="W266" s="460">
        <v>0</v>
      </c>
      <c r="X266" s="460">
        <v>0</v>
      </c>
      <c r="Y266" s="460">
        <v>0</v>
      </c>
      <c r="Z266" s="460">
        <f t="shared" si="881"/>
        <v>0</v>
      </c>
      <c r="AA266" s="460">
        <f t="shared" si="882"/>
        <v>0</v>
      </c>
      <c r="AB266" s="69">
        <f t="shared" si="883"/>
        <v>0</v>
      </c>
      <c r="AC266" s="69">
        <f t="shared" si="884"/>
        <v>0</v>
      </c>
      <c r="AD266" s="460">
        <v>0</v>
      </c>
      <c r="AE266" s="460">
        <v>0</v>
      </c>
      <c r="AF266" s="460">
        <f t="shared" si="885"/>
        <v>0</v>
      </c>
      <c r="AG266" s="460">
        <f t="shared" si="886"/>
        <v>0</v>
      </c>
      <c r="AH266" s="461">
        <v>0</v>
      </c>
      <c r="AI266" s="461">
        <v>0</v>
      </c>
      <c r="AJ266" s="461">
        <v>0</v>
      </c>
      <c r="AK266" s="461">
        <v>0</v>
      </c>
      <c r="AL266" s="674">
        <v>0</v>
      </c>
      <c r="AM266" s="461">
        <v>0</v>
      </c>
      <c r="AN266" s="461">
        <v>0</v>
      </c>
      <c r="AO266" s="461">
        <v>0</v>
      </c>
      <c r="AP266" s="461">
        <f t="shared" si="887"/>
        <v>0</v>
      </c>
      <c r="AQ266" s="461">
        <f t="shared" si="888"/>
        <v>0</v>
      </c>
      <c r="AR266" s="463">
        <f t="shared" si="889"/>
        <v>0</v>
      </c>
      <c r="AS266" s="469">
        <f t="shared" si="890"/>
        <v>0</v>
      </c>
      <c r="AT266" s="460">
        <f t="shared" si="891"/>
        <v>0</v>
      </c>
      <c r="AU266" s="460">
        <f t="shared" si="892"/>
        <v>0</v>
      </c>
      <c r="AV266" s="460">
        <f t="shared" si="893"/>
        <v>0</v>
      </c>
      <c r="AW266" s="460">
        <f t="shared" si="893"/>
        <v>0</v>
      </c>
      <c r="AX266" s="460">
        <f t="shared" si="894"/>
        <v>0</v>
      </c>
      <c r="AY266" s="461">
        <f t="shared" si="895"/>
        <v>0</v>
      </c>
      <c r="AZ266" s="461">
        <f t="shared" si="896"/>
        <v>0</v>
      </c>
      <c r="BA266" s="463">
        <f t="shared" si="896"/>
        <v>0</v>
      </c>
    </row>
    <row r="267" spans="1:53" s="229" customFormat="1" ht="12.75" customHeight="1" x14ac:dyDescent="0.2">
      <c r="A267" s="216">
        <v>47</v>
      </c>
      <c r="B267" s="217">
        <v>4427</v>
      </c>
      <c r="C267" s="217">
        <v>600074188</v>
      </c>
      <c r="D267" s="217">
        <v>70982678</v>
      </c>
      <c r="E267" s="215" t="s">
        <v>812</v>
      </c>
      <c r="F267" s="217">
        <v>3141</v>
      </c>
      <c r="G267" s="168" t="s">
        <v>311</v>
      </c>
      <c r="H267" s="218" t="s">
        <v>278</v>
      </c>
      <c r="I267" s="462">
        <f t="shared" si="876"/>
        <v>575647</v>
      </c>
      <c r="J267" s="457">
        <v>425373</v>
      </c>
      <c r="K267" s="457">
        <f t="shared" si="897"/>
        <v>143776</v>
      </c>
      <c r="L267" s="457">
        <f t="shared" si="877"/>
        <v>4254</v>
      </c>
      <c r="M267" s="457">
        <v>2244</v>
      </c>
      <c r="N267" s="458">
        <f t="shared" si="878"/>
        <v>1.37</v>
      </c>
      <c r="O267" s="459">
        <v>0</v>
      </c>
      <c r="P267" s="468">
        <v>1.37</v>
      </c>
      <c r="Q267" s="470">
        <f t="shared" si="879"/>
        <v>0</v>
      </c>
      <c r="R267" s="460">
        <v>0</v>
      </c>
      <c r="S267" s="673">
        <v>0</v>
      </c>
      <c r="T267" s="460">
        <v>0</v>
      </c>
      <c r="U267" s="460">
        <v>0</v>
      </c>
      <c r="V267" s="460">
        <f t="shared" si="880"/>
        <v>0</v>
      </c>
      <c r="W267" s="460">
        <v>0</v>
      </c>
      <c r="X267" s="460">
        <v>0</v>
      </c>
      <c r="Y267" s="460">
        <v>0</v>
      </c>
      <c r="Z267" s="460">
        <f t="shared" si="881"/>
        <v>0</v>
      </c>
      <c r="AA267" s="460">
        <f t="shared" si="882"/>
        <v>0</v>
      </c>
      <c r="AB267" s="69">
        <f t="shared" si="883"/>
        <v>0</v>
      </c>
      <c r="AC267" s="69">
        <f t="shared" si="884"/>
        <v>0</v>
      </c>
      <c r="AD267" s="460">
        <v>0</v>
      </c>
      <c r="AE267" s="460">
        <v>0</v>
      </c>
      <c r="AF267" s="460">
        <f t="shared" si="885"/>
        <v>0</v>
      </c>
      <c r="AG267" s="460">
        <f t="shared" si="886"/>
        <v>0</v>
      </c>
      <c r="AH267" s="461">
        <v>0</v>
      </c>
      <c r="AI267" s="461">
        <v>0</v>
      </c>
      <c r="AJ267" s="461">
        <v>0</v>
      </c>
      <c r="AK267" s="461">
        <v>0</v>
      </c>
      <c r="AL267" s="674">
        <v>0</v>
      </c>
      <c r="AM267" s="461">
        <v>0</v>
      </c>
      <c r="AN267" s="461">
        <v>0</v>
      </c>
      <c r="AO267" s="461">
        <v>0</v>
      </c>
      <c r="AP267" s="461">
        <f t="shared" si="887"/>
        <v>0</v>
      </c>
      <c r="AQ267" s="461">
        <f t="shared" si="888"/>
        <v>0</v>
      </c>
      <c r="AR267" s="463">
        <f t="shared" si="889"/>
        <v>0</v>
      </c>
      <c r="AS267" s="469">
        <f t="shared" si="890"/>
        <v>575647</v>
      </c>
      <c r="AT267" s="460">
        <f t="shared" si="891"/>
        <v>425373</v>
      </c>
      <c r="AU267" s="460">
        <f t="shared" si="892"/>
        <v>0</v>
      </c>
      <c r="AV267" s="460">
        <f t="shared" si="893"/>
        <v>143776</v>
      </c>
      <c r="AW267" s="460">
        <f t="shared" si="893"/>
        <v>4254</v>
      </c>
      <c r="AX267" s="460">
        <f t="shared" si="894"/>
        <v>2244</v>
      </c>
      <c r="AY267" s="461">
        <f t="shared" si="895"/>
        <v>1.37</v>
      </c>
      <c r="AZ267" s="461">
        <f t="shared" si="896"/>
        <v>0</v>
      </c>
      <c r="BA267" s="463">
        <f t="shared" si="896"/>
        <v>1.37</v>
      </c>
    </row>
    <row r="268" spans="1:53" s="229" customFormat="1" ht="12.75" customHeight="1" x14ac:dyDescent="0.2">
      <c r="A268" s="216">
        <v>47</v>
      </c>
      <c r="B268" s="217">
        <v>4427</v>
      </c>
      <c r="C268" s="217">
        <v>600074188</v>
      </c>
      <c r="D268" s="217">
        <v>70982678</v>
      </c>
      <c r="E268" s="215" t="s">
        <v>812</v>
      </c>
      <c r="F268" s="217">
        <v>3143</v>
      </c>
      <c r="G268" s="168" t="s">
        <v>616</v>
      </c>
      <c r="H268" s="234" t="s">
        <v>277</v>
      </c>
      <c r="I268" s="462">
        <f t="shared" si="876"/>
        <v>383012</v>
      </c>
      <c r="J268" s="457">
        <v>284134</v>
      </c>
      <c r="K268" s="457">
        <f t="shared" si="897"/>
        <v>96037</v>
      </c>
      <c r="L268" s="457">
        <f t="shared" si="877"/>
        <v>2841</v>
      </c>
      <c r="M268" s="457">
        <v>0</v>
      </c>
      <c r="N268" s="458">
        <f t="shared" si="878"/>
        <v>0.69640000000000002</v>
      </c>
      <c r="O268" s="459">
        <v>0.69640000000000002</v>
      </c>
      <c r="P268" s="468">
        <v>0</v>
      </c>
      <c r="Q268" s="470">
        <f t="shared" si="879"/>
        <v>0</v>
      </c>
      <c r="R268" s="460">
        <v>0</v>
      </c>
      <c r="S268" s="673">
        <v>0</v>
      </c>
      <c r="T268" s="460">
        <v>0</v>
      </c>
      <c r="U268" s="460">
        <v>0</v>
      </c>
      <c r="V268" s="460">
        <f t="shared" si="880"/>
        <v>0</v>
      </c>
      <c r="W268" s="460">
        <v>0</v>
      </c>
      <c r="X268" s="460">
        <v>0</v>
      </c>
      <c r="Y268" s="460">
        <v>0</v>
      </c>
      <c r="Z268" s="460">
        <f t="shared" si="881"/>
        <v>0</v>
      </c>
      <c r="AA268" s="460">
        <f t="shared" si="882"/>
        <v>0</v>
      </c>
      <c r="AB268" s="69">
        <f t="shared" si="883"/>
        <v>0</v>
      </c>
      <c r="AC268" s="69">
        <f t="shared" si="884"/>
        <v>0</v>
      </c>
      <c r="AD268" s="460">
        <v>0</v>
      </c>
      <c r="AE268" s="460">
        <v>0</v>
      </c>
      <c r="AF268" s="460">
        <f t="shared" si="885"/>
        <v>0</v>
      </c>
      <c r="AG268" s="460">
        <f t="shared" si="886"/>
        <v>0</v>
      </c>
      <c r="AH268" s="461">
        <v>0</v>
      </c>
      <c r="AI268" s="461">
        <v>0</v>
      </c>
      <c r="AJ268" s="461">
        <v>0</v>
      </c>
      <c r="AK268" s="461">
        <v>0</v>
      </c>
      <c r="AL268" s="674">
        <v>0</v>
      </c>
      <c r="AM268" s="461">
        <v>0</v>
      </c>
      <c r="AN268" s="461">
        <v>0</v>
      </c>
      <c r="AO268" s="461">
        <v>0</v>
      </c>
      <c r="AP268" s="461">
        <f t="shared" si="887"/>
        <v>0</v>
      </c>
      <c r="AQ268" s="461">
        <f t="shared" si="888"/>
        <v>0</v>
      </c>
      <c r="AR268" s="463">
        <f t="shared" si="889"/>
        <v>0</v>
      </c>
      <c r="AS268" s="469">
        <f t="shared" si="890"/>
        <v>383012</v>
      </c>
      <c r="AT268" s="460">
        <f t="shared" si="891"/>
        <v>284134</v>
      </c>
      <c r="AU268" s="460">
        <f t="shared" si="892"/>
        <v>0</v>
      </c>
      <c r="AV268" s="460">
        <f t="shared" si="893"/>
        <v>96037</v>
      </c>
      <c r="AW268" s="460">
        <f t="shared" si="893"/>
        <v>2841</v>
      </c>
      <c r="AX268" s="460">
        <f t="shared" si="894"/>
        <v>0</v>
      </c>
      <c r="AY268" s="461">
        <f t="shared" si="895"/>
        <v>0.69640000000000002</v>
      </c>
      <c r="AZ268" s="461">
        <f t="shared" si="896"/>
        <v>0.69640000000000002</v>
      </c>
      <c r="BA268" s="463">
        <f t="shared" si="896"/>
        <v>0</v>
      </c>
    </row>
    <row r="269" spans="1:53" s="229" customFormat="1" ht="12.75" customHeight="1" x14ac:dyDescent="0.2">
      <c r="A269" s="216">
        <v>47</v>
      </c>
      <c r="B269" s="217">
        <v>4427</v>
      </c>
      <c r="C269" s="217">
        <v>600074188</v>
      </c>
      <c r="D269" s="217">
        <v>70982678</v>
      </c>
      <c r="E269" s="215" t="s">
        <v>812</v>
      </c>
      <c r="F269" s="217">
        <v>3143</v>
      </c>
      <c r="G269" s="168" t="s">
        <v>617</v>
      </c>
      <c r="H269" s="234" t="s">
        <v>278</v>
      </c>
      <c r="I269" s="462">
        <f t="shared" si="876"/>
        <v>5864</v>
      </c>
      <c r="J269" s="457">
        <v>4190</v>
      </c>
      <c r="K269" s="457">
        <f t="shared" si="897"/>
        <v>1416</v>
      </c>
      <c r="L269" s="457">
        <f t="shared" si="877"/>
        <v>42</v>
      </c>
      <c r="M269" s="457">
        <v>216</v>
      </c>
      <c r="N269" s="458">
        <f t="shared" si="878"/>
        <v>0.02</v>
      </c>
      <c r="O269" s="459">
        <v>0</v>
      </c>
      <c r="P269" s="468">
        <v>0.02</v>
      </c>
      <c r="Q269" s="470">
        <f t="shared" si="879"/>
        <v>0</v>
      </c>
      <c r="R269" s="460">
        <v>0</v>
      </c>
      <c r="S269" s="673">
        <v>0</v>
      </c>
      <c r="T269" s="460">
        <v>0</v>
      </c>
      <c r="U269" s="460">
        <v>0</v>
      </c>
      <c r="V269" s="460">
        <f t="shared" si="880"/>
        <v>0</v>
      </c>
      <c r="W269" s="460">
        <v>0</v>
      </c>
      <c r="X269" s="460">
        <v>0</v>
      </c>
      <c r="Y269" s="460">
        <v>0</v>
      </c>
      <c r="Z269" s="460">
        <f t="shared" si="881"/>
        <v>0</v>
      </c>
      <c r="AA269" s="460">
        <f t="shared" si="882"/>
        <v>0</v>
      </c>
      <c r="AB269" s="69">
        <f t="shared" si="883"/>
        <v>0</v>
      </c>
      <c r="AC269" s="69">
        <f t="shared" si="884"/>
        <v>0</v>
      </c>
      <c r="AD269" s="460">
        <v>0</v>
      </c>
      <c r="AE269" s="460">
        <v>0</v>
      </c>
      <c r="AF269" s="460">
        <f t="shared" si="885"/>
        <v>0</v>
      </c>
      <c r="AG269" s="460">
        <f t="shared" si="886"/>
        <v>0</v>
      </c>
      <c r="AH269" s="461">
        <v>0</v>
      </c>
      <c r="AI269" s="461">
        <v>0</v>
      </c>
      <c r="AJ269" s="461">
        <v>0</v>
      </c>
      <c r="AK269" s="461">
        <v>0</v>
      </c>
      <c r="AL269" s="674">
        <v>0</v>
      </c>
      <c r="AM269" s="461">
        <v>0</v>
      </c>
      <c r="AN269" s="461">
        <v>0</v>
      </c>
      <c r="AO269" s="461">
        <v>0</v>
      </c>
      <c r="AP269" s="461">
        <f t="shared" si="887"/>
        <v>0</v>
      </c>
      <c r="AQ269" s="461">
        <f t="shared" si="888"/>
        <v>0</v>
      </c>
      <c r="AR269" s="463">
        <f t="shared" si="889"/>
        <v>0</v>
      </c>
      <c r="AS269" s="469">
        <f t="shared" si="890"/>
        <v>5864</v>
      </c>
      <c r="AT269" s="460">
        <f t="shared" si="891"/>
        <v>4190</v>
      </c>
      <c r="AU269" s="460">
        <f t="shared" si="892"/>
        <v>0</v>
      </c>
      <c r="AV269" s="460">
        <f t="shared" si="893"/>
        <v>1416</v>
      </c>
      <c r="AW269" s="460">
        <f t="shared" si="893"/>
        <v>42</v>
      </c>
      <c r="AX269" s="460">
        <f t="shared" si="894"/>
        <v>216</v>
      </c>
      <c r="AY269" s="461">
        <f t="shared" si="895"/>
        <v>0.02</v>
      </c>
      <c r="AZ269" s="461">
        <f t="shared" si="896"/>
        <v>0</v>
      </c>
      <c r="BA269" s="463">
        <f t="shared" si="896"/>
        <v>0.02</v>
      </c>
    </row>
    <row r="270" spans="1:53" s="229" customFormat="1" ht="12.75" customHeight="1" x14ac:dyDescent="0.2">
      <c r="A270" s="158">
        <v>47</v>
      </c>
      <c r="B270" s="18">
        <v>4427</v>
      </c>
      <c r="C270" s="18">
        <v>600074188</v>
      </c>
      <c r="D270" s="18">
        <v>70982678</v>
      </c>
      <c r="E270" s="167" t="s">
        <v>813</v>
      </c>
      <c r="F270" s="18"/>
      <c r="G270" s="157"/>
      <c r="H270" s="191"/>
      <c r="I270" s="505">
        <f t="shared" ref="I270:P270" si="898">SUM(I264:I269)</f>
        <v>5524278</v>
      </c>
      <c r="J270" s="502">
        <f t="shared" si="898"/>
        <v>4077461</v>
      </c>
      <c r="K270" s="502">
        <f t="shared" si="898"/>
        <v>1378182</v>
      </c>
      <c r="L270" s="502">
        <f t="shared" si="898"/>
        <v>40775</v>
      </c>
      <c r="M270" s="502">
        <f t="shared" si="898"/>
        <v>27860</v>
      </c>
      <c r="N270" s="503">
        <f t="shared" si="898"/>
        <v>9.4069000000000003</v>
      </c>
      <c r="O270" s="503">
        <f t="shared" si="898"/>
        <v>6.2069000000000001</v>
      </c>
      <c r="P270" s="507">
        <f t="shared" si="898"/>
        <v>3.2</v>
      </c>
      <c r="Q270" s="505">
        <f t="shared" ref="Q270:BA270" si="899">SUM(Q264:Q269)</f>
        <v>-32500</v>
      </c>
      <c r="R270" s="502">
        <f t="shared" si="899"/>
        <v>0</v>
      </c>
      <c r="S270" s="502">
        <f t="shared" si="899"/>
        <v>0</v>
      </c>
      <c r="T270" s="502">
        <f t="shared" si="899"/>
        <v>0</v>
      </c>
      <c r="U270" s="502">
        <f t="shared" si="899"/>
        <v>0</v>
      </c>
      <c r="V270" s="502">
        <f t="shared" si="899"/>
        <v>-32500</v>
      </c>
      <c r="W270" s="502">
        <f t="shared" si="899"/>
        <v>32500</v>
      </c>
      <c r="X270" s="502">
        <f t="shared" si="899"/>
        <v>0</v>
      </c>
      <c r="Y270" s="502">
        <f t="shared" si="899"/>
        <v>0</v>
      </c>
      <c r="Z270" s="502">
        <f t="shared" si="899"/>
        <v>32500</v>
      </c>
      <c r="AA270" s="502">
        <f t="shared" si="899"/>
        <v>0</v>
      </c>
      <c r="AB270" s="502">
        <f t="shared" si="899"/>
        <v>0</v>
      </c>
      <c r="AC270" s="502">
        <f t="shared" si="899"/>
        <v>-325</v>
      </c>
      <c r="AD270" s="502">
        <f t="shared" si="899"/>
        <v>0</v>
      </c>
      <c r="AE270" s="502">
        <f t="shared" si="899"/>
        <v>0</v>
      </c>
      <c r="AF270" s="502">
        <f t="shared" si="899"/>
        <v>0</v>
      </c>
      <c r="AG270" s="502">
        <f t="shared" si="899"/>
        <v>-325</v>
      </c>
      <c r="AH270" s="503">
        <f t="shared" si="899"/>
        <v>0</v>
      </c>
      <c r="AI270" s="503">
        <f t="shared" si="899"/>
        <v>-0.1</v>
      </c>
      <c r="AJ270" s="503">
        <f t="shared" si="899"/>
        <v>0</v>
      </c>
      <c r="AK270" s="503">
        <f t="shared" si="899"/>
        <v>0</v>
      </c>
      <c r="AL270" s="503">
        <f t="shared" si="899"/>
        <v>0</v>
      </c>
      <c r="AM270" s="503">
        <f t="shared" si="899"/>
        <v>0</v>
      </c>
      <c r="AN270" s="503">
        <f t="shared" si="899"/>
        <v>0</v>
      </c>
      <c r="AO270" s="503">
        <f t="shared" si="899"/>
        <v>0</v>
      </c>
      <c r="AP270" s="503">
        <f t="shared" si="899"/>
        <v>0</v>
      </c>
      <c r="AQ270" s="503">
        <f t="shared" si="899"/>
        <v>-0.1</v>
      </c>
      <c r="AR270" s="40">
        <f t="shared" si="899"/>
        <v>-0.1</v>
      </c>
      <c r="AS270" s="509">
        <f t="shared" si="899"/>
        <v>5523953</v>
      </c>
      <c r="AT270" s="502">
        <f t="shared" si="899"/>
        <v>4044961</v>
      </c>
      <c r="AU270" s="502">
        <f t="shared" si="899"/>
        <v>32500</v>
      </c>
      <c r="AV270" s="502">
        <f t="shared" si="899"/>
        <v>1378182</v>
      </c>
      <c r="AW270" s="502">
        <f t="shared" si="899"/>
        <v>40450</v>
      </c>
      <c r="AX270" s="502">
        <f t="shared" si="899"/>
        <v>27860</v>
      </c>
      <c r="AY270" s="503">
        <f t="shared" si="899"/>
        <v>9.3068999999999988</v>
      </c>
      <c r="AZ270" s="503">
        <f t="shared" si="899"/>
        <v>6.2069000000000001</v>
      </c>
      <c r="BA270" s="40">
        <f t="shared" si="899"/>
        <v>3.1</v>
      </c>
    </row>
    <row r="271" spans="1:53" s="229" customFormat="1" ht="12.75" customHeight="1" x14ac:dyDescent="0.2">
      <c r="A271" s="216">
        <v>49</v>
      </c>
      <c r="B271" s="217">
        <v>4490</v>
      </c>
      <c r="C271" s="217">
        <v>600074692</v>
      </c>
      <c r="D271" s="217">
        <v>72745088</v>
      </c>
      <c r="E271" s="215" t="s">
        <v>240</v>
      </c>
      <c r="F271" s="217">
        <v>3111</v>
      </c>
      <c r="G271" s="168" t="s">
        <v>307</v>
      </c>
      <c r="H271" s="218" t="s">
        <v>277</v>
      </c>
      <c r="I271" s="462">
        <f t="shared" ref="I271:I276" si="900">SUM(J271:M271)</f>
        <v>1313582</v>
      </c>
      <c r="J271" s="457">
        <v>969423</v>
      </c>
      <c r="K271" s="457">
        <f t="shared" ref="K271:K276" si="901">ROUND(J271*33.8%,0)</f>
        <v>327665</v>
      </c>
      <c r="L271" s="457">
        <f t="shared" ref="L271:L276" si="902">ROUND(J271*1%,0)</f>
        <v>9694</v>
      </c>
      <c r="M271" s="457">
        <v>6800</v>
      </c>
      <c r="N271" s="458">
        <f t="shared" ref="N271:N276" si="903">O271+P271</f>
        <v>2.1665000000000001</v>
      </c>
      <c r="O271" s="459">
        <v>1.8065</v>
      </c>
      <c r="P271" s="468">
        <v>0.36</v>
      </c>
      <c r="Q271" s="470">
        <f t="shared" ref="Q271:Q276" si="904">W271*-1</f>
        <v>-1950</v>
      </c>
      <c r="R271" s="460">
        <v>0</v>
      </c>
      <c r="S271" s="673">
        <v>0</v>
      </c>
      <c r="T271" s="460">
        <v>0</v>
      </c>
      <c r="U271" s="460">
        <v>0</v>
      </c>
      <c r="V271" s="460">
        <f t="shared" ref="V271:V276" si="905">SUM(Q271:U271)</f>
        <v>-1950</v>
      </c>
      <c r="W271" s="460">
        <v>1950</v>
      </c>
      <c r="X271" s="460">
        <v>0</v>
      </c>
      <c r="Y271" s="460">
        <v>0</v>
      </c>
      <c r="Z271" s="460">
        <f t="shared" ref="Z271:Z276" si="906">SUM(W271:Y271)</f>
        <v>1950</v>
      </c>
      <c r="AA271" s="460">
        <f t="shared" ref="AA271:AA276" si="907">V271+Z271</f>
        <v>0</v>
      </c>
      <c r="AB271" s="69">
        <f t="shared" ref="AB271:AB276" si="908">ROUND((V271+W271+X271)*33.8%,0)</f>
        <v>0</v>
      </c>
      <c r="AC271" s="69">
        <f t="shared" ref="AC271:AC276" si="909">ROUND(V271*1%,0)</f>
        <v>-20</v>
      </c>
      <c r="AD271" s="460">
        <v>0</v>
      </c>
      <c r="AE271" s="460">
        <v>0</v>
      </c>
      <c r="AF271" s="460">
        <f t="shared" ref="AF271:AF276" si="910">SUM(AD271:AE271)</f>
        <v>0</v>
      </c>
      <c r="AG271" s="460">
        <f t="shared" ref="AG271:AG276" si="911">AA271+AB271+AC271+AF271</f>
        <v>-20</v>
      </c>
      <c r="AH271" s="461">
        <v>0</v>
      </c>
      <c r="AI271" s="461">
        <v>0</v>
      </c>
      <c r="AJ271" s="461">
        <v>0</v>
      </c>
      <c r="AK271" s="461">
        <v>0</v>
      </c>
      <c r="AL271" s="674">
        <v>0</v>
      </c>
      <c r="AM271" s="461">
        <v>0</v>
      </c>
      <c r="AN271" s="461">
        <v>0</v>
      </c>
      <c r="AO271" s="461">
        <v>0</v>
      </c>
      <c r="AP271" s="461">
        <f t="shared" ref="AP271:AP276" si="912">AH271+AJ271+AK271+AM271+AN271</f>
        <v>0</v>
      </c>
      <c r="AQ271" s="461">
        <f t="shared" ref="AQ271:AQ276" si="913">AI271+AL271+AO271</f>
        <v>0</v>
      </c>
      <c r="AR271" s="463">
        <f t="shared" ref="AR271:AR276" si="914">SUM(AP271:AQ271)</f>
        <v>0</v>
      </c>
      <c r="AS271" s="469">
        <f t="shared" ref="AS271:AS276" si="915">I271+AG271</f>
        <v>1313562</v>
      </c>
      <c r="AT271" s="460">
        <f t="shared" ref="AT271:AT276" si="916">J271+V271</f>
        <v>967473</v>
      </c>
      <c r="AU271" s="460">
        <f t="shared" ref="AU271:AU276" si="917">Z271</f>
        <v>1950</v>
      </c>
      <c r="AV271" s="460">
        <f t="shared" ref="AV271:AW276" si="918">K271+AB271</f>
        <v>327665</v>
      </c>
      <c r="AW271" s="460">
        <f t="shared" si="918"/>
        <v>9674</v>
      </c>
      <c r="AX271" s="460">
        <f t="shared" ref="AX271:AX276" si="919">M271+AF271</f>
        <v>6800</v>
      </c>
      <c r="AY271" s="461">
        <f t="shared" ref="AY271:AY276" si="920">N271+AR271</f>
        <v>2.1665000000000001</v>
      </c>
      <c r="AZ271" s="461">
        <f t="shared" ref="AZ271:BA276" si="921">O271+AP271</f>
        <v>1.8065</v>
      </c>
      <c r="BA271" s="463">
        <f t="shared" si="921"/>
        <v>0.36</v>
      </c>
    </row>
    <row r="272" spans="1:53" s="229" customFormat="1" ht="12.75" customHeight="1" x14ac:dyDescent="0.2">
      <c r="A272" s="216">
        <v>49</v>
      </c>
      <c r="B272" s="217">
        <v>4490</v>
      </c>
      <c r="C272" s="217">
        <v>600074692</v>
      </c>
      <c r="D272" s="217">
        <v>72745088</v>
      </c>
      <c r="E272" s="215" t="s">
        <v>240</v>
      </c>
      <c r="F272" s="217">
        <v>3117</v>
      </c>
      <c r="G272" s="168" t="s">
        <v>310</v>
      </c>
      <c r="H272" s="218" t="s">
        <v>277</v>
      </c>
      <c r="I272" s="462">
        <f t="shared" si="900"/>
        <v>2260229</v>
      </c>
      <c r="J272" s="457">
        <v>1657031</v>
      </c>
      <c r="K272" s="457">
        <f>ROUND(J272*33.8%,0)+1</f>
        <v>560077</v>
      </c>
      <c r="L272" s="457">
        <f>ROUND(J272*1%,0)+1</f>
        <v>16571</v>
      </c>
      <c r="M272" s="457">
        <v>26550</v>
      </c>
      <c r="N272" s="458">
        <f t="shared" si="903"/>
        <v>3.3237999999999999</v>
      </c>
      <c r="O272" s="459">
        <v>2.5488</v>
      </c>
      <c r="P272" s="468">
        <v>0.77499999999999991</v>
      </c>
      <c r="Q272" s="470">
        <f t="shared" si="904"/>
        <v>-1950</v>
      </c>
      <c r="R272" s="460">
        <v>0</v>
      </c>
      <c r="S272" s="673">
        <v>0</v>
      </c>
      <c r="T272" s="460">
        <v>0</v>
      </c>
      <c r="U272" s="460">
        <v>0</v>
      </c>
      <c r="V272" s="460">
        <f t="shared" si="905"/>
        <v>-1950</v>
      </c>
      <c r="W272" s="460">
        <v>1950</v>
      </c>
      <c r="X272" s="460">
        <v>0</v>
      </c>
      <c r="Y272" s="460">
        <v>0</v>
      </c>
      <c r="Z272" s="460">
        <f t="shared" si="906"/>
        <v>1950</v>
      </c>
      <c r="AA272" s="460">
        <f t="shared" si="907"/>
        <v>0</v>
      </c>
      <c r="AB272" s="69">
        <f t="shared" si="908"/>
        <v>0</v>
      </c>
      <c r="AC272" s="69">
        <f t="shared" si="909"/>
        <v>-20</v>
      </c>
      <c r="AD272" s="460">
        <v>0</v>
      </c>
      <c r="AE272" s="460">
        <v>0</v>
      </c>
      <c r="AF272" s="460">
        <f t="shared" si="910"/>
        <v>0</v>
      </c>
      <c r="AG272" s="460">
        <f t="shared" si="911"/>
        <v>-20</v>
      </c>
      <c r="AH272" s="461">
        <v>0</v>
      </c>
      <c r="AI272" s="461">
        <v>0</v>
      </c>
      <c r="AJ272" s="461">
        <v>0</v>
      </c>
      <c r="AK272" s="461">
        <v>0</v>
      </c>
      <c r="AL272" s="674">
        <v>0</v>
      </c>
      <c r="AM272" s="461">
        <v>0</v>
      </c>
      <c r="AN272" s="461">
        <v>0</v>
      </c>
      <c r="AO272" s="461">
        <v>0</v>
      </c>
      <c r="AP272" s="461">
        <f t="shared" si="912"/>
        <v>0</v>
      </c>
      <c r="AQ272" s="461">
        <f t="shared" si="913"/>
        <v>0</v>
      </c>
      <c r="AR272" s="463">
        <f t="shared" si="914"/>
        <v>0</v>
      </c>
      <c r="AS272" s="469">
        <f t="shared" si="915"/>
        <v>2260209</v>
      </c>
      <c r="AT272" s="460">
        <f t="shared" si="916"/>
        <v>1655081</v>
      </c>
      <c r="AU272" s="460">
        <f t="shared" si="917"/>
        <v>1950</v>
      </c>
      <c r="AV272" s="460">
        <f t="shared" si="918"/>
        <v>560077</v>
      </c>
      <c r="AW272" s="460">
        <f t="shared" si="918"/>
        <v>16551</v>
      </c>
      <c r="AX272" s="460">
        <f t="shared" si="919"/>
        <v>26550</v>
      </c>
      <c r="AY272" s="461">
        <f t="shared" si="920"/>
        <v>3.3237999999999999</v>
      </c>
      <c r="AZ272" s="461">
        <f t="shared" si="921"/>
        <v>2.5488</v>
      </c>
      <c r="BA272" s="463">
        <f t="shared" si="921"/>
        <v>0.77499999999999991</v>
      </c>
    </row>
    <row r="273" spans="1:53" s="229" customFormat="1" ht="12.75" customHeight="1" x14ac:dyDescent="0.2">
      <c r="A273" s="216">
        <v>49</v>
      </c>
      <c r="B273" s="217">
        <v>4490</v>
      </c>
      <c r="C273" s="217">
        <v>600074692</v>
      </c>
      <c r="D273" s="217">
        <v>72745088</v>
      </c>
      <c r="E273" s="215" t="s">
        <v>240</v>
      </c>
      <c r="F273" s="217">
        <v>3117</v>
      </c>
      <c r="G273" s="168" t="s">
        <v>308</v>
      </c>
      <c r="H273" s="218" t="s">
        <v>278</v>
      </c>
      <c r="I273" s="462">
        <f t="shared" si="900"/>
        <v>0</v>
      </c>
      <c r="J273" s="457">
        <v>0</v>
      </c>
      <c r="K273" s="457">
        <f t="shared" si="901"/>
        <v>0</v>
      </c>
      <c r="L273" s="457">
        <f t="shared" si="902"/>
        <v>0</v>
      </c>
      <c r="M273" s="457">
        <v>0</v>
      </c>
      <c r="N273" s="458">
        <f t="shared" si="903"/>
        <v>0</v>
      </c>
      <c r="O273" s="459">
        <v>0</v>
      </c>
      <c r="P273" s="468">
        <v>0</v>
      </c>
      <c r="Q273" s="470">
        <f t="shared" si="904"/>
        <v>0</v>
      </c>
      <c r="R273" s="460">
        <v>0</v>
      </c>
      <c r="S273" s="673">
        <v>0</v>
      </c>
      <c r="T273" s="460">
        <v>0</v>
      </c>
      <c r="U273" s="460">
        <v>0</v>
      </c>
      <c r="V273" s="460">
        <f t="shared" si="905"/>
        <v>0</v>
      </c>
      <c r="W273" s="460">
        <v>0</v>
      </c>
      <c r="X273" s="460">
        <v>0</v>
      </c>
      <c r="Y273" s="460">
        <v>0</v>
      </c>
      <c r="Z273" s="460">
        <f t="shared" si="906"/>
        <v>0</v>
      </c>
      <c r="AA273" s="460">
        <f t="shared" si="907"/>
        <v>0</v>
      </c>
      <c r="AB273" s="69">
        <f t="shared" si="908"/>
        <v>0</v>
      </c>
      <c r="AC273" s="69">
        <f t="shared" si="909"/>
        <v>0</v>
      </c>
      <c r="AD273" s="460">
        <v>0</v>
      </c>
      <c r="AE273" s="460">
        <v>0</v>
      </c>
      <c r="AF273" s="460">
        <f t="shared" si="910"/>
        <v>0</v>
      </c>
      <c r="AG273" s="460">
        <f t="shared" si="911"/>
        <v>0</v>
      </c>
      <c r="AH273" s="461">
        <v>0</v>
      </c>
      <c r="AI273" s="461">
        <v>0</v>
      </c>
      <c r="AJ273" s="461">
        <v>0</v>
      </c>
      <c r="AK273" s="461">
        <v>0</v>
      </c>
      <c r="AL273" s="674">
        <v>0</v>
      </c>
      <c r="AM273" s="461">
        <v>0</v>
      </c>
      <c r="AN273" s="461">
        <v>0</v>
      </c>
      <c r="AO273" s="461">
        <v>0</v>
      </c>
      <c r="AP273" s="461">
        <f t="shared" si="912"/>
        <v>0</v>
      </c>
      <c r="AQ273" s="461">
        <f t="shared" si="913"/>
        <v>0</v>
      </c>
      <c r="AR273" s="463">
        <f t="shared" si="914"/>
        <v>0</v>
      </c>
      <c r="AS273" s="469">
        <f t="shared" si="915"/>
        <v>0</v>
      </c>
      <c r="AT273" s="460">
        <f t="shared" si="916"/>
        <v>0</v>
      </c>
      <c r="AU273" s="460">
        <f t="shared" si="917"/>
        <v>0</v>
      </c>
      <c r="AV273" s="460">
        <f t="shared" si="918"/>
        <v>0</v>
      </c>
      <c r="AW273" s="460">
        <f t="shared" si="918"/>
        <v>0</v>
      </c>
      <c r="AX273" s="460">
        <f t="shared" si="919"/>
        <v>0</v>
      </c>
      <c r="AY273" s="461">
        <f t="shared" si="920"/>
        <v>0</v>
      </c>
      <c r="AZ273" s="461">
        <f t="shared" si="921"/>
        <v>0</v>
      </c>
      <c r="BA273" s="463">
        <f t="shared" si="921"/>
        <v>0</v>
      </c>
    </row>
    <row r="274" spans="1:53" s="229" customFormat="1" ht="12.75" customHeight="1" x14ac:dyDescent="0.2">
      <c r="A274" s="216">
        <v>49</v>
      </c>
      <c r="B274" s="217">
        <v>4490</v>
      </c>
      <c r="C274" s="217">
        <v>600074692</v>
      </c>
      <c r="D274" s="217">
        <v>72745088</v>
      </c>
      <c r="E274" s="215" t="s">
        <v>240</v>
      </c>
      <c r="F274" s="217">
        <v>3141</v>
      </c>
      <c r="G274" s="168" t="s">
        <v>311</v>
      </c>
      <c r="H274" s="218" t="s">
        <v>278</v>
      </c>
      <c r="I274" s="462">
        <f t="shared" si="900"/>
        <v>471126</v>
      </c>
      <c r="J274" s="457">
        <v>348227</v>
      </c>
      <c r="K274" s="457">
        <f t="shared" si="901"/>
        <v>117701</v>
      </c>
      <c r="L274" s="457">
        <f t="shared" si="902"/>
        <v>3482</v>
      </c>
      <c r="M274" s="457">
        <v>1716</v>
      </c>
      <c r="N274" s="458">
        <f t="shared" si="903"/>
        <v>1.1200000000000001</v>
      </c>
      <c r="O274" s="459">
        <v>0</v>
      </c>
      <c r="P274" s="468">
        <v>1.1200000000000001</v>
      </c>
      <c r="Q274" s="470">
        <f t="shared" si="904"/>
        <v>-3900</v>
      </c>
      <c r="R274" s="460">
        <v>0</v>
      </c>
      <c r="S274" s="673">
        <v>0</v>
      </c>
      <c r="T274" s="460">
        <v>0</v>
      </c>
      <c r="U274" s="460">
        <v>0</v>
      </c>
      <c r="V274" s="460">
        <f t="shared" si="905"/>
        <v>-3900</v>
      </c>
      <c r="W274" s="460">
        <v>3900</v>
      </c>
      <c r="X274" s="460">
        <v>0</v>
      </c>
      <c r="Y274" s="460">
        <v>0</v>
      </c>
      <c r="Z274" s="460">
        <f t="shared" si="906"/>
        <v>3900</v>
      </c>
      <c r="AA274" s="460">
        <f t="shared" si="907"/>
        <v>0</v>
      </c>
      <c r="AB274" s="69">
        <f t="shared" si="908"/>
        <v>0</v>
      </c>
      <c r="AC274" s="69">
        <f t="shared" si="909"/>
        <v>-39</v>
      </c>
      <c r="AD274" s="460">
        <v>0</v>
      </c>
      <c r="AE274" s="460">
        <v>0</v>
      </c>
      <c r="AF274" s="460">
        <f t="shared" si="910"/>
        <v>0</v>
      </c>
      <c r="AG274" s="460">
        <f t="shared" si="911"/>
        <v>-39</v>
      </c>
      <c r="AH274" s="461">
        <v>0</v>
      </c>
      <c r="AI274" s="461">
        <v>0</v>
      </c>
      <c r="AJ274" s="461">
        <v>0</v>
      </c>
      <c r="AK274" s="461">
        <v>0</v>
      </c>
      <c r="AL274" s="674">
        <v>0</v>
      </c>
      <c r="AM274" s="461">
        <v>0</v>
      </c>
      <c r="AN274" s="461">
        <v>0</v>
      </c>
      <c r="AO274" s="461">
        <v>0</v>
      </c>
      <c r="AP274" s="461">
        <f t="shared" si="912"/>
        <v>0</v>
      </c>
      <c r="AQ274" s="461">
        <f t="shared" si="913"/>
        <v>0</v>
      </c>
      <c r="AR274" s="463">
        <f t="shared" si="914"/>
        <v>0</v>
      </c>
      <c r="AS274" s="469">
        <f t="shared" si="915"/>
        <v>471087</v>
      </c>
      <c r="AT274" s="460">
        <f t="shared" si="916"/>
        <v>344327</v>
      </c>
      <c r="AU274" s="460">
        <f t="shared" si="917"/>
        <v>3900</v>
      </c>
      <c r="AV274" s="460">
        <f t="shared" si="918"/>
        <v>117701</v>
      </c>
      <c r="AW274" s="460">
        <f t="shared" si="918"/>
        <v>3443</v>
      </c>
      <c r="AX274" s="460">
        <f t="shared" si="919"/>
        <v>1716</v>
      </c>
      <c r="AY274" s="461">
        <f t="shared" si="920"/>
        <v>1.1200000000000001</v>
      </c>
      <c r="AZ274" s="461">
        <f t="shared" si="921"/>
        <v>0</v>
      </c>
      <c r="BA274" s="463">
        <f t="shared" si="921"/>
        <v>1.1200000000000001</v>
      </c>
    </row>
    <row r="275" spans="1:53" s="229" customFormat="1" ht="12.75" customHeight="1" x14ac:dyDescent="0.2">
      <c r="A275" s="216">
        <v>49</v>
      </c>
      <c r="B275" s="217">
        <v>4490</v>
      </c>
      <c r="C275" s="217">
        <v>600074692</v>
      </c>
      <c r="D275" s="217">
        <v>72745088</v>
      </c>
      <c r="E275" s="215" t="s">
        <v>240</v>
      </c>
      <c r="F275" s="217">
        <v>3143</v>
      </c>
      <c r="G275" s="168" t="s">
        <v>616</v>
      </c>
      <c r="H275" s="234" t="s">
        <v>277</v>
      </c>
      <c r="I275" s="462">
        <f t="shared" si="900"/>
        <v>664205</v>
      </c>
      <c r="J275" s="457">
        <v>492734</v>
      </c>
      <c r="K275" s="457">
        <f t="shared" si="901"/>
        <v>166544</v>
      </c>
      <c r="L275" s="457">
        <f t="shared" si="902"/>
        <v>4927</v>
      </c>
      <c r="M275" s="457">
        <v>0</v>
      </c>
      <c r="N275" s="458">
        <f t="shared" si="903"/>
        <v>1.0476000000000001</v>
      </c>
      <c r="O275" s="459">
        <v>1.0476000000000001</v>
      </c>
      <c r="P275" s="468">
        <v>0</v>
      </c>
      <c r="Q275" s="470">
        <f t="shared" si="904"/>
        <v>-1300</v>
      </c>
      <c r="R275" s="460">
        <v>0</v>
      </c>
      <c r="S275" s="673">
        <v>0</v>
      </c>
      <c r="T275" s="460">
        <v>0</v>
      </c>
      <c r="U275" s="460">
        <v>0</v>
      </c>
      <c r="V275" s="460">
        <f t="shared" si="905"/>
        <v>-1300</v>
      </c>
      <c r="W275" s="460">
        <v>1300</v>
      </c>
      <c r="X275" s="460">
        <v>0</v>
      </c>
      <c r="Y275" s="460">
        <v>0</v>
      </c>
      <c r="Z275" s="460">
        <f t="shared" si="906"/>
        <v>1300</v>
      </c>
      <c r="AA275" s="460">
        <f t="shared" si="907"/>
        <v>0</v>
      </c>
      <c r="AB275" s="69">
        <f t="shared" si="908"/>
        <v>0</v>
      </c>
      <c r="AC275" s="69">
        <f t="shared" si="909"/>
        <v>-13</v>
      </c>
      <c r="AD275" s="460">
        <v>0</v>
      </c>
      <c r="AE275" s="460">
        <v>0</v>
      </c>
      <c r="AF275" s="460">
        <f t="shared" si="910"/>
        <v>0</v>
      </c>
      <c r="AG275" s="460">
        <f t="shared" si="911"/>
        <v>-13</v>
      </c>
      <c r="AH275" s="461">
        <v>0</v>
      </c>
      <c r="AI275" s="461">
        <v>0</v>
      </c>
      <c r="AJ275" s="461">
        <v>0</v>
      </c>
      <c r="AK275" s="461">
        <v>0</v>
      </c>
      <c r="AL275" s="674">
        <v>0</v>
      </c>
      <c r="AM275" s="461">
        <v>0</v>
      </c>
      <c r="AN275" s="461">
        <v>0</v>
      </c>
      <c r="AO275" s="461">
        <v>0</v>
      </c>
      <c r="AP275" s="461">
        <f t="shared" si="912"/>
        <v>0</v>
      </c>
      <c r="AQ275" s="461">
        <f t="shared" si="913"/>
        <v>0</v>
      </c>
      <c r="AR275" s="463">
        <f t="shared" si="914"/>
        <v>0</v>
      </c>
      <c r="AS275" s="469">
        <f t="shared" si="915"/>
        <v>664192</v>
      </c>
      <c r="AT275" s="460">
        <f t="shared" si="916"/>
        <v>491434</v>
      </c>
      <c r="AU275" s="460">
        <f t="shared" si="917"/>
        <v>1300</v>
      </c>
      <c r="AV275" s="460">
        <f t="shared" si="918"/>
        <v>166544</v>
      </c>
      <c r="AW275" s="460">
        <f t="shared" si="918"/>
        <v>4914</v>
      </c>
      <c r="AX275" s="460">
        <f t="shared" si="919"/>
        <v>0</v>
      </c>
      <c r="AY275" s="461">
        <f t="shared" si="920"/>
        <v>1.0476000000000001</v>
      </c>
      <c r="AZ275" s="461">
        <f t="shared" si="921"/>
        <v>1.0476000000000001</v>
      </c>
      <c r="BA275" s="463">
        <f t="shared" si="921"/>
        <v>0</v>
      </c>
    </row>
    <row r="276" spans="1:53" s="229" customFormat="1" ht="12.75" customHeight="1" x14ac:dyDescent="0.2">
      <c r="A276" s="216">
        <v>49</v>
      </c>
      <c r="B276" s="217">
        <v>4490</v>
      </c>
      <c r="C276" s="217">
        <v>600074692</v>
      </c>
      <c r="D276" s="217">
        <v>72745088</v>
      </c>
      <c r="E276" s="215" t="s">
        <v>240</v>
      </c>
      <c r="F276" s="217">
        <v>3143</v>
      </c>
      <c r="G276" s="168" t="s">
        <v>617</v>
      </c>
      <c r="H276" s="234" t="s">
        <v>278</v>
      </c>
      <c r="I276" s="462">
        <f t="shared" si="900"/>
        <v>13193</v>
      </c>
      <c r="J276" s="457">
        <v>9427</v>
      </c>
      <c r="K276" s="457">
        <f t="shared" si="901"/>
        <v>3186</v>
      </c>
      <c r="L276" s="457">
        <f t="shared" si="902"/>
        <v>94</v>
      </c>
      <c r="M276" s="457">
        <v>486</v>
      </c>
      <c r="N276" s="458">
        <f t="shared" si="903"/>
        <v>0.04</v>
      </c>
      <c r="O276" s="459">
        <v>0</v>
      </c>
      <c r="P276" s="468">
        <v>0.04</v>
      </c>
      <c r="Q276" s="470">
        <f t="shared" si="904"/>
        <v>0</v>
      </c>
      <c r="R276" s="460">
        <v>0</v>
      </c>
      <c r="S276" s="673">
        <v>0</v>
      </c>
      <c r="T276" s="460">
        <v>0</v>
      </c>
      <c r="U276" s="460">
        <v>0</v>
      </c>
      <c r="V276" s="460">
        <f t="shared" si="905"/>
        <v>0</v>
      </c>
      <c r="W276" s="460">
        <v>0</v>
      </c>
      <c r="X276" s="460">
        <v>0</v>
      </c>
      <c r="Y276" s="460">
        <v>0</v>
      </c>
      <c r="Z276" s="460">
        <f t="shared" si="906"/>
        <v>0</v>
      </c>
      <c r="AA276" s="460">
        <f t="shared" si="907"/>
        <v>0</v>
      </c>
      <c r="AB276" s="69">
        <f t="shared" si="908"/>
        <v>0</v>
      </c>
      <c r="AC276" s="69">
        <f t="shared" si="909"/>
        <v>0</v>
      </c>
      <c r="AD276" s="460">
        <v>0</v>
      </c>
      <c r="AE276" s="460">
        <v>0</v>
      </c>
      <c r="AF276" s="460">
        <f t="shared" si="910"/>
        <v>0</v>
      </c>
      <c r="AG276" s="460">
        <f t="shared" si="911"/>
        <v>0</v>
      </c>
      <c r="AH276" s="461">
        <v>0</v>
      </c>
      <c r="AI276" s="461">
        <v>0</v>
      </c>
      <c r="AJ276" s="461">
        <v>0</v>
      </c>
      <c r="AK276" s="461">
        <v>0</v>
      </c>
      <c r="AL276" s="674">
        <v>0</v>
      </c>
      <c r="AM276" s="461">
        <v>0</v>
      </c>
      <c r="AN276" s="461">
        <v>0</v>
      </c>
      <c r="AO276" s="461">
        <v>0</v>
      </c>
      <c r="AP276" s="461">
        <f t="shared" si="912"/>
        <v>0</v>
      </c>
      <c r="AQ276" s="461">
        <f t="shared" si="913"/>
        <v>0</v>
      </c>
      <c r="AR276" s="463">
        <f t="shared" si="914"/>
        <v>0</v>
      </c>
      <c r="AS276" s="469">
        <f t="shared" si="915"/>
        <v>13193</v>
      </c>
      <c r="AT276" s="460">
        <f t="shared" si="916"/>
        <v>9427</v>
      </c>
      <c r="AU276" s="460">
        <f t="shared" si="917"/>
        <v>0</v>
      </c>
      <c r="AV276" s="460">
        <f t="shared" si="918"/>
        <v>3186</v>
      </c>
      <c r="AW276" s="460">
        <f t="shared" si="918"/>
        <v>94</v>
      </c>
      <c r="AX276" s="460">
        <f t="shared" si="919"/>
        <v>486</v>
      </c>
      <c r="AY276" s="461">
        <f t="shared" si="920"/>
        <v>0.04</v>
      </c>
      <c r="AZ276" s="461">
        <f t="shared" si="921"/>
        <v>0</v>
      </c>
      <c r="BA276" s="463">
        <f t="shared" si="921"/>
        <v>0.04</v>
      </c>
    </row>
    <row r="277" spans="1:53" s="229" customFormat="1" ht="12.75" customHeight="1" x14ac:dyDescent="0.2">
      <c r="A277" s="158">
        <v>49</v>
      </c>
      <c r="B277" s="18">
        <v>4490</v>
      </c>
      <c r="C277" s="18">
        <v>600074692</v>
      </c>
      <c r="D277" s="18">
        <v>72745088</v>
      </c>
      <c r="E277" s="167" t="s">
        <v>241</v>
      </c>
      <c r="F277" s="18"/>
      <c r="G277" s="157"/>
      <c r="H277" s="191"/>
      <c r="I277" s="504">
        <f t="shared" ref="I277:P277" si="922">SUM(I271:I276)</f>
        <v>4722335</v>
      </c>
      <c r="J277" s="500">
        <f t="shared" si="922"/>
        <v>3476842</v>
      </c>
      <c r="K277" s="500">
        <f t="shared" si="922"/>
        <v>1175173</v>
      </c>
      <c r="L277" s="500">
        <f t="shared" si="922"/>
        <v>34768</v>
      </c>
      <c r="M277" s="500">
        <f t="shared" si="922"/>
        <v>35552</v>
      </c>
      <c r="N277" s="501">
        <f t="shared" si="922"/>
        <v>7.6978999999999997</v>
      </c>
      <c r="O277" s="501">
        <f t="shared" si="922"/>
        <v>5.4028999999999998</v>
      </c>
      <c r="P277" s="506">
        <f t="shared" si="922"/>
        <v>2.2949999999999999</v>
      </c>
      <c r="Q277" s="504">
        <f t="shared" ref="Q277:BA277" si="923">SUM(Q271:Q276)</f>
        <v>-9100</v>
      </c>
      <c r="R277" s="500">
        <f t="shared" si="923"/>
        <v>0</v>
      </c>
      <c r="S277" s="500">
        <f t="shared" si="923"/>
        <v>0</v>
      </c>
      <c r="T277" s="500">
        <f t="shared" si="923"/>
        <v>0</v>
      </c>
      <c r="U277" s="500">
        <f t="shared" si="923"/>
        <v>0</v>
      </c>
      <c r="V277" s="500">
        <f t="shared" si="923"/>
        <v>-9100</v>
      </c>
      <c r="W277" s="500">
        <f t="shared" si="923"/>
        <v>9100</v>
      </c>
      <c r="X277" s="500">
        <f t="shared" si="923"/>
        <v>0</v>
      </c>
      <c r="Y277" s="500">
        <f t="shared" si="923"/>
        <v>0</v>
      </c>
      <c r="Z277" s="500">
        <f t="shared" si="923"/>
        <v>9100</v>
      </c>
      <c r="AA277" s="500">
        <f t="shared" si="923"/>
        <v>0</v>
      </c>
      <c r="AB277" s="500">
        <f t="shared" si="923"/>
        <v>0</v>
      </c>
      <c r="AC277" s="500">
        <f t="shared" si="923"/>
        <v>-92</v>
      </c>
      <c r="AD277" s="500">
        <f t="shared" si="923"/>
        <v>0</v>
      </c>
      <c r="AE277" s="500">
        <f t="shared" si="923"/>
        <v>0</v>
      </c>
      <c r="AF277" s="500">
        <f t="shared" si="923"/>
        <v>0</v>
      </c>
      <c r="AG277" s="500">
        <f t="shared" si="923"/>
        <v>-92</v>
      </c>
      <c r="AH277" s="501">
        <f t="shared" si="923"/>
        <v>0</v>
      </c>
      <c r="AI277" s="501">
        <f t="shared" si="923"/>
        <v>0</v>
      </c>
      <c r="AJ277" s="501">
        <f t="shared" si="923"/>
        <v>0</v>
      </c>
      <c r="AK277" s="501">
        <f t="shared" si="923"/>
        <v>0</v>
      </c>
      <c r="AL277" s="501">
        <f t="shared" si="923"/>
        <v>0</v>
      </c>
      <c r="AM277" s="501">
        <f t="shared" si="923"/>
        <v>0</v>
      </c>
      <c r="AN277" s="501">
        <f t="shared" si="923"/>
        <v>0</v>
      </c>
      <c r="AO277" s="501">
        <f t="shared" si="923"/>
        <v>0</v>
      </c>
      <c r="AP277" s="501">
        <f t="shared" si="923"/>
        <v>0</v>
      </c>
      <c r="AQ277" s="501">
        <f t="shared" si="923"/>
        <v>0</v>
      </c>
      <c r="AR277" s="41">
        <f t="shared" si="923"/>
        <v>0</v>
      </c>
      <c r="AS277" s="508">
        <f t="shared" si="923"/>
        <v>4722243</v>
      </c>
      <c r="AT277" s="500">
        <f t="shared" si="923"/>
        <v>3467742</v>
      </c>
      <c r="AU277" s="500">
        <f t="shared" si="923"/>
        <v>9100</v>
      </c>
      <c r="AV277" s="500">
        <f t="shared" si="923"/>
        <v>1175173</v>
      </c>
      <c r="AW277" s="500">
        <f t="shared" si="923"/>
        <v>34676</v>
      </c>
      <c r="AX277" s="500">
        <f t="shared" si="923"/>
        <v>35552</v>
      </c>
      <c r="AY277" s="501">
        <f t="shared" si="923"/>
        <v>7.6978999999999997</v>
      </c>
      <c r="AZ277" s="501">
        <f t="shared" si="923"/>
        <v>5.4028999999999998</v>
      </c>
      <c r="BA277" s="41">
        <f t="shared" si="923"/>
        <v>2.2949999999999999</v>
      </c>
    </row>
    <row r="278" spans="1:53" s="229" customFormat="1" ht="12.75" customHeight="1" x14ac:dyDescent="0.2">
      <c r="A278" s="216">
        <v>50</v>
      </c>
      <c r="B278" s="217">
        <v>4491</v>
      </c>
      <c r="C278" s="217">
        <v>650050517</v>
      </c>
      <c r="D278" s="217">
        <v>72742437</v>
      </c>
      <c r="E278" s="215" t="s">
        <v>242</v>
      </c>
      <c r="F278" s="217">
        <v>3111</v>
      </c>
      <c r="G278" s="168" t="s">
        <v>307</v>
      </c>
      <c r="H278" s="218" t="s">
        <v>277</v>
      </c>
      <c r="I278" s="462">
        <f t="shared" ref="I278:I283" si="924">SUM(J278:M278)</f>
        <v>1682983</v>
      </c>
      <c r="J278" s="457">
        <v>1241975</v>
      </c>
      <c r="K278" s="457">
        <f t="shared" ref="K278:K283" si="925">ROUND(J278*33.8%,0)</f>
        <v>419788</v>
      </c>
      <c r="L278" s="457">
        <f t="shared" ref="L278:L283" si="926">ROUND(J278*1%,0)</f>
        <v>12420</v>
      </c>
      <c r="M278" s="457">
        <v>8800</v>
      </c>
      <c r="N278" s="458">
        <f t="shared" ref="N278:N283" si="927">O278+P278</f>
        <v>2.4</v>
      </c>
      <c r="O278" s="459">
        <v>2</v>
      </c>
      <c r="P278" s="468">
        <v>0.4</v>
      </c>
      <c r="Q278" s="470">
        <f t="shared" ref="Q278:Q283" si="928">W278*-1</f>
        <v>0</v>
      </c>
      <c r="R278" s="460">
        <v>0</v>
      </c>
      <c r="S278" s="673">
        <v>0</v>
      </c>
      <c r="T278" s="460">
        <v>0</v>
      </c>
      <c r="U278" s="460">
        <v>0</v>
      </c>
      <c r="V278" s="460">
        <f t="shared" ref="V278:V283" si="929">SUM(Q278:U278)</f>
        <v>0</v>
      </c>
      <c r="W278" s="460">
        <v>0</v>
      </c>
      <c r="X278" s="460">
        <v>0</v>
      </c>
      <c r="Y278" s="460">
        <v>0</v>
      </c>
      <c r="Z278" s="460">
        <f t="shared" ref="Z278:Z283" si="930">SUM(W278:Y278)</f>
        <v>0</v>
      </c>
      <c r="AA278" s="460">
        <f t="shared" ref="AA278:AA283" si="931">V278+Z278</f>
        <v>0</v>
      </c>
      <c r="AB278" s="69">
        <f t="shared" ref="AB278:AB283" si="932">ROUND((V278+W278+X278)*33.8%,0)</f>
        <v>0</v>
      </c>
      <c r="AC278" s="69">
        <f t="shared" ref="AC278:AC283" si="933">ROUND(V278*1%,0)</f>
        <v>0</v>
      </c>
      <c r="AD278" s="460">
        <v>0</v>
      </c>
      <c r="AE278" s="460">
        <v>0</v>
      </c>
      <c r="AF278" s="460">
        <f t="shared" ref="AF278:AF283" si="934">SUM(AD278:AE278)</f>
        <v>0</v>
      </c>
      <c r="AG278" s="460">
        <f t="shared" ref="AG278:AG283" si="935">AA278+AB278+AC278+AF278</f>
        <v>0</v>
      </c>
      <c r="AH278" s="461">
        <v>0</v>
      </c>
      <c r="AI278" s="461">
        <v>0</v>
      </c>
      <c r="AJ278" s="461">
        <v>0</v>
      </c>
      <c r="AK278" s="461">
        <v>0</v>
      </c>
      <c r="AL278" s="674">
        <v>0</v>
      </c>
      <c r="AM278" s="461">
        <v>0</v>
      </c>
      <c r="AN278" s="461">
        <v>0</v>
      </c>
      <c r="AO278" s="461">
        <v>0</v>
      </c>
      <c r="AP278" s="461">
        <f t="shared" ref="AP278:AP283" si="936">AH278+AJ278+AK278+AM278+AN278</f>
        <v>0</v>
      </c>
      <c r="AQ278" s="461">
        <f t="shared" ref="AQ278:AQ283" si="937">AI278+AL278+AO278</f>
        <v>0</v>
      </c>
      <c r="AR278" s="463">
        <f t="shared" ref="AR278:AR283" si="938">SUM(AP278:AQ278)</f>
        <v>0</v>
      </c>
      <c r="AS278" s="469">
        <f t="shared" ref="AS278:AS283" si="939">I278+AG278</f>
        <v>1682983</v>
      </c>
      <c r="AT278" s="460">
        <f t="shared" ref="AT278:AT283" si="940">J278+V278</f>
        <v>1241975</v>
      </c>
      <c r="AU278" s="460">
        <f t="shared" ref="AU278:AU283" si="941">Z278</f>
        <v>0</v>
      </c>
      <c r="AV278" s="460">
        <f t="shared" ref="AV278:AW283" si="942">K278+AB278</f>
        <v>419788</v>
      </c>
      <c r="AW278" s="460">
        <f t="shared" si="942"/>
        <v>12420</v>
      </c>
      <c r="AX278" s="460">
        <f t="shared" ref="AX278:AX283" si="943">M278+AF278</f>
        <v>8800</v>
      </c>
      <c r="AY278" s="461">
        <f t="shared" ref="AY278:AY283" si="944">N278+AR278</f>
        <v>2.4</v>
      </c>
      <c r="AZ278" s="461">
        <f t="shared" ref="AZ278:BA283" si="945">O278+AP278</f>
        <v>2</v>
      </c>
      <c r="BA278" s="463">
        <f t="shared" si="945"/>
        <v>0.4</v>
      </c>
    </row>
    <row r="279" spans="1:53" s="229" customFormat="1" ht="12.75" customHeight="1" x14ac:dyDescent="0.2">
      <c r="A279" s="216">
        <v>50</v>
      </c>
      <c r="B279" s="217">
        <v>4491</v>
      </c>
      <c r="C279" s="217">
        <v>650050517</v>
      </c>
      <c r="D279" s="217">
        <v>72742437</v>
      </c>
      <c r="E279" s="215" t="s">
        <v>242</v>
      </c>
      <c r="F279" s="217">
        <v>3117</v>
      </c>
      <c r="G279" s="168" t="s">
        <v>310</v>
      </c>
      <c r="H279" s="218" t="s">
        <v>277</v>
      </c>
      <c r="I279" s="462">
        <f t="shared" si="924"/>
        <v>3380197</v>
      </c>
      <c r="J279" s="457">
        <v>2470362</v>
      </c>
      <c r="K279" s="457">
        <f t="shared" si="925"/>
        <v>834982</v>
      </c>
      <c r="L279" s="457">
        <f>ROUND(J279*1%,0)-1</f>
        <v>24703</v>
      </c>
      <c r="M279" s="457">
        <v>50150</v>
      </c>
      <c r="N279" s="458">
        <f t="shared" si="927"/>
        <v>4.1623999999999999</v>
      </c>
      <c r="O279" s="459">
        <v>3.0910000000000002</v>
      </c>
      <c r="P279" s="468">
        <v>1.0713999999999999</v>
      </c>
      <c r="Q279" s="470">
        <f t="shared" si="928"/>
        <v>0</v>
      </c>
      <c r="R279" s="460">
        <v>0</v>
      </c>
      <c r="S279" s="673">
        <v>0</v>
      </c>
      <c r="T279" s="460">
        <v>0</v>
      </c>
      <c r="U279" s="460">
        <v>0</v>
      </c>
      <c r="V279" s="460">
        <f t="shared" si="929"/>
        <v>0</v>
      </c>
      <c r="W279" s="460">
        <v>0</v>
      </c>
      <c r="X279" s="460">
        <v>0</v>
      </c>
      <c r="Y279" s="460">
        <v>0</v>
      </c>
      <c r="Z279" s="460">
        <f t="shared" si="930"/>
        <v>0</v>
      </c>
      <c r="AA279" s="460">
        <f t="shared" si="931"/>
        <v>0</v>
      </c>
      <c r="AB279" s="69">
        <f t="shared" si="932"/>
        <v>0</v>
      </c>
      <c r="AC279" s="69">
        <f t="shared" si="933"/>
        <v>0</v>
      </c>
      <c r="AD279" s="460">
        <v>0</v>
      </c>
      <c r="AE279" s="460">
        <v>0</v>
      </c>
      <c r="AF279" s="460">
        <f t="shared" si="934"/>
        <v>0</v>
      </c>
      <c r="AG279" s="460">
        <f t="shared" si="935"/>
        <v>0</v>
      </c>
      <c r="AH279" s="461">
        <v>0</v>
      </c>
      <c r="AI279" s="461">
        <v>0</v>
      </c>
      <c r="AJ279" s="461">
        <v>0</v>
      </c>
      <c r="AK279" s="461">
        <v>0</v>
      </c>
      <c r="AL279" s="674">
        <v>0</v>
      </c>
      <c r="AM279" s="461">
        <v>0</v>
      </c>
      <c r="AN279" s="461">
        <v>0</v>
      </c>
      <c r="AO279" s="461">
        <v>0</v>
      </c>
      <c r="AP279" s="461">
        <f t="shared" si="936"/>
        <v>0</v>
      </c>
      <c r="AQ279" s="461">
        <f t="shared" si="937"/>
        <v>0</v>
      </c>
      <c r="AR279" s="463">
        <f t="shared" si="938"/>
        <v>0</v>
      </c>
      <c r="AS279" s="469">
        <f t="shared" si="939"/>
        <v>3380197</v>
      </c>
      <c r="AT279" s="460">
        <f t="shared" si="940"/>
        <v>2470362</v>
      </c>
      <c r="AU279" s="460">
        <f t="shared" si="941"/>
        <v>0</v>
      </c>
      <c r="AV279" s="460">
        <f t="shared" si="942"/>
        <v>834982</v>
      </c>
      <c r="AW279" s="460">
        <f t="shared" si="942"/>
        <v>24703</v>
      </c>
      <c r="AX279" s="460">
        <f t="shared" si="943"/>
        <v>50150</v>
      </c>
      <c r="AY279" s="461">
        <f t="shared" si="944"/>
        <v>4.1623999999999999</v>
      </c>
      <c r="AZ279" s="461">
        <f t="shared" si="945"/>
        <v>3.0910000000000002</v>
      </c>
      <c r="BA279" s="463">
        <f t="shared" si="945"/>
        <v>1.0713999999999999</v>
      </c>
    </row>
    <row r="280" spans="1:53" s="229" customFormat="1" ht="12.75" customHeight="1" x14ac:dyDescent="0.2">
      <c r="A280" s="216">
        <v>50</v>
      </c>
      <c r="B280" s="217">
        <v>4491</v>
      </c>
      <c r="C280" s="217">
        <v>650050517</v>
      </c>
      <c r="D280" s="217">
        <v>72742437</v>
      </c>
      <c r="E280" s="215" t="s">
        <v>242</v>
      </c>
      <c r="F280" s="217">
        <v>3117</v>
      </c>
      <c r="G280" s="168" t="s">
        <v>308</v>
      </c>
      <c r="H280" s="218" t="s">
        <v>278</v>
      </c>
      <c r="I280" s="462">
        <f t="shared" si="924"/>
        <v>0</v>
      </c>
      <c r="J280" s="457">
        <v>0</v>
      </c>
      <c r="K280" s="457">
        <f t="shared" si="925"/>
        <v>0</v>
      </c>
      <c r="L280" s="457">
        <f t="shared" si="926"/>
        <v>0</v>
      </c>
      <c r="M280" s="457">
        <v>0</v>
      </c>
      <c r="N280" s="458">
        <f t="shared" si="927"/>
        <v>0</v>
      </c>
      <c r="O280" s="459">
        <v>0</v>
      </c>
      <c r="P280" s="468">
        <v>0</v>
      </c>
      <c r="Q280" s="470">
        <f t="shared" si="928"/>
        <v>0</v>
      </c>
      <c r="R280" s="460">
        <v>346447</v>
      </c>
      <c r="S280" s="673">
        <v>0</v>
      </c>
      <c r="T280" s="460">
        <v>0</v>
      </c>
      <c r="U280" s="460">
        <v>0</v>
      </c>
      <c r="V280" s="460">
        <f t="shared" si="929"/>
        <v>346447</v>
      </c>
      <c r="W280" s="460">
        <v>0</v>
      </c>
      <c r="X280" s="460">
        <v>0</v>
      </c>
      <c r="Y280" s="460">
        <v>0</v>
      </c>
      <c r="Z280" s="460">
        <f t="shared" si="930"/>
        <v>0</v>
      </c>
      <c r="AA280" s="460">
        <f t="shared" si="931"/>
        <v>346447</v>
      </c>
      <c r="AB280" s="69">
        <f t="shared" si="932"/>
        <v>117099</v>
      </c>
      <c r="AC280" s="69">
        <f t="shared" si="933"/>
        <v>3464</v>
      </c>
      <c r="AD280" s="460">
        <v>0</v>
      </c>
      <c r="AE280" s="460">
        <v>0</v>
      </c>
      <c r="AF280" s="460">
        <f t="shared" si="934"/>
        <v>0</v>
      </c>
      <c r="AG280" s="460">
        <f t="shared" si="935"/>
        <v>467010</v>
      </c>
      <c r="AH280" s="461">
        <v>0</v>
      </c>
      <c r="AI280" s="461">
        <v>0</v>
      </c>
      <c r="AJ280" s="461">
        <v>1</v>
      </c>
      <c r="AK280" s="461">
        <v>0</v>
      </c>
      <c r="AL280" s="674">
        <v>0</v>
      </c>
      <c r="AM280" s="461">
        <v>0</v>
      </c>
      <c r="AN280" s="461">
        <v>0</v>
      </c>
      <c r="AO280" s="461">
        <v>0</v>
      </c>
      <c r="AP280" s="461">
        <f t="shared" si="936"/>
        <v>1</v>
      </c>
      <c r="AQ280" s="461">
        <f t="shared" si="937"/>
        <v>0</v>
      </c>
      <c r="AR280" s="463">
        <f t="shared" si="938"/>
        <v>1</v>
      </c>
      <c r="AS280" s="469">
        <f t="shared" si="939"/>
        <v>467010</v>
      </c>
      <c r="AT280" s="460">
        <f t="shared" si="940"/>
        <v>346447</v>
      </c>
      <c r="AU280" s="460">
        <f t="shared" si="941"/>
        <v>0</v>
      </c>
      <c r="AV280" s="460">
        <f t="shared" si="942"/>
        <v>117099</v>
      </c>
      <c r="AW280" s="460">
        <f t="shared" si="942"/>
        <v>3464</v>
      </c>
      <c r="AX280" s="460">
        <f t="shared" si="943"/>
        <v>0</v>
      </c>
      <c r="AY280" s="461">
        <f t="shared" si="944"/>
        <v>1</v>
      </c>
      <c r="AZ280" s="461">
        <f t="shared" si="945"/>
        <v>1</v>
      </c>
      <c r="BA280" s="463">
        <f t="shared" si="945"/>
        <v>0</v>
      </c>
    </row>
    <row r="281" spans="1:53" s="229" customFormat="1" ht="12.75" customHeight="1" x14ac:dyDescent="0.2">
      <c r="A281" s="216">
        <v>50</v>
      </c>
      <c r="B281" s="217">
        <v>4491</v>
      </c>
      <c r="C281" s="217">
        <v>650050517</v>
      </c>
      <c r="D281" s="217">
        <v>72742437</v>
      </c>
      <c r="E281" s="215" t="s">
        <v>242</v>
      </c>
      <c r="F281" s="217">
        <v>3141</v>
      </c>
      <c r="G281" s="168" t="s">
        <v>311</v>
      </c>
      <c r="H281" s="218" t="s">
        <v>278</v>
      </c>
      <c r="I281" s="462">
        <f t="shared" si="924"/>
        <v>740773</v>
      </c>
      <c r="J281" s="457">
        <v>546710</v>
      </c>
      <c r="K281" s="457">
        <f t="shared" si="925"/>
        <v>184788</v>
      </c>
      <c r="L281" s="457">
        <f t="shared" si="926"/>
        <v>5467</v>
      </c>
      <c r="M281" s="457">
        <v>3808</v>
      </c>
      <c r="N281" s="458">
        <f t="shared" si="927"/>
        <v>1.75</v>
      </c>
      <c r="O281" s="459">
        <v>0</v>
      </c>
      <c r="P281" s="468">
        <v>1.75</v>
      </c>
      <c r="Q281" s="470">
        <f t="shared" si="928"/>
        <v>0</v>
      </c>
      <c r="R281" s="460">
        <v>0</v>
      </c>
      <c r="S281" s="673">
        <v>0</v>
      </c>
      <c r="T281" s="460">
        <v>0</v>
      </c>
      <c r="U281" s="460">
        <v>0</v>
      </c>
      <c r="V281" s="460">
        <f t="shared" si="929"/>
        <v>0</v>
      </c>
      <c r="W281" s="460">
        <v>0</v>
      </c>
      <c r="X281" s="460">
        <v>0</v>
      </c>
      <c r="Y281" s="460">
        <v>0</v>
      </c>
      <c r="Z281" s="460">
        <f t="shared" si="930"/>
        <v>0</v>
      </c>
      <c r="AA281" s="460">
        <f t="shared" si="931"/>
        <v>0</v>
      </c>
      <c r="AB281" s="69">
        <f t="shared" si="932"/>
        <v>0</v>
      </c>
      <c r="AC281" s="69">
        <f t="shared" si="933"/>
        <v>0</v>
      </c>
      <c r="AD281" s="460">
        <v>0</v>
      </c>
      <c r="AE281" s="460">
        <v>0</v>
      </c>
      <c r="AF281" s="460">
        <f t="shared" si="934"/>
        <v>0</v>
      </c>
      <c r="AG281" s="460">
        <f t="shared" si="935"/>
        <v>0</v>
      </c>
      <c r="AH281" s="461">
        <v>0</v>
      </c>
      <c r="AI281" s="461">
        <v>0</v>
      </c>
      <c r="AJ281" s="461">
        <v>0</v>
      </c>
      <c r="AK281" s="461">
        <v>0</v>
      </c>
      <c r="AL281" s="674">
        <v>0</v>
      </c>
      <c r="AM281" s="461">
        <v>0</v>
      </c>
      <c r="AN281" s="461">
        <v>0</v>
      </c>
      <c r="AO281" s="461">
        <v>0</v>
      </c>
      <c r="AP281" s="461">
        <f t="shared" si="936"/>
        <v>0</v>
      </c>
      <c r="AQ281" s="461">
        <f t="shared" si="937"/>
        <v>0</v>
      </c>
      <c r="AR281" s="463">
        <f t="shared" si="938"/>
        <v>0</v>
      </c>
      <c r="AS281" s="469">
        <f t="shared" si="939"/>
        <v>740773</v>
      </c>
      <c r="AT281" s="460">
        <f t="shared" si="940"/>
        <v>546710</v>
      </c>
      <c r="AU281" s="460">
        <f t="shared" si="941"/>
        <v>0</v>
      </c>
      <c r="AV281" s="460">
        <f t="shared" si="942"/>
        <v>184788</v>
      </c>
      <c r="AW281" s="460">
        <f t="shared" si="942"/>
        <v>5467</v>
      </c>
      <c r="AX281" s="460">
        <f t="shared" si="943"/>
        <v>3808</v>
      </c>
      <c r="AY281" s="461">
        <f t="shared" si="944"/>
        <v>1.75</v>
      </c>
      <c r="AZ281" s="461">
        <f t="shared" si="945"/>
        <v>0</v>
      </c>
      <c r="BA281" s="463">
        <f t="shared" si="945"/>
        <v>1.75</v>
      </c>
    </row>
    <row r="282" spans="1:53" s="229" customFormat="1" ht="12.75" customHeight="1" x14ac:dyDescent="0.2">
      <c r="A282" s="216">
        <v>50</v>
      </c>
      <c r="B282" s="217">
        <v>4491</v>
      </c>
      <c r="C282" s="217">
        <v>650050517</v>
      </c>
      <c r="D282" s="217">
        <v>72742437</v>
      </c>
      <c r="E282" s="215" t="s">
        <v>242</v>
      </c>
      <c r="F282" s="217">
        <v>3143</v>
      </c>
      <c r="G282" s="168" t="s">
        <v>616</v>
      </c>
      <c r="H282" s="234" t="s">
        <v>277</v>
      </c>
      <c r="I282" s="462">
        <f t="shared" si="924"/>
        <v>665481</v>
      </c>
      <c r="J282" s="457">
        <v>493680</v>
      </c>
      <c r="K282" s="457">
        <f t="shared" si="925"/>
        <v>166864</v>
      </c>
      <c r="L282" s="457">
        <f t="shared" si="926"/>
        <v>4937</v>
      </c>
      <c r="M282" s="457">
        <v>0</v>
      </c>
      <c r="N282" s="458">
        <f t="shared" si="927"/>
        <v>1.0179</v>
      </c>
      <c r="O282" s="459">
        <v>1.0179</v>
      </c>
      <c r="P282" s="468">
        <v>0</v>
      </c>
      <c r="Q282" s="470">
        <f t="shared" si="928"/>
        <v>0</v>
      </c>
      <c r="R282" s="460">
        <v>0</v>
      </c>
      <c r="S282" s="673">
        <v>0</v>
      </c>
      <c r="T282" s="460">
        <v>0</v>
      </c>
      <c r="U282" s="460">
        <v>0</v>
      </c>
      <c r="V282" s="460">
        <f t="shared" si="929"/>
        <v>0</v>
      </c>
      <c r="W282" s="460">
        <v>0</v>
      </c>
      <c r="X282" s="460">
        <v>0</v>
      </c>
      <c r="Y282" s="460">
        <v>0</v>
      </c>
      <c r="Z282" s="460">
        <f t="shared" si="930"/>
        <v>0</v>
      </c>
      <c r="AA282" s="460">
        <f t="shared" si="931"/>
        <v>0</v>
      </c>
      <c r="AB282" s="69">
        <f t="shared" si="932"/>
        <v>0</v>
      </c>
      <c r="AC282" s="69">
        <f t="shared" si="933"/>
        <v>0</v>
      </c>
      <c r="AD282" s="460">
        <v>0</v>
      </c>
      <c r="AE282" s="460">
        <v>0</v>
      </c>
      <c r="AF282" s="460">
        <f t="shared" si="934"/>
        <v>0</v>
      </c>
      <c r="AG282" s="460">
        <f t="shared" si="935"/>
        <v>0</v>
      </c>
      <c r="AH282" s="461">
        <v>0</v>
      </c>
      <c r="AI282" s="461">
        <v>0</v>
      </c>
      <c r="AJ282" s="461">
        <v>0</v>
      </c>
      <c r="AK282" s="461">
        <v>0</v>
      </c>
      <c r="AL282" s="674">
        <v>0</v>
      </c>
      <c r="AM282" s="461">
        <v>0</v>
      </c>
      <c r="AN282" s="461">
        <v>0</v>
      </c>
      <c r="AO282" s="461">
        <v>0</v>
      </c>
      <c r="AP282" s="461">
        <f t="shared" si="936"/>
        <v>0</v>
      </c>
      <c r="AQ282" s="461">
        <f t="shared" si="937"/>
        <v>0</v>
      </c>
      <c r="AR282" s="463">
        <f t="shared" si="938"/>
        <v>0</v>
      </c>
      <c r="AS282" s="469">
        <f t="shared" si="939"/>
        <v>665481</v>
      </c>
      <c r="AT282" s="460">
        <f t="shared" si="940"/>
        <v>493680</v>
      </c>
      <c r="AU282" s="460">
        <f t="shared" si="941"/>
        <v>0</v>
      </c>
      <c r="AV282" s="460">
        <f t="shared" si="942"/>
        <v>166864</v>
      </c>
      <c r="AW282" s="460">
        <f t="shared" si="942"/>
        <v>4937</v>
      </c>
      <c r="AX282" s="460">
        <f t="shared" si="943"/>
        <v>0</v>
      </c>
      <c r="AY282" s="461">
        <f t="shared" si="944"/>
        <v>1.0179</v>
      </c>
      <c r="AZ282" s="461">
        <f t="shared" si="945"/>
        <v>1.0179</v>
      </c>
      <c r="BA282" s="463">
        <f t="shared" si="945"/>
        <v>0</v>
      </c>
    </row>
    <row r="283" spans="1:53" s="229" customFormat="1" ht="12.75" customHeight="1" x14ac:dyDescent="0.2">
      <c r="A283" s="216">
        <v>50</v>
      </c>
      <c r="B283" s="217">
        <v>4491</v>
      </c>
      <c r="C283" s="217">
        <v>650050517</v>
      </c>
      <c r="D283" s="217">
        <v>72742437</v>
      </c>
      <c r="E283" s="215" t="s">
        <v>242</v>
      </c>
      <c r="F283" s="217">
        <v>3143</v>
      </c>
      <c r="G283" s="168" t="s">
        <v>617</v>
      </c>
      <c r="H283" s="234" t="s">
        <v>278</v>
      </c>
      <c r="I283" s="462">
        <f t="shared" si="924"/>
        <v>21990</v>
      </c>
      <c r="J283" s="457">
        <v>15712</v>
      </c>
      <c r="K283" s="457">
        <f t="shared" si="925"/>
        <v>5311</v>
      </c>
      <c r="L283" s="457">
        <f t="shared" si="926"/>
        <v>157</v>
      </c>
      <c r="M283" s="457">
        <v>810</v>
      </c>
      <c r="N283" s="458">
        <f t="shared" si="927"/>
        <v>0.06</v>
      </c>
      <c r="O283" s="459">
        <v>0</v>
      </c>
      <c r="P283" s="468">
        <v>0.06</v>
      </c>
      <c r="Q283" s="470">
        <f t="shared" si="928"/>
        <v>0</v>
      </c>
      <c r="R283" s="460">
        <v>0</v>
      </c>
      <c r="S283" s="673">
        <v>0</v>
      </c>
      <c r="T283" s="460">
        <v>0</v>
      </c>
      <c r="U283" s="460">
        <v>0</v>
      </c>
      <c r="V283" s="460">
        <f t="shared" si="929"/>
        <v>0</v>
      </c>
      <c r="W283" s="460">
        <v>0</v>
      </c>
      <c r="X283" s="460">
        <v>0</v>
      </c>
      <c r="Y283" s="460">
        <v>0</v>
      </c>
      <c r="Z283" s="460">
        <f t="shared" si="930"/>
        <v>0</v>
      </c>
      <c r="AA283" s="460">
        <f t="shared" si="931"/>
        <v>0</v>
      </c>
      <c r="AB283" s="69">
        <f t="shared" si="932"/>
        <v>0</v>
      </c>
      <c r="AC283" s="69">
        <f t="shared" si="933"/>
        <v>0</v>
      </c>
      <c r="AD283" s="460">
        <v>0</v>
      </c>
      <c r="AE283" s="460">
        <v>0</v>
      </c>
      <c r="AF283" s="460">
        <f t="shared" si="934"/>
        <v>0</v>
      </c>
      <c r="AG283" s="460">
        <f t="shared" si="935"/>
        <v>0</v>
      </c>
      <c r="AH283" s="461">
        <v>0</v>
      </c>
      <c r="AI283" s="461">
        <v>0</v>
      </c>
      <c r="AJ283" s="461">
        <v>0</v>
      </c>
      <c r="AK283" s="461">
        <v>0</v>
      </c>
      <c r="AL283" s="674">
        <v>0</v>
      </c>
      <c r="AM283" s="461">
        <v>0</v>
      </c>
      <c r="AN283" s="461">
        <v>0</v>
      </c>
      <c r="AO283" s="461">
        <v>0</v>
      </c>
      <c r="AP283" s="461">
        <f t="shared" si="936"/>
        <v>0</v>
      </c>
      <c r="AQ283" s="461">
        <f t="shared" si="937"/>
        <v>0</v>
      </c>
      <c r="AR283" s="463">
        <f t="shared" si="938"/>
        <v>0</v>
      </c>
      <c r="AS283" s="469">
        <f t="shared" si="939"/>
        <v>21990</v>
      </c>
      <c r="AT283" s="460">
        <f t="shared" si="940"/>
        <v>15712</v>
      </c>
      <c r="AU283" s="460">
        <f t="shared" si="941"/>
        <v>0</v>
      </c>
      <c r="AV283" s="460">
        <f t="shared" si="942"/>
        <v>5311</v>
      </c>
      <c r="AW283" s="460">
        <f t="shared" si="942"/>
        <v>157</v>
      </c>
      <c r="AX283" s="460">
        <f t="shared" si="943"/>
        <v>810</v>
      </c>
      <c r="AY283" s="461">
        <f t="shared" si="944"/>
        <v>0.06</v>
      </c>
      <c r="AZ283" s="461">
        <f t="shared" si="945"/>
        <v>0</v>
      </c>
      <c r="BA283" s="463">
        <f t="shared" si="945"/>
        <v>0.06</v>
      </c>
    </row>
    <row r="284" spans="1:53" s="229" customFormat="1" ht="12.75" customHeight="1" x14ac:dyDescent="0.2">
      <c r="A284" s="158">
        <v>50</v>
      </c>
      <c r="B284" s="18">
        <v>4491</v>
      </c>
      <c r="C284" s="18">
        <v>650050517</v>
      </c>
      <c r="D284" s="18">
        <v>72742437</v>
      </c>
      <c r="E284" s="167" t="s">
        <v>243</v>
      </c>
      <c r="F284" s="18"/>
      <c r="G284" s="157"/>
      <c r="H284" s="191"/>
      <c r="I284" s="505">
        <f t="shared" ref="I284:P284" si="946">SUM(I278:I283)</f>
        <v>6491424</v>
      </c>
      <c r="J284" s="502">
        <f t="shared" si="946"/>
        <v>4768439</v>
      </c>
      <c r="K284" s="502">
        <f t="shared" si="946"/>
        <v>1611733</v>
      </c>
      <c r="L284" s="502">
        <f t="shared" si="946"/>
        <v>47684</v>
      </c>
      <c r="M284" s="502">
        <f t="shared" si="946"/>
        <v>63568</v>
      </c>
      <c r="N284" s="503">
        <f t="shared" si="946"/>
        <v>9.3903000000000016</v>
      </c>
      <c r="O284" s="503">
        <f t="shared" si="946"/>
        <v>6.1089000000000002</v>
      </c>
      <c r="P284" s="507">
        <f t="shared" si="946"/>
        <v>3.2814000000000001</v>
      </c>
      <c r="Q284" s="505">
        <f t="shared" ref="Q284:BA284" si="947">SUM(Q278:Q283)</f>
        <v>0</v>
      </c>
      <c r="R284" s="502">
        <f t="shared" si="947"/>
        <v>346447</v>
      </c>
      <c r="S284" s="502">
        <f t="shared" si="947"/>
        <v>0</v>
      </c>
      <c r="T284" s="502">
        <f t="shared" si="947"/>
        <v>0</v>
      </c>
      <c r="U284" s="502">
        <f t="shared" si="947"/>
        <v>0</v>
      </c>
      <c r="V284" s="502">
        <f t="shared" si="947"/>
        <v>346447</v>
      </c>
      <c r="W284" s="502">
        <f t="shared" si="947"/>
        <v>0</v>
      </c>
      <c r="X284" s="502">
        <f t="shared" si="947"/>
        <v>0</v>
      </c>
      <c r="Y284" s="502">
        <f t="shared" si="947"/>
        <v>0</v>
      </c>
      <c r="Z284" s="502">
        <f t="shared" si="947"/>
        <v>0</v>
      </c>
      <c r="AA284" s="502">
        <f t="shared" si="947"/>
        <v>346447</v>
      </c>
      <c r="AB284" s="502">
        <f t="shared" si="947"/>
        <v>117099</v>
      </c>
      <c r="AC284" s="502">
        <f t="shared" si="947"/>
        <v>3464</v>
      </c>
      <c r="AD284" s="502">
        <f t="shared" si="947"/>
        <v>0</v>
      </c>
      <c r="AE284" s="502">
        <f t="shared" si="947"/>
        <v>0</v>
      </c>
      <c r="AF284" s="502">
        <f t="shared" si="947"/>
        <v>0</v>
      </c>
      <c r="AG284" s="502">
        <f t="shared" si="947"/>
        <v>467010</v>
      </c>
      <c r="AH284" s="503">
        <f t="shared" si="947"/>
        <v>0</v>
      </c>
      <c r="AI284" s="503">
        <f t="shared" si="947"/>
        <v>0</v>
      </c>
      <c r="AJ284" s="503">
        <f t="shared" si="947"/>
        <v>1</v>
      </c>
      <c r="AK284" s="503">
        <f t="shared" si="947"/>
        <v>0</v>
      </c>
      <c r="AL284" s="503">
        <f t="shared" si="947"/>
        <v>0</v>
      </c>
      <c r="AM284" s="503">
        <f t="shared" si="947"/>
        <v>0</v>
      </c>
      <c r="AN284" s="503">
        <f t="shared" si="947"/>
        <v>0</v>
      </c>
      <c r="AO284" s="503">
        <f t="shared" si="947"/>
        <v>0</v>
      </c>
      <c r="AP284" s="503">
        <f t="shared" si="947"/>
        <v>1</v>
      </c>
      <c r="AQ284" s="503">
        <f t="shared" si="947"/>
        <v>0</v>
      </c>
      <c r="AR284" s="40">
        <f t="shared" si="947"/>
        <v>1</v>
      </c>
      <c r="AS284" s="509">
        <f t="shared" si="947"/>
        <v>6958434</v>
      </c>
      <c r="AT284" s="502">
        <f t="shared" si="947"/>
        <v>5114886</v>
      </c>
      <c r="AU284" s="502">
        <f t="shared" si="947"/>
        <v>0</v>
      </c>
      <c r="AV284" s="502">
        <f t="shared" si="947"/>
        <v>1728832</v>
      </c>
      <c r="AW284" s="502">
        <f t="shared" si="947"/>
        <v>51148</v>
      </c>
      <c r="AX284" s="502">
        <f t="shared" si="947"/>
        <v>63568</v>
      </c>
      <c r="AY284" s="503">
        <f t="shared" si="947"/>
        <v>10.390300000000002</v>
      </c>
      <c r="AZ284" s="503">
        <f t="shared" si="947"/>
        <v>7.1089000000000002</v>
      </c>
      <c r="BA284" s="40">
        <f t="shared" si="947"/>
        <v>3.2814000000000001</v>
      </c>
    </row>
    <row r="285" spans="1:53" s="229" customFormat="1" ht="12.75" customHeight="1" x14ac:dyDescent="0.2">
      <c r="A285" s="216">
        <v>51</v>
      </c>
      <c r="B285" s="217">
        <v>4465</v>
      </c>
      <c r="C285" s="217">
        <v>600074757</v>
      </c>
      <c r="D285" s="217">
        <v>46750428</v>
      </c>
      <c r="E285" s="215" t="s">
        <v>244</v>
      </c>
      <c r="F285" s="217">
        <v>3111</v>
      </c>
      <c r="G285" s="168" t="s">
        <v>307</v>
      </c>
      <c r="H285" s="218" t="s">
        <v>277</v>
      </c>
      <c r="I285" s="462">
        <f t="shared" ref="I285:I290" si="948">SUM(J285:M285)</f>
        <v>7784889</v>
      </c>
      <c r="J285" s="457">
        <v>5745170</v>
      </c>
      <c r="K285" s="457">
        <f t="shared" ref="K285:K290" si="949">ROUND(J285*33.8%,0)</f>
        <v>1941867</v>
      </c>
      <c r="L285" s="457">
        <f t="shared" ref="L285:L290" si="950">ROUND(J285*1%,0)</f>
        <v>57452</v>
      </c>
      <c r="M285" s="457">
        <v>40400</v>
      </c>
      <c r="N285" s="458">
        <f t="shared" ref="N285:N290" si="951">O285+P285</f>
        <v>11.7516</v>
      </c>
      <c r="O285" s="459">
        <v>9.9515999999999991</v>
      </c>
      <c r="P285" s="468">
        <v>1.8</v>
      </c>
      <c r="Q285" s="470">
        <f t="shared" ref="Q285:Q290" si="952">W285*-1</f>
        <v>-6500</v>
      </c>
      <c r="R285" s="460">
        <v>0</v>
      </c>
      <c r="S285" s="673">
        <v>0</v>
      </c>
      <c r="T285" s="460">
        <v>0</v>
      </c>
      <c r="U285" s="460">
        <v>0</v>
      </c>
      <c r="V285" s="460">
        <f t="shared" ref="V285:V290" si="953">SUM(Q285:U285)</f>
        <v>-6500</v>
      </c>
      <c r="W285" s="460">
        <v>6500</v>
      </c>
      <c r="X285" s="460">
        <v>0</v>
      </c>
      <c r="Y285" s="460">
        <v>0</v>
      </c>
      <c r="Z285" s="460">
        <f t="shared" ref="Z285:Z290" si="954">SUM(W285:Y285)</f>
        <v>6500</v>
      </c>
      <c r="AA285" s="460">
        <f t="shared" ref="AA285:AA290" si="955">V285+Z285</f>
        <v>0</v>
      </c>
      <c r="AB285" s="69">
        <f t="shared" ref="AB285:AB290" si="956">ROUND((V285+W285+X285)*33.8%,0)</f>
        <v>0</v>
      </c>
      <c r="AC285" s="69">
        <f t="shared" ref="AC285:AC290" si="957">ROUND(V285*1%,0)</f>
        <v>-65</v>
      </c>
      <c r="AD285" s="460">
        <v>0</v>
      </c>
      <c r="AE285" s="460">
        <v>0</v>
      </c>
      <c r="AF285" s="460">
        <f t="shared" ref="AF285:AF290" si="958">SUM(AD285:AE285)</f>
        <v>0</v>
      </c>
      <c r="AG285" s="460">
        <f t="shared" ref="AG285:AG290" si="959">AA285+AB285+AC285+AF285</f>
        <v>-65</v>
      </c>
      <c r="AH285" s="461">
        <v>0</v>
      </c>
      <c r="AI285" s="461">
        <v>0</v>
      </c>
      <c r="AJ285" s="461">
        <v>0</v>
      </c>
      <c r="AK285" s="461">
        <v>0</v>
      </c>
      <c r="AL285" s="674">
        <v>0</v>
      </c>
      <c r="AM285" s="461">
        <v>0</v>
      </c>
      <c r="AN285" s="461">
        <v>0</v>
      </c>
      <c r="AO285" s="461">
        <v>0</v>
      </c>
      <c r="AP285" s="461">
        <f t="shared" ref="AP285:AP290" si="960">AH285+AJ285+AK285+AM285+AN285</f>
        <v>0</v>
      </c>
      <c r="AQ285" s="461">
        <f t="shared" ref="AQ285:AQ290" si="961">AI285+AL285+AO285</f>
        <v>0</v>
      </c>
      <c r="AR285" s="463">
        <f t="shared" ref="AR285:AR290" si="962">SUM(AP285:AQ285)</f>
        <v>0</v>
      </c>
      <c r="AS285" s="469">
        <f t="shared" ref="AS285:AS290" si="963">I285+AG285</f>
        <v>7784824</v>
      </c>
      <c r="AT285" s="460">
        <f t="shared" ref="AT285:AT290" si="964">J285+V285</f>
        <v>5738670</v>
      </c>
      <c r="AU285" s="460">
        <f t="shared" ref="AU285:AU290" si="965">Z285</f>
        <v>6500</v>
      </c>
      <c r="AV285" s="460">
        <f t="shared" ref="AV285:AW290" si="966">K285+AB285</f>
        <v>1941867</v>
      </c>
      <c r="AW285" s="460">
        <f t="shared" si="966"/>
        <v>57387</v>
      </c>
      <c r="AX285" s="460">
        <f t="shared" ref="AX285:AX290" si="967">M285+AF285</f>
        <v>40400</v>
      </c>
      <c r="AY285" s="461">
        <f t="shared" ref="AY285:AY290" si="968">N285+AR285</f>
        <v>11.7516</v>
      </c>
      <c r="AZ285" s="461">
        <f t="shared" ref="AZ285:BA290" si="969">O285+AP285</f>
        <v>9.9515999999999991</v>
      </c>
      <c r="BA285" s="463">
        <f t="shared" si="969"/>
        <v>1.8</v>
      </c>
    </row>
    <row r="286" spans="1:53" s="229" customFormat="1" ht="12.75" customHeight="1" x14ac:dyDescent="0.2">
      <c r="A286" s="216">
        <v>51</v>
      </c>
      <c r="B286" s="217">
        <v>4465</v>
      </c>
      <c r="C286" s="217">
        <v>600074757</v>
      </c>
      <c r="D286" s="217">
        <v>46750428</v>
      </c>
      <c r="E286" s="215" t="s">
        <v>244</v>
      </c>
      <c r="F286" s="217">
        <v>3113</v>
      </c>
      <c r="G286" s="168" t="s">
        <v>310</v>
      </c>
      <c r="H286" s="218" t="s">
        <v>277</v>
      </c>
      <c r="I286" s="462">
        <f t="shared" si="948"/>
        <v>24662363</v>
      </c>
      <c r="J286" s="457">
        <v>17964594</v>
      </c>
      <c r="K286" s="457">
        <f t="shared" si="949"/>
        <v>6072033</v>
      </c>
      <c r="L286" s="457">
        <f t="shared" si="950"/>
        <v>179646</v>
      </c>
      <c r="M286" s="457">
        <v>446090</v>
      </c>
      <c r="N286" s="458">
        <f t="shared" si="951"/>
        <v>31.374499999999998</v>
      </c>
      <c r="O286" s="459">
        <v>24.454499999999999</v>
      </c>
      <c r="P286" s="468">
        <v>6.92</v>
      </c>
      <c r="Q286" s="470">
        <f t="shared" si="952"/>
        <v>-91000</v>
      </c>
      <c r="R286" s="460">
        <v>0</v>
      </c>
      <c r="S286" s="673">
        <v>0</v>
      </c>
      <c r="T286" s="460">
        <v>0</v>
      </c>
      <c r="U286" s="460">
        <v>0</v>
      </c>
      <c r="V286" s="460">
        <f t="shared" si="953"/>
        <v>-91000</v>
      </c>
      <c r="W286" s="460">
        <v>91000</v>
      </c>
      <c r="X286" s="460">
        <v>0</v>
      </c>
      <c r="Y286" s="460">
        <v>0</v>
      </c>
      <c r="Z286" s="460">
        <f t="shared" si="954"/>
        <v>91000</v>
      </c>
      <c r="AA286" s="460">
        <f t="shared" si="955"/>
        <v>0</v>
      </c>
      <c r="AB286" s="69">
        <f t="shared" si="956"/>
        <v>0</v>
      </c>
      <c r="AC286" s="69">
        <f t="shared" si="957"/>
        <v>-910</v>
      </c>
      <c r="AD286" s="460">
        <v>0</v>
      </c>
      <c r="AE286" s="460">
        <v>0</v>
      </c>
      <c r="AF286" s="460">
        <f t="shared" si="958"/>
        <v>0</v>
      </c>
      <c r="AG286" s="460">
        <f t="shared" si="959"/>
        <v>-910</v>
      </c>
      <c r="AH286" s="461">
        <v>-0.17</v>
      </c>
      <c r="AI286" s="461">
        <v>0</v>
      </c>
      <c r="AJ286" s="461">
        <v>0</v>
      </c>
      <c r="AK286" s="461">
        <v>0</v>
      </c>
      <c r="AL286" s="674">
        <v>0</v>
      </c>
      <c r="AM286" s="461">
        <v>0</v>
      </c>
      <c r="AN286" s="461">
        <v>0</v>
      </c>
      <c r="AO286" s="461">
        <v>0</v>
      </c>
      <c r="AP286" s="461">
        <f t="shared" si="960"/>
        <v>-0.17</v>
      </c>
      <c r="AQ286" s="461">
        <f t="shared" si="961"/>
        <v>0</v>
      </c>
      <c r="AR286" s="463">
        <f t="shared" si="962"/>
        <v>-0.17</v>
      </c>
      <c r="AS286" s="469">
        <f t="shared" si="963"/>
        <v>24661453</v>
      </c>
      <c r="AT286" s="460">
        <f t="shared" si="964"/>
        <v>17873594</v>
      </c>
      <c r="AU286" s="460">
        <f t="shared" si="965"/>
        <v>91000</v>
      </c>
      <c r="AV286" s="460">
        <f t="shared" si="966"/>
        <v>6072033</v>
      </c>
      <c r="AW286" s="460">
        <f t="shared" si="966"/>
        <v>178736</v>
      </c>
      <c r="AX286" s="460">
        <f t="shared" si="967"/>
        <v>446090</v>
      </c>
      <c r="AY286" s="461">
        <f t="shared" si="968"/>
        <v>31.204499999999996</v>
      </c>
      <c r="AZ286" s="461">
        <f t="shared" si="969"/>
        <v>24.284499999999998</v>
      </c>
      <c r="BA286" s="463">
        <f t="shared" si="969"/>
        <v>6.92</v>
      </c>
    </row>
    <row r="287" spans="1:53" s="229" customFormat="1" ht="12.75" customHeight="1" x14ac:dyDescent="0.2">
      <c r="A287" s="216">
        <v>51</v>
      </c>
      <c r="B287" s="217">
        <v>4465</v>
      </c>
      <c r="C287" s="217">
        <v>600074757</v>
      </c>
      <c r="D287" s="217">
        <v>46750428</v>
      </c>
      <c r="E287" s="215" t="s">
        <v>244</v>
      </c>
      <c r="F287" s="217">
        <v>3113</v>
      </c>
      <c r="G287" s="168" t="s">
        <v>308</v>
      </c>
      <c r="H287" s="218" t="s">
        <v>278</v>
      </c>
      <c r="I287" s="462">
        <f t="shared" si="948"/>
        <v>0</v>
      </c>
      <c r="J287" s="457">
        <v>0</v>
      </c>
      <c r="K287" s="457">
        <f t="shared" si="949"/>
        <v>0</v>
      </c>
      <c r="L287" s="457">
        <f t="shared" si="950"/>
        <v>0</v>
      </c>
      <c r="M287" s="457">
        <v>0</v>
      </c>
      <c r="N287" s="458">
        <f t="shared" si="951"/>
        <v>0</v>
      </c>
      <c r="O287" s="459">
        <v>0</v>
      </c>
      <c r="P287" s="468">
        <v>0</v>
      </c>
      <c r="Q287" s="470">
        <f t="shared" si="952"/>
        <v>0</v>
      </c>
      <c r="R287" s="460">
        <v>1135583</v>
      </c>
      <c r="S287" s="673">
        <v>0</v>
      </c>
      <c r="T287" s="460">
        <v>0</v>
      </c>
      <c r="U287" s="460">
        <v>0</v>
      </c>
      <c r="V287" s="460">
        <f t="shared" si="953"/>
        <v>1135583</v>
      </c>
      <c r="W287" s="460">
        <v>0</v>
      </c>
      <c r="X287" s="460">
        <v>0</v>
      </c>
      <c r="Y287" s="460">
        <v>0</v>
      </c>
      <c r="Z287" s="460">
        <f t="shared" si="954"/>
        <v>0</v>
      </c>
      <c r="AA287" s="460">
        <f t="shared" si="955"/>
        <v>1135583</v>
      </c>
      <c r="AB287" s="69">
        <f t="shared" si="956"/>
        <v>383827</v>
      </c>
      <c r="AC287" s="69">
        <f t="shared" si="957"/>
        <v>11356</v>
      </c>
      <c r="AD287" s="460">
        <v>0</v>
      </c>
      <c r="AE287" s="460">
        <v>0</v>
      </c>
      <c r="AF287" s="460">
        <f t="shared" si="958"/>
        <v>0</v>
      </c>
      <c r="AG287" s="460">
        <f t="shared" si="959"/>
        <v>1530766</v>
      </c>
      <c r="AH287" s="461">
        <v>0</v>
      </c>
      <c r="AI287" s="461">
        <v>0</v>
      </c>
      <c r="AJ287" s="461">
        <v>3.28</v>
      </c>
      <c r="AK287" s="461">
        <v>0</v>
      </c>
      <c r="AL287" s="674">
        <v>0</v>
      </c>
      <c r="AM287" s="461">
        <v>0</v>
      </c>
      <c r="AN287" s="461">
        <v>0</v>
      </c>
      <c r="AO287" s="461">
        <v>0</v>
      </c>
      <c r="AP287" s="461">
        <f t="shared" si="960"/>
        <v>3.28</v>
      </c>
      <c r="AQ287" s="461">
        <f t="shared" si="961"/>
        <v>0</v>
      </c>
      <c r="AR287" s="463">
        <f t="shared" si="962"/>
        <v>3.28</v>
      </c>
      <c r="AS287" s="469">
        <f t="shared" si="963"/>
        <v>1530766</v>
      </c>
      <c r="AT287" s="460">
        <f t="shared" si="964"/>
        <v>1135583</v>
      </c>
      <c r="AU287" s="460">
        <f t="shared" si="965"/>
        <v>0</v>
      </c>
      <c r="AV287" s="460">
        <f t="shared" si="966"/>
        <v>383827</v>
      </c>
      <c r="AW287" s="460">
        <f t="shared" si="966"/>
        <v>11356</v>
      </c>
      <c r="AX287" s="460">
        <f t="shared" si="967"/>
        <v>0</v>
      </c>
      <c r="AY287" s="461">
        <f t="shared" si="968"/>
        <v>3.28</v>
      </c>
      <c r="AZ287" s="461">
        <f t="shared" si="969"/>
        <v>3.28</v>
      </c>
      <c r="BA287" s="463">
        <f t="shared" si="969"/>
        <v>0</v>
      </c>
    </row>
    <row r="288" spans="1:53" s="229" customFormat="1" ht="12.75" customHeight="1" x14ac:dyDescent="0.2">
      <c r="A288" s="216">
        <v>51</v>
      </c>
      <c r="B288" s="217">
        <v>4465</v>
      </c>
      <c r="C288" s="217">
        <v>600074757</v>
      </c>
      <c r="D288" s="217">
        <v>46750428</v>
      </c>
      <c r="E288" s="215" t="s">
        <v>244</v>
      </c>
      <c r="F288" s="217">
        <v>3141</v>
      </c>
      <c r="G288" s="168" t="s">
        <v>311</v>
      </c>
      <c r="H288" s="218" t="s">
        <v>278</v>
      </c>
      <c r="I288" s="462">
        <f t="shared" si="948"/>
        <v>3104442</v>
      </c>
      <c r="J288" s="457">
        <v>2288259</v>
      </c>
      <c r="K288" s="457">
        <f t="shared" si="949"/>
        <v>773432</v>
      </c>
      <c r="L288" s="457">
        <f t="shared" si="950"/>
        <v>22883</v>
      </c>
      <c r="M288" s="457">
        <v>19868</v>
      </c>
      <c r="N288" s="458">
        <f t="shared" si="951"/>
        <v>7.35</v>
      </c>
      <c r="O288" s="459">
        <v>0</v>
      </c>
      <c r="P288" s="468">
        <v>7.35</v>
      </c>
      <c r="Q288" s="470">
        <f t="shared" si="952"/>
        <v>-11700</v>
      </c>
      <c r="R288" s="460">
        <v>0</v>
      </c>
      <c r="S288" s="673">
        <v>0</v>
      </c>
      <c r="T288" s="460">
        <v>0</v>
      </c>
      <c r="U288" s="460">
        <v>0</v>
      </c>
      <c r="V288" s="460">
        <f t="shared" si="953"/>
        <v>-11700</v>
      </c>
      <c r="W288" s="460">
        <v>11700</v>
      </c>
      <c r="X288" s="460">
        <v>0</v>
      </c>
      <c r="Y288" s="460">
        <v>0</v>
      </c>
      <c r="Z288" s="460">
        <f t="shared" si="954"/>
        <v>11700</v>
      </c>
      <c r="AA288" s="460">
        <f t="shared" si="955"/>
        <v>0</v>
      </c>
      <c r="AB288" s="69">
        <f t="shared" si="956"/>
        <v>0</v>
      </c>
      <c r="AC288" s="69">
        <f t="shared" si="957"/>
        <v>-117</v>
      </c>
      <c r="AD288" s="460">
        <v>0</v>
      </c>
      <c r="AE288" s="460">
        <v>0</v>
      </c>
      <c r="AF288" s="460">
        <f t="shared" si="958"/>
        <v>0</v>
      </c>
      <c r="AG288" s="460">
        <f t="shared" si="959"/>
        <v>-117</v>
      </c>
      <c r="AH288" s="461">
        <v>0</v>
      </c>
      <c r="AI288" s="461">
        <v>0</v>
      </c>
      <c r="AJ288" s="461">
        <v>0</v>
      </c>
      <c r="AK288" s="461">
        <v>0</v>
      </c>
      <c r="AL288" s="674">
        <v>0</v>
      </c>
      <c r="AM288" s="461">
        <v>0</v>
      </c>
      <c r="AN288" s="461">
        <v>0</v>
      </c>
      <c r="AO288" s="461">
        <v>0</v>
      </c>
      <c r="AP288" s="461">
        <f t="shared" si="960"/>
        <v>0</v>
      </c>
      <c r="AQ288" s="461">
        <f t="shared" si="961"/>
        <v>0</v>
      </c>
      <c r="AR288" s="463">
        <f t="shared" si="962"/>
        <v>0</v>
      </c>
      <c r="AS288" s="469">
        <f t="shared" si="963"/>
        <v>3104325</v>
      </c>
      <c r="AT288" s="460">
        <f t="shared" si="964"/>
        <v>2276559</v>
      </c>
      <c r="AU288" s="460">
        <f t="shared" si="965"/>
        <v>11700</v>
      </c>
      <c r="AV288" s="460">
        <f t="shared" si="966"/>
        <v>773432</v>
      </c>
      <c r="AW288" s="460">
        <f t="shared" si="966"/>
        <v>22766</v>
      </c>
      <c r="AX288" s="460">
        <f t="shared" si="967"/>
        <v>19868</v>
      </c>
      <c r="AY288" s="461">
        <f t="shared" si="968"/>
        <v>7.35</v>
      </c>
      <c r="AZ288" s="461">
        <f t="shared" si="969"/>
        <v>0</v>
      </c>
      <c r="BA288" s="463">
        <f t="shared" si="969"/>
        <v>7.35</v>
      </c>
    </row>
    <row r="289" spans="1:53" s="229" customFormat="1" ht="12.75" customHeight="1" x14ac:dyDescent="0.2">
      <c r="A289" s="216">
        <v>51</v>
      </c>
      <c r="B289" s="217">
        <v>4465</v>
      </c>
      <c r="C289" s="217">
        <v>600074757</v>
      </c>
      <c r="D289" s="217">
        <v>46750428</v>
      </c>
      <c r="E289" s="215" t="s">
        <v>244</v>
      </c>
      <c r="F289" s="217">
        <v>3143</v>
      </c>
      <c r="G289" s="168" t="s">
        <v>616</v>
      </c>
      <c r="H289" s="234" t="s">
        <v>277</v>
      </c>
      <c r="I289" s="462">
        <f t="shared" si="948"/>
        <v>1957195</v>
      </c>
      <c r="J289" s="457">
        <v>1451925</v>
      </c>
      <c r="K289" s="457">
        <f t="shared" si="949"/>
        <v>490751</v>
      </c>
      <c r="L289" s="457">
        <f t="shared" si="950"/>
        <v>14519</v>
      </c>
      <c r="M289" s="457">
        <v>0</v>
      </c>
      <c r="N289" s="458">
        <f t="shared" si="951"/>
        <v>2.8965999999999998</v>
      </c>
      <c r="O289" s="459">
        <v>2.8965999999999998</v>
      </c>
      <c r="P289" s="468">
        <v>0</v>
      </c>
      <c r="Q289" s="470">
        <f t="shared" si="952"/>
        <v>0</v>
      </c>
      <c r="R289" s="460">
        <v>0</v>
      </c>
      <c r="S289" s="673">
        <v>0</v>
      </c>
      <c r="T289" s="460">
        <v>0</v>
      </c>
      <c r="U289" s="460">
        <v>0</v>
      </c>
      <c r="V289" s="460">
        <f t="shared" si="953"/>
        <v>0</v>
      </c>
      <c r="W289" s="460">
        <v>0</v>
      </c>
      <c r="X289" s="460">
        <v>0</v>
      </c>
      <c r="Y289" s="460">
        <v>0</v>
      </c>
      <c r="Z289" s="460">
        <f t="shared" si="954"/>
        <v>0</v>
      </c>
      <c r="AA289" s="460">
        <f t="shared" si="955"/>
        <v>0</v>
      </c>
      <c r="AB289" s="69">
        <f t="shared" si="956"/>
        <v>0</v>
      </c>
      <c r="AC289" s="69">
        <f t="shared" si="957"/>
        <v>0</v>
      </c>
      <c r="AD289" s="460">
        <v>0</v>
      </c>
      <c r="AE289" s="460">
        <v>0</v>
      </c>
      <c r="AF289" s="460">
        <f t="shared" si="958"/>
        <v>0</v>
      </c>
      <c r="AG289" s="460">
        <f t="shared" si="959"/>
        <v>0</v>
      </c>
      <c r="AH289" s="461">
        <v>0</v>
      </c>
      <c r="AI289" s="461">
        <v>0</v>
      </c>
      <c r="AJ289" s="461">
        <v>0</v>
      </c>
      <c r="AK289" s="461">
        <v>0</v>
      </c>
      <c r="AL289" s="674">
        <v>0</v>
      </c>
      <c r="AM289" s="461">
        <v>0</v>
      </c>
      <c r="AN289" s="461">
        <v>0</v>
      </c>
      <c r="AO289" s="461">
        <v>0</v>
      </c>
      <c r="AP289" s="461">
        <f t="shared" si="960"/>
        <v>0</v>
      </c>
      <c r="AQ289" s="461">
        <f t="shared" si="961"/>
        <v>0</v>
      </c>
      <c r="AR289" s="463">
        <f t="shared" si="962"/>
        <v>0</v>
      </c>
      <c r="AS289" s="469">
        <f t="shared" si="963"/>
        <v>1957195</v>
      </c>
      <c r="AT289" s="460">
        <f t="shared" si="964"/>
        <v>1451925</v>
      </c>
      <c r="AU289" s="460">
        <f t="shared" si="965"/>
        <v>0</v>
      </c>
      <c r="AV289" s="460">
        <f t="shared" si="966"/>
        <v>490751</v>
      </c>
      <c r="AW289" s="460">
        <f t="shared" si="966"/>
        <v>14519</v>
      </c>
      <c r="AX289" s="460">
        <f t="shared" si="967"/>
        <v>0</v>
      </c>
      <c r="AY289" s="461">
        <f t="shared" si="968"/>
        <v>2.8965999999999998</v>
      </c>
      <c r="AZ289" s="461">
        <f t="shared" si="969"/>
        <v>2.8965999999999998</v>
      </c>
      <c r="BA289" s="463">
        <f t="shared" si="969"/>
        <v>0</v>
      </c>
    </row>
    <row r="290" spans="1:53" s="229" customFormat="1" ht="12.75" customHeight="1" x14ac:dyDescent="0.2">
      <c r="A290" s="216">
        <v>51</v>
      </c>
      <c r="B290" s="217">
        <v>4465</v>
      </c>
      <c r="C290" s="217">
        <v>600074757</v>
      </c>
      <c r="D290" s="217">
        <v>46750428</v>
      </c>
      <c r="E290" s="215" t="s">
        <v>244</v>
      </c>
      <c r="F290" s="217">
        <v>3143</v>
      </c>
      <c r="G290" s="168" t="s">
        <v>617</v>
      </c>
      <c r="H290" s="234" t="s">
        <v>278</v>
      </c>
      <c r="I290" s="462">
        <f t="shared" si="948"/>
        <v>65969</v>
      </c>
      <c r="J290" s="457">
        <v>47136</v>
      </c>
      <c r="K290" s="457">
        <f t="shared" si="949"/>
        <v>15932</v>
      </c>
      <c r="L290" s="457">
        <f t="shared" si="950"/>
        <v>471</v>
      </c>
      <c r="M290" s="457">
        <v>2430</v>
      </c>
      <c r="N290" s="458">
        <f t="shared" si="951"/>
        <v>0.19</v>
      </c>
      <c r="O290" s="459">
        <v>0</v>
      </c>
      <c r="P290" s="468">
        <v>0.19</v>
      </c>
      <c r="Q290" s="470">
        <f t="shared" si="952"/>
        <v>0</v>
      </c>
      <c r="R290" s="460">
        <v>0</v>
      </c>
      <c r="S290" s="673">
        <v>0</v>
      </c>
      <c r="T290" s="460">
        <v>0</v>
      </c>
      <c r="U290" s="460">
        <v>0</v>
      </c>
      <c r="V290" s="460">
        <f t="shared" si="953"/>
        <v>0</v>
      </c>
      <c r="W290" s="460">
        <v>0</v>
      </c>
      <c r="X290" s="460">
        <v>0</v>
      </c>
      <c r="Y290" s="460">
        <v>0</v>
      </c>
      <c r="Z290" s="460">
        <f t="shared" si="954"/>
        <v>0</v>
      </c>
      <c r="AA290" s="460">
        <f t="shared" si="955"/>
        <v>0</v>
      </c>
      <c r="AB290" s="69">
        <f t="shared" si="956"/>
        <v>0</v>
      </c>
      <c r="AC290" s="69">
        <f t="shared" si="957"/>
        <v>0</v>
      </c>
      <c r="AD290" s="460">
        <v>0</v>
      </c>
      <c r="AE290" s="460">
        <v>0</v>
      </c>
      <c r="AF290" s="460">
        <f t="shared" si="958"/>
        <v>0</v>
      </c>
      <c r="AG290" s="460">
        <f t="shared" si="959"/>
        <v>0</v>
      </c>
      <c r="AH290" s="461">
        <v>0</v>
      </c>
      <c r="AI290" s="461">
        <v>0</v>
      </c>
      <c r="AJ290" s="461">
        <v>0</v>
      </c>
      <c r="AK290" s="461">
        <v>0</v>
      </c>
      <c r="AL290" s="674">
        <v>0</v>
      </c>
      <c r="AM290" s="461">
        <v>0</v>
      </c>
      <c r="AN290" s="461">
        <v>0</v>
      </c>
      <c r="AO290" s="461">
        <v>0</v>
      </c>
      <c r="AP290" s="461">
        <f t="shared" si="960"/>
        <v>0</v>
      </c>
      <c r="AQ290" s="461">
        <f t="shared" si="961"/>
        <v>0</v>
      </c>
      <c r="AR290" s="463">
        <f t="shared" si="962"/>
        <v>0</v>
      </c>
      <c r="AS290" s="469">
        <f t="shared" si="963"/>
        <v>65969</v>
      </c>
      <c r="AT290" s="460">
        <f t="shared" si="964"/>
        <v>47136</v>
      </c>
      <c r="AU290" s="460">
        <f t="shared" si="965"/>
        <v>0</v>
      </c>
      <c r="AV290" s="460">
        <f t="shared" si="966"/>
        <v>15932</v>
      </c>
      <c r="AW290" s="460">
        <f t="shared" si="966"/>
        <v>471</v>
      </c>
      <c r="AX290" s="460">
        <f t="shared" si="967"/>
        <v>2430</v>
      </c>
      <c r="AY290" s="461">
        <f t="shared" si="968"/>
        <v>0.19</v>
      </c>
      <c r="AZ290" s="461">
        <f t="shared" si="969"/>
        <v>0</v>
      </c>
      <c r="BA290" s="463">
        <f t="shared" si="969"/>
        <v>0.19</v>
      </c>
    </row>
    <row r="291" spans="1:53" s="229" customFormat="1" ht="12.75" customHeight="1" x14ac:dyDescent="0.2">
      <c r="A291" s="158">
        <v>51</v>
      </c>
      <c r="B291" s="18">
        <v>4465</v>
      </c>
      <c r="C291" s="18">
        <v>600074757</v>
      </c>
      <c r="D291" s="18">
        <v>46750428</v>
      </c>
      <c r="E291" s="167" t="s">
        <v>245</v>
      </c>
      <c r="F291" s="18"/>
      <c r="G291" s="157"/>
      <c r="H291" s="191"/>
      <c r="I291" s="505">
        <f t="shared" ref="I291:BA291" si="970">SUM(I285:I290)</f>
        <v>37574858</v>
      </c>
      <c r="J291" s="502">
        <f t="shared" si="970"/>
        <v>27497084</v>
      </c>
      <c r="K291" s="502">
        <f t="shared" si="970"/>
        <v>9294015</v>
      </c>
      <c r="L291" s="502">
        <f t="shared" si="970"/>
        <v>274971</v>
      </c>
      <c r="M291" s="502">
        <f t="shared" si="970"/>
        <v>508788</v>
      </c>
      <c r="N291" s="503">
        <f t="shared" si="970"/>
        <v>53.562699999999992</v>
      </c>
      <c r="O291" s="503">
        <f t="shared" si="970"/>
        <v>37.302699999999994</v>
      </c>
      <c r="P291" s="507">
        <f t="shared" si="970"/>
        <v>16.260000000000002</v>
      </c>
      <c r="Q291" s="505">
        <f t="shared" si="970"/>
        <v>-109200</v>
      </c>
      <c r="R291" s="502">
        <f t="shared" si="970"/>
        <v>1135583</v>
      </c>
      <c r="S291" s="502">
        <f t="shared" si="970"/>
        <v>0</v>
      </c>
      <c r="T291" s="502">
        <f t="shared" si="970"/>
        <v>0</v>
      </c>
      <c r="U291" s="502">
        <f t="shared" si="970"/>
        <v>0</v>
      </c>
      <c r="V291" s="502">
        <f t="shared" si="970"/>
        <v>1026383</v>
      </c>
      <c r="W291" s="502">
        <f t="shared" si="970"/>
        <v>109200</v>
      </c>
      <c r="X291" s="502">
        <f t="shared" si="970"/>
        <v>0</v>
      </c>
      <c r="Y291" s="502">
        <f t="shared" si="970"/>
        <v>0</v>
      </c>
      <c r="Z291" s="502">
        <f t="shared" si="970"/>
        <v>109200</v>
      </c>
      <c r="AA291" s="502">
        <f t="shared" si="970"/>
        <v>1135583</v>
      </c>
      <c r="AB291" s="502">
        <f t="shared" si="970"/>
        <v>383827</v>
      </c>
      <c r="AC291" s="502">
        <f t="shared" si="970"/>
        <v>10264</v>
      </c>
      <c r="AD291" s="502">
        <f t="shared" si="970"/>
        <v>0</v>
      </c>
      <c r="AE291" s="502">
        <f t="shared" si="970"/>
        <v>0</v>
      </c>
      <c r="AF291" s="502">
        <f t="shared" si="970"/>
        <v>0</v>
      </c>
      <c r="AG291" s="502">
        <f t="shared" si="970"/>
        <v>1529674</v>
      </c>
      <c r="AH291" s="503">
        <f t="shared" si="970"/>
        <v>-0.17</v>
      </c>
      <c r="AI291" s="503">
        <f t="shared" si="970"/>
        <v>0</v>
      </c>
      <c r="AJ291" s="503">
        <f t="shared" si="970"/>
        <v>3.28</v>
      </c>
      <c r="AK291" s="503">
        <f t="shared" si="970"/>
        <v>0</v>
      </c>
      <c r="AL291" s="503">
        <f t="shared" si="970"/>
        <v>0</v>
      </c>
      <c r="AM291" s="503">
        <f t="shared" si="970"/>
        <v>0</v>
      </c>
      <c r="AN291" s="503">
        <f t="shared" si="970"/>
        <v>0</v>
      </c>
      <c r="AO291" s="503">
        <f t="shared" si="970"/>
        <v>0</v>
      </c>
      <c r="AP291" s="503">
        <f t="shared" si="970"/>
        <v>3.11</v>
      </c>
      <c r="AQ291" s="503">
        <f t="shared" si="970"/>
        <v>0</v>
      </c>
      <c r="AR291" s="40">
        <f t="shared" si="970"/>
        <v>3.11</v>
      </c>
      <c r="AS291" s="509">
        <f t="shared" si="970"/>
        <v>39104532</v>
      </c>
      <c r="AT291" s="502">
        <f t="shared" si="970"/>
        <v>28523467</v>
      </c>
      <c r="AU291" s="502">
        <f t="shared" si="970"/>
        <v>109200</v>
      </c>
      <c r="AV291" s="502">
        <f t="shared" si="970"/>
        <v>9677842</v>
      </c>
      <c r="AW291" s="502">
        <f t="shared" si="970"/>
        <v>285235</v>
      </c>
      <c r="AX291" s="502">
        <f t="shared" si="970"/>
        <v>508788</v>
      </c>
      <c r="AY291" s="503">
        <f t="shared" si="970"/>
        <v>56.672699999999992</v>
      </c>
      <c r="AZ291" s="503">
        <f t="shared" si="970"/>
        <v>40.412699999999994</v>
      </c>
      <c r="BA291" s="40">
        <f t="shared" si="970"/>
        <v>16.260000000000002</v>
      </c>
    </row>
    <row r="292" spans="1:53" s="229" customFormat="1" ht="12.75" customHeight="1" x14ac:dyDescent="0.2">
      <c r="A292" s="216">
        <v>52</v>
      </c>
      <c r="B292" s="217">
        <v>4466</v>
      </c>
      <c r="C292" s="217">
        <v>650039017</v>
      </c>
      <c r="D292" s="217">
        <v>70982074</v>
      </c>
      <c r="E292" s="215" t="s">
        <v>246</v>
      </c>
      <c r="F292" s="217">
        <v>3111</v>
      </c>
      <c r="G292" s="168" t="s">
        <v>307</v>
      </c>
      <c r="H292" s="218" t="s">
        <v>277</v>
      </c>
      <c r="I292" s="462">
        <f t="shared" ref="I292:I297" si="971">SUM(J292:M292)</f>
        <v>5926564</v>
      </c>
      <c r="J292" s="457">
        <v>4367036</v>
      </c>
      <c r="K292" s="457">
        <f t="shared" ref="K292:K297" si="972">ROUND(J292*33.8%,0)</f>
        <v>1476058</v>
      </c>
      <c r="L292" s="457">
        <f t="shared" ref="L292:L297" si="973">ROUND(J292*1%,0)</f>
        <v>43670</v>
      </c>
      <c r="M292" s="457">
        <v>39800</v>
      </c>
      <c r="N292" s="458">
        <f t="shared" ref="N292:N297" si="974">O292+P292</f>
        <v>9.3725000000000005</v>
      </c>
      <c r="O292" s="459">
        <v>7.9325000000000001</v>
      </c>
      <c r="P292" s="468">
        <v>1.44</v>
      </c>
      <c r="Q292" s="470">
        <f t="shared" ref="Q292:Q297" si="975">W292*-1</f>
        <v>0</v>
      </c>
      <c r="R292" s="460">
        <v>0</v>
      </c>
      <c r="S292" s="673">
        <v>0</v>
      </c>
      <c r="T292" s="460">
        <v>0</v>
      </c>
      <c r="U292" s="460">
        <v>0</v>
      </c>
      <c r="V292" s="460">
        <f t="shared" ref="V292:V297" si="976">SUM(Q292:U292)</f>
        <v>0</v>
      </c>
      <c r="W292" s="460">
        <v>0</v>
      </c>
      <c r="X292" s="460">
        <v>0</v>
      </c>
      <c r="Y292" s="460">
        <v>0</v>
      </c>
      <c r="Z292" s="460">
        <f t="shared" ref="Z292:Z297" si="977">SUM(W292:Y292)</f>
        <v>0</v>
      </c>
      <c r="AA292" s="460">
        <f t="shared" ref="AA292:AA297" si="978">V292+Z292</f>
        <v>0</v>
      </c>
      <c r="AB292" s="69">
        <f t="shared" ref="AB292:AB297" si="979">ROUND((V292+W292+X292)*33.8%,0)</f>
        <v>0</v>
      </c>
      <c r="AC292" s="69">
        <f t="shared" ref="AC292:AC297" si="980">ROUND(V292*1%,0)</f>
        <v>0</v>
      </c>
      <c r="AD292" s="460">
        <v>0</v>
      </c>
      <c r="AE292" s="460">
        <v>0</v>
      </c>
      <c r="AF292" s="460">
        <f t="shared" ref="AF292:AF297" si="981">SUM(AD292:AE292)</f>
        <v>0</v>
      </c>
      <c r="AG292" s="460">
        <f t="shared" ref="AG292:AG297" si="982">AA292+AB292+AC292+AF292</f>
        <v>0</v>
      </c>
      <c r="AH292" s="461">
        <v>0</v>
      </c>
      <c r="AI292" s="461">
        <v>0</v>
      </c>
      <c r="AJ292" s="461">
        <v>0</v>
      </c>
      <c r="AK292" s="461">
        <v>0</v>
      </c>
      <c r="AL292" s="674">
        <v>0</v>
      </c>
      <c r="AM292" s="461">
        <v>0</v>
      </c>
      <c r="AN292" s="461">
        <v>0</v>
      </c>
      <c r="AO292" s="461">
        <v>0</v>
      </c>
      <c r="AP292" s="461">
        <f t="shared" ref="AP292:AP297" si="983">AH292+AJ292+AK292+AM292+AN292</f>
        <v>0</v>
      </c>
      <c r="AQ292" s="461">
        <f t="shared" ref="AQ292:AQ297" si="984">AI292+AL292+AO292</f>
        <v>0</v>
      </c>
      <c r="AR292" s="463">
        <f t="shared" ref="AR292:AR297" si="985">SUM(AP292:AQ292)</f>
        <v>0</v>
      </c>
      <c r="AS292" s="469">
        <f t="shared" ref="AS292:AS297" si="986">I292+AG292</f>
        <v>5926564</v>
      </c>
      <c r="AT292" s="460">
        <f t="shared" ref="AT292:AT297" si="987">J292+V292</f>
        <v>4367036</v>
      </c>
      <c r="AU292" s="460">
        <f t="shared" ref="AU292:AU297" si="988">Z292</f>
        <v>0</v>
      </c>
      <c r="AV292" s="460">
        <f t="shared" ref="AV292:AW297" si="989">K292+AB292</f>
        <v>1476058</v>
      </c>
      <c r="AW292" s="460">
        <f t="shared" si="989"/>
        <v>43670</v>
      </c>
      <c r="AX292" s="460">
        <f t="shared" ref="AX292:AX297" si="990">M292+AF292</f>
        <v>39800</v>
      </c>
      <c r="AY292" s="461">
        <f t="shared" ref="AY292:AY297" si="991">N292+AR292</f>
        <v>9.3725000000000005</v>
      </c>
      <c r="AZ292" s="461">
        <f t="shared" ref="AZ292:BA297" si="992">O292+AP292</f>
        <v>7.9325000000000001</v>
      </c>
      <c r="BA292" s="463">
        <f t="shared" si="992"/>
        <v>1.44</v>
      </c>
    </row>
    <row r="293" spans="1:53" s="229" customFormat="1" ht="12.75" customHeight="1" x14ac:dyDescent="0.2">
      <c r="A293" s="216">
        <v>52</v>
      </c>
      <c r="B293" s="217">
        <v>4466</v>
      </c>
      <c r="C293" s="217">
        <v>650039017</v>
      </c>
      <c r="D293" s="217">
        <v>70982074</v>
      </c>
      <c r="E293" s="210" t="s">
        <v>246</v>
      </c>
      <c r="F293" s="217">
        <v>3117</v>
      </c>
      <c r="G293" s="168" t="s">
        <v>310</v>
      </c>
      <c r="H293" s="218" t="s">
        <v>277</v>
      </c>
      <c r="I293" s="462">
        <f t="shared" si="971"/>
        <v>6878679</v>
      </c>
      <c r="J293" s="457">
        <v>5004398</v>
      </c>
      <c r="K293" s="457">
        <f t="shared" si="972"/>
        <v>1691487</v>
      </c>
      <c r="L293" s="457">
        <f t="shared" si="973"/>
        <v>50044</v>
      </c>
      <c r="M293" s="457">
        <v>132750</v>
      </c>
      <c r="N293" s="458">
        <f t="shared" si="974"/>
        <v>9.5053999999999998</v>
      </c>
      <c r="O293" s="459">
        <v>6.5453999999999999</v>
      </c>
      <c r="P293" s="468">
        <v>2.96</v>
      </c>
      <c r="Q293" s="470">
        <f t="shared" si="975"/>
        <v>-6500</v>
      </c>
      <c r="R293" s="460">
        <v>0</v>
      </c>
      <c r="S293" s="673">
        <v>0</v>
      </c>
      <c r="T293" s="460">
        <v>0</v>
      </c>
      <c r="U293" s="460">
        <v>0</v>
      </c>
      <c r="V293" s="460">
        <f t="shared" si="976"/>
        <v>-6500</v>
      </c>
      <c r="W293" s="460">
        <v>6500</v>
      </c>
      <c r="X293" s="460">
        <v>0</v>
      </c>
      <c r="Y293" s="460">
        <v>0</v>
      </c>
      <c r="Z293" s="460">
        <f t="shared" si="977"/>
        <v>6500</v>
      </c>
      <c r="AA293" s="460">
        <f t="shared" si="978"/>
        <v>0</v>
      </c>
      <c r="AB293" s="69">
        <f t="shared" si="979"/>
        <v>0</v>
      </c>
      <c r="AC293" s="69">
        <f t="shared" si="980"/>
        <v>-65</v>
      </c>
      <c r="AD293" s="460">
        <v>0</v>
      </c>
      <c r="AE293" s="460">
        <v>0</v>
      </c>
      <c r="AF293" s="460">
        <f t="shared" si="981"/>
        <v>0</v>
      </c>
      <c r="AG293" s="460">
        <f t="shared" si="982"/>
        <v>-65</v>
      </c>
      <c r="AH293" s="461">
        <v>0</v>
      </c>
      <c r="AI293" s="461">
        <v>-0.02</v>
      </c>
      <c r="AJ293" s="461">
        <v>0</v>
      </c>
      <c r="AK293" s="461">
        <v>0</v>
      </c>
      <c r="AL293" s="674">
        <v>0</v>
      </c>
      <c r="AM293" s="461">
        <v>0</v>
      </c>
      <c r="AN293" s="461">
        <v>0</v>
      </c>
      <c r="AO293" s="461">
        <v>0</v>
      </c>
      <c r="AP293" s="461">
        <f t="shared" si="983"/>
        <v>0</v>
      </c>
      <c r="AQ293" s="461">
        <f t="shared" si="984"/>
        <v>-0.02</v>
      </c>
      <c r="AR293" s="463">
        <f t="shared" si="985"/>
        <v>-0.02</v>
      </c>
      <c r="AS293" s="469">
        <f t="shared" si="986"/>
        <v>6878614</v>
      </c>
      <c r="AT293" s="460">
        <f t="shared" si="987"/>
        <v>4997898</v>
      </c>
      <c r="AU293" s="460">
        <f t="shared" si="988"/>
        <v>6500</v>
      </c>
      <c r="AV293" s="460">
        <f t="shared" si="989"/>
        <v>1691487</v>
      </c>
      <c r="AW293" s="460">
        <f t="shared" si="989"/>
        <v>49979</v>
      </c>
      <c r="AX293" s="460">
        <f t="shared" si="990"/>
        <v>132750</v>
      </c>
      <c r="AY293" s="461">
        <f t="shared" si="991"/>
        <v>9.4854000000000003</v>
      </c>
      <c r="AZ293" s="461">
        <f t="shared" si="992"/>
        <v>6.5453999999999999</v>
      </c>
      <c r="BA293" s="463">
        <f t="shared" si="992"/>
        <v>2.94</v>
      </c>
    </row>
    <row r="294" spans="1:53" s="229" customFormat="1" ht="12.75" customHeight="1" x14ac:dyDescent="0.2">
      <c r="A294" s="216">
        <v>52</v>
      </c>
      <c r="B294" s="217">
        <v>4466</v>
      </c>
      <c r="C294" s="217">
        <v>650039017</v>
      </c>
      <c r="D294" s="217">
        <v>70982074</v>
      </c>
      <c r="E294" s="210" t="s">
        <v>246</v>
      </c>
      <c r="F294" s="217">
        <v>3117</v>
      </c>
      <c r="G294" s="168" t="s">
        <v>308</v>
      </c>
      <c r="H294" s="218" t="s">
        <v>278</v>
      </c>
      <c r="I294" s="462">
        <f t="shared" si="971"/>
        <v>0</v>
      </c>
      <c r="J294" s="457">
        <v>0</v>
      </c>
      <c r="K294" s="457">
        <f t="shared" si="972"/>
        <v>0</v>
      </c>
      <c r="L294" s="457">
        <f t="shared" si="973"/>
        <v>0</v>
      </c>
      <c r="M294" s="457">
        <v>0</v>
      </c>
      <c r="N294" s="458">
        <f t="shared" si="974"/>
        <v>0</v>
      </c>
      <c r="O294" s="459">
        <v>0</v>
      </c>
      <c r="P294" s="468">
        <v>0</v>
      </c>
      <c r="Q294" s="470">
        <f t="shared" si="975"/>
        <v>0</v>
      </c>
      <c r="R294" s="460">
        <v>1645621</v>
      </c>
      <c r="S294" s="673">
        <v>0</v>
      </c>
      <c r="T294" s="460">
        <v>0</v>
      </c>
      <c r="U294" s="460">
        <v>0</v>
      </c>
      <c r="V294" s="460">
        <f t="shared" si="976"/>
        <v>1645621</v>
      </c>
      <c r="W294" s="460">
        <v>0</v>
      </c>
      <c r="X294" s="460">
        <v>0</v>
      </c>
      <c r="Y294" s="460">
        <v>0</v>
      </c>
      <c r="Z294" s="460">
        <f t="shared" si="977"/>
        <v>0</v>
      </c>
      <c r="AA294" s="460">
        <f t="shared" si="978"/>
        <v>1645621</v>
      </c>
      <c r="AB294" s="69">
        <f t="shared" si="979"/>
        <v>556220</v>
      </c>
      <c r="AC294" s="69">
        <f t="shared" si="980"/>
        <v>16456</v>
      </c>
      <c r="AD294" s="460">
        <v>0</v>
      </c>
      <c r="AE294" s="460">
        <v>0</v>
      </c>
      <c r="AF294" s="460">
        <f t="shared" si="981"/>
        <v>0</v>
      </c>
      <c r="AG294" s="460">
        <f t="shared" si="982"/>
        <v>2218297</v>
      </c>
      <c r="AH294" s="461">
        <v>0</v>
      </c>
      <c r="AI294" s="461">
        <v>0</v>
      </c>
      <c r="AJ294" s="461">
        <v>4.75</v>
      </c>
      <c r="AK294" s="461">
        <v>0</v>
      </c>
      <c r="AL294" s="674">
        <v>0</v>
      </c>
      <c r="AM294" s="461">
        <v>0</v>
      </c>
      <c r="AN294" s="461">
        <v>0</v>
      </c>
      <c r="AO294" s="461">
        <v>0</v>
      </c>
      <c r="AP294" s="461">
        <f t="shared" si="983"/>
        <v>4.75</v>
      </c>
      <c r="AQ294" s="461">
        <f t="shared" si="984"/>
        <v>0</v>
      </c>
      <c r="AR294" s="463">
        <f t="shared" si="985"/>
        <v>4.75</v>
      </c>
      <c r="AS294" s="469">
        <f t="shared" si="986"/>
        <v>2218297</v>
      </c>
      <c r="AT294" s="460">
        <f t="shared" si="987"/>
        <v>1645621</v>
      </c>
      <c r="AU294" s="460">
        <f t="shared" si="988"/>
        <v>0</v>
      </c>
      <c r="AV294" s="460">
        <f t="shared" si="989"/>
        <v>556220</v>
      </c>
      <c r="AW294" s="460">
        <f t="shared" si="989"/>
        <v>16456</v>
      </c>
      <c r="AX294" s="460">
        <f t="shared" si="990"/>
        <v>0</v>
      </c>
      <c r="AY294" s="461">
        <f t="shared" si="991"/>
        <v>4.75</v>
      </c>
      <c r="AZ294" s="461">
        <f t="shared" si="992"/>
        <v>4.75</v>
      </c>
      <c r="BA294" s="463">
        <f t="shared" si="992"/>
        <v>0</v>
      </c>
    </row>
    <row r="295" spans="1:53" s="229" customFormat="1" ht="12.75" customHeight="1" x14ac:dyDescent="0.2">
      <c r="A295" s="216">
        <v>52</v>
      </c>
      <c r="B295" s="217">
        <v>4466</v>
      </c>
      <c r="C295" s="217">
        <v>650039017</v>
      </c>
      <c r="D295" s="217">
        <v>70982074</v>
      </c>
      <c r="E295" s="215" t="s">
        <v>246</v>
      </c>
      <c r="F295" s="217">
        <v>3141</v>
      </c>
      <c r="G295" s="168" t="s">
        <v>311</v>
      </c>
      <c r="H295" s="218" t="s">
        <v>278</v>
      </c>
      <c r="I295" s="462">
        <f t="shared" si="971"/>
        <v>1593306</v>
      </c>
      <c r="J295" s="457">
        <v>1175806</v>
      </c>
      <c r="K295" s="457">
        <f t="shared" si="972"/>
        <v>397422</v>
      </c>
      <c r="L295" s="457">
        <f t="shared" si="973"/>
        <v>11758</v>
      </c>
      <c r="M295" s="457">
        <v>8320</v>
      </c>
      <c r="N295" s="458">
        <f t="shared" si="974"/>
        <v>3.78</v>
      </c>
      <c r="O295" s="459">
        <v>0</v>
      </c>
      <c r="P295" s="468">
        <v>3.78</v>
      </c>
      <c r="Q295" s="470">
        <f t="shared" si="975"/>
        <v>-13000</v>
      </c>
      <c r="R295" s="460">
        <v>0</v>
      </c>
      <c r="S295" s="673">
        <v>0</v>
      </c>
      <c r="T295" s="460">
        <v>0</v>
      </c>
      <c r="U295" s="460">
        <v>0</v>
      </c>
      <c r="V295" s="460">
        <f t="shared" si="976"/>
        <v>-13000</v>
      </c>
      <c r="W295" s="460">
        <v>13000</v>
      </c>
      <c r="X295" s="460">
        <v>0</v>
      </c>
      <c r="Y295" s="460">
        <v>0</v>
      </c>
      <c r="Z295" s="460">
        <f t="shared" si="977"/>
        <v>13000</v>
      </c>
      <c r="AA295" s="460">
        <f t="shared" si="978"/>
        <v>0</v>
      </c>
      <c r="AB295" s="69">
        <f t="shared" si="979"/>
        <v>0</v>
      </c>
      <c r="AC295" s="69">
        <f t="shared" si="980"/>
        <v>-130</v>
      </c>
      <c r="AD295" s="460">
        <v>0</v>
      </c>
      <c r="AE295" s="460">
        <v>0</v>
      </c>
      <c r="AF295" s="460">
        <f t="shared" si="981"/>
        <v>0</v>
      </c>
      <c r="AG295" s="460">
        <f t="shared" si="982"/>
        <v>-130</v>
      </c>
      <c r="AH295" s="461">
        <v>0</v>
      </c>
      <c r="AI295" s="461">
        <v>0</v>
      </c>
      <c r="AJ295" s="461">
        <v>0</v>
      </c>
      <c r="AK295" s="461">
        <v>0</v>
      </c>
      <c r="AL295" s="674">
        <v>0</v>
      </c>
      <c r="AM295" s="461">
        <v>0</v>
      </c>
      <c r="AN295" s="461">
        <v>0</v>
      </c>
      <c r="AO295" s="461">
        <v>0</v>
      </c>
      <c r="AP295" s="461">
        <f t="shared" si="983"/>
        <v>0</v>
      </c>
      <c r="AQ295" s="461">
        <f t="shared" si="984"/>
        <v>0</v>
      </c>
      <c r="AR295" s="463">
        <f t="shared" si="985"/>
        <v>0</v>
      </c>
      <c r="AS295" s="469">
        <f t="shared" si="986"/>
        <v>1593176</v>
      </c>
      <c r="AT295" s="460">
        <f t="shared" si="987"/>
        <v>1162806</v>
      </c>
      <c r="AU295" s="460">
        <f t="shared" si="988"/>
        <v>13000</v>
      </c>
      <c r="AV295" s="460">
        <f t="shared" si="989"/>
        <v>397422</v>
      </c>
      <c r="AW295" s="460">
        <f t="shared" si="989"/>
        <v>11628</v>
      </c>
      <c r="AX295" s="460">
        <f t="shared" si="990"/>
        <v>8320</v>
      </c>
      <c r="AY295" s="461">
        <f t="shared" si="991"/>
        <v>3.78</v>
      </c>
      <c r="AZ295" s="461">
        <f t="shared" si="992"/>
        <v>0</v>
      </c>
      <c r="BA295" s="463">
        <f t="shared" si="992"/>
        <v>3.78</v>
      </c>
    </row>
    <row r="296" spans="1:53" s="229" customFormat="1" ht="12.75" customHeight="1" x14ac:dyDescent="0.2">
      <c r="A296" s="216">
        <v>52</v>
      </c>
      <c r="B296" s="217">
        <v>4466</v>
      </c>
      <c r="C296" s="217">
        <v>650039017</v>
      </c>
      <c r="D296" s="217">
        <v>70982074</v>
      </c>
      <c r="E296" s="215" t="s">
        <v>246</v>
      </c>
      <c r="F296" s="217">
        <v>3143</v>
      </c>
      <c r="G296" s="168" t="s">
        <v>616</v>
      </c>
      <c r="H296" s="234" t="s">
        <v>277</v>
      </c>
      <c r="I296" s="462">
        <f t="shared" si="971"/>
        <v>867937</v>
      </c>
      <c r="J296" s="457">
        <v>643870</v>
      </c>
      <c r="K296" s="457">
        <f t="shared" si="972"/>
        <v>217628</v>
      </c>
      <c r="L296" s="457">
        <f t="shared" si="973"/>
        <v>6439</v>
      </c>
      <c r="M296" s="457">
        <v>0</v>
      </c>
      <c r="N296" s="458">
        <f t="shared" si="974"/>
        <v>1.4</v>
      </c>
      <c r="O296" s="459">
        <v>1.4</v>
      </c>
      <c r="P296" s="468">
        <v>0</v>
      </c>
      <c r="Q296" s="470">
        <f t="shared" si="975"/>
        <v>-13000</v>
      </c>
      <c r="R296" s="460">
        <v>0</v>
      </c>
      <c r="S296" s="673">
        <v>0</v>
      </c>
      <c r="T296" s="460">
        <v>0</v>
      </c>
      <c r="U296" s="460">
        <v>0</v>
      </c>
      <c r="V296" s="460">
        <f t="shared" si="976"/>
        <v>-13000</v>
      </c>
      <c r="W296" s="460">
        <v>13000</v>
      </c>
      <c r="X296" s="460">
        <v>0</v>
      </c>
      <c r="Y296" s="460">
        <v>0</v>
      </c>
      <c r="Z296" s="460">
        <f t="shared" si="977"/>
        <v>13000</v>
      </c>
      <c r="AA296" s="460">
        <f t="shared" si="978"/>
        <v>0</v>
      </c>
      <c r="AB296" s="69">
        <f t="shared" si="979"/>
        <v>0</v>
      </c>
      <c r="AC296" s="69">
        <f t="shared" si="980"/>
        <v>-130</v>
      </c>
      <c r="AD296" s="460">
        <v>0</v>
      </c>
      <c r="AE296" s="460">
        <v>0</v>
      </c>
      <c r="AF296" s="460">
        <f t="shared" si="981"/>
        <v>0</v>
      </c>
      <c r="AG296" s="460">
        <f t="shared" si="982"/>
        <v>-130</v>
      </c>
      <c r="AH296" s="461">
        <v>0</v>
      </c>
      <c r="AI296" s="461">
        <v>0</v>
      </c>
      <c r="AJ296" s="461">
        <v>0</v>
      </c>
      <c r="AK296" s="461">
        <v>0</v>
      </c>
      <c r="AL296" s="674">
        <v>0</v>
      </c>
      <c r="AM296" s="461">
        <v>0</v>
      </c>
      <c r="AN296" s="461">
        <v>0</v>
      </c>
      <c r="AO296" s="461">
        <v>0</v>
      </c>
      <c r="AP296" s="461">
        <f t="shared" si="983"/>
        <v>0</v>
      </c>
      <c r="AQ296" s="461">
        <f t="shared" si="984"/>
        <v>0</v>
      </c>
      <c r="AR296" s="463">
        <f t="shared" si="985"/>
        <v>0</v>
      </c>
      <c r="AS296" s="469">
        <f t="shared" si="986"/>
        <v>867807</v>
      </c>
      <c r="AT296" s="460">
        <f t="shared" si="987"/>
        <v>630870</v>
      </c>
      <c r="AU296" s="460">
        <f t="shared" si="988"/>
        <v>13000</v>
      </c>
      <c r="AV296" s="460">
        <f t="shared" si="989"/>
        <v>217628</v>
      </c>
      <c r="AW296" s="460">
        <f t="shared" si="989"/>
        <v>6309</v>
      </c>
      <c r="AX296" s="460">
        <f t="shared" si="990"/>
        <v>0</v>
      </c>
      <c r="AY296" s="461">
        <f t="shared" si="991"/>
        <v>1.4</v>
      </c>
      <c r="AZ296" s="461">
        <f t="shared" si="992"/>
        <v>1.4</v>
      </c>
      <c r="BA296" s="463">
        <f t="shared" si="992"/>
        <v>0</v>
      </c>
    </row>
    <row r="297" spans="1:53" s="229" customFormat="1" ht="12.75" customHeight="1" x14ac:dyDescent="0.2">
      <c r="A297" s="216">
        <v>52</v>
      </c>
      <c r="B297" s="217">
        <v>4466</v>
      </c>
      <c r="C297" s="217">
        <v>650039017</v>
      </c>
      <c r="D297" s="217">
        <v>70982074</v>
      </c>
      <c r="E297" s="215" t="s">
        <v>246</v>
      </c>
      <c r="F297" s="217">
        <v>3143</v>
      </c>
      <c r="G297" s="168" t="s">
        <v>617</v>
      </c>
      <c r="H297" s="234" t="s">
        <v>278</v>
      </c>
      <c r="I297" s="462">
        <f t="shared" si="971"/>
        <v>36650</v>
      </c>
      <c r="J297" s="457">
        <v>26187</v>
      </c>
      <c r="K297" s="457">
        <f t="shared" si="972"/>
        <v>8851</v>
      </c>
      <c r="L297" s="457">
        <f t="shared" si="973"/>
        <v>262</v>
      </c>
      <c r="M297" s="457">
        <v>1350</v>
      </c>
      <c r="N297" s="458">
        <f t="shared" si="974"/>
        <v>0.1</v>
      </c>
      <c r="O297" s="459">
        <v>0</v>
      </c>
      <c r="P297" s="468">
        <v>0.1</v>
      </c>
      <c r="Q297" s="470">
        <f t="shared" si="975"/>
        <v>0</v>
      </c>
      <c r="R297" s="460">
        <v>0</v>
      </c>
      <c r="S297" s="673">
        <v>0</v>
      </c>
      <c r="T297" s="460">
        <v>0</v>
      </c>
      <c r="U297" s="460">
        <v>0</v>
      </c>
      <c r="V297" s="460">
        <f t="shared" si="976"/>
        <v>0</v>
      </c>
      <c r="W297" s="460">
        <v>0</v>
      </c>
      <c r="X297" s="460">
        <v>0</v>
      </c>
      <c r="Y297" s="460">
        <v>0</v>
      </c>
      <c r="Z297" s="460">
        <f t="shared" si="977"/>
        <v>0</v>
      </c>
      <c r="AA297" s="460">
        <f t="shared" si="978"/>
        <v>0</v>
      </c>
      <c r="AB297" s="69">
        <f t="shared" si="979"/>
        <v>0</v>
      </c>
      <c r="AC297" s="69">
        <f t="shared" si="980"/>
        <v>0</v>
      </c>
      <c r="AD297" s="460">
        <v>0</v>
      </c>
      <c r="AE297" s="460">
        <v>0</v>
      </c>
      <c r="AF297" s="460">
        <f t="shared" si="981"/>
        <v>0</v>
      </c>
      <c r="AG297" s="460">
        <f t="shared" si="982"/>
        <v>0</v>
      </c>
      <c r="AH297" s="461">
        <v>0</v>
      </c>
      <c r="AI297" s="461">
        <v>0</v>
      </c>
      <c r="AJ297" s="461">
        <v>0</v>
      </c>
      <c r="AK297" s="461">
        <v>0</v>
      </c>
      <c r="AL297" s="674">
        <v>0</v>
      </c>
      <c r="AM297" s="461">
        <v>0</v>
      </c>
      <c r="AN297" s="461">
        <v>0</v>
      </c>
      <c r="AO297" s="461">
        <v>0</v>
      </c>
      <c r="AP297" s="461">
        <f t="shared" si="983"/>
        <v>0</v>
      </c>
      <c r="AQ297" s="461">
        <f t="shared" si="984"/>
        <v>0</v>
      </c>
      <c r="AR297" s="463">
        <f t="shared" si="985"/>
        <v>0</v>
      </c>
      <c r="AS297" s="469">
        <f t="shared" si="986"/>
        <v>36650</v>
      </c>
      <c r="AT297" s="460">
        <f t="shared" si="987"/>
        <v>26187</v>
      </c>
      <c r="AU297" s="460">
        <f t="shared" si="988"/>
        <v>0</v>
      </c>
      <c r="AV297" s="460">
        <f t="shared" si="989"/>
        <v>8851</v>
      </c>
      <c r="AW297" s="460">
        <f t="shared" si="989"/>
        <v>262</v>
      </c>
      <c r="AX297" s="460">
        <f t="shared" si="990"/>
        <v>1350</v>
      </c>
      <c r="AY297" s="461">
        <f t="shared" si="991"/>
        <v>0.1</v>
      </c>
      <c r="AZ297" s="461">
        <f t="shared" si="992"/>
        <v>0</v>
      </c>
      <c r="BA297" s="463">
        <f t="shared" si="992"/>
        <v>0.1</v>
      </c>
    </row>
    <row r="298" spans="1:53" s="229" customFormat="1" ht="12.75" customHeight="1" x14ac:dyDescent="0.2">
      <c r="A298" s="158">
        <v>52</v>
      </c>
      <c r="B298" s="18">
        <v>4466</v>
      </c>
      <c r="C298" s="18">
        <v>650039017</v>
      </c>
      <c r="D298" s="18">
        <v>70982074</v>
      </c>
      <c r="E298" s="167" t="s">
        <v>247</v>
      </c>
      <c r="F298" s="18"/>
      <c r="G298" s="157"/>
      <c r="H298" s="191"/>
      <c r="I298" s="505">
        <f t="shared" ref="I298:BA298" si="993">SUM(I292:I297)</f>
        <v>15303136</v>
      </c>
      <c r="J298" s="502">
        <f t="shared" si="993"/>
        <v>11217297</v>
      </c>
      <c r="K298" s="502">
        <f t="shared" si="993"/>
        <v>3791446</v>
      </c>
      <c r="L298" s="502">
        <f t="shared" si="993"/>
        <v>112173</v>
      </c>
      <c r="M298" s="502">
        <f t="shared" si="993"/>
        <v>182220</v>
      </c>
      <c r="N298" s="503">
        <f t="shared" si="993"/>
        <v>24.157900000000001</v>
      </c>
      <c r="O298" s="503">
        <f t="shared" si="993"/>
        <v>15.8779</v>
      </c>
      <c r="P298" s="507">
        <f t="shared" si="993"/>
        <v>8.2799999999999994</v>
      </c>
      <c r="Q298" s="505">
        <f t="shared" si="993"/>
        <v>-32500</v>
      </c>
      <c r="R298" s="502">
        <f t="shared" si="993"/>
        <v>1645621</v>
      </c>
      <c r="S298" s="502">
        <f t="shared" si="993"/>
        <v>0</v>
      </c>
      <c r="T298" s="502">
        <f t="shared" si="993"/>
        <v>0</v>
      </c>
      <c r="U298" s="502">
        <f t="shared" si="993"/>
        <v>0</v>
      </c>
      <c r="V298" s="502">
        <f t="shared" si="993"/>
        <v>1613121</v>
      </c>
      <c r="W298" s="502">
        <f t="shared" si="993"/>
        <v>32500</v>
      </c>
      <c r="X298" s="502">
        <f t="shared" si="993"/>
        <v>0</v>
      </c>
      <c r="Y298" s="502">
        <f t="shared" si="993"/>
        <v>0</v>
      </c>
      <c r="Z298" s="502">
        <f t="shared" si="993"/>
        <v>32500</v>
      </c>
      <c r="AA298" s="502">
        <f t="shared" si="993"/>
        <v>1645621</v>
      </c>
      <c r="AB298" s="502">
        <f t="shared" si="993"/>
        <v>556220</v>
      </c>
      <c r="AC298" s="502">
        <f t="shared" si="993"/>
        <v>16131</v>
      </c>
      <c r="AD298" s="502">
        <f t="shared" si="993"/>
        <v>0</v>
      </c>
      <c r="AE298" s="502">
        <f t="shared" si="993"/>
        <v>0</v>
      </c>
      <c r="AF298" s="502">
        <f t="shared" si="993"/>
        <v>0</v>
      </c>
      <c r="AG298" s="502">
        <f t="shared" si="993"/>
        <v>2217972</v>
      </c>
      <c r="AH298" s="503">
        <f t="shared" si="993"/>
        <v>0</v>
      </c>
      <c r="AI298" s="503">
        <f t="shared" si="993"/>
        <v>-0.02</v>
      </c>
      <c r="AJ298" s="503">
        <f t="shared" si="993"/>
        <v>4.75</v>
      </c>
      <c r="AK298" s="503">
        <f t="shared" si="993"/>
        <v>0</v>
      </c>
      <c r="AL298" s="503">
        <f t="shared" si="993"/>
        <v>0</v>
      </c>
      <c r="AM298" s="503">
        <f t="shared" si="993"/>
        <v>0</v>
      </c>
      <c r="AN298" s="503">
        <f t="shared" si="993"/>
        <v>0</v>
      </c>
      <c r="AO298" s="503">
        <f t="shared" si="993"/>
        <v>0</v>
      </c>
      <c r="AP298" s="503">
        <f t="shared" si="993"/>
        <v>4.75</v>
      </c>
      <c r="AQ298" s="503">
        <f t="shared" si="993"/>
        <v>-0.02</v>
      </c>
      <c r="AR298" s="40">
        <f t="shared" si="993"/>
        <v>4.7300000000000004</v>
      </c>
      <c r="AS298" s="509">
        <f t="shared" si="993"/>
        <v>17521108</v>
      </c>
      <c r="AT298" s="502">
        <f t="shared" si="993"/>
        <v>12830418</v>
      </c>
      <c r="AU298" s="502">
        <f t="shared" si="993"/>
        <v>32500</v>
      </c>
      <c r="AV298" s="502">
        <f t="shared" si="993"/>
        <v>4347666</v>
      </c>
      <c r="AW298" s="502">
        <f t="shared" si="993"/>
        <v>128304</v>
      </c>
      <c r="AX298" s="502">
        <f t="shared" si="993"/>
        <v>182220</v>
      </c>
      <c r="AY298" s="503">
        <f t="shared" si="993"/>
        <v>28.887900000000002</v>
      </c>
      <c r="AZ298" s="503">
        <f t="shared" si="993"/>
        <v>20.627899999999997</v>
      </c>
      <c r="BA298" s="40">
        <f t="shared" si="993"/>
        <v>8.26</v>
      </c>
    </row>
    <row r="299" spans="1:53" s="229" customFormat="1" x14ac:dyDescent="0.2">
      <c r="A299" s="216">
        <v>53</v>
      </c>
      <c r="B299" s="217">
        <v>4470</v>
      </c>
      <c r="C299" s="217">
        <v>600075109</v>
      </c>
      <c r="D299" s="217">
        <v>70982112</v>
      </c>
      <c r="E299" s="215" t="s">
        <v>248</v>
      </c>
      <c r="F299" s="217">
        <v>3231</v>
      </c>
      <c r="G299" s="168" t="s">
        <v>312</v>
      </c>
      <c r="H299" s="218" t="s">
        <v>277</v>
      </c>
      <c r="I299" s="462">
        <f t="shared" ref="I299" si="994">SUM(J299:M299)</f>
        <v>9180701</v>
      </c>
      <c r="J299" s="457">
        <v>6791525</v>
      </c>
      <c r="K299" s="457">
        <f t="shared" ref="K299" si="995">ROUND(J299*33.8%,0)</f>
        <v>2295535</v>
      </c>
      <c r="L299" s="457">
        <f>ROUND(J299*1%,0)</f>
        <v>67915</v>
      </c>
      <c r="M299" s="457">
        <v>25726</v>
      </c>
      <c r="N299" s="458">
        <f t="shared" ref="N299" si="996">O299+P299</f>
        <v>11.9009</v>
      </c>
      <c r="O299" s="459">
        <v>10.7811</v>
      </c>
      <c r="P299" s="468">
        <v>1.1197999999999999</v>
      </c>
      <c r="Q299" s="470">
        <f t="shared" ref="Q299" si="997">W299*-1</f>
        <v>-21710</v>
      </c>
      <c r="R299" s="460">
        <v>0</v>
      </c>
      <c r="S299" s="673">
        <v>0</v>
      </c>
      <c r="T299" s="460">
        <v>0</v>
      </c>
      <c r="U299" s="460">
        <v>0</v>
      </c>
      <c r="V299" s="460">
        <f>SUM(Q299:U299)</f>
        <v>-21710</v>
      </c>
      <c r="W299" s="460">
        <v>21710</v>
      </c>
      <c r="X299" s="460">
        <v>0</v>
      </c>
      <c r="Y299" s="460">
        <v>0</v>
      </c>
      <c r="Z299" s="460">
        <f t="shared" ref="Z299" si="998">SUM(W299:Y299)</f>
        <v>21710</v>
      </c>
      <c r="AA299" s="460">
        <f t="shared" ref="AA299" si="999">V299+Z299</f>
        <v>0</v>
      </c>
      <c r="AB299" s="69">
        <f t="shared" ref="AB299" si="1000">ROUND((V299+W299+X299)*33.8%,0)</f>
        <v>0</v>
      </c>
      <c r="AC299" s="69">
        <f>ROUND(V299*1%,0)</f>
        <v>-217</v>
      </c>
      <c r="AD299" s="460">
        <v>0</v>
      </c>
      <c r="AE299" s="460">
        <v>0</v>
      </c>
      <c r="AF299" s="460">
        <f t="shared" ref="AF299" si="1001">SUM(AD299:AE299)</f>
        <v>0</v>
      </c>
      <c r="AG299" s="460">
        <f t="shared" ref="AG299" si="1002">AA299+AB299+AC299+AF299</f>
        <v>-217</v>
      </c>
      <c r="AH299" s="461">
        <v>-0.04</v>
      </c>
      <c r="AI299" s="461">
        <v>0</v>
      </c>
      <c r="AJ299" s="461">
        <v>0</v>
      </c>
      <c r="AK299" s="461">
        <v>0</v>
      </c>
      <c r="AL299" s="674">
        <v>0</v>
      </c>
      <c r="AM299" s="461">
        <v>0</v>
      </c>
      <c r="AN299" s="461">
        <v>0</v>
      </c>
      <c r="AO299" s="461">
        <v>0</v>
      </c>
      <c r="AP299" s="461">
        <f>AH299+AJ299+AK299+AM299+AN299</f>
        <v>-0.04</v>
      </c>
      <c r="AQ299" s="461">
        <f>AI299+AL299+AO299</f>
        <v>0</v>
      </c>
      <c r="AR299" s="463">
        <f t="shared" ref="AR299" si="1003">SUM(AP299:AQ299)</f>
        <v>-0.04</v>
      </c>
      <c r="AS299" s="469">
        <f>I299+AG299</f>
        <v>9180484</v>
      </c>
      <c r="AT299" s="460">
        <f>J299+V299</f>
        <v>6769815</v>
      </c>
      <c r="AU299" s="460">
        <f>Z299</f>
        <v>21710</v>
      </c>
      <c r="AV299" s="460">
        <f>K299+AB299</f>
        <v>2295535</v>
      </c>
      <c r="AW299" s="460">
        <f>L299+AC299</f>
        <v>67698</v>
      </c>
      <c r="AX299" s="460">
        <f>M299+AF299</f>
        <v>25726</v>
      </c>
      <c r="AY299" s="461">
        <f>N299+AR299</f>
        <v>11.860900000000001</v>
      </c>
      <c r="AZ299" s="461">
        <f>O299+AP299</f>
        <v>10.741100000000001</v>
      </c>
      <c r="BA299" s="463">
        <f>P299+AQ299</f>
        <v>1.1197999999999999</v>
      </c>
    </row>
    <row r="300" spans="1:53" s="229" customFormat="1" ht="13.5" thickBot="1" x14ac:dyDescent="0.25">
      <c r="A300" s="162">
        <v>53</v>
      </c>
      <c r="B300" s="33">
        <v>4470</v>
      </c>
      <c r="C300" s="33">
        <v>600075109</v>
      </c>
      <c r="D300" s="33">
        <v>70982112</v>
      </c>
      <c r="E300" s="243" t="s">
        <v>249</v>
      </c>
      <c r="F300" s="33"/>
      <c r="G300" s="163"/>
      <c r="H300" s="244"/>
      <c r="I300" s="522">
        <f t="shared" ref="I300:BA300" si="1004">SUM(I299)</f>
        <v>9180701</v>
      </c>
      <c r="J300" s="523">
        <f t="shared" si="1004"/>
        <v>6791525</v>
      </c>
      <c r="K300" s="523">
        <f t="shared" si="1004"/>
        <v>2295535</v>
      </c>
      <c r="L300" s="523">
        <f t="shared" si="1004"/>
        <v>67915</v>
      </c>
      <c r="M300" s="523">
        <f t="shared" si="1004"/>
        <v>25726</v>
      </c>
      <c r="N300" s="524">
        <f t="shared" si="1004"/>
        <v>11.9009</v>
      </c>
      <c r="O300" s="524">
        <f t="shared" si="1004"/>
        <v>10.7811</v>
      </c>
      <c r="P300" s="525">
        <f t="shared" si="1004"/>
        <v>1.1197999999999999</v>
      </c>
      <c r="Q300" s="656">
        <f t="shared" si="1004"/>
        <v>-21710</v>
      </c>
      <c r="R300" s="657">
        <f t="shared" si="1004"/>
        <v>0</v>
      </c>
      <c r="S300" s="657">
        <f t="shared" si="1004"/>
        <v>0</v>
      </c>
      <c r="T300" s="657">
        <f t="shared" si="1004"/>
        <v>0</v>
      </c>
      <c r="U300" s="657">
        <f t="shared" si="1004"/>
        <v>0</v>
      </c>
      <c r="V300" s="657">
        <f t="shared" si="1004"/>
        <v>-21710</v>
      </c>
      <c r="W300" s="657">
        <f t="shared" si="1004"/>
        <v>21710</v>
      </c>
      <c r="X300" s="657">
        <f t="shared" si="1004"/>
        <v>0</v>
      </c>
      <c r="Y300" s="657">
        <f t="shared" si="1004"/>
        <v>0</v>
      </c>
      <c r="Z300" s="657">
        <f t="shared" si="1004"/>
        <v>21710</v>
      </c>
      <c r="AA300" s="657">
        <f t="shared" si="1004"/>
        <v>0</v>
      </c>
      <c r="AB300" s="657">
        <f t="shared" si="1004"/>
        <v>0</v>
      </c>
      <c r="AC300" s="657">
        <f t="shared" si="1004"/>
        <v>-217</v>
      </c>
      <c r="AD300" s="657">
        <f t="shared" si="1004"/>
        <v>0</v>
      </c>
      <c r="AE300" s="657">
        <f t="shared" si="1004"/>
        <v>0</v>
      </c>
      <c r="AF300" s="657">
        <f t="shared" si="1004"/>
        <v>0</v>
      </c>
      <c r="AG300" s="657">
        <f t="shared" si="1004"/>
        <v>-217</v>
      </c>
      <c r="AH300" s="658">
        <f t="shared" si="1004"/>
        <v>-0.04</v>
      </c>
      <c r="AI300" s="658">
        <f t="shared" si="1004"/>
        <v>0</v>
      </c>
      <c r="AJ300" s="658">
        <f t="shared" si="1004"/>
        <v>0</v>
      </c>
      <c r="AK300" s="658">
        <f t="shared" si="1004"/>
        <v>0</v>
      </c>
      <c r="AL300" s="658">
        <f t="shared" si="1004"/>
        <v>0</v>
      </c>
      <c r="AM300" s="658">
        <f t="shared" si="1004"/>
        <v>0</v>
      </c>
      <c r="AN300" s="658">
        <f t="shared" si="1004"/>
        <v>0</v>
      </c>
      <c r="AO300" s="658">
        <f t="shared" si="1004"/>
        <v>0</v>
      </c>
      <c r="AP300" s="658">
        <f t="shared" si="1004"/>
        <v>-0.04</v>
      </c>
      <c r="AQ300" s="658">
        <f t="shared" si="1004"/>
        <v>0</v>
      </c>
      <c r="AR300" s="659">
        <f t="shared" si="1004"/>
        <v>-0.04</v>
      </c>
      <c r="AS300" s="527">
        <f t="shared" si="1004"/>
        <v>9180484</v>
      </c>
      <c r="AT300" s="523">
        <f t="shared" si="1004"/>
        <v>6769815</v>
      </c>
      <c r="AU300" s="523">
        <f t="shared" si="1004"/>
        <v>21710</v>
      </c>
      <c r="AV300" s="523">
        <f t="shared" si="1004"/>
        <v>2295535</v>
      </c>
      <c r="AW300" s="523">
        <f t="shared" si="1004"/>
        <v>67698</v>
      </c>
      <c r="AX300" s="523">
        <f t="shared" si="1004"/>
        <v>25726</v>
      </c>
      <c r="AY300" s="524">
        <f t="shared" si="1004"/>
        <v>11.860900000000001</v>
      </c>
      <c r="AZ300" s="524">
        <f t="shared" si="1004"/>
        <v>10.741100000000001</v>
      </c>
      <c r="BA300" s="526">
        <f t="shared" si="1004"/>
        <v>1.1197999999999999</v>
      </c>
    </row>
    <row r="301" spans="1:53" s="229" customFormat="1" ht="13.5" thickBot="1" x14ac:dyDescent="0.25">
      <c r="A301" s="164"/>
      <c r="B301" s="30"/>
      <c r="C301" s="30"/>
      <c r="D301" s="30"/>
      <c r="E301" s="86" t="s">
        <v>777</v>
      </c>
      <c r="F301" s="30"/>
      <c r="G301" s="165"/>
      <c r="H301" s="192"/>
      <c r="I301" s="528">
        <f>I13+I17+I22+I27+I31+I35+I39+I43+I45+I52+I58+I65+I72+I78+I85+I91+I97+I108+I110+I114+I121+I125+I131+I138+I145+I147+I151+I158+I165+I172+I179+I185+I189+I196+I200+I206+I215+I222+I224+I228+I235+I242+I246+I253+I256+I263+I270+I277+I284+I291+I298+I300</f>
        <v>963399874</v>
      </c>
      <c r="J301" s="529">
        <f t="shared" ref="J301:V301" si="1005">J13+J17+J22+J27+J31+J35+J39+J43+J45+J52+J58+J65+J72+J78+J85+J91+J97+J108+J110+J114+J121+J125+J131+J138+J145+J147+J151+J158+J165+J172+J179+J185+J189+J196+J200+J206+J215+J222+J224+J228+J235+J242+J246+J253+J256+J263+J270+J277+J284+J291+J298+J300</f>
        <v>706176495</v>
      </c>
      <c r="K301" s="529">
        <f t="shared" si="1005"/>
        <v>238687661</v>
      </c>
      <c r="L301" s="529">
        <f t="shared" si="1005"/>
        <v>7061765</v>
      </c>
      <c r="M301" s="529">
        <f t="shared" si="1005"/>
        <v>11473953</v>
      </c>
      <c r="N301" s="530">
        <f t="shared" si="1005"/>
        <v>1369.6185999999996</v>
      </c>
      <c r="O301" s="530">
        <f t="shared" si="1005"/>
        <v>979.26670000000013</v>
      </c>
      <c r="P301" s="742">
        <f t="shared" si="1005"/>
        <v>390.3519</v>
      </c>
      <c r="Q301" s="743">
        <f>Q13+Q17+Q22+Q27+Q31+Q35+Q39+Q43+Q45+Q52+Q58+Q65+Q72+Q78+Q85+Q91+Q97+Q108+Q110+Q114+Q121+Q125+Q131+Q138+Q145+Q147+Q151+Q158+Q165+Q172+Q179+Q185+Q189+Q196+Q200+Q206+Q215+Q222+Q224+Q228+Q235+Q242+Q246+Q253+Q256+Q263+Q270+Q277+Q284+Q291+Q298+Q300</f>
        <v>-2398767</v>
      </c>
      <c r="R301" s="529">
        <f t="shared" si="1005"/>
        <v>52476010</v>
      </c>
      <c r="S301" s="660">
        <f t="shared" si="1005"/>
        <v>0</v>
      </c>
      <c r="T301" s="660">
        <f t="shared" si="1005"/>
        <v>719897</v>
      </c>
      <c r="U301" s="660">
        <f t="shared" si="1005"/>
        <v>25777</v>
      </c>
      <c r="V301" s="660">
        <f t="shared" si="1005"/>
        <v>50822917</v>
      </c>
      <c r="W301" s="660">
        <f>W13+W17+W22+W27+W31+W35+W39+W43+W45+W52+W58+W65+W72+W78+W85+W91+W97+W108+W110+W114+W121+W125+W131+W138+W145+W147+W151+W158+W165+W172+W179+W185+W189+W196+W200+W206+W215+W222+W224+W228+W235+W242+W246+W253+W256+W263+W270++W277+W284+W291+W298+W300</f>
        <v>2398767</v>
      </c>
      <c r="X301" s="660">
        <f>X13+X17+X22+X27+X31+X35+X39+X43+X45+X52+X58+X65+X72+X78+X85+X91+X97+X108+X110+X114+X121+X125+X131+X138+X145+X147+X151+X158+X165+X172+X179+X185+X189+X196+X200+X206+X215+X222+X224+X228+X235+X242+X246+X253+X256+X263+X270+X277+X284+X291+X298+X300</f>
        <v>123800</v>
      </c>
      <c r="Y301" s="660">
        <f t="shared" ref="Y301:AG301" si="1006">Y13+Y17+Y22+Y27+Y31+Y35+Y39+Y43+Y45+Y52+Y58+Y65+Y72+Y78+Y85+Y91+Y97+Y108+Y110+Y114+Y121+Y125+Y131+Y138+Y145+Y147+Y151+Y158+Y165+Y172+Y179+Y185+Y189+Y196+Y200+Y206+Y215+Y222+Y224+Y228+Y235+Y242+Y246+Y253+Y256+Y263+Y270+Y277+Y284+Y291+Y298+Y300</f>
        <v>118449</v>
      </c>
      <c r="Z301" s="660">
        <f t="shared" si="1006"/>
        <v>2641016</v>
      </c>
      <c r="AA301" s="660">
        <f t="shared" si="1006"/>
        <v>53463933</v>
      </c>
      <c r="AB301" s="660">
        <f t="shared" si="1006"/>
        <v>18030775</v>
      </c>
      <c r="AC301" s="660">
        <f t="shared" si="1006"/>
        <v>508221</v>
      </c>
      <c r="AD301" s="660">
        <f t="shared" si="1006"/>
        <v>42500</v>
      </c>
      <c r="AE301" s="660">
        <f t="shared" si="1006"/>
        <v>0</v>
      </c>
      <c r="AF301" s="660">
        <f t="shared" si="1006"/>
        <v>42500</v>
      </c>
      <c r="AG301" s="660">
        <f t="shared" si="1006"/>
        <v>72045429</v>
      </c>
      <c r="AH301" s="661">
        <f>AH13+AH17+AH22+AH27+AH31+AH35+AH39+AH43+AH45+AH52+AH58+AH65+AH72+AH78+AH85+AH91+AH97+AH108+AH110+AH114+AH121+AH125+AH131+AH138+AH145+AH147+AH151+AH158+AH165+AH172+AH179+AH185+AH189+AH196+AH200+AH206+AH215+AH222+AH224+AH228+AH235+AH242+AH246+AH253+AH256+AH263+AH270+AH277+AH284+AH291+AH298+AH300</f>
        <v>-2.0500000000000003</v>
      </c>
      <c r="AI301" s="661">
        <f t="shared" ref="AI301:AR301" si="1007">AI13+AI17+AI22+AI27+AI31+AI35+AI39+AI43+AI45+AI52+AI58+AI65+AI72+AI78+AI85+AI91+AI97+AI108+AI110+AI114+AI121+AI125+AI131+AI138+AI145+AI147+AI151+AI158+AI165+AI172+AI179+AI185+AI189+AI196+AI200+AI206+AI215+AI222+AI224+AI228+AI235+AI242+AI246+AI253+AI256+AI263+AI270+AI277+AI284+AI291+AI298+AI300</f>
        <v>-3.22</v>
      </c>
      <c r="AJ301" s="661">
        <f t="shared" si="1007"/>
        <v>151.1</v>
      </c>
      <c r="AK301" s="661">
        <f t="shared" si="1007"/>
        <v>0</v>
      </c>
      <c r="AL301" s="661">
        <f t="shared" si="1007"/>
        <v>0</v>
      </c>
      <c r="AM301" s="661">
        <f t="shared" si="1007"/>
        <v>1.0900000000000001</v>
      </c>
      <c r="AN301" s="661">
        <f t="shared" si="1007"/>
        <v>0.06</v>
      </c>
      <c r="AO301" s="661">
        <f t="shared" si="1007"/>
        <v>0</v>
      </c>
      <c r="AP301" s="661">
        <f t="shared" si="1007"/>
        <v>150.20000000000002</v>
      </c>
      <c r="AQ301" s="661">
        <f t="shared" si="1007"/>
        <v>-3.22</v>
      </c>
      <c r="AR301" s="662">
        <f t="shared" si="1007"/>
        <v>146.98000000000002</v>
      </c>
      <c r="AS301" s="531">
        <f>AS13+AS17+AS22+AS27+AS31+AS35+AS39+AS43+AS45+AS52+AS58+AS65+AS72+AS78+AS85+AS91+AS97+AS108+AS110+AS114+AS121+AS125+AS131+AS138+AS145+AS147+AS151+AS158+AS165+AS172+AS179+AS185+AS189+AS196+AS200+AS206+AS215+AS222+AS224+AS228+AS235+AS242+AS246+AS253+AS256+AS263+AS270+AS277+AS284+AS291+AS298+AS300</f>
        <v>1035445303</v>
      </c>
      <c r="AT301" s="531">
        <f t="shared" ref="AT301:AX301" si="1008">AT13+AT17+AT22+AT27+AT31+AT35+AT39+AT43+AT45+AT52+AT58+AT65+AT72+AT78+AT85+AT91+AT97+AT108+AT110+AT114+AT121+AT125+AT131+AT138+AT145+AT147+AT151+AT158+AT165+AT172+AT179+AT185+AT189+AT196+AT200+AT206+AT215+AT222+AT224+AT228+AT235+AT242+AT246+AT253+AT256+AT263+AT270+AT277+AT284+AT291+AT298+AT300</f>
        <v>756999412</v>
      </c>
      <c r="AU301" s="531">
        <f t="shared" si="1008"/>
        <v>2641016</v>
      </c>
      <c r="AV301" s="531">
        <f t="shared" si="1008"/>
        <v>256718436</v>
      </c>
      <c r="AW301" s="531">
        <f t="shared" si="1008"/>
        <v>7569986</v>
      </c>
      <c r="AX301" s="531">
        <f t="shared" si="1008"/>
        <v>11516453</v>
      </c>
      <c r="AY301" s="530">
        <f>AY13+AY17+AY22+AY27+AY31+AY35+AY39+AY43+AY45+AY52+AY58+AY65+AY72+AY78+AY85+AY91+AY97+AY108+AY110+AY114+AY121+AY125+AY131+AY138+AY145+AY147+AY151+AY158+AY165+AY172+AY179+AY185+AY189+AY196+AY200+AY206+AY215+AY222+AY224+AY228+AY235+AY242+AY246+AY253+AY256+AY263+AY270+AY277+AY284+AY291+AY298+AY300</f>
        <v>1516.5985999999996</v>
      </c>
      <c r="AZ301" s="530">
        <f t="shared" ref="AZ301:BA301" si="1009">AZ13+AZ17+AZ22+AZ27+AZ31+AZ35+AZ39+AZ43+AZ45+AZ52+AZ58+AZ65+AZ72+AZ78+AZ85+AZ91+AZ97+AZ108+AZ110+AZ114+AZ121+AZ125+AZ131+AZ138+AZ145+AZ147+AZ151+AZ158+AZ165+AZ172+AZ179+AZ185+AZ189+AZ196+AZ200+AZ206+AZ215+AZ222+AZ224+AZ228+AZ235+AZ242+AZ246+AZ253+AZ256+AZ263+AZ270+AZ277+AZ284+AZ291+AZ298+AZ300</f>
        <v>1129.4667000000002</v>
      </c>
      <c r="BA301" s="530">
        <f t="shared" si="1009"/>
        <v>387.13190000000003</v>
      </c>
    </row>
    <row r="302" spans="1:53" s="229" customFormat="1" x14ac:dyDescent="0.2">
      <c r="D302" s="9"/>
      <c r="E302" s="5"/>
      <c r="F302" s="9"/>
      <c r="G302" s="20"/>
      <c r="H302" s="5"/>
      <c r="I302" s="474">
        <f>SUM(J301:M301)</f>
        <v>963399874</v>
      </c>
      <c r="J302" s="474"/>
      <c r="K302" s="474"/>
      <c r="L302" s="474"/>
      <c r="M302" s="474"/>
      <c r="N302" s="475">
        <f>SUM(O301:P301)</f>
        <v>1369.6186000000002</v>
      </c>
      <c r="O302" s="475"/>
      <c r="P302" s="475"/>
      <c r="Q302" s="474">
        <f>W301</f>
        <v>2398767</v>
      </c>
      <c r="R302" s="475"/>
      <c r="S302" s="475"/>
      <c r="T302" s="475"/>
      <c r="U302" s="475"/>
      <c r="V302" s="481">
        <f>SUM(Q301:U301)</f>
        <v>50822917</v>
      </c>
      <c r="W302" s="481">
        <f>Q301</f>
        <v>-2398767</v>
      </c>
      <c r="X302" s="482"/>
      <c r="Y302" s="482"/>
      <c r="Z302" s="481">
        <f>SUM(W301:Y301)</f>
        <v>2641016</v>
      </c>
      <c r="AA302" s="481">
        <f>V301+Z301</f>
        <v>53463933</v>
      </c>
      <c r="AB302" s="483"/>
      <c r="AC302" s="483"/>
      <c r="AD302" s="482"/>
      <c r="AE302" s="482"/>
      <c r="AF302" s="481">
        <f>SUM(AD301:AE301)</f>
        <v>42500</v>
      </c>
      <c r="AG302" s="481">
        <f>AA301+AB301+AC301+AF301</f>
        <v>72045429</v>
      </c>
      <c r="AH302" s="484"/>
      <c r="AI302" s="484"/>
      <c r="AJ302" s="484"/>
      <c r="AK302" s="484"/>
      <c r="AL302" s="484"/>
      <c r="AM302" s="484"/>
      <c r="AN302" s="484"/>
      <c r="AO302" s="484"/>
      <c r="AP302" s="636">
        <f>AH301+AJ301+AK301+AM301+AN301</f>
        <v>150.19999999999999</v>
      </c>
      <c r="AQ302" s="636">
        <f>AI301+AL301+AO301</f>
        <v>-3.22</v>
      </c>
      <c r="AR302" s="636">
        <f>SUM(AP301:AQ301)</f>
        <v>146.98000000000002</v>
      </c>
      <c r="AS302" s="474">
        <f>SUM(AT301:AX301)</f>
        <v>1035445303</v>
      </c>
      <c r="AT302" s="54"/>
      <c r="AU302" s="54"/>
      <c r="AV302" s="54"/>
      <c r="AW302" s="54"/>
      <c r="AX302" s="54"/>
      <c r="AY302" s="475">
        <f>SUM(AZ301:BA301)</f>
        <v>1516.5986000000003</v>
      </c>
      <c r="AZ302" s="89"/>
      <c r="BA302" s="89"/>
    </row>
    <row r="303" spans="1:53" ht="13.5" thickBot="1" x14ac:dyDescent="0.25">
      <c r="D303" s="9"/>
      <c r="E303" s="5"/>
      <c r="F303" s="249"/>
      <c r="G303" s="20"/>
      <c r="H303" s="5"/>
      <c r="I303" s="87">
        <f>SUM(J304:M304)</f>
        <v>963399874</v>
      </c>
      <c r="J303" s="52"/>
      <c r="K303" s="480"/>
      <c r="L303" s="480"/>
      <c r="M303" s="52"/>
      <c r="N303" s="88">
        <f>SUM(O304:P304)</f>
        <v>1369.6185999999998</v>
      </c>
      <c r="O303" s="179"/>
      <c r="P303" s="179"/>
      <c r="Q303" s="475"/>
      <c r="R303" s="475"/>
      <c r="S303" s="475"/>
      <c r="T303" s="475"/>
      <c r="U303" s="475"/>
      <c r="V303" s="481">
        <f>SUM(Q304:U304)</f>
        <v>50822917</v>
      </c>
      <c r="W303" s="482"/>
      <c r="X303" s="482"/>
      <c r="Y303" s="482"/>
      <c r="Z303" s="481">
        <f>SUM(W304:Y304)</f>
        <v>2641016</v>
      </c>
      <c r="AA303" s="481">
        <f>V304+Z304</f>
        <v>53463933</v>
      </c>
      <c r="AB303" s="483"/>
      <c r="AC303" s="483"/>
      <c r="AD303" s="482"/>
      <c r="AE303" s="482"/>
      <c r="AF303" s="481">
        <f>SUM(AD304:AE304)</f>
        <v>42500</v>
      </c>
      <c r="AG303" s="481">
        <f>AA304+AB304+AC304+AF304</f>
        <v>72045429</v>
      </c>
      <c r="AH303" s="484"/>
      <c r="AI303" s="484"/>
      <c r="AJ303" s="484"/>
      <c r="AK303" s="484"/>
      <c r="AL303" s="484"/>
      <c r="AM303" s="484"/>
      <c r="AN303" s="484"/>
      <c r="AO303" s="484"/>
      <c r="AP303" s="606">
        <f>AH304+AJ304+AK304+AM304+AN304</f>
        <v>150.20000000000002</v>
      </c>
      <c r="AQ303" s="606">
        <f>AI304+AL304+AO304</f>
        <v>-3.2199999999999998</v>
      </c>
      <c r="AR303" s="606">
        <f>SUM(AP304:AQ304)</f>
        <v>146.98000000000002</v>
      </c>
      <c r="AS303" s="474">
        <f>SUM(AT304:AX304)</f>
        <v>1035445303</v>
      </c>
      <c r="AT303" s="54"/>
      <c r="AU303" s="54"/>
      <c r="AV303" s="54"/>
      <c r="AW303" s="54"/>
      <c r="AX303" s="54"/>
      <c r="AY303" s="475">
        <f>SUM(AZ304:BA304)</f>
        <v>1516.5985999999998</v>
      </c>
      <c r="AZ303" s="89"/>
      <c r="BA303" s="89"/>
    </row>
    <row r="304" spans="1:53" ht="13.5" thickBot="1" x14ac:dyDescent="0.25">
      <c r="D304" s="9"/>
      <c r="E304" s="5"/>
      <c r="F304" s="9"/>
      <c r="G304" s="20"/>
      <c r="H304" s="493" t="s">
        <v>0</v>
      </c>
      <c r="I304" s="142">
        <f t="shared" ref="I304:BA304" si="1010">SUM(I305:I314)</f>
        <v>963399874</v>
      </c>
      <c r="J304" s="34">
        <f t="shared" si="1010"/>
        <v>706176495</v>
      </c>
      <c r="K304" s="34">
        <f t="shared" si="1010"/>
        <v>238687661</v>
      </c>
      <c r="L304" s="34">
        <f t="shared" si="1010"/>
        <v>7061765</v>
      </c>
      <c r="M304" s="34">
        <f t="shared" si="1010"/>
        <v>11473953</v>
      </c>
      <c r="N304" s="35">
        <f t="shared" si="1010"/>
        <v>1369.6186</v>
      </c>
      <c r="O304" s="35">
        <f t="shared" si="1010"/>
        <v>979.26670000000001</v>
      </c>
      <c r="P304" s="151">
        <f t="shared" si="1010"/>
        <v>390.35189999999989</v>
      </c>
      <c r="Q304" s="142">
        <f t="shared" si="1010"/>
        <v>-2398767</v>
      </c>
      <c r="R304" s="34">
        <f t="shared" si="1010"/>
        <v>52476010</v>
      </c>
      <c r="S304" s="34">
        <f t="shared" si="1010"/>
        <v>0</v>
      </c>
      <c r="T304" s="34">
        <f t="shared" si="1010"/>
        <v>719897</v>
      </c>
      <c r="U304" s="34">
        <f t="shared" si="1010"/>
        <v>25777</v>
      </c>
      <c r="V304" s="34">
        <f t="shared" si="1010"/>
        <v>50822917</v>
      </c>
      <c r="W304" s="34">
        <f t="shared" si="1010"/>
        <v>2398767</v>
      </c>
      <c r="X304" s="34">
        <f t="shared" si="1010"/>
        <v>123800</v>
      </c>
      <c r="Y304" s="34">
        <f t="shared" si="1010"/>
        <v>118449</v>
      </c>
      <c r="Z304" s="34">
        <f t="shared" si="1010"/>
        <v>2641016</v>
      </c>
      <c r="AA304" s="34">
        <f t="shared" si="1010"/>
        <v>53463933</v>
      </c>
      <c r="AB304" s="34">
        <f t="shared" si="1010"/>
        <v>18030775</v>
      </c>
      <c r="AC304" s="34">
        <f t="shared" si="1010"/>
        <v>508221</v>
      </c>
      <c r="AD304" s="34">
        <f t="shared" si="1010"/>
        <v>42500</v>
      </c>
      <c r="AE304" s="34">
        <f t="shared" si="1010"/>
        <v>0</v>
      </c>
      <c r="AF304" s="34">
        <f t="shared" si="1010"/>
        <v>42500</v>
      </c>
      <c r="AG304" s="34">
        <f t="shared" si="1010"/>
        <v>72045429</v>
      </c>
      <c r="AH304" s="35">
        <f t="shared" si="1010"/>
        <v>-2.0500000000000003</v>
      </c>
      <c r="AI304" s="35">
        <f t="shared" si="1010"/>
        <v>-3.2199999999999998</v>
      </c>
      <c r="AJ304" s="35">
        <f t="shared" si="1010"/>
        <v>151.10000000000002</v>
      </c>
      <c r="AK304" s="35">
        <f t="shared" si="1010"/>
        <v>0</v>
      </c>
      <c r="AL304" s="35">
        <f t="shared" si="1010"/>
        <v>0</v>
      </c>
      <c r="AM304" s="35">
        <f t="shared" si="1010"/>
        <v>1.0900000000000001</v>
      </c>
      <c r="AN304" s="35">
        <f t="shared" si="1010"/>
        <v>0.06</v>
      </c>
      <c r="AO304" s="35">
        <f t="shared" si="1010"/>
        <v>0</v>
      </c>
      <c r="AP304" s="35">
        <f t="shared" si="1010"/>
        <v>150.20000000000002</v>
      </c>
      <c r="AQ304" s="35">
        <f t="shared" si="1010"/>
        <v>-3.2199999999999998</v>
      </c>
      <c r="AR304" s="36">
        <f t="shared" si="1010"/>
        <v>146.97999999999996</v>
      </c>
      <c r="AS304" s="152">
        <f t="shared" si="1010"/>
        <v>1035445303</v>
      </c>
      <c r="AT304" s="34">
        <f t="shared" si="1010"/>
        <v>756999412</v>
      </c>
      <c r="AU304" s="34">
        <f t="shared" si="1010"/>
        <v>2641016</v>
      </c>
      <c r="AV304" s="34">
        <f t="shared" si="1010"/>
        <v>256718436</v>
      </c>
      <c r="AW304" s="34">
        <f t="shared" si="1010"/>
        <v>7569986</v>
      </c>
      <c r="AX304" s="34">
        <f t="shared" si="1010"/>
        <v>11516453</v>
      </c>
      <c r="AY304" s="35">
        <f t="shared" si="1010"/>
        <v>1516.5986</v>
      </c>
      <c r="AZ304" s="35">
        <f t="shared" si="1010"/>
        <v>1129.4666999999999</v>
      </c>
      <c r="BA304" s="36">
        <f t="shared" si="1010"/>
        <v>387.13189999999997</v>
      </c>
    </row>
    <row r="305" spans="4:53" x14ac:dyDescent="0.2">
      <c r="D305" s="9"/>
      <c r="E305" s="5"/>
      <c r="F305" s="9"/>
      <c r="G305" s="20"/>
      <c r="H305" s="494">
        <v>3111</v>
      </c>
      <c r="I305" s="580">
        <f t="shared" ref="I305:BA305" si="1011">SUMIF($F$12:$F$459,"=3111",I$12:I$459)</f>
        <v>198549078</v>
      </c>
      <c r="J305" s="581">
        <f t="shared" si="1011"/>
        <v>146504054</v>
      </c>
      <c r="K305" s="581">
        <f t="shared" si="1011"/>
        <v>49518372</v>
      </c>
      <c r="L305" s="581">
        <f t="shared" si="1011"/>
        <v>1465042</v>
      </c>
      <c r="M305" s="581">
        <f t="shared" si="1011"/>
        <v>1061610</v>
      </c>
      <c r="N305" s="584">
        <f t="shared" si="1011"/>
        <v>301.92130000000003</v>
      </c>
      <c r="O305" s="584">
        <f t="shared" si="1011"/>
        <v>241.09130000000005</v>
      </c>
      <c r="P305" s="585">
        <f t="shared" si="1011"/>
        <v>60.829999999999977</v>
      </c>
      <c r="Q305" s="580">
        <f t="shared" si="1011"/>
        <v>-384800</v>
      </c>
      <c r="R305" s="581">
        <f t="shared" si="1011"/>
        <v>8305834</v>
      </c>
      <c r="S305" s="581">
        <f t="shared" si="1011"/>
        <v>0</v>
      </c>
      <c r="T305" s="581">
        <f t="shared" si="1011"/>
        <v>0</v>
      </c>
      <c r="U305" s="581">
        <f t="shared" si="1011"/>
        <v>0</v>
      </c>
      <c r="V305" s="581">
        <f t="shared" si="1011"/>
        <v>7921034</v>
      </c>
      <c r="W305" s="581">
        <f t="shared" si="1011"/>
        <v>384800</v>
      </c>
      <c r="X305" s="581">
        <f t="shared" si="1011"/>
        <v>0</v>
      </c>
      <c r="Y305" s="581">
        <f t="shared" si="1011"/>
        <v>0</v>
      </c>
      <c r="Z305" s="581">
        <f t="shared" si="1011"/>
        <v>384800</v>
      </c>
      <c r="AA305" s="581">
        <f t="shared" si="1011"/>
        <v>8305834</v>
      </c>
      <c r="AB305" s="581">
        <f t="shared" si="1011"/>
        <v>2807372</v>
      </c>
      <c r="AC305" s="581">
        <f t="shared" si="1011"/>
        <v>79206</v>
      </c>
      <c r="AD305" s="581">
        <f t="shared" si="1011"/>
        <v>0</v>
      </c>
      <c r="AE305" s="581">
        <f t="shared" si="1011"/>
        <v>0</v>
      </c>
      <c r="AF305" s="581">
        <f t="shared" si="1011"/>
        <v>0</v>
      </c>
      <c r="AG305" s="581">
        <f t="shared" si="1011"/>
        <v>11192412</v>
      </c>
      <c r="AH305" s="584">
        <f t="shared" si="1011"/>
        <v>-0.19</v>
      </c>
      <c r="AI305" s="584">
        <f t="shared" si="1011"/>
        <v>-0.84</v>
      </c>
      <c r="AJ305" s="584">
        <f t="shared" si="1011"/>
        <v>24.43</v>
      </c>
      <c r="AK305" s="584">
        <f t="shared" si="1011"/>
        <v>0</v>
      </c>
      <c r="AL305" s="584">
        <f t="shared" si="1011"/>
        <v>0</v>
      </c>
      <c r="AM305" s="584">
        <f t="shared" si="1011"/>
        <v>0</v>
      </c>
      <c r="AN305" s="584">
        <f t="shared" si="1011"/>
        <v>0</v>
      </c>
      <c r="AO305" s="584">
        <f t="shared" si="1011"/>
        <v>0</v>
      </c>
      <c r="AP305" s="584">
        <f t="shared" si="1011"/>
        <v>24.240000000000002</v>
      </c>
      <c r="AQ305" s="584">
        <f t="shared" si="1011"/>
        <v>-0.84</v>
      </c>
      <c r="AR305" s="587">
        <f t="shared" si="1011"/>
        <v>23.4</v>
      </c>
      <c r="AS305" s="582">
        <f t="shared" si="1011"/>
        <v>209741490</v>
      </c>
      <c r="AT305" s="581">
        <f t="shared" si="1011"/>
        <v>154425088</v>
      </c>
      <c r="AU305" s="581">
        <f t="shared" si="1011"/>
        <v>384800</v>
      </c>
      <c r="AV305" s="581">
        <f t="shared" si="1011"/>
        <v>52325744</v>
      </c>
      <c r="AW305" s="581">
        <f t="shared" si="1011"/>
        <v>1544248</v>
      </c>
      <c r="AX305" s="581">
        <f t="shared" si="1011"/>
        <v>1061610</v>
      </c>
      <c r="AY305" s="584">
        <f t="shared" si="1011"/>
        <v>325.32129999999995</v>
      </c>
      <c r="AZ305" s="584">
        <f t="shared" si="1011"/>
        <v>265.3313</v>
      </c>
      <c r="BA305" s="587">
        <f t="shared" si="1011"/>
        <v>59.989999999999974</v>
      </c>
    </row>
    <row r="306" spans="4:53" x14ac:dyDescent="0.2">
      <c r="D306" s="9"/>
      <c r="E306" s="5"/>
      <c r="F306" s="9"/>
      <c r="G306" s="20"/>
      <c r="H306" s="2">
        <v>3113</v>
      </c>
      <c r="I306" s="170">
        <f t="shared" ref="I306:BA306" si="1012">SUMIF($F$12:$F$459,"=3113",I$12:I$459)</f>
        <v>478615472</v>
      </c>
      <c r="J306" s="16">
        <f t="shared" si="1012"/>
        <v>348648591</v>
      </c>
      <c r="K306" s="16">
        <f t="shared" si="1012"/>
        <v>117843222</v>
      </c>
      <c r="L306" s="16">
        <f t="shared" si="1012"/>
        <v>3486484</v>
      </c>
      <c r="M306" s="16">
        <f t="shared" si="1012"/>
        <v>8637175</v>
      </c>
      <c r="N306" s="13">
        <f t="shared" si="1012"/>
        <v>592.91210000000001</v>
      </c>
      <c r="O306" s="13">
        <f t="shared" si="1012"/>
        <v>473.74210000000005</v>
      </c>
      <c r="P306" s="172">
        <f t="shared" si="1012"/>
        <v>119.17</v>
      </c>
      <c r="Q306" s="170">
        <f t="shared" si="1012"/>
        <v>-939257</v>
      </c>
      <c r="R306" s="16">
        <f t="shared" si="1012"/>
        <v>37431776</v>
      </c>
      <c r="S306" s="16">
        <f t="shared" si="1012"/>
        <v>0</v>
      </c>
      <c r="T306" s="16">
        <f t="shared" si="1012"/>
        <v>657997</v>
      </c>
      <c r="U306" s="16">
        <f t="shared" si="1012"/>
        <v>0</v>
      </c>
      <c r="V306" s="16">
        <f t="shared" si="1012"/>
        <v>37150516</v>
      </c>
      <c r="W306" s="16">
        <f t="shared" si="1012"/>
        <v>939257</v>
      </c>
      <c r="X306" s="16">
        <f t="shared" si="1012"/>
        <v>99040</v>
      </c>
      <c r="Y306" s="16">
        <f t="shared" si="1012"/>
        <v>118449</v>
      </c>
      <c r="Z306" s="16">
        <f t="shared" si="1012"/>
        <v>1156746</v>
      </c>
      <c r="AA306" s="16">
        <f t="shared" si="1012"/>
        <v>38307262</v>
      </c>
      <c r="AB306" s="16">
        <f t="shared" si="1012"/>
        <v>12907820</v>
      </c>
      <c r="AC306" s="16">
        <f t="shared" si="1012"/>
        <v>371507</v>
      </c>
      <c r="AD306" s="16">
        <f t="shared" si="1012"/>
        <v>35000</v>
      </c>
      <c r="AE306" s="16">
        <f t="shared" si="1012"/>
        <v>0</v>
      </c>
      <c r="AF306" s="16">
        <f t="shared" si="1012"/>
        <v>35000</v>
      </c>
      <c r="AG306" s="16">
        <f t="shared" si="1012"/>
        <v>51621589</v>
      </c>
      <c r="AH306" s="13">
        <f t="shared" si="1012"/>
        <v>-0.76000000000000012</v>
      </c>
      <c r="AI306" s="13">
        <f t="shared" si="1012"/>
        <v>-1.33</v>
      </c>
      <c r="AJ306" s="13">
        <f t="shared" si="1012"/>
        <v>107.08000000000001</v>
      </c>
      <c r="AK306" s="13">
        <f t="shared" si="1012"/>
        <v>0</v>
      </c>
      <c r="AL306" s="13">
        <f t="shared" si="1012"/>
        <v>0</v>
      </c>
      <c r="AM306" s="13">
        <f t="shared" si="1012"/>
        <v>1</v>
      </c>
      <c r="AN306" s="13">
        <f t="shared" si="1012"/>
        <v>0</v>
      </c>
      <c r="AO306" s="13">
        <f t="shared" si="1012"/>
        <v>0</v>
      </c>
      <c r="AP306" s="13">
        <f t="shared" si="1012"/>
        <v>107.32000000000002</v>
      </c>
      <c r="AQ306" s="13">
        <f t="shared" si="1012"/>
        <v>-1.33</v>
      </c>
      <c r="AR306" s="17">
        <f t="shared" si="1012"/>
        <v>105.99</v>
      </c>
      <c r="AS306" s="171">
        <f t="shared" si="1012"/>
        <v>530237061</v>
      </c>
      <c r="AT306" s="16">
        <f t="shared" si="1012"/>
        <v>385799107</v>
      </c>
      <c r="AU306" s="16">
        <f t="shared" si="1012"/>
        <v>1156746</v>
      </c>
      <c r="AV306" s="16">
        <f t="shared" si="1012"/>
        <v>130751042</v>
      </c>
      <c r="AW306" s="16">
        <f t="shared" si="1012"/>
        <v>3857991</v>
      </c>
      <c r="AX306" s="16">
        <f t="shared" si="1012"/>
        <v>8672175</v>
      </c>
      <c r="AY306" s="13">
        <f t="shared" si="1012"/>
        <v>698.90209999999979</v>
      </c>
      <c r="AZ306" s="13">
        <f t="shared" si="1012"/>
        <v>581.06209999999999</v>
      </c>
      <c r="BA306" s="17">
        <f t="shared" si="1012"/>
        <v>117.84</v>
      </c>
    </row>
    <row r="307" spans="4:53" x14ac:dyDescent="0.2">
      <c r="D307" s="9"/>
      <c r="E307" s="5"/>
      <c r="F307" s="9"/>
      <c r="G307" s="20"/>
      <c r="H307" s="2">
        <v>3114</v>
      </c>
      <c r="I307" s="170">
        <f t="shared" ref="I307:BA307" si="1013">SUMIF($F$12:$F$459,"=3114",I$12:I$459)</f>
        <v>50411712</v>
      </c>
      <c r="J307" s="16">
        <f t="shared" si="1013"/>
        <v>37076614</v>
      </c>
      <c r="K307" s="16">
        <f t="shared" si="1013"/>
        <v>12531896</v>
      </c>
      <c r="L307" s="16">
        <f t="shared" si="1013"/>
        <v>370767</v>
      </c>
      <c r="M307" s="16">
        <f t="shared" si="1013"/>
        <v>432435</v>
      </c>
      <c r="N307" s="13">
        <f t="shared" si="1013"/>
        <v>68.570599999999999</v>
      </c>
      <c r="O307" s="13">
        <f t="shared" si="1013"/>
        <v>58.1006</v>
      </c>
      <c r="P307" s="172">
        <f t="shared" si="1013"/>
        <v>10.47</v>
      </c>
      <c r="Q307" s="170">
        <f t="shared" si="1013"/>
        <v>0</v>
      </c>
      <c r="R307" s="16">
        <f t="shared" si="1013"/>
        <v>0</v>
      </c>
      <c r="S307" s="16">
        <f t="shared" si="1013"/>
        <v>0</v>
      </c>
      <c r="T307" s="16">
        <f t="shared" si="1013"/>
        <v>0</v>
      </c>
      <c r="U307" s="16">
        <f t="shared" si="1013"/>
        <v>39231</v>
      </c>
      <c r="V307" s="16">
        <f t="shared" si="1013"/>
        <v>39231</v>
      </c>
      <c r="W307" s="16">
        <f t="shared" si="1013"/>
        <v>0</v>
      </c>
      <c r="X307" s="16">
        <f t="shared" si="1013"/>
        <v>0</v>
      </c>
      <c r="Y307" s="16">
        <f t="shared" si="1013"/>
        <v>0</v>
      </c>
      <c r="Z307" s="16">
        <f t="shared" si="1013"/>
        <v>0</v>
      </c>
      <c r="AA307" s="16">
        <f t="shared" si="1013"/>
        <v>39231</v>
      </c>
      <c r="AB307" s="16">
        <f t="shared" si="1013"/>
        <v>13260</v>
      </c>
      <c r="AC307" s="16">
        <f t="shared" si="1013"/>
        <v>392</v>
      </c>
      <c r="AD307" s="16">
        <f t="shared" si="1013"/>
        <v>0</v>
      </c>
      <c r="AE307" s="16">
        <f t="shared" si="1013"/>
        <v>0</v>
      </c>
      <c r="AF307" s="16">
        <f t="shared" si="1013"/>
        <v>0</v>
      </c>
      <c r="AG307" s="16">
        <f t="shared" si="1013"/>
        <v>52883</v>
      </c>
      <c r="AH307" s="13">
        <f t="shared" si="1013"/>
        <v>0</v>
      </c>
      <c r="AI307" s="13">
        <f t="shared" si="1013"/>
        <v>0</v>
      </c>
      <c r="AJ307" s="13">
        <f t="shared" si="1013"/>
        <v>0</v>
      </c>
      <c r="AK307" s="13">
        <f t="shared" si="1013"/>
        <v>0</v>
      </c>
      <c r="AL307" s="13">
        <f t="shared" si="1013"/>
        <v>0</v>
      </c>
      <c r="AM307" s="13">
        <f t="shared" si="1013"/>
        <v>0</v>
      </c>
      <c r="AN307" s="13">
        <f t="shared" si="1013"/>
        <v>0.06</v>
      </c>
      <c r="AO307" s="13">
        <f t="shared" si="1013"/>
        <v>0</v>
      </c>
      <c r="AP307" s="13">
        <f t="shared" si="1013"/>
        <v>0.06</v>
      </c>
      <c r="AQ307" s="13">
        <f t="shared" si="1013"/>
        <v>0</v>
      </c>
      <c r="AR307" s="17">
        <f t="shared" si="1013"/>
        <v>0.06</v>
      </c>
      <c r="AS307" s="171">
        <f t="shared" si="1013"/>
        <v>50464595</v>
      </c>
      <c r="AT307" s="16">
        <f t="shared" si="1013"/>
        <v>37115845</v>
      </c>
      <c r="AU307" s="16">
        <f t="shared" si="1013"/>
        <v>0</v>
      </c>
      <c r="AV307" s="16">
        <f t="shared" si="1013"/>
        <v>12545156</v>
      </c>
      <c r="AW307" s="16">
        <f t="shared" si="1013"/>
        <v>371159</v>
      </c>
      <c r="AX307" s="16">
        <f t="shared" si="1013"/>
        <v>432435</v>
      </c>
      <c r="AY307" s="13">
        <f t="shared" si="1013"/>
        <v>68.630600000000001</v>
      </c>
      <c r="AZ307" s="13">
        <f t="shared" si="1013"/>
        <v>58.160600000000002</v>
      </c>
      <c r="BA307" s="17">
        <f t="shared" si="1013"/>
        <v>10.47</v>
      </c>
    </row>
    <row r="308" spans="4:53" x14ac:dyDescent="0.2">
      <c r="D308" s="9"/>
      <c r="E308" s="5"/>
      <c r="F308" s="9"/>
      <c r="G308" s="20"/>
      <c r="H308" s="2">
        <v>3117</v>
      </c>
      <c r="I308" s="170">
        <f t="shared" ref="I308:BA308" si="1014">SUMIF($F$12:$F$459,"=3117",I$12:I$459)</f>
        <v>40993800</v>
      </c>
      <c r="J308" s="16">
        <f t="shared" si="1014"/>
        <v>29905194</v>
      </c>
      <c r="K308" s="16">
        <f t="shared" si="1014"/>
        <v>10107957</v>
      </c>
      <c r="L308" s="16">
        <f t="shared" si="1014"/>
        <v>299049</v>
      </c>
      <c r="M308" s="16">
        <f t="shared" si="1014"/>
        <v>681600</v>
      </c>
      <c r="N308" s="13">
        <f t="shared" si="1014"/>
        <v>57.535399999999996</v>
      </c>
      <c r="O308" s="13">
        <f t="shared" si="1014"/>
        <v>41.109300000000005</v>
      </c>
      <c r="P308" s="172">
        <f t="shared" si="1014"/>
        <v>16.426100000000002</v>
      </c>
      <c r="Q308" s="170">
        <f t="shared" si="1014"/>
        <v>-125450</v>
      </c>
      <c r="R308" s="16">
        <f t="shared" si="1014"/>
        <v>6738400</v>
      </c>
      <c r="S308" s="16">
        <f t="shared" si="1014"/>
        <v>0</v>
      </c>
      <c r="T308" s="16">
        <f t="shared" si="1014"/>
        <v>61900</v>
      </c>
      <c r="U308" s="16">
        <f t="shared" si="1014"/>
        <v>0</v>
      </c>
      <c r="V308" s="16">
        <f t="shared" si="1014"/>
        <v>6674850</v>
      </c>
      <c r="W308" s="16">
        <f t="shared" si="1014"/>
        <v>125450</v>
      </c>
      <c r="X308" s="16">
        <f t="shared" si="1014"/>
        <v>24760</v>
      </c>
      <c r="Y308" s="16">
        <f t="shared" si="1014"/>
        <v>0</v>
      </c>
      <c r="Z308" s="16">
        <f t="shared" si="1014"/>
        <v>150210</v>
      </c>
      <c r="AA308" s="16">
        <f t="shared" si="1014"/>
        <v>6825060</v>
      </c>
      <c r="AB308" s="16">
        <f t="shared" si="1014"/>
        <v>2306870</v>
      </c>
      <c r="AC308" s="16">
        <f t="shared" si="1014"/>
        <v>66747</v>
      </c>
      <c r="AD308" s="16">
        <f t="shared" si="1014"/>
        <v>7500</v>
      </c>
      <c r="AE308" s="16">
        <f t="shared" si="1014"/>
        <v>0</v>
      </c>
      <c r="AF308" s="16">
        <f t="shared" si="1014"/>
        <v>7500</v>
      </c>
      <c r="AG308" s="16">
        <f t="shared" si="1014"/>
        <v>9206177</v>
      </c>
      <c r="AH308" s="13">
        <f t="shared" si="1014"/>
        <v>-0.09</v>
      </c>
      <c r="AI308" s="13">
        <f t="shared" si="1014"/>
        <v>-0.14000000000000001</v>
      </c>
      <c r="AJ308" s="13">
        <f t="shared" si="1014"/>
        <v>19.59</v>
      </c>
      <c r="AK308" s="13">
        <f t="shared" si="1014"/>
        <v>0</v>
      </c>
      <c r="AL308" s="13">
        <f t="shared" si="1014"/>
        <v>0</v>
      </c>
      <c r="AM308" s="13">
        <f t="shared" si="1014"/>
        <v>0.09</v>
      </c>
      <c r="AN308" s="13">
        <f t="shared" si="1014"/>
        <v>0</v>
      </c>
      <c r="AO308" s="13">
        <f t="shared" si="1014"/>
        <v>0</v>
      </c>
      <c r="AP308" s="13">
        <f t="shared" si="1014"/>
        <v>19.59</v>
      </c>
      <c r="AQ308" s="13">
        <f t="shared" si="1014"/>
        <v>-0.14000000000000001</v>
      </c>
      <c r="AR308" s="17">
        <f t="shared" si="1014"/>
        <v>19.45</v>
      </c>
      <c r="AS308" s="171">
        <f t="shared" si="1014"/>
        <v>50199977</v>
      </c>
      <c r="AT308" s="16">
        <f t="shared" si="1014"/>
        <v>36580044</v>
      </c>
      <c r="AU308" s="16">
        <f t="shared" si="1014"/>
        <v>150210</v>
      </c>
      <c r="AV308" s="16">
        <f t="shared" si="1014"/>
        <v>12414827</v>
      </c>
      <c r="AW308" s="16">
        <f t="shared" si="1014"/>
        <v>365796</v>
      </c>
      <c r="AX308" s="16">
        <f t="shared" si="1014"/>
        <v>689100</v>
      </c>
      <c r="AY308" s="13">
        <f t="shared" si="1014"/>
        <v>76.985400000000013</v>
      </c>
      <c r="AZ308" s="13">
        <f t="shared" si="1014"/>
        <v>60.699300000000001</v>
      </c>
      <c r="BA308" s="17">
        <f t="shared" si="1014"/>
        <v>16.286100000000001</v>
      </c>
    </row>
    <row r="309" spans="4:53" x14ac:dyDescent="0.2">
      <c r="D309" s="9"/>
      <c r="E309" s="5"/>
      <c r="F309" s="9"/>
      <c r="G309" s="20"/>
      <c r="H309" s="2">
        <v>3122</v>
      </c>
      <c r="I309" s="170">
        <f t="shared" ref="I309:BA309" si="1015">SUMIF($F$12:$F$459,"=3122",I$12:I$459)</f>
        <v>0</v>
      </c>
      <c r="J309" s="16">
        <f t="shared" si="1015"/>
        <v>0</v>
      </c>
      <c r="K309" s="16">
        <f t="shared" si="1015"/>
        <v>0</v>
      </c>
      <c r="L309" s="16">
        <f t="shared" si="1015"/>
        <v>0</v>
      </c>
      <c r="M309" s="16">
        <f t="shared" si="1015"/>
        <v>0</v>
      </c>
      <c r="N309" s="13">
        <f t="shared" si="1015"/>
        <v>0</v>
      </c>
      <c r="O309" s="13">
        <f t="shared" si="1015"/>
        <v>0</v>
      </c>
      <c r="P309" s="172">
        <f t="shared" si="1015"/>
        <v>0</v>
      </c>
      <c r="Q309" s="170">
        <f t="shared" si="1015"/>
        <v>0</v>
      </c>
      <c r="R309" s="16">
        <f t="shared" si="1015"/>
        <v>0</v>
      </c>
      <c r="S309" s="16">
        <f t="shared" si="1015"/>
        <v>0</v>
      </c>
      <c r="T309" s="16">
        <f t="shared" si="1015"/>
        <v>0</v>
      </c>
      <c r="U309" s="16">
        <f t="shared" si="1015"/>
        <v>0</v>
      </c>
      <c r="V309" s="16">
        <f t="shared" si="1015"/>
        <v>0</v>
      </c>
      <c r="W309" s="16">
        <f t="shared" si="1015"/>
        <v>0</v>
      </c>
      <c r="X309" s="16">
        <f t="shared" si="1015"/>
        <v>0</v>
      </c>
      <c r="Y309" s="16">
        <f t="shared" si="1015"/>
        <v>0</v>
      </c>
      <c r="Z309" s="16">
        <f t="shared" si="1015"/>
        <v>0</v>
      </c>
      <c r="AA309" s="16">
        <f t="shared" si="1015"/>
        <v>0</v>
      </c>
      <c r="AB309" s="16">
        <f t="shared" si="1015"/>
        <v>0</v>
      </c>
      <c r="AC309" s="16">
        <f t="shared" si="1015"/>
        <v>0</v>
      </c>
      <c r="AD309" s="16">
        <f t="shared" si="1015"/>
        <v>0</v>
      </c>
      <c r="AE309" s="16">
        <f t="shared" si="1015"/>
        <v>0</v>
      </c>
      <c r="AF309" s="16">
        <f t="shared" si="1015"/>
        <v>0</v>
      </c>
      <c r="AG309" s="16">
        <f t="shared" si="1015"/>
        <v>0</v>
      </c>
      <c r="AH309" s="13">
        <f t="shared" si="1015"/>
        <v>0</v>
      </c>
      <c r="AI309" s="13">
        <f t="shared" si="1015"/>
        <v>0</v>
      </c>
      <c r="AJ309" s="13">
        <f t="shared" si="1015"/>
        <v>0</v>
      </c>
      <c r="AK309" s="13">
        <f t="shared" si="1015"/>
        <v>0</v>
      </c>
      <c r="AL309" s="13">
        <f t="shared" si="1015"/>
        <v>0</v>
      </c>
      <c r="AM309" s="13">
        <f t="shared" si="1015"/>
        <v>0</v>
      </c>
      <c r="AN309" s="13">
        <f t="shared" si="1015"/>
        <v>0</v>
      </c>
      <c r="AO309" s="13">
        <f t="shared" si="1015"/>
        <v>0</v>
      </c>
      <c r="AP309" s="13">
        <f t="shared" si="1015"/>
        <v>0</v>
      </c>
      <c r="AQ309" s="13">
        <f t="shared" si="1015"/>
        <v>0</v>
      </c>
      <c r="AR309" s="17">
        <f t="shared" si="1015"/>
        <v>0</v>
      </c>
      <c r="AS309" s="171">
        <f t="shared" si="1015"/>
        <v>0</v>
      </c>
      <c r="AT309" s="16">
        <f t="shared" si="1015"/>
        <v>0</v>
      </c>
      <c r="AU309" s="16">
        <f t="shared" si="1015"/>
        <v>0</v>
      </c>
      <c r="AV309" s="16">
        <f t="shared" si="1015"/>
        <v>0</v>
      </c>
      <c r="AW309" s="16">
        <f t="shared" si="1015"/>
        <v>0</v>
      </c>
      <c r="AX309" s="16">
        <f t="shared" si="1015"/>
        <v>0</v>
      </c>
      <c r="AY309" s="13">
        <f t="shared" si="1015"/>
        <v>0</v>
      </c>
      <c r="AZ309" s="13">
        <f t="shared" si="1015"/>
        <v>0</v>
      </c>
      <c r="BA309" s="17">
        <f t="shared" si="1015"/>
        <v>0</v>
      </c>
    </row>
    <row r="310" spans="4:53" x14ac:dyDescent="0.2">
      <c r="D310" s="9"/>
      <c r="E310" s="5"/>
      <c r="F310" s="9"/>
      <c r="G310" s="20"/>
      <c r="H310" s="2">
        <v>3124</v>
      </c>
      <c r="I310" s="170">
        <f t="shared" ref="I310:BA310" si="1016">SUMIF($F$12:$F$459,"=3124",I$12:I$459)</f>
        <v>4304036</v>
      </c>
      <c r="J310" s="16">
        <f t="shared" si="1016"/>
        <v>3176348</v>
      </c>
      <c r="K310" s="16">
        <f t="shared" si="1016"/>
        <v>1073605</v>
      </c>
      <c r="L310" s="16">
        <f t="shared" si="1016"/>
        <v>31763</v>
      </c>
      <c r="M310" s="16">
        <f t="shared" si="1016"/>
        <v>22320</v>
      </c>
      <c r="N310" s="13">
        <f t="shared" si="1016"/>
        <v>5.8062000000000005</v>
      </c>
      <c r="O310" s="13">
        <f t="shared" si="1016"/>
        <v>5.2061999999999999</v>
      </c>
      <c r="P310" s="172">
        <f t="shared" si="1016"/>
        <v>0.6</v>
      </c>
      <c r="Q310" s="170">
        <f t="shared" si="1016"/>
        <v>0</v>
      </c>
      <c r="R310" s="16">
        <f t="shared" si="1016"/>
        <v>0</v>
      </c>
      <c r="S310" s="16">
        <f t="shared" si="1016"/>
        <v>0</v>
      </c>
      <c r="T310" s="16">
        <f t="shared" si="1016"/>
        <v>0</v>
      </c>
      <c r="U310" s="16">
        <f t="shared" si="1016"/>
        <v>0</v>
      </c>
      <c r="V310" s="16">
        <f t="shared" si="1016"/>
        <v>0</v>
      </c>
      <c r="W310" s="16">
        <f t="shared" si="1016"/>
        <v>0</v>
      </c>
      <c r="X310" s="16">
        <f t="shared" si="1016"/>
        <v>0</v>
      </c>
      <c r="Y310" s="16">
        <f t="shared" si="1016"/>
        <v>0</v>
      </c>
      <c r="Z310" s="16">
        <f t="shared" si="1016"/>
        <v>0</v>
      </c>
      <c r="AA310" s="16">
        <f t="shared" si="1016"/>
        <v>0</v>
      </c>
      <c r="AB310" s="16">
        <f t="shared" si="1016"/>
        <v>0</v>
      </c>
      <c r="AC310" s="16">
        <f t="shared" si="1016"/>
        <v>0</v>
      </c>
      <c r="AD310" s="16">
        <f t="shared" si="1016"/>
        <v>0</v>
      </c>
      <c r="AE310" s="16">
        <f t="shared" si="1016"/>
        <v>0</v>
      </c>
      <c r="AF310" s="16">
        <f t="shared" si="1016"/>
        <v>0</v>
      </c>
      <c r="AG310" s="16">
        <f t="shared" si="1016"/>
        <v>0</v>
      </c>
      <c r="AH310" s="13">
        <f t="shared" si="1016"/>
        <v>0</v>
      </c>
      <c r="AI310" s="13">
        <f t="shared" si="1016"/>
        <v>0</v>
      </c>
      <c r="AJ310" s="13">
        <f t="shared" si="1016"/>
        <v>0</v>
      </c>
      <c r="AK310" s="13">
        <f t="shared" si="1016"/>
        <v>0</v>
      </c>
      <c r="AL310" s="13">
        <f t="shared" si="1016"/>
        <v>0</v>
      </c>
      <c r="AM310" s="13">
        <f t="shared" si="1016"/>
        <v>0</v>
      </c>
      <c r="AN310" s="13">
        <f t="shared" si="1016"/>
        <v>0</v>
      </c>
      <c r="AO310" s="13">
        <f t="shared" si="1016"/>
        <v>0</v>
      </c>
      <c r="AP310" s="13">
        <f t="shared" si="1016"/>
        <v>0</v>
      </c>
      <c r="AQ310" s="13">
        <f t="shared" si="1016"/>
        <v>0</v>
      </c>
      <c r="AR310" s="17">
        <f t="shared" si="1016"/>
        <v>0</v>
      </c>
      <c r="AS310" s="171">
        <f t="shared" si="1016"/>
        <v>4304036</v>
      </c>
      <c r="AT310" s="16">
        <f t="shared" si="1016"/>
        <v>3176348</v>
      </c>
      <c r="AU310" s="16">
        <f t="shared" si="1016"/>
        <v>0</v>
      </c>
      <c r="AV310" s="16">
        <f t="shared" si="1016"/>
        <v>1073605</v>
      </c>
      <c r="AW310" s="16">
        <f t="shared" si="1016"/>
        <v>31763</v>
      </c>
      <c r="AX310" s="16">
        <f t="shared" si="1016"/>
        <v>22320</v>
      </c>
      <c r="AY310" s="13">
        <f t="shared" si="1016"/>
        <v>5.8062000000000005</v>
      </c>
      <c r="AZ310" s="13">
        <f t="shared" si="1016"/>
        <v>5.2061999999999999</v>
      </c>
      <c r="BA310" s="17">
        <f t="shared" si="1016"/>
        <v>0.6</v>
      </c>
    </row>
    <row r="311" spans="4:53" x14ac:dyDescent="0.2">
      <c r="D311" s="9"/>
      <c r="E311" s="5"/>
      <c r="F311" s="9"/>
      <c r="G311" s="20"/>
      <c r="H311" s="2">
        <v>3141</v>
      </c>
      <c r="I311" s="170">
        <f t="shared" ref="I311:BA311" si="1017">SUMIF($F$12:$F$459,"=3141",I$12:I$459)</f>
        <v>69640558</v>
      </c>
      <c r="J311" s="16">
        <f t="shared" si="1017"/>
        <v>51337473</v>
      </c>
      <c r="K311" s="16">
        <f t="shared" si="1017"/>
        <v>17352068</v>
      </c>
      <c r="L311" s="16">
        <f t="shared" si="1017"/>
        <v>513379</v>
      </c>
      <c r="M311" s="16">
        <f t="shared" si="1017"/>
        <v>437638</v>
      </c>
      <c r="N311" s="13">
        <f t="shared" si="1017"/>
        <v>165.01</v>
      </c>
      <c r="O311" s="13">
        <f t="shared" si="1017"/>
        <v>0</v>
      </c>
      <c r="P311" s="172">
        <f t="shared" si="1017"/>
        <v>165.01</v>
      </c>
      <c r="Q311" s="170">
        <f t="shared" si="1017"/>
        <v>-204100</v>
      </c>
      <c r="R311" s="16">
        <f t="shared" si="1017"/>
        <v>0</v>
      </c>
      <c r="S311" s="16">
        <f t="shared" si="1017"/>
        <v>0</v>
      </c>
      <c r="T311" s="16">
        <f t="shared" si="1017"/>
        <v>0</v>
      </c>
      <c r="U311" s="16">
        <f t="shared" si="1017"/>
        <v>0</v>
      </c>
      <c r="V311" s="16">
        <f t="shared" si="1017"/>
        <v>-204100</v>
      </c>
      <c r="W311" s="16">
        <f t="shared" si="1017"/>
        <v>204100</v>
      </c>
      <c r="X311" s="16">
        <f t="shared" si="1017"/>
        <v>0</v>
      </c>
      <c r="Y311" s="16">
        <f t="shared" si="1017"/>
        <v>0</v>
      </c>
      <c r="Z311" s="16">
        <f t="shared" si="1017"/>
        <v>204100</v>
      </c>
      <c r="AA311" s="16">
        <f t="shared" si="1017"/>
        <v>0</v>
      </c>
      <c r="AB311" s="16">
        <f t="shared" si="1017"/>
        <v>0</v>
      </c>
      <c r="AC311" s="16">
        <f t="shared" si="1017"/>
        <v>-2043</v>
      </c>
      <c r="AD311" s="16">
        <f t="shared" si="1017"/>
        <v>0</v>
      </c>
      <c r="AE311" s="16">
        <f t="shared" si="1017"/>
        <v>0</v>
      </c>
      <c r="AF311" s="16">
        <f t="shared" si="1017"/>
        <v>0</v>
      </c>
      <c r="AG311" s="16">
        <f t="shared" si="1017"/>
        <v>-2043</v>
      </c>
      <c r="AH311" s="13">
        <f t="shared" si="1017"/>
        <v>0</v>
      </c>
      <c r="AI311" s="13">
        <f t="shared" si="1017"/>
        <v>-0.3</v>
      </c>
      <c r="AJ311" s="13">
        <f t="shared" si="1017"/>
        <v>0</v>
      </c>
      <c r="AK311" s="13">
        <f t="shared" si="1017"/>
        <v>0</v>
      </c>
      <c r="AL311" s="13">
        <f t="shared" si="1017"/>
        <v>0</v>
      </c>
      <c r="AM311" s="13">
        <f t="shared" si="1017"/>
        <v>0</v>
      </c>
      <c r="AN311" s="13">
        <f t="shared" si="1017"/>
        <v>0</v>
      </c>
      <c r="AO311" s="13">
        <f t="shared" si="1017"/>
        <v>0</v>
      </c>
      <c r="AP311" s="13">
        <f t="shared" si="1017"/>
        <v>0</v>
      </c>
      <c r="AQ311" s="13">
        <f t="shared" si="1017"/>
        <v>-0.3</v>
      </c>
      <c r="AR311" s="17">
        <f t="shared" si="1017"/>
        <v>-0.3</v>
      </c>
      <c r="AS311" s="171">
        <f t="shared" si="1017"/>
        <v>69638515</v>
      </c>
      <c r="AT311" s="16">
        <f t="shared" si="1017"/>
        <v>51133373</v>
      </c>
      <c r="AU311" s="16">
        <f t="shared" si="1017"/>
        <v>204100</v>
      </c>
      <c r="AV311" s="16">
        <f t="shared" si="1017"/>
        <v>17352068</v>
      </c>
      <c r="AW311" s="16">
        <f t="shared" si="1017"/>
        <v>511336</v>
      </c>
      <c r="AX311" s="16">
        <f t="shared" si="1017"/>
        <v>437638</v>
      </c>
      <c r="AY311" s="13">
        <f t="shared" si="1017"/>
        <v>164.71</v>
      </c>
      <c r="AZ311" s="13">
        <f t="shared" si="1017"/>
        <v>0</v>
      </c>
      <c r="BA311" s="17">
        <f t="shared" si="1017"/>
        <v>164.71</v>
      </c>
    </row>
    <row r="312" spans="4:53" x14ac:dyDescent="0.2">
      <c r="D312" s="9"/>
      <c r="E312" s="5"/>
      <c r="F312" s="9"/>
      <c r="G312" s="20"/>
      <c r="H312" s="2">
        <v>3143</v>
      </c>
      <c r="I312" s="170">
        <f t="shared" ref="I312:BA312" si="1018">SUMIF($F$12:$F$459,"=3143",I$12:I$459)</f>
        <v>53340166</v>
      </c>
      <c r="J312" s="16">
        <f t="shared" si="1018"/>
        <v>39525068</v>
      </c>
      <c r="K312" s="16">
        <f t="shared" si="1018"/>
        <v>13359476</v>
      </c>
      <c r="L312" s="16">
        <f t="shared" si="1018"/>
        <v>395250</v>
      </c>
      <c r="M312" s="16">
        <f t="shared" si="1018"/>
        <v>60372</v>
      </c>
      <c r="N312" s="13">
        <f t="shared" si="1018"/>
        <v>86.295000000000016</v>
      </c>
      <c r="O312" s="13">
        <f t="shared" si="1018"/>
        <v>81.52500000000002</v>
      </c>
      <c r="P312" s="172">
        <f t="shared" si="1018"/>
        <v>4.7699999999999996</v>
      </c>
      <c r="Q312" s="170">
        <f t="shared" si="1018"/>
        <v>-148200</v>
      </c>
      <c r="R312" s="16">
        <f t="shared" si="1018"/>
        <v>0</v>
      </c>
      <c r="S312" s="16">
        <f t="shared" si="1018"/>
        <v>0</v>
      </c>
      <c r="T312" s="16">
        <f t="shared" si="1018"/>
        <v>0</v>
      </c>
      <c r="U312" s="16">
        <f t="shared" si="1018"/>
        <v>-13454</v>
      </c>
      <c r="V312" s="16">
        <f t="shared" si="1018"/>
        <v>-161654</v>
      </c>
      <c r="W312" s="16">
        <f t="shared" si="1018"/>
        <v>148200</v>
      </c>
      <c r="X312" s="16">
        <f t="shared" si="1018"/>
        <v>0</v>
      </c>
      <c r="Y312" s="16">
        <f t="shared" si="1018"/>
        <v>0</v>
      </c>
      <c r="Z312" s="16">
        <f t="shared" si="1018"/>
        <v>148200</v>
      </c>
      <c r="AA312" s="16">
        <f t="shared" si="1018"/>
        <v>-13454</v>
      </c>
      <c r="AB312" s="16">
        <f t="shared" si="1018"/>
        <v>-4547</v>
      </c>
      <c r="AC312" s="16">
        <f t="shared" si="1018"/>
        <v>-1618</v>
      </c>
      <c r="AD312" s="16">
        <f t="shared" si="1018"/>
        <v>0</v>
      </c>
      <c r="AE312" s="16">
        <f t="shared" si="1018"/>
        <v>0</v>
      </c>
      <c r="AF312" s="16">
        <f t="shared" si="1018"/>
        <v>0</v>
      </c>
      <c r="AG312" s="16">
        <f t="shared" si="1018"/>
        <v>-19619</v>
      </c>
      <c r="AH312" s="13">
        <f t="shared" si="1018"/>
        <v>-0.18</v>
      </c>
      <c r="AI312" s="13">
        <f t="shared" si="1018"/>
        <v>0</v>
      </c>
      <c r="AJ312" s="13">
        <f t="shared" si="1018"/>
        <v>0</v>
      </c>
      <c r="AK312" s="13">
        <f t="shared" si="1018"/>
        <v>0</v>
      </c>
      <c r="AL312" s="13">
        <f t="shared" si="1018"/>
        <v>0</v>
      </c>
      <c r="AM312" s="13">
        <f t="shared" si="1018"/>
        <v>0</v>
      </c>
      <c r="AN312" s="13">
        <f t="shared" si="1018"/>
        <v>0</v>
      </c>
      <c r="AO312" s="13">
        <f t="shared" si="1018"/>
        <v>0</v>
      </c>
      <c r="AP312" s="13">
        <f t="shared" si="1018"/>
        <v>-0.18</v>
      </c>
      <c r="AQ312" s="13">
        <f t="shared" si="1018"/>
        <v>0</v>
      </c>
      <c r="AR312" s="17">
        <f t="shared" si="1018"/>
        <v>-0.18</v>
      </c>
      <c r="AS312" s="171">
        <f t="shared" si="1018"/>
        <v>53320547</v>
      </c>
      <c r="AT312" s="16">
        <f t="shared" si="1018"/>
        <v>39363414</v>
      </c>
      <c r="AU312" s="16">
        <f t="shared" si="1018"/>
        <v>148200</v>
      </c>
      <c r="AV312" s="16">
        <f t="shared" si="1018"/>
        <v>13354929</v>
      </c>
      <c r="AW312" s="16">
        <f t="shared" si="1018"/>
        <v>393632</v>
      </c>
      <c r="AX312" s="16">
        <f t="shared" si="1018"/>
        <v>60372</v>
      </c>
      <c r="AY312" s="13">
        <f t="shared" si="1018"/>
        <v>86.115000000000023</v>
      </c>
      <c r="AZ312" s="13">
        <f t="shared" si="1018"/>
        <v>81.345000000000027</v>
      </c>
      <c r="BA312" s="17">
        <f t="shared" si="1018"/>
        <v>4.7699999999999996</v>
      </c>
    </row>
    <row r="313" spans="4:53" x14ac:dyDescent="0.2">
      <c r="D313" s="9"/>
      <c r="E313" s="5"/>
      <c r="F313" s="9"/>
      <c r="G313" s="20"/>
      <c r="H313" s="2">
        <v>3231</v>
      </c>
      <c r="I313" s="170">
        <f t="shared" ref="I313:BA313" si="1019">SUMIF($F$12:$F$459,"=3231",I$12:I$459)</f>
        <v>58362674</v>
      </c>
      <c r="J313" s="16">
        <f t="shared" si="1019"/>
        <v>43200860</v>
      </c>
      <c r="K313" s="16">
        <f t="shared" si="1019"/>
        <v>14601890</v>
      </c>
      <c r="L313" s="16">
        <f t="shared" si="1019"/>
        <v>432008</v>
      </c>
      <c r="M313" s="16">
        <f t="shared" si="1019"/>
        <v>127916</v>
      </c>
      <c r="N313" s="13">
        <f t="shared" si="1019"/>
        <v>76.058000000000021</v>
      </c>
      <c r="O313" s="13">
        <f t="shared" si="1019"/>
        <v>68.882199999999997</v>
      </c>
      <c r="P313" s="172">
        <f t="shared" si="1019"/>
        <v>7.1757999999999997</v>
      </c>
      <c r="Q313" s="170">
        <f t="shared" si="1019"/>
        <v>-128310</v>
      </c>
      <c r="R313" s="16">
        <f t="shared" si="1019"/>
        <v>0</v>
      </c>
      <c r="S313" s="16">
        <f t="shared" si="1019"/>
        <v>0</v>
      </c>
      <c r="T313" s="16">
        <f t="shared" si="1019"/>
        <v>0</v>
      </c>
      <c r="U313" s="16">
        <f t="shared" si="1019"/>
        <v>0</v>
      </c>
      <c r="V313" s="16">
        <f t="shared" si="1019"/>
        <v>-128310</v>
      </c>
      <c r="W313" s="16">
        <f t="shared" si="1019"/>
        <v>128310</v>
      </c>
      <c r="X313" s="16">
        <f t="shared" si="1019"/>
        <v>0</v>
      </c>
      <c r="Y313" s="16">
        <f t="shared" si="1019"/>
        <v>0</v>
      </c>
      <c r="Z313" s="16">
        <f t="shared" si="1019"/>
        <v>128310</v>
      </c>
      <c r="AA313" s="16">
        <f t="shared" si="1019"/>
        <v>0</v>
      </c>
      <c r="AB313" s="16">
        <f t="shared" si="1019"/>
        <v>0</v>
      </c>
      <c r="AC313" s="16">
        <f t="shared" si="1019"/>
        <v>-1283</v>
      </c>
      <c r="AD313" s="16">
        <f t="shared" si="1019"/>
        <v>0</v>
      </c>
      <c r="AE313" s="16">
        <f t="shared" si="1019"/>
        <v>0</v>
      </c>
      <c r="AF313" s="16">
        <f t="shared" si="1019"/>
        <v>0</v>
      </c>
      <c r="AG313" s="16">
        <f t="shared" si="1019"/>
        <v>-1283</v>
      </c>
      <c r="AH313" s="13">
        <f t="shared" si="1019"/>
        <v>-0.18000000000000002</v>
      </c>
      <c r="AI313" s="13">
        <f t="shared" si="1019"/>
        <v>-0.13999999999999999</v>
      </c>
      <c r="AJ313" s="13">
        <f t="shared" si="1019"/>
        <v>0</v>
      </c>
      <c r="AK313" s="13">
        <f t="shared" si="1019"/>
        <v>0</v>
      </c>
      <c r="AL313" s="13">
        <f t="shared" si="1019"/>
        <v>0</v>
      </c>
      <c r="AM313" s="13">
        <f t="shared" si="1019"/>
        <v>0</v>
      </c>
      <c r="AN313" s="13">
        <f t="shared" si="1019"/>
        <v>0</v>
      </c>
      <c r="AO313" s="13">
        <f t="shared" si="1019"/>
        <v>0</v>
      </c>
      <c r="AP313" s="13">
        <f t="shared" si="1019"/>
        <v>-0.18000000000000002</v>
      </c>
      <c r="AQ313" s="13">
        <f t="shared" si="1019"/>
        <v>-0.13999999999999999</v>
      </c>
      <c r="AR313" s="17">
        <f t="shared" si="1019"/>
        <v>-0.32</v>
      </c>
      <c r="AS313" s="171">
        <f t="shared" si="1019"/>
        <v>58361391</v>
      </c>
      <c r="AT313" s="16">
        <f t="shared" si="1019"/>
        <v>43072550</v>
      </c>
      <c r="AU313" s="16">
        <f t="shared" si="1019"/>
        <v>128310</v>
      </c>
      <c r="AV313" s="16">
        <f t="shared" si="1019"/>
        <v>14601890</v>
      </c>
      <c r="AW313" s="16">
        <f t="shared" si="1019"/>
        <v>430725</v>
      </c>
      <c r="AX313" s="16">
        <f t="shared" si="1019"/>
        <v>127916</v>
      </c>
      <c r="AY313" s="13">
        <f t="shared" si="1019"/>
        <v>75.738</v>
      </c>
      <c r="AZ313" s="13">
        <f t="shared" si="1019"/>
        <v>68.702200000000005</v>
      </c>
      <c r="BA313" s="17">
        <f t="shared" si="1019"/>
        <v>7.0358000000000001</v>
      </c>
    </row>
    <row r="314" spans="4:53" ht="13.5" thickBot="1" x14ac:dyDescent="0.25">
      <c r="D314" s="9"/>
      <c r="E314" s="5"/>
      <c r="F314" s="9"/>
      <c r="G314" s="20"/>
      <c r="H314" s="154">
        <v>3233</v>
      </c>
      <c r="I314" s="173">
        <f t="shared" ref="I314:BA314" si="1020">SUMIF($F$12:$F$459,"=3233",I$12:I$459)</f>
        <v>9182378</v>
      </c>
      <c r="J314" s="174">
        <f t="shared" si="1020"/>
        <v>6802293</v>
      </c>
      <c r="K314" s="174">
        <f t="shared" si="1020"/>
        <v>2299175</v>
      </c>
      <c r="L314" s="174">
        <f t="shared" si="1020"/>
        <v>68023</v>
      </c>
      <c r="M314" s="174">
        <f t="shared" si="1020"/>
        <v>12887</v>
      </c>
      <c r="N314" s="175">
        <f t="shared" si="1020"/>
        <v>15.510000000000002</v>
      </c>
      <c r="O314" s="175">
        <f t="shared" si="1020"/>
        <v>9.61</v>
      </c>
      <c r="P314" s="178">
        <f t="shared" si="1020"/>
        <v>5.8999999999999995</v>
      </c>
      <c r="Q314" s="173">
        <f t="shared" si="1020"/>
        <v>-468650</v>
      </c>
      <c r="R314" s="174">
        <f t="shared" si="1020"/>
        <v>0</v>
      </c>
      <c r="S314" s="174">
        <f t="shared" si="1020"/>
        <v>0</v>
      </c>
      <c r="T314" s="174">
        <f t="shared" si="1020"/>
        <v>0</v>
      </c>
      <c r="U314" s="174">
        <f t="shared" si="1020"/>
        <v>0</v>
      </c>
      <c r="V314" s="174">
        <f t="shared" si="1020"/>
        <v>-468650</v>
      </c>
      <c r="W314" s="174">
        <f t="shared" si="1020"/>
        <v>468650</v>
      </c>
      <c r="X314" s="174">
        <f t="shared" si="1020"/>
        <v>0</v>
      </c>
      <c r="Y314" s="174">
        <f t="shared" si="1020"/>
        <v>0</v>
      </c>
      <c r="Z314" s="174">
        <f t="shared" si="1020"/>
        <v>468650</v>
      </c>
      <c r="AA314" s="174">
        <f t="shared" si="1020"/>
        <v>0</v>
      </c>
      <c r="AB314" s="174">
        <f t="shared" si="1020"/>
        <v>0</v>
      </c>
      <c r="AC314" s="174">
        <f t="shared" si="1020"/>
        <v>-4687</v>
      </c>
      <c r="AD314" s="174">
        <f t="shared" si="1020"/>
        <v>0</v>
      </c>
      <c r="AE314" s="174">
        <f t="shared" si="1020"/>
        <v>0</v>
      </c>
      <c r="AF314" s="174">
        <f t="shared" si="1020"/>
        <v>0</v>
      </c>
      <c r="AG314" s="174">
        <f t="shared" si="1020"/>
        <v>-4687</v>
      </c>
      <c r="AH314" s="175">
        <f t="shared" si="1020"/>
        <v>-0.65</v>
      </c>
      <c r="AI314" s="175">
        <f t="shared" si="1020"/>
        <v>-0.47</v>
      </c>
      <c r="AJ314" s="175">
        <f t="shared" si="1020"/>
        <v>0</v>
      </c>
      <c r="AK314" s="175">
        <f t="shared" si="1020"/>
        <v>0</v>
      </c>
      <c r="AL314" s="175">
        <f t="shared" si="1020"/>
        <v>0</v>
      </c>
      <c r="AM314" s="175">
        <f t="shared" si="1020"/>
        <v>0</v>
      </c>
      <c r="AN314" s="175">
        <f t="shared" si="1020"/>
        <v>0</v>
      </c>
      <c r="AO314" s="175">
        <f t="shared" si="1020"/>
        <v>0</v>
      </c>
      <c r="AP314" s="175">
        <f t="shared" si="1020"/>
        <v>-0.65</v>
      </c>
      <c r="AQ314" s="175">
        <f t="shared" si="1020"/>
        <v>-0.47</v>
      </c>
      <c r="AR314" s="176">
        <f t="shared" si="1020"/>
        <v>-1.1199999999999999</v>
      </c>
      <c r="AS314" s="177">
        <f t="shared" si="1020"/>
        <v>9177691</v>
      </c>
      <c r="AT314" s="174">
        <f t="shared" si="1020"/>
        <v>6333643</v>
      </c>
      <c r="AU314" s="174">
        <f t="shared" si="1020"/>
        <v>468650</v>
      </c>
      <c r="AV314" s="174">
        <f t="shared" si="1020"/>
        <v>2299175</v>
      </c>
      <c r="AW314" s="174">
        <f t="shared" si="1020"/>
        <v>63336</v>
      </c>
      <c r="AX314" s="174">
        <f t="shared" si="1020"/>
        <v>12887</v>
      </c>
      <c r="AY314" s="175">
        <f t="shared" si="1020"/>
        <v>14.39</v>
      </c>
      <c r="AZ314" s="175">
        <f t="shared" si="1020"/>
        <v>8.9600000000000009</v>
      </c>
      <c r="BA314" s="176">
        <f t="shared" si="1020"/>
        <v>5.43</v>
      </c>
    </row>
    <row r="315" spans="4:53" x14ac:dyDescent="0.2">
      <c r="D315" s="5"/>
      <c r="E315" s="5"/>
      <c r="F315" s="5"/>
      <c r="G315" s="20"/>
      <c r="H315" s="5"/>
    </row>
  </sheetData>
  <mergeCells count="26">
    <mergeCell ref="A3:E3"/>
    <mergeCell ref="AB7:AB10"/>
    <mergeCell ref="AD7:AF9"/>
    <mergeCell ref="AG7:AG10"/>
    <mergeCell ref="AJ8:AJ9"/>
    <mergeCell ref="I6:P7"/>
    <mergeCell ref="Q7:V9"/>
    <mergeCell ref="W7:Z9"/>
    <mergeCell ref="AA7:AA10"/>
    <mergeCell ref="AC7:AC10"/>
    <mergeCell ref="I8:I10"/>
    <mergeCell ref="J8:M9"/>
    <mergeCell ref="N8:N10"/>
    <mergeCell ref="O8:P9"/>
    <mergeCell ref="AH8:AI9"/>
    <mergeCell ref="Q6:AR6"/>
    <mergeCell ref="AS6:BA7"/>
    <mergeCell ref="AH7:AR7"/>
    <mergeCell ref="AN8:AO9"/>
    <mergeCell ref="AP8:AR9"/>
    <mergeCell ref="AS8:AS10"/>
    <mergeCell ref="AT8:AX9"/>
    <mergeCell ref="AY8:AY10"/>
    <mergeCell ref="AZ8:BA9"/>
    <mergeCell ref="AK8:AL8"/>
    <mergeCell ref="AM8:AM9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8"/>
  <dimension ref="A1:BP155"/>
  <sheetViews>
    <sheetView workbookViewId="0">
      <pane xSplit="8" ySplit="11" topLeftCell="AO108" activePane="bottomRight" state="frozen"/>
      <selection activeCell="AQ11" sqref="AQ11"/>
      <selection pane="topRight" activeCell="AQ11" sqref="AQ11"/>
      <selection pane="bottomLeft" activeCell="AQ11" sqref="AQ11"/>
      <selection pane="bottomRight" activeCell="AS6" sqref="AS6:BA7"/>
    </sheetView>
  </sheetViews>
  <sheetFormatPr defaultColWidth="9.140625" defaultRowHeight="15" x14ac:dyDescent="0.25"/>
  <cols>
    <col min="1" max="1" width="5.28515625" style="327" customWidth="1"/>
    <col min="2" max="2" width="7.140625" style="269" bestFit="1" customWidth="1"/>
    <col min="3" max="3" width="8.7109375" style="328" bestFit="1" customWidth="1"/>
    <col min="4" max="4" width="7.85546875" style="269" bestFit="1" customWidth="1"/>
    <col min="5" max="5" width="31.42578125" style="335" customWidth="1"/>
    <col min="6" max="6" width="4.42578125" style="328" bestFit="1" customWidth="1"/>
    <col min="7" max="7" width="10.28515625" style="269" bestFit="1" customWidth="1"/>
    <col min="8" max="8" width="8" style="269" bestFit="1" customWidth="1"/>
    <col min="9" max="9" width="10.85546875" style="333" customWidth="1"/>
    <col min="10" max="10" width="12.85546875" style="333" customWidth="1"/>
    <col min="11" max="13" width="10.42578125" style="333" customWidth="1"/>
    <col min="14" max="14" width="11.7109375" style="334" customWidth="1"/>
    <col min="15" max="15" width="10" style="334" customWidth="1"/>
    <col min="16" max="16" width="9.28515625" style="334" customWidth="1"/>
    <col min="17" max="17" width="9.140625" style="333"/>
    <col min="18" max="18" width="9.7109375" style="333" customWidth="1"/>
    <col min="19" max="20" width="10" style="333" customWidth="1"/>
    <col min="21" max="21" width="9.7109375" style="333" customWidth="1"/>
    <col min="22" max="23" width="9.140625" style="333"/>
    <col min="24" max="25" width="9.140625" style="333" customWidth="1"/>
    <col min="26" max="26" width="9.140625" style="333"/>
    <col min="27" max="27" width="10.140625" style="333" customWidth="1"/>
    <col min="28" max="29" width="9.28515625" style="333" customWidth="1"/>
    <col min="30" max="30" width="9" style="333" customWidth="1"/>
    <col min="31" max="33" width="9.28515625" style="333" customWidth="1"/>
    <col min="34" max="34" width="9.28515625" style="334" customWidth="1"/>
    <col min="35" max="35" width="10.28515625" style="334" customWidth="1"/>
    <col min="36" max="39" width="9.7109375" style="334" customWidth="1"/>
    <col min="40" max="44" width="9.28515625" style="334" customWidth="1"/>
    <col min="45" max="45" width="12.7109375" style="333" customWidth="1"/>
    <col min="46" max="46" width="12.42578125" style="333" customWidth="1"/>
    <col min="47" max="47" width="9.42578125" style="333" customWidth="1"/>
    <col min="48" max="50" width="9.140625" style="333" customWidth="1"/>
    <col min="51" max="51" width="11.42578125" style="334" customWidth="1"/>
    <col min="52" max="53" width="9.28515625" style="334" customWidth="1"/>
    <col min="54" max="54" width="9.140625" style="269"/>
    <col min="55" max="55" width="3.140625" style="269" customWidth="1"/>
    <col min="56" max="16384" width="9.140625" style="269"/>
  </cols>
  <sheetData>
    <row r="1" spans="1:53" ht="15.75" customHeight="1" x14ac:dyDescent="0.25">
      <c r="A1" s="424" t="s">
        <v>2</v>
      </c>
      <c r="B1" s="424"/>
      <c r="C1" s="267"/>
      <c r="D1" s="424"/>
      <c r="E1" s="424"/>
      <c r="F1" s="268"/>
      <c r="G1" s="268"/>
      <c r="H1" s="268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89"/>
      <c r="AK1" s="89"/>
      <c r="AL1" s="89"/>
      <c r="AM1" s="89"/>
      <c r="AN1" s="89"/>
      <c r="AO1" s="89"/>
      <c r="AP1" s="89"/>
      <c r="AQ1" s="89"/>
      <c r="AR1" s="89"/>
    </row>
    <row r="2" spans="1:53" ht="12.75" customHeight="1" x14ac:dyDescent="0.25">
      <c r="A2" s="424" t="s">
        <v>3</v>
      </c>
      <c r="B2" s="424"/>
      <c r="C2" s="267"/>
      <c r="D2" s="424"/>
      <c r="E2" s="424"/>
      <c r="F2" s="268"/>
      <c r="G2" s="268"/>
      <c r="H2" s="268"/>
    </row>
    <row r="3" spans="1:53" ht="12" customHeight="1" x14ac:dyDescent="0.25">
      <c r="A3" s="839" t="s">
        <v>4</v>
      </c>
      <c r="B3" s="839"/>
      <c r="C3" s="839"/>
      <c r="D3" s="839"/>
      <c r="E3" s="839"/>
      <c r="F3" s="268"/>
      <c r="G3" s="268"/>
      <c r="H3" s="268"/>
      <c r="R3" s="631"/>
      <c r="S3" s="631"/>
      <c r="T3" s="631"/>
      <c r="Y3" s="744"/>
    </row>
    <row r="4" spans="1:53" ht="12" customHeight="1" x14ac:dyDescent="0.25">
      <c r="A4" s="270"/>
      <c r="B4" s="424"/>
      <c r="C4" s="424"/>
      <c r="D4" s="424"/>
      <c r="E4" s="424"/>
      <c r="F4" s="268"/>
      <c r="G4" s="268"/>
      <c r="H4" s="268"/>
      <c r="R4" s="712" t="s">
        <v>839</v>
      </c>
      <c r="S4" s="630"/>
      <c r="T4" s="630"/>
    </row>
    <row r="5" spans="1:53" ht="23.25" customHeight="1" thickBot="1" x14ac:dyDescent="0.3">
      <c r="A5" s="185" t="s">
        <v>827</v>
      </c>
      <c r="B5" s="52"/>
      <c r="C5" s="52"/>
      <c r="D5" s="52"/>
      <c r="E5" s="53"/>
      <c r="F5" s="271"/>
      <c r="G5" s="271"/>
      <c r="H5" s="271"/>
      <c r="R5" s="713" t="s">
        <v>840</v>
      </c>
      <c r="S5" s="630"/>
      <c r="T5" s="630"/>
    </row>
    <row r="6" spans="1:53" x14ac:dyDescent="0.25">
      <c r="A6" s="766" t="s">
        <v>859</v>
      </c>
      <c r="B6" s="767"/>
      <c r="C6" s="768"/>
      <c r="D6" s="768"/>
      <c r="E6" s="767"/>
      <c r="F6" s="767"/>
      <c r="G6" s="53"/>
      <c r="H6" s="268"/>
      <c r="I6" s="803" t="s">
        <v>828</v>
      </c>
      <c r="J6" s="804"/>
      <c r="K6" s="804"/>
      <c r="L6" s="804"/>
      <c r="M6" s="804"/>
      <c r="N6" s="804"/>
      <c r="O6" s="804"/>
      <c r="P6" s="805"/>
      <c r="Q6" s="809" t="s">
        <v>841</v>
      </c>
      <c r="R6" s="809"/>
      <c r="S6" s="809"/>
      <c r="T6" s="809"/>
      <c r="U6" s="809"/>
      <c r="V6" s="809"/>
      <c r="W6" s="809"/>
      <c r="X6" s="809"/>
      <c r="Y6" s="809"/>
      <c r="Z6" s="809"/>
      <c r="AA6" s="809"/>
      <c r="AB6" s="809"/>
      <c r="AC6" s="809"/>
      <c r="AD6" s="809"/>
      <c r="AE6" s="809"/>
      <c r="AF6" s="809"/>
      <c r="AG6" s="809"/>
      <c r="AH6" s="809"/>
      <c r="AI6" s="809"/>
      <c r="AJ6" s="809"/>
      <c r="AK6" s="809"/>
      <c r="AL6" s="809"/>
      <c r="AM6" s="809"/>
      <c r="AN6" s="809"/>
      <c r="AO6" s="809"/>
      <c r="AP6" s="809"/>
      <c r="AQ6" s="809"/>
      <c r="AR6" s="810"/>
      <c r="AS6" s="811" t="s">
        <v>865</v>
      </c>
      <c r="AT6" s="812"/>
      <c r="AU6" s="812"/>
      <c r="AV6" s="812"/>
      <c r="AW6" s="812"/>
      <c r="AX6" s="812"/>
      <c r="AY6" s="812"/>
      <c r="AZ6" s="812"/>
      <c r="BA6" s="813"/>
    </row>
    <row r="7" spans="1:53" ht="16.5" customHeight="1" thickBot="1" x14ac:dyDescent="0.3">
      <c r="A7" s="270"/>
      <c r="B7" s="272"/>
      <c r="C7" s="91"/>
      <c r="D7" s="273"/>
      <c r="E7" s="272"/>
      <c r="F7" s="268"/>
      <c r="G7" s="268"/>
      <c r="H7" s="268"/>
      <c r="I7" s="806"/>
      <c r="J7" s="807"/>
      <c r="K7" s="807"/>
      <c r="L7" s="807"/>
      <c r="M7" s="807"/>
      <c r="N7" s="807"/>
      <c r="O7" s="807"/>
      <c r="P7" s="808"/>
      <c r="Q7" s="817" t="s">
        <v>282</v>
      </c>
      <c r="R7" s="817"/>
      <c r="S7" s="817"/>
      <c r="T7" s="817"/>
      <c r="U7" s="817"/>
      <c r="V7" s="818"/>
      <c r="W7" s="823" t="s">
        <v>283</v>
      </c>
      <c r="X7" s="817"/>
      <c r="Y7" s="817"/>
      <c r="Z7" s="818"/>
      <c r="AA7" s="785" t="s">
        <v>284</v>
      </c>
      <c r="AB7" s="785" t="s">
        <v>5</v>
      </c>
      <c r="AC7" s="785" t="s">
        <v>285</v>
      </c>
      <c r="AD7" s="826"/>
      <c r="AE7" s="826"/>
      <c r="AF7" s="827"/>
      <c r="AG7" s="785" t="s">
        <v>305</v>
      </c>
      <c r="AH7" s="832" t="s">
        <v>850</v>
      </c>
      <c r="AI7" s="833"/>
      <c r="AJ7" s="833"/>
      <c r="AK7" s="833"/>
      <c r="AL7" s="833"/>
      <c r="AM7" s="833"/>
      <c r="AN7" s="833"/>
      <c r="AO7" s="833"/>
      <c r="AP7" s="833"/>
      <c r="AQ7" s="833"/>
      <c r="AR7" s="834"/>
      <c r="AS7" s="814"/>
      <c r="AT7" s="815"/>
      <c r="AU7" s="815"/>
      <c r="AV7" s="815"/>
      <c r="AW7" s="815"/>
      <c r="AX7" s="815"/>
      <c r="AY7" s="815"/>
      <c r="AZ7" s="815"/>
      <c r="BA7" s="816"/>
    </row>
    <row r="8" spans="1:53" ht="15" customHeight="1" x14ac:dyDescent="0.25">
      <c r="A8" s="274"/>
      <c r="B8" s="275"/>
      <c r="C8" s="275"/>
      <c r="D8" s="275"/>
      <c r="E8" s="275"/>
      <c r="F8" s="275"/>
      <c r="G8" s="275"/>
      <c r="H8" s="275"/>
      <c r="I8" s="794" t="s">
        <v>6</v>
      </c>
      <c r="J8" s="797" t="s">
        <v>802</v>
      </c>
      <c r="K8" s="798"/>
      <c r="L8" s="798"/>
      <c r="M8" s="799"/>
      <c r="N8" s="773" t="s">
        <v>849</v>
      </c>
      <c r="O8" s="776" t="s">
        <v>803</v>
      </c>
      <c r="P8" s="777"/>
      <c r="Q8" s="819"/>
      <c r="R8" s="819"/>
      <c r="S8" s="819"/>
      <c r="T8" s="819"/>
      <c r="U8" s="819"/>
      <c r="V8" s="820"/>
      <c r="W8" s="824"/>
      <c r="X8" s="819"/>
      <c r="Y8" s="819"/>
      <c r="Z8" s="820"/>
      <c r="AA8" s="786"/>
      <c r="AB8" s="786"/>
      <c r="AC8" s="786"/>
      <c r="AD8" s="828"/>
      <c r="AE8" s="828"/>
      <c r="AF8" s="829"/>
      <c r="AG8" s="786"/>
      <c r="AH8" s="780" t="s">
        <v>286</v>
      </c>
      <c r="AI8" s="781"/>
      <c r="AJ8" s="837" t="s">
        <v>287</v>
      </c>
      <c r="AK8" s="835" t="s">
        <v>842</v>
      </c>
      <c r="AL8" s="836"/>
      <c r="AM8" s="837" t="s">
        <v>820</v>
      </c>
      <c r="AN8" s="780" t="s">
        <v>288</v>
      </c>
      <c r="AO8" s="781"/>
      <c r="AP8" s="788" t="s">
        <v>851</v>
      </c>
      <c r="AQ8" s="789"/>
      <c r="AR8" s="790"/>
      <c r="AS8" s="794" t="s">
        <v>6</v>
      </c>
      <c r="AT8" s="797" t="s">
        <v>802</v>
      </c>
      <c r="AU8" s="798"/>
      <c r="AV8" s="798"/>
      <c r="AW8" s="798"/>
      <c r="AX8" s="799"/>
      <c r="AY8" s="773" t="s">
        <v>849</v>
      </c>
      <c r="AZ8" s="776" t="s">
        <v>804</v>
      </c>
      <c r="BA8" s="777"/>
    </row>
    <row r="9" spans="1:53" ht="15.75" customHeight="1" thickBot="1" x14ac:dyDescent="0.3">
      <c r="A9" s="276" t="s">
        <v>797</v>
      </c>
      <c r="B9" s="91"/>
      <c r="C9" s="91"/>
      <c r="D9" s="277"/>
      <c r="E9" s="91"/>
      <c r="F9" s="278"/>
      <c r="G9" s="279"/>
      <c r="H9" s="279"/>
      <c r="I9" s="795"/>
      <c r="J9" s="800"/>
      <c r="K9" s="801"/>
      <c r="L9" s="801"/>
      <c r="M9" s="802"/>
      <c r="N9" s="774"/>
      <c r="O9" s="778"/>
      <c r="P9" s="779"/>
      <c r="Q9" s="821"/>
      <c r="R9" s="821"/>
      <c r="S9" s="821"/>
      <c r="T9" s="821"/>
      <c r="U9" s="821"/>
      <c r="V9" s="822"/>
      <c r="W9" s="825"/>
      <c r="X9" s="821"/>
      <c r="Y9" s="821"/>
      <c r="Z9" s="822"/>
      <c r="AA9" s="786"/>
      <c r="AB9" s="786"/>
      <c r="AC9" s="786"/>
      <c r="AD9" s="830"/>
      <c r="AE9" s="830"/>
      <c r="AF9" s="831"/>
      <c r="AG9" s="786"/>
      <c r="AH9" s="782"/>
      <c r="AI9" s="783"/>
      <c r="AJ9" s="838"/>
      <c r="AK9" s="634" t="s">
        <v>817</v>
      </c>
      <c r="AL9" s="634" t="s">
        <v>818</v>
      </c>
      <c r="AM9" s="838"/>
      <c r="AN9" s="782"/>
      <c r="AO9" s="783"/>
      <c r="AP9" s="791"/>
      <c r="AQ9" s="792"/>
      <c r="AR9" s="793"/>
      <c r="AS9" s="795"/>
      <c r="AT9" s="800"/>
      <c r="AU9" s="801"/>
      <c r="AV9" s="801"/>
      <c r="AW9" s="801"/>
      <c r="AX9" s="802"/>
      <c r="AY9" s="774"/>
      <c r="AZ9" s="778"/>
      <c r="BA9" s="779"/>
    </row>
    <row r="10" spans="1:53" ht="34.5" thickBot="1" x14ac:dyDescent="0.3">
      <c r="A10" s="280" t="s">
        <v>776</v>
      </c>
      <c r="B10" s="281" t="s">
        <v>547</v>
      </c>
      <c r="C10" s="281" t="s">
        <v>548</v>
      </c>
      <c r="D10" s="281" t="s">
        <v>264</v>
      </c>
      <c r="E10" s="166" t="s">
        <v>778</v>
      </c>
      <c r="F10" s="281" t="s">
        <v>0</v>
      </c>
      <c r="G10" s="282" t="s">
        <v>265</v>
      </c>
      <c r="H10" s="37" t="s">
        <v>276</v>
      </c>
      <c r="I10" s="796"/>
      <c r="J10" s="439" t="s">
        <v>274</v>
      </c>
      <c r="K10" s="431" t="s">
        <v>5</v>
      </c>
      <c r="L10" s="431" t="s">
        <v>1</v>
      </c>
      <c r="M10" s="431" t="s">
        <v>7</v>
      </c>
      <c r="N10" s="775"/>
      <c r="O10" s="434" t="s">
        <v>280</v>
      </c>
      <c r="P10" s="435" t="s">
        <v>281</v>
      </c>
      <c r="Q10" s="642" t="s">
        <v>289</v>
      </c>
      <c r="R10" s="433" t="s">
        <v>287</v>
      </c>
      <c r="S10" s="433" t="s">
        <v>819</v>
      </c>
      <c r="T10" s="433" t="s">
        <v>820</v>
      </c>
      <c r="U10" s="433" t="s">
        <v>288</v>
      </c>
      <c r="V10" s="433" t="s">
        <v>821</v>
      </c>
      <c r="W10" s="432" t="s">
        <v>290</v>
      </c>
      <c r="X10" s="433" t="s">
        <v>801</v>
      </c>
      <c r="Y10" s="432" t="s">
        <v>291</v>
      </c>
      <c r="Z10" s="433" t="s">
        <v>768</v>
      </c>
      <c r="AA10" s="787"/>
      <c r="AB10" s="787"/>
      <c r="AC10" s="787"/>
      <c r="AD10" s="433" t="s">
        <v>287</v>
      </c>
      <c r="AE10" s="433" t="s">
        <v>292</v>
      </c>
      <c r="AF10" s="433" t="s">
        <v>769</v>
      </c>
      <c r="AG10" s="787"/>
      <c r="AH10" s="436" t="s">
        <v>280</v>
      </c>
      <c r="AI10" s="437" t="s">
        <v>281</v>
      </c>
      <c r="AJ10" s="436" t="s">
        <v>280</v>
      </c>
      <c r="AK10" s="436" t="s">
        <v>280</v>
      </c>
      <c r="AL10" s="437" t="s">
        <v>281</v>
      </c>
      <c r="AM10" s="436" t="s">
        <v>280</v>
      </c>
      <c r="AN10" s="436" t="s">
        <v>280</v>
      </c>
      <c r="AO10" s="437" t="s">
        <v>281</v>
      </c>
      <c r="AP10" s="436" t="s">
        <v>280</v>
      </c>
      <c r="AQ10" s="437" t="s">
        <v>281</v>
      </c>
      <c r="AR10" s="438" t="s">
        <v>301</v>
      </c>
      <c r="AS10" s="796"/>
      <c r="AT10" s="38" t="s">
        <v>274</v>
      </c>
      <c r="AU10" s="439" t="s">
        <v>283</v>
      </c>
      <c r="AV10" s="431" t="s">
        <v>5</v>
      </c>
      <c r="AW10" s="431" t="s">
        <v>1</v>
      </c>
      <c r="AX10" s="431" t="s">
        <v>7</v>
      </c>
      <c r="AY10" s="775"/>
      <c r="AZ10" s="434" t="s">
        <v>280</v>
      </c>
      <c r="BA10" s="435" t="s">
        <v>281</v>
      </c>
    </row>
    <row r="11" spans="1:53" s="286" customFormat="1" ht="11.25" customHeight="1" thickBot="1" x14ac:dyDescent="0.25">
      <c r="A11" s="283" t="s">
        <v>549</v>
      </c>
      <c r="B11" s="284" t="s">
        <v>550</v>
      </c>
      <c r="C11" s="284" t="s">
        <v>266</v>
      </c>
      <c r="D11" s="284" t="s">
        <v>267</v>
      </c>
      <c r="E11" s="284" t="s">
        <v>551</v>
      </c>
      <c r="F11" s="284" t="s">
        <v>0</v>
      </c>
      <c r="G11" s="284" t="s">
        <v>552</v>
      </c>
      <c r="H11" s="285" t="s">
        <v>772</v>
      </c>
      <c r="I11" s="139" t="s">
        <v>268</v>
      </c>
      <c r="J11" s="140" t="s">
        <v>269</v>
      </c>
      <c r="K11" s="140" t="s">
        <v>270</v>
      </c>
      <c r="L11" s="140" t="s">
        <v>271</v>
      </c>
      <c r="M11" s="140" t="s">
        <v>272</v>
      </c>
      <c r="N11" s="607" t="s">
        <v>273</v>
      </c>
      <c r="O11" s="193" t="s">
        <v>553</v>
      </c>
      <c r="P11" s="194" t="s">
        <v>554</v>
      </c>
      <c r="Q11" s="139" t="s">
        <v>293</v>
      </c>
      <c r="R11" s="140" t="s">
        <v>293</v>
      </c>
      <c r="S11" s="140" t="s">
        <v>293</v>
      </c>
      <c r="T11" s="140" t="s">
        <v>293</v>
      </c>
      <c r="U11" s="140" t="s">
        <v>293</v>
      </c>
      <c r="V11" s="140" t="s">
        <v>293</v>
      </c>
      <c r="W11" s="140" t="s">
        <v>294</v>
      </c>
      <c r="X11" s="140" t="s">
        <v>294</v>
      </c>
      <c r="Y11" s="140" t="s">
        <v>295</v>
      </c>
      <c r="Z11" s="140" t="s">
        <v>294</v>
      </c>
      <c r="AA11" s="140" t="s">
        <v>296</v>
      </c>
      <c r="AB11" s="140" t="s">
        <v>297</v>
      </c>
      <c r="AC11" s="140" t="s">
        <v>298</v>
      </c>
      <c r="AD11" s="140" t="s">
        <v>300</v>
      </c>
      <c r="AE11" s="140" t="s">
        <v>299</v>
      </c>
      <c r="AF11" s="140" t="s">
        <v>299</v>
      </c>
      <c r="AG11" s="140" t="s">
        <v>306</v>
      </c>
      <c r="AH11" s="193" t="s">
        <v>302</v>
      </c>
      <c r="AI11" s="193" t="s">
        <v>303</v>
      </c>
      <c r="AJ11" s="193" t="s">
        <v>302</v>
      </c>
      <c r="AK11" s="193" t="s">
        <v>302</v>
      </c>
      <c r="AL11" s="193" t="s">
        <v>303</v>
      </c>
      <c r="AM11" s="193" t="s">
        <v>302</v>
      </c>
      <c r="AN11" s="193" t="s">
        <v>302</v>
      </c>
      <c r="AO11" s="193" t="s">
        <v>303</v>
      </c>
      <c r="AP11" s="193" t="s">
        <v>302</v>
      </c>
      <c r="AQ11" s="193" t="s">
        <v>303</v>
      </c>
      <c r="AR11" s="194" t="s">
        <v>304</v>
      </c>
      <c r="AS11" s="629" t="s">
        <v>268</v>
      </c>
      <c r="AT11" s="140" t="s">
        <v>269</v>
      </c>
      <c r="AU11" s="140" t="s">
        <v>275</v>
      </c>
      <c r="AV11" s="140" t="s">
        <v>270</v>
      </c>
      <c r="AW11" s="140" t="s">
        <v>271</v>
      </c>
      <c r="AX11" s="140" t="s">
        <v>272</v>
      </c>
      <c r="AY11" s="193" t="s">
        <v>273</v>
      </c>
      <c r="AZ11" s="193" t="s">
        <v>553</v>
      </c>
      <c r="BA11" s="194" t="s">
        <v>554</v>
      </c>
    </row>
    <row r="12" spans="1:53" ht="12.95" customHeight="1" x14ac:dyDescent="0.25">
      <c r="A12" s="287">
        <v>1</v>
      </c>
      <c r="B12" s="288">
        <v>4486</v>
      </c>
      <c r="C12" s="289">
        <v>600075176</v>
      </c>
      <c r="D12" s="289">
        <v>46750401</v>
      </c>
      <c r="E12" s="290" t="s">
        <v>318</v>
      </c>
      <c r="F12" s="288">
        <v>3233</v>
      </c>
      <c r="G12" s="291" t="s">
        <v>314</v>
      </c>
      <c r="H12" s="291" t="s">
        <v>278</v>
      </c>
      <c r="I12" s="440">
        <f>SUM(J12:M12)</f>
        <v>5528112</v>
      </c>
      <c r="J12" s="441">
        <v>4095059</v>
      </c>
      <c r="K12" s="441">
        <f>ROUND(J12*33.8%,0)-1</f>
        <v>1384129</v>
      </c>
      <c r="L12" s="441">
        <f>ROUND(J12*1%,0)</f>
        <v>40951</v>
      </c>
      <c r="M12" s="441">
        <v>7973</v>
      </c>
      <c r="N12" s="745">
        <f>O12+P12</f>
        <v>9.42</v>
      </c>
      <c r="O12" s="746">
        <v>5.7</v>
      </c>
      <c r="P12" s="747">
        <v>3.72</v>
      </c>
      <c r="Q12" s="444">
        <f t="shared" ref="Q12" si="0">W12*-1</f>
        <v>-260000</v>
      </c>
      <c r="R12" s="445">
        <v>0</v>
      </c>
      <c r="S12" s="675">
        <v>0</v>
      </c>
      <c r="T12" s="445">
        <v>0</v>
      </c>
      <c r="U12" s="445">
        <v>0</v>
      </c>
      <c r="V12" s="445">
        <f>SUM(Q12:U12)</f>
        <v>-260000</v>
      </c>
      <c r="W12" s="445">
        <v>260000</v>
      </c>
      <c r="X12" s="445">
        <v>0</v>
      </c>
      <c r="Y12" s="445">
        <v>0</v>
      </c>
      <c r="Z12" s="445">
        <f t="shared" ref="Z12" si="1">SUM(W12:Y12)</f>
        <v>260000</v>
      </c>
      <c r="AA12" s="445">
        <f t="shared" ref="AA12" si="2">V12+Z12</f>
        <v>0</v>
      </c>
      <c r="AB12" s="147">
        <f t="shared" ref="AB12" si="3">ROUND((V12+W12+X12)*33.8%,0)</f>
        <v>0</v>
      </c>
      <c r="AC12" s="147">
        <f>ROUND(V12*1%,0)</f>
        <v>-2600</v>
      </c>
      <c r="AD12" s="445">
        <v>0</v>
      </c>
      <c r="AE12" s="445">
        <v>0</v>
      </c>
      <c r="AF12" s="445">
        <f t="shared" ref="AF12" si="4">SUM(AD12:AE12)</f>
        <v>0</v>
      </c>
      <c r="AG12" s="445">
        <f t="shared" ref="AG12" si="5">AA12+AB12+AC12+AF12</f>
        <v>-2600</v>
      </c>
      <c r="AH12" s="446">
        <v>-0.49</v>
      </c>
      <c r="AI12" s="446">
        <v>0</v>
      </c>
      <c r="AJ12" s="446">
        <v>0</v>
      </c>
      <c r="AK12" s="446">
        <v>0</v>
      </c>
      <c r="AL12" s="676">
        <v>0</v>
      </c>
      <c r="AM12" s="446">
        <v>0</v>
      </c>
      <c r="AN12" s="446">
        <v>0</v>
      </c>
      <c r="AO12" s="446">
        <v>0</v>
      </c>
      <c r="AP12" s="446">
        <f>AH12+AJ12+AK12+AM12+AN12</f>
        <v>-0.49</v>
      </c>
      <c r="AQ12" s="446">
        <f>AI12+AL12+AO12</f>
        <v>0</v>
      </c>
      <c r="AR12" s="448">
        <f t="shared" ref="AR12" si="6">SUM(AP12:AQ12)</f>
        <v>-0.49</v>
      </c>
      <c r="AS12" s="444">
        <f>I12+AG12</f>
        <v>5525512</v>
      </c>
      <c r="AT12" s="445">
        <f>J12+V12</f>
        <v>3835059</v>
      </c>
      <c r="AU12" s="445">
        <f>Z12</f>
        <v>260000</v>
      </c>
      <c r="AV12" s="445">
        <f>K12+AB12</f>
        <v>1384129</v>
      </c>
      <c r="AW12" s="445">
        <f>L12+AC12</f>
        <v>38351</v>
      </c>
      <c r="AX12" s="445">
        <f>M12+AF12</f>
        <v>7973</v>
      </c>
      <c r="AY12" s="446">
        <f>N12+AR12</f>
        <v>8.93</v>
      </c>
      <c r="AZ12" s="446">
        <f>O12+AP12</f>
        <v>5.21</v>
      </c>
      <c r="BA12" s="448">
        <f>P12+AQ12</f>
        <v>3.72</v>
      </c>
    </row>
    <row r="13" spans="1:53" ht="12.95" customHeight="1" x14ac:dyDescent="0.25">
      <c r="A13" s="292">
        <v>1</v>
      </c>
      <c r="B13" s="293">
        <v>4486</v>
      </c>
      <c r="C13" s="294">
        <v>600075176</v>
      </c>
      <c r="D13" s="294">
        <v>46750401</v>
      </c>
      <c r="E13" s="295" t="s">
        <v>319</v>
      </c>
      <c r="F13" s="296"/>
      <c r="G13" s="297"/>
      <c r="H13" s="297"/>
      <c r="I13" s="536">
        <f t="shared" ref="I13:BA13" si="7">SUM(I12)</f>
        <v>5528112</v>
      </c>
      <c r="J13" s="532">
        <f t="shared" si="7"/>
        <v>4095059</v>
      </c>
      <c r="K13" s="532">
        <f t="shared" si="7"/>
        <v>1384129</v>
      </c>
      <c r="L13" s="532">
        <f t="shared" si="7"/>
        <v>40951</v>
      </c>
      <c r="M13" s="532">
        <f t="shared" si="7"/>
        <v>7973</v>
      </c>
      <c r="N13" s="756">
        <f t="shared" si="7"/>
        <v>9.42</v>
      </c>
      <c r="O13" s="756">
        <f t="shared" si="7"/>
        <v>5.7</v>
      </c>
      <c r="P13" s="758">
        <f t="shared" si="7"/>
        <v>3.72</v>
      </c>
      <c r="Q13" s="538">
        <f t="shared" si="7"/>
        <v>-260000</v>
      </c>
      <c r="R13" s="532">
        <f t="shared" si="7"/>
        <v>0</v>
      </c>
      <c r="S13" s="532">
        <f t="shared" si="7"/>
        <v>0</v>
      </c>
      <c r="T13" s="532">
        <f t="shared" si="7"/>
        <v>0</v>
      </c>
      <c r="U13" s="532">
        <f t="shared" si="7"/>
        <v>0</v>
      </c>
      <c r="V13" s="532">
        <f t="shared" si="7"/>
        <v>-260000</v>
      </c>
      <c r="W13" s="532">
        <f t="shared" si="7"/>
        <v>260000</v>
      </c>
      <c r="X13" s="532">
        <f t="shared" si="7"/>
        <v>0</v>
      </c>
      <c r="Y13" s="532">
        <f t="shared" si="7"/>
        <v>0</v>
      </c>
      <c r="Z13" s="532">
        <f t="shared" si="7"/>
        <v>260000</v>
      </c>
      <c r="AA13" s="532">
        <f t="shared" si="7"/>
        <v>0</v>
      </c>
      <c r="AB13" s="532">
        <f t="shared" si="7"/>
        <v>0</v>
      </c>
      <c r="AC13" s="532">
        <f t="shared" si="7"/>
        <v>-2600</v>
      </c>
      <c r="AD13" s="532">
        <f t="shared" si="7"/>
        <v>0</v>
      </c>
      <c r="AE13" s="532">
        <f t="shared" si="7"/>
        <v>0</v>
      </c>
      <c r="AF13" s="532">
        <f t="shared" si="7"/>
        <v>0</v>
      </c>
      <c r="AG13" s="532">
        <f t="shared" si="7"/>
        <v>-2600</v>
      </c>
      <c r="AH13" s="533">
        <f t="shared" si="7"/>
        <v>-0.49</v>
      </c>
      <c r="AI13" s="533">
        <f t="shared" si="7"/>
        <v>0</v>
      </c>
      <c r="AJ13" s="533">
        <f t="shared" si="7"/>
        <v>0</v>
      </c>
      <c r="AK13" s="533">
        <f t="shared" si="7"/>
        <v>0</v>
      </c>
      <c r="AL13" s="533">
        <f t="shared" si="7"/>
        <v>0</v>
      </c>
      <c r="AM13" s="533">
        <f t="shared" si="7"/>
        <v>0</v>
      </c>
      <c r="AN13" s="533">
        <f t="shared" si="7"/>
        <v>0</v>
      </c>
      <c r="AO13" s="533">
        <f t="shared" si="7"/>
        <v>0</v>
      </c>
      <c r="AP13" s="533">
        <f t="shared" si="7"/>
        <v>-0.49</v>
      </c>
      <c r="AQ13" s="533">
        <f t="shared" si="7"/>
        <v>0</v>
      </c>
      <c r="AR13" s="298">
        <f t="shared" si="7"/>
        <v>-0.49</v>
      </c>
      <c r="AS13" s="538">
        <f t="shared" si="7"/>
        <v>5525512</v>
      </c>
      <c r="AT13" s="532">
        <f t="shared" si="7"/>
        <v>3835059</v>
      </c>
      <c r="AU13" s="532">
        <f t="shared" si="7"/>
        <v>260000</v>
      </c>
      <c r="AV13" s="532">
        <f t="shared" si="7"/>
        <v>1384129</v>
      </c>
      <c r="AW13" s="532">
        <f t="shared" si="7"/>
        <v>38351</v>
      </c>
      <c r="AX13" s="532">
        <f t="shared" si="7"/>
        <v>7973</v>
      </c>
      <c r="AY13" s="533">
        <f t="shared" si="7"/>
        <v>8.93</v>
      </c>
      <c r="AZ13" s="533">
        <f t="shared" si="7"/>
        <v>5.21</v>
      </c>
      <c r="BA13" s="298">
        <f t="shared" si="7"/>
        <v>3.72</v>
      </c>
    </row>
    <row r="14" spans="1:53" ht="12.95" customHeight="1" x14ac:dyDescent="0.25">
      <c r="A14" s="299">
        <v>2</v>
      </c>
      <c r="B14" s="300">
        <v>4419</v>
      </c>
      <c r="C14" s="301">
        <v>600074056</v>
      </c>
      <c r="D14" s="300">
        <v>72744049</v>
      </c>
      <c r="E14" s="302" t="s">
        <v>320</v>
      </c>
      <c r="F14" s="300">
        <v>3111</v>
      </c>
      <c r="G14" s="303" t="s">
        <v>321</v>
      </c>
      <c r="H14" s="304" t="s">
        <v>277</v>
      </c>
      <c r="I14" s="462">
        <f t="shared" ref="I14:I17" si="8">SUM(J14:M14)</f>
        <v>24533057</v>
      </c>
      <c r="J14" s="457">
        <v>18113811</v>
      </c>
      <c r="K14" s="457">
        <f t="shared" ref="K14:K17" si="9">ROUND(J14*33.8%,0)</f>
        <v>6122468</v>
      </c>
      <c r="L14" s="457">
        <f>ROUND(J14*1%,0)</f>
        <v>181138</v>
      </c>
      <c r="M14" s="457">
        <v>115640</v>
      </c>
      <c r="N14" s="748">
        <f t="shared" ref="N14:N17" si="10">O14+P14</f>
        <v>38.383899999999997</v>
      </c>
      <c r="O14" s="749">
        <v>29.483899999999998</v>
      </c>
      <c r="P14" s="750">
        <v>8.9</v>
      </c>
      <c r="Q14" s="469">
        <f t="shared" ref="Q14:Q17" si="11">W14*-1</f>
        <v>-45500</v>
      </c>
      <c r="R14" s="460">
        <v>0</v>
      </c>
      <c r="S14" s="673">
        <v>0</v>
      </c>
      <c r="T14" s="460">
        <v>0</v>
      </c>
      <c r="U14" s="460">
        <v>0</v>
      </c>
      <c r="V14" s="460">
        <f>SUM(Q14:U14)</f>
        <v>-45500</v>
      </c>
      <c r="W14" s="460">
        <v>45500</v>
      </c>
      <c r="X14" s="460">
        <v>0</v>
      </c>
      <c r="Y14" s="460">
        <v>0</v>
      </c>
      <c r="Z14" s="460">
        <f t="shared" ref="Z14:Z17" si="12">SUM(W14:Y14)</f>
        <v>45500</v>
      </c>
      <c r="AA14" s="460">
        <f t="shared" ref="AA14:AA17" si="13">V14+Z14</f>
        <v>0</v>
      </c>
      <c r="AB14" s="69">
        <f t="shared" ref="AB14:AB17" si="14">ROUND((V14+W14+X14)*33.8%,0)</f>
        <v>0</v>
      </c>
      <c r="AC14" s="69">
        <f>ROUND(V14*1%,0)</f>
        <v>-455</v>
      </c>
      <c r="AD14" s="460">
        <v>0</v>
      </c>
      <c r="AE14" s="460">
        <v>0</v>
      </c>
      <c r="AF14" s="460">
        <f t="shared" ref="AF14:AF17" si="15">SUM(AD14:AE14)</f>
        <v>0</v>
      </c>
      <c r="AG14" s="460">
        <f t="shared" ref="AG14:AG17" si="16">AA14+AB14+AC14+AF14</f>
        <v>-455</v>
      </c>
      <c r="AH14" s="461">
        <v>0</v>
      </c>
      <c r="AI14" s="461">
        <v>0</v>
      </c>
      <c r="AJ14" s="461">
        <v>0</v>
      </c>
      <c r="AK14" s="461">
        <v>0</v>
      </c>
      <c r="AL14" s="674">
        <v>0</v>
      </c>
      <c r="AM14" s="461">
        <v>0</v>
      </c>
      <c r="AN14" s="461">
        <v>0</v>
      </c>
      <c r="AO14" s="461">
        <v>0</v>
      </c>
      <c r="AP14" s="461">
        <f>AH14+AJ14+AK14+AM14+AN14</f>
        <v>0</v>
      </c>
      <c r="AQ14" s="461">
        <f>AI14+AL14+AO14</f>
        <v>0</v>
      </c>
      <c r="AR14" s="463">
        <f t="shared" ref="AR14:AR17" si="17">SUM(AP14:AQ14)</f>
        <v>0</v>
      </c>
      <c r="AS14" s="469">
        <f>I14+AG14</f>
        <v>24532602</v>
      </c>
      <c r="AT14" s="460">
        <f>J14+V14</f>
        <v>18068311</v>
      </c>
      <c r="AU14" s="460">
        <f>Z14</f>
        <v>45500</v>
      </c>
      <c r="AV14" s="460">
        <f t="shared" ref="AV14:AW17" si="18">K14+AB14</f>
        <v>6122468</v>
      </c>
      <c r="AW14" s="460">
        <f t="shared" si="18"/>
        <v>180683</v>
      </c>
      <c r="AX14" s="460">
        <f>M14+AF14</f>
        <v>115640</v>
      </c>
      <c r="AY14" s="461">
        <f>N14+AR14</f>
        <v>38.383899999999997</v>
      </c>
      <c r="AZ14" s="461">
        <f t="shared" ref="AZ14:BA17" si="19">O14+AP14</f>
        <v>29.483899999999998</v>
      </c>
      <c r="BA14" s="463">
        <f t="shared" si="19"/>
        <v>8.9</v>
      </c>
    </row>
    <row r="15" spans="1:53" ht="12.95" customHeight="1" x14ac:dyDescent="0.25">
      <c r="A15" s="299">
        <v>2</v>
      </c>
      <c r="B15" s="300">
        <v>4419</v>
      </c>
      <c r="C15" s="301">
        <v>600074056</v>
      </c>
      <c r="D15" s="300">
        <v>72744049</v>
      </c>
      <c r="E15" s="302" t="s">
        <v>320</v>
      </c>
      <c r="F15" s="300">
        <v>3111</v>
      </c>
      <c r="G15" s="305" t="s">
        <v>309</v>
      </c>
      <c r="H15" s="304" t="s">
        <v>277</v>
      </c>
      <c r="I15" s="462">
        <f t="shared" si="8"/>
        <v>518716</v>
      </c>
      <c r="J15" s="457">
        <v>384804</v>
      </c>
      <c r="K15" s="457">
        <f t="shared" si="9"/>
        <v>130064</v>
      </c>
      <c r="L15" s="457">
        <f t="shared" ref="L15:L17" si="20">ROUND(J15*1%,0)</f>
        <v>3848</v>
      </c>
      <c r="M15" s="457">
        <v>0</v>
      </c>
      <c r="N15" s="748">
        <f t="shared" si="10"/>
        <v>1</v>
      </c>
      <c r="O15" s="749">
        <v>1</v>
      </c>
      <c r="P15" s="750">
        <v>0</v>
      </c>
      <c r="Q15" s="469">
        <f t="shared" si="11"/>
        <v>0</v>
      </c>
      <c r="R15" s="460">
        <v>0</v>
      </c>
      <c r="S15" s="673">
        <v>0</v>
      </c>
      <c r="T15" s="460">
        <v>0</v>
      </c>
      <c r="U15" s="460">
        <v>0</v>
      </c>
      <c r="V15" s="460">
        <f>SUM(Q15:U15)</f>
        <v>0</v>
      </c>
      <c r="W15" s="460">
        <v>0</v>
      </c>
      <c r="X15" s="460">
        <v>0</v>
      </c>
      <c r="Y15" s="460">
        <v>0</v>
      </c>
      <c r="Z15" s="460">
        <f t="shared" si="12"/>
        <v>0</v>
      </c>
      <c r="AA15" s="460">
        <f t="shared" si="13"/>
        <v>0</v>
      </c>
      <c r="AB15" s="69">
        <f t="shared" si="14"/>
        <v>0</v>
      </c>
      <c r="AC15" s="69">
        <f t="shared" ref="AC15:AC17" si="21">ROUND(V15*1%,0)</f>
        <v>0</v>
      </c>
      <c r="AD15" s="460">
        <v>0</v>
      </c>
      <c r="AE15" s="460">
        <v>0</v>
      </c>
      <c r="AF15" s="460">
        <f t="shared" si="15"/>
        <v>0</v>
      </c>
      <c r="AG15" s="460">
        <f t="shared" si="16"/>
        <v>0</v>
      </c>
      <c r="AH15" s="461">
        <v>0</v>
      </c>
      <c r="AI15" s="461">
        <v>0</v>
      </c>
      <c r="AJ15" s="461">
        <v>0</v>
      </c>
      <c r="AK15" s="461">
        <v>0</v>
      </c>
      <c r="AL15" s="674">
        <v>0</v>
      </c>
      <c r="AM15" s="461">
        <v>0</v>
      </c>
      <c r="AN15" s="461">
        <v>0</v>
      </c>
      <c r="AO15" s="461">
        <v>0</v>
      </c>
      <c r="AP15" s="461">
        <f>AH15+AJ15+AK15+AM15+AN15</f>
        <v>0</v>
      </c>
      <c r="AQ15" s="461">
        <f>AI15+AL15+AO15</f>
        <v>0</v>
      </c>
      <c r="AR15" s="463">
        <f t="shared" si="17"/>
        <v>0</v>
      </c>
      <c r="AS15" s="469">
        <f>I15+AG15</f>
        <v>518716</v>
      </c>
      <c r="AT15" s="460">
        <f>J15+V15</f>
        <v>384804</v>
      </c>
      <c r="AU15" s="460">
        <f t="shared" ref="AU15:AU17" si="22">Z15</f>
        <v>0</v>
      </c>
      <c r="AV15" s="460">
        <f t="shared" si="18"/>
        <v>130064</v>
      </c>
      <c r="AW15" s="460">
        <f t="shared" si="18"/>
        <v>3848</v>
      </c>
      <c r="AX15" s="460">
        <f>M15+AF15</f>
        <v>0</v>
      </c>
      <c r="AY15" s="461">
        <f>N15+AR15</f>
        <v>1</v>
      </c>
      <c r="AZ15" s="461">
        <f t="shared" si="19"/>
        <v>1</v>
      </c>
      <c r="BA15" s="463">
        <f t="shared" si="19"/>
        <v>0</v>
      </c>
    </row>
    <row r="16" spans="1:53" ht="12.95" customHeight="1" x14ac:dyDescent="0.25">
      <c r="A16" s="299">
        <v>2</v>
      </c>
      <c r="B16" s="300">
        <v>4419</v>
      </c>
      <c r="C16" s="301">
        <v>600074056</v>
      </c>
      <c r="D16" s="300">
        <v>72744049</v>
      </c>
      <c r="E16" s="302" t="s">
        <v>320</v>
      </c>
      <c r="F16" s="300">
        <v>3111</v>
      </c>
      <c r="G16" s="303" t="s">
        <v>315</v>
      </c>
      <c r="H16" s="304" t="s">
        <v>278</v>
      </c>
      <c r="I16" s="462">
        <f t="shared" si="8"/>
        <v>0</v>
      </c>
      <c r="J16" s="457">
        <v>0</v>
      </c>
      <c r="K16" s="457">
        <f t="shared" si="9"/>
        <v>0</v>
      </c>
      <c r="L16" s="457">
        <f t="shared" si="20"/>
        <v>0</v>
      </c>
      <c r="M16" s="457">
        <v>0</v>
      </c>
      <c r="N16" s="748">
        <f t="shared" si="10"/>
        <v>0</v>
      </c>
      <c r="O16" s="749">
        <v>0</v>
      </c>
      <c r="P16" s="750">
        <v>0</v>
      </c>
      <c r="Q16" s="469">
        <f t="shared" si="11"/>
        <v>0</v>
      </c>
      <c r="R16" s="460">
        <v>710203</v>
      </c>
      <c r="S16" s="673">
        <v>0</v>
      </c>
      <c r="T16" s="460">
        <v>0</v>
      </c>
      <c r="U16" s="460">
        <v>0</v>
      </c>
      <c r="V16" s="460">
        <f>SUM(Q16:U16)</f>
        <v>710203</v>
      </c>
      <c r="W16" s="460">
        <v>0</v>
      </c>
      <c r="X16" s="460">
        <v>0</v>
      </c>
      <c r="Y16" s="460">
        <v>0</v>
      </c>
      <c r="Z16" s="460">
        <f t="shared" si="12"/>
        <v>0</v>
      </c>
      <c r="AA16" s="460">
        <f t="shared" si="13"/>
        <v>710203</v>
      </c>
      <c r="AB16" s="69">
        <f t="shared" si="14"/>
        <v>240049</v>
      </c>
      <c r="AC16" s="69">
        <f t="shared" si="21"/>
        <v>7102</v>
      </c>
      <c r="AD16" s="460">
        <v>0</v>
      </c>
      <c r="AE16" s="460">
        <v>0</v>
      </c>
      <c r="AF16" s="460">
        <f t="shared" si="15"/>
        <v>0</v>
      </c>
      <c r="AG16" s="460">
        <f t="shared" si="16"/>
        <v>957354</v>
      </c>
      <c r="AH16" s="461">
        <v>0</v>
      </c>
      <c r="AI16" s="461">
        <v>0</v>
      </c>
      <c r="AJ16" s="461">
        <v>2.25</v>
      </c>
      <c r="AK16" s="461">
        <v>0</v>
      </c>
      <c r="AL16" s="674">
        <v>0</v>
      </c>
      <c r="AM16" s="461">
        <v>0</v>
      </c>
      <c r="AN16" s="461">
        <v>0</v>
      </c>
      <c r="AO16" s="461">
        <v>0</v>
      </c>
      <c r="AP16" s="461">
        <f>AH16+AJ16+AK16+AM16+AN16</f>
        <v>2.25</v>
      </c>
      <c r="AQ16" s="461">
        <f>AI16+AL16+AO16</f>
        <v>0</v>
      </c>
      <c r="AR16" s="463">
        <f t="shared" si="17"/>
        <v>2.25</v>
      </c>
      <c r="AS16" s="469">
        <f>I16+AG16</f>
        <v>957354</v>
      </c>
      <c r="AT16" s="460">
        <f>J16+V16</f>
        <v>710203</v>
      </c>
      <c r="AU16" s="460">
        <f t="shared" si="22"/>
        <v>0</v>
      </c>
      <c r="AV16" s="460">
        <f t="shared" si="18"/>
        <v>240049</v>
      </c>
      <c r="AW16" s="460">
        <f t="shared" si="18"/>
        <v>7102</v>
      </c>
      <c r="AX16" s="460">
        <f>M16+AF16</f>
        <v>0</v>
      </c>
      <c r="AY16" s="461">
        <f>N16+AR16</f>
        <v>2.25</v>
      </c>
      <c r="AZ16" s="461">
        <f t="shared" si="19"/>
        <v>2.25</v>
      </c>
      <c r="BA16" s="463">
        <f t="shared" si="19"/>
        <v>0</v>
      </c>
    </row>
    <row r="17" spans="1:53" ht="12.95" customHeight="1" x14ac:dyDescent="0.25">
      <c r="A17" s="299">
        <v>2</v>
      </c>
      <c r="B17" s="300">
        <v>4419</v>
      </c>
      <c r="C17" s="301">
        <v>600074056</v>
      </c>
      <c r="D17" s="300">
        <v>72744049</v>
      </c>
      <c r="E17" s="302" t="s">
        <v>320</v>
      </c>
      <c r="F17" s="300">
        <v>3141</v>
      </c>
      <c r="G17" s="303" t="s">
        <v>311</v>
      </c>
      <c r="H17" s="303" t="s">
        <v>278</v>
      </c>
      <c r="I17" s="462">
        <f t="shared" si="8"/>
        <v>3455459</v>
      </c>
      <c r="J17" s="457">
        <f>566915+584656+411197+77630+105682+806347</f>
        <v>2552427</v>
      </c>
      <c r="K17" s="457">
        <f t="shared" si="9"/>
        <v>862720</v>
      </c>
      <c r="L17" s="457">
        <f t="shared" si="20"/>
        <v>25524</v>
      </c>
      <c r="M17" s="457">
        <f>3328+3484+2080+510+748+4638</f>
        <v>14788</v>
      </c>
      <c r="N17" s="748">
        <f t="shared" si="10"/>
        <v>8.1999999999999993</v>
      </c>
      <c r="O17" s="749">
        <v>0</v>
      </c>
      <c r="P17" s="750">
        <f>1.82+1.88+1.32+0.25+0.34+2.59</f>
        <v>8.1999999999999993</v>
      </c>
      <c r="Q17" s="469">
        <f t="shared" si="11"/>
        <v>0</v>
      </c>
      <c r="R17" s="460">
        <v>0</v>
      </c>
      <c r="S17" s="673">
        <v>0</v>
      </c>
      <c r="T17" s="460">
        <v>0</v>
      </c>
      <c r="U17" s="460">
        <v>0</v>
      </c>
      <c r="V17" s="460">
        <f>SUM(Q17:U17)</f>
        <v>0</v>
      </c>
      <c r="W17" s="460">
        <v>0</v>
      </c>
      <c r="X17" s="460">
        <v>0</v>
      </c>
      <c r="Y17" s="460">
        <v>0</v>
      </c>
      <c r="Z17" s="460">
        <f t="shared" si="12"/>
        <v>0</v>
      </c>
      <c r="AA17" s="460">
        <f t="shared" si="13"/>
        <v>0</v>
      </c>
      <c r="AB17" s="69">
        <f t="shared" si="14"/>
        <v>0</v>
      </c>
      <c r="AC17" s="69">
        <f t="shared" si="21"/>
        <v>0</v>
      </c>
      <c r="AD17" s="460">
        <v>0</v>
      </c>
      <c r="AE17" s="460">
        <v>0</v>
      </c>
      <c r="AF17" s="460">
        <f t="shared" si="15"/>
        <v>0</v>
      </c>
      <c r="AG17" s="460">
        <f t="shared" si="16"/>
        <v>0</v>
      </c>
      <c r="AH17" s="461">
        <v>0</v>
      </c>
      <c r="AI17" s="461">
        <v>0</v>
      </c>
      <c r="AJ17" s="461">
        <v>0</v>
      </c>
      <c r="AK17" s="461">
        <v>0</v>
      </c>
      <c r="AL17" s="674">
        <v>0</v>
      </c>
      <c r="AM17" s="461">
        <v>0</v>
      </c>
      <c r="AN17" s="461">
        <v>0</v>
      </c>
      <c r="AO17" s="461">
        <v>0</v>
      </c>
      <c r="AP17" s="461">
        <f>AH17+AJ17+AK17+AM17+AN17</f>
        <v>0</v>
      </c>
      <c r="AQ17" s="461">
        <f>AI17+AL17+AO17</f>
        <v>0</v>
      </c>
      <c r="AR17" s="463">
        <f t="shared" si="17"/>
        <v>0</v>
      </c>
      <c r="AS17" s="469">
        <f>I17+AG17</f>
        <v>3455459</v>
      </c>
      <c r="AT17" s="460">
        <f>J17+V17</f>
        <v>2552427</v>
      </c>
      <c r="AU17" s="460">
        <f t="shared" si="22"/>
        <v>0</v>
      </c>
      <c r="AV17" s="460">
        <f t="shared" si="18"/>
        <v>862720</v>
      </c>
      <c r="AW17" s="460">
        <f t="shared" si="18"/>
        <v>25524</v>
      </c>
      <c r="AX17" s="460">
        <f>M17+AF17</f>
        <v>14788</v>
      </c>
      <c r="AY17" s="461">
        <f>N17+AR17</f>
        <v>8.1999999999999993</v>
      </c>
      <c r="AZ17" s="461">
        <f t="shared" si="19"/>
        <v>0</v>
      </c>
      <c r="BA17" s="463">
        <f t="shared" si="19"/>
        <v>8.1999999999999993</v>
      </c>
    </row>
    <row r="18" spans="1:53" ht="12.95" customHeight="1" x14ac:dyDescent="0.25">
      <c r="A18" s="292">
        <v>2</v>
      </c>
      <c r="B18" s="294">
        <v>4419</v>
      </c>
      <c r="C18" s="306">
        <v>600074056</v>
      </c>
      <c r="D18" s="294">
        <v>72744049</v>
      </c>
      <c r="E18" s="307" t="s">
        <v>322</v>
      </c>
      <c r="F18" s="294"/>
      <c r="G18" s="308"/>
      <c r="H18" s="308"/>
      <c r="I18" s="537">
        <f t="shared" ref="I18:P18" si="23">SUM(I14:I17)</f>
        <v>28507232</v>
      </c>
      <c r="J18" s="534">
        <f t="shared" si="23"/>
        <v>21051042</v>
      </c>
      <c r="K18" s="534">
        <f t="shared" si="23"/>
        <v>7115252</v>
      </c>
      <c r="L18" s="534">
        <f t="shared" si="23"/>
        <v>210510</v>
      </c>
      <c r="M18" s="534">
        <f t="shared" si="23"/>
        <v>130428</v>
      </c>
      <c r="N18" s="757">
        <f t="shared" si="23"/>
        <v>47.5839</v>
      </c>
      <c r="O18" s="757">
        <f t="shared" si="23"/>
        <v>30.483899999999998</v>
      </c>
      <c r="P18" s="759">
        <f t="shared" si="23"/>
        <v>17.100000000000001</v>
      </c>
      <c r="Q18" s="539">
        <f t="shared" ref="Q18:BA18" si="24">SUM(Q14:Q17)</f>
        <v>-45500</v>
      </c>
      <c r="R18" s="534">
        <f t="shared" si="24"/>
        <v>710203</v>
      </c>
      <c r="S18" s="534">
        <f t="shared" si="24"/>
        <v>0</v>
      </c>
      <c r="T18" s="534">
        <f t="shared" si="24"/>
        <v>0</v>
      </c>
      <c r="U18" s="534">
        <f t="shared" si="24"/>
        <v>0</v>
      </c>
      <c r="V18" s="534">
        <f t="shared" si="24"/>
        <v>664703</v>
      </c>
      <c r="W18" s="534">
        <f t="shared" si="24"/>
        <v>45500</v>
      </c>
      <c r="X18" s="534">
        <f t="shared" si="24"/>
        <v>0</v>
      </c>
      <c r="Y18" s="534">
        <f t="shared" si="24"/>
        <v>0</v>
      </c>
      <c r="Z18" s="534">
        <f t="shared" si="24"/>
        <v>45500</v>
      </c>
      <c r="AA18" s="534">
        <f t="shared" si="24"/>
        <v>710203</v>
      </c>
      <c r="AB18" s="534">
        <f t="shared" si="24"/>
        <v>240049</v>
      </c>
      <c r="AC18" s="534">
        <f t="shared" si="24"/>
        <v>6647</v>
      </c>
      <c r="AD18" s="534">
        <f t="shared" si="24"/>
        <v>0</v>
      </c>
      <c r="AE18" s="534">
        <f t="shared" si="24"/>
        <v>0</v>
      </c>
      <c r="AF18" s="534">
        <f t="shared" si="24"/>
        <v>0</v>
      </c>
      <c r="AG18" s="534">
        <f t="shared" si="24"/>
        <v>956899</v>
      </c>
      <c r="AH18" s="535">
        <f t="shared" si="24"/>
        <v>0</v>
      </c>
      <c r="AI18" s="535">
        <f t="shared" si="24"/>
        <v>0</v>
      </c>
      <c r="AJ18" s="535">
        <f t="shared" si="24"/>
        <v>2.25</v>
      </c>
      <c r="AK18" s="535">
        <f t="shared" si="24"/>
        <v>0</v>
      </c>
      <c r="AL18" s="535">
        <f t="shared" si="24"/>
        <v>0</v>
      </c>
      <c r="AM18" s="535">
        <f t="shared" si="24"/>
        <v>0</v>
      </c>
      <c r="AN18" s="535">
        <f t="shared" si="24"/>
        <v>0</v>
      </c>
      <c r="AO18" s="535">
        <f t="shared" si="24"/>
        <v>0</v>
      </c>
      <c r="AP18" s="535">
        <f t="shared" si="24"/>
        <v>2.25</v>
      </c>
      <c r="AQ18" s="535">
        <f t="shared" si="24"/>
        <v>0</v>
      </c>
      <c r="AR18" s="309">
        <f t="shared" si="24"/>
        <v>2.25</v>
      </c>
      <c r="AS18" s="539">
        <f t="shared" si="24"/>
        <v>29464131</v>
      </c>
      <c r="AT18" s="534">
        <f t="shared" si="24"/>
        <v>21715745</v>
      </c>
      <c r="AU18" s="534">
        <f t="shared" si="24"/>
        <v>45500</v>
      </c>
      <c r="AV18" s="534">
        <f t="shared" si="24"/>
        <v>7355301</v>
      </c>
      <c r="AW18" s="534">
        <f t="shared" si="24"/>
        <v>217157</v>
      </c>
      <c r="AX18" s="534">
        <f t="shared" si="24"/>
        <v>130428</v>
      </c>
      <c r="AY18" s="535">
        <f t="shared" si="24"/>
        <v>49.8339</v>
      </c>
      <c r="AZ18" s="535">
        <f t="shared" si="24"/>
        <v>32.733899999999998</v>
      </c>
      <c r="BA18" s="309">
        <f t="shared" si="24"/>
        <v>17.100000000000001</v>
      </c>
    </row>
    <row r="19" spans="1:53" ht="12.95" customHeight="1" x14ac:dyDescent="0.25">
      <c r="A19" s="299">
        <v>3</v>
      </c>
      <c r="B19" s="300">
        <v>4464</v>
      </c>
      <c r="C19" s="300" t="s">
        <v>323</v>
      </c>
      <c r="D19" s="300">
        <v>46750461</v>
      </c>
      <c r="E19" s="302" t="s">
        <v>324</v>
      </c>
      <c r="F19" s="300">
        <v>3113</v>
      </c>
      <c r="G19" s="303" t="s">
        <v>325</v>
      </c>
      <c r="H19" s="303" t="s">
        <v>277</v>
      </c>
      <c r="I19" s="462">
        <f t="shared" ref="I19:I23" si="25">SUM(J19:M19)</f>
        <v>37983748</v>
      </c>
      <c r="J19" s="457">
        <v>27672350</v>
      </c>
      <c r="K19" s="457">
        <f t="shared" ref="K19:K23" si="26">ROUND(J19*33.8%,0)</f>
        <v>9353254</v>
      </c>
      <c r="L19" s="457">
        <f t="shared" ref="L19:L23" si="27">ROUND(J19*1%,0)</f>
        <v>276724</v>
      </c>
      <c r="M19" s="457">
        <v>681420</v>
      </c>
      <c r="N19" s="748">
        <f t="shared" ref="N19:N23" si="28">O19+P19</f>
        <v>45.691099999999999</v>
      </c>
      <c r="O19" s="749">
        <v>37.591099999999997</v>
      </c>
      <c r="P19" s="750">
        <v>8.1</v>
      </c>
      <c r="Q19" s="469">
        <f t="shared" ref="Q19:Q23" si="29">W19*-1</f>
        <v>-53560</v>
      </c>
      <c r="R19" s="460">
        <v>0</v>
      </c>
      <c r="S19" s="673">
        <v>0</v>
      </c>
      <c r="T19" s="460">
        <v>0</v>
      </c>
      <c r="U19" s="460">
        <v>0</v>
      </c>
      <c r="V19" s="460">
        <f>SUM(Q19:U19)</f>
        <v>-53560</v>
      </c>
      <c r="W19" s="460">
        <v>53560</v>
      </c>
      <c r="X19" s="460">
        <v>0</v>
      </c>
      <c r="Y19" s="460">
        <v>0</v>
      </c>
      <c r="Z19" s="460">
        <f t="shared" ref="Z19:Z23" si="30">SUM(W19:Y19)</f>
        <v>53560</v>
      </c>
      <c r="AA19" s="460">
        <f t="shared" ref="AA19:AA23" si="31">V19+Z19</f>
        <v>0</v>
      </c>
      <c r="AB19" s="69">
        <f t="shared" ref="AB19:AB23" si="32">ROUND((V19+W19+X19)*33.8%,0)</f>
        <v>0</v>
      </c>
      <c r="AC19" s="69">
        <f t="shared" ref="AC19:AC23" si="33">ROUND(V19*1%,0)</f>
        <v>-536</v>
      </c>
      <c r="AD19" s="460">
        <v>0</v>
      </c>
      <c r="AE19" s="460">
        <v>0</v>
      </c>
      <c r="AF19" s="460">
        <f t="shared" ref="AF19:AF23" si="34">SUM(AD19:AE19)</f>
        <v>0</v>
      </c>
      <c r="AG19" s="460">
        <f t="shared" ref="AG19:AG23" si="35">AA19+AB19+AC19+AF19</f>
        <v>-536</v>
      </c>
      <c r="AH19" s="461">
        <v>-0.03</v>
      </c>
      <c r="AI19" s="461">
        <v>-7.0000000000000007E-2</v>
      </c>
      <c r="AJ19" s="461">
        <v>0</v>
      </c>
      <c r="AK19" s="461">
        <v>0</v>
      </c>
      <c r="AL19" s="674">
        <v>0</v>
      </c>
      <c r="AM19" s="461">
        <v>0</v>
      </c>
      <c r="AN19" s="461">
        <v>0</v>
      </c>
      <c r="AO19" s="461">
        <v>0</v>
      </c>
      <c r="AP19" s="461">
        <f>AH19+AJ19+AK19+AM19+AN19</f>
        <v>-0.03</v>
      </c>
      <c r="AQ19" s="461">
        <f>AI19+AL19+AO19</f>
        <v>-7.0000000000000007E-2</v>
      </c>
      <c r="AR19" s="463">
        <f t="shared" ref="AR19:AR23" si="36">SUM(AP19:AQ19)</f>
        <v>-0.1</v>
      </c>
      <c r="AS19" s="469">
        <f>I19+AG19</f>
        <v>37983212</v>
      </c>
      <c r="AT19" s="460">
        <f>J19+V19</f>
        <v>27618790</v>
      </c>
      <c r="AU19" s="460">
        <f t="shared" ref="AU19:AU23" si="37">Z19</f>
        <v>53560</v>
      </c>
      <c r="AV19" s="460">
        <f t="shared" ref="AV19:AW23" si="38">K19+AB19</f>
        <v>9353254</v>
      </c>
      <c r="AW19" s="460">
        <f t="shared" si="38"/>
        <v>276188</v>
      </c>
      <c r="AX19" s="460">
        <f>M19+AF19</f>
        <v>681420</v>
      </c>
      <c r="AY19" s="461">
        <f>N19+AR19</f>
        <v>45.591099999999997</v>
      </c>
      <c r="AZ19" s="461">
        <f t="shared" ref="AZ19:BA23" si="39">O19+AP19</f>
        <v>37.561099999999996</v>
      </c>
      <c r="BA19" s="463">
        <f t="shared" si="39"/>
        <v>8.0299999999999994</v>
      </c>
    </row>
    <row r="20" spans="1:53" ht="12.95" customHeight="1" x14ac:dyDescent="0.25">
      <c r="A20" s="299">
        <v>3</v>
      </c>
      <c r="B20" s="300">
        <v>4464</v>
      </c>
      <c r="C20" s="300" t="s">
        <v>323</v>
      </c>
      <c r="D20" s="300">
        <v>46750461</v>
      </c>
      <c r="E20" s="302" t="s">
        <v>326</v>
      </c>
      <c r="F20" s="300">
        <v>3113</v>
      </c>
      <c r="G20" s="303" t="s">
        <v>315</v>
      </c>
      <c r="H20" s="303" t="s">
        <v>278</v>
      </c>
      <c r="I20" s="462">
        <f t="shared" si="25"/>
        <v>0</v>
      </c>
      <c r="J20" s="457">
        <v>0</v>
      </c>
      <c r="K20" s="457">
        <f t="shared" si="26"/>
        <v>0</v>
      </c>
      <c r="L20" s="457">
        <f t="shared" si="27"/>
        <v>0</v>
      </c>
      <c r="M20" s="457">
        <v>0</v>
      </c>
      <c r="N20" s="748">
        <f t="shared" si="28"/>
        <v>0</v>
      </c>
      <c r="O20" s="749">
        <v>0</v>
      </c>
      <c r="P20" s="750">
        <v>0</v>
      </c>
      <c r="Q20" s="469">
        <f t="shared" si="29"/>
        <v>0</v>
      </c>
      <c r="R20" s="460">
        <v>1152891</v>
      </c>
      <c r="S20" s="673">
        <v>0</v>
      </c>
      <c r="T20" s="460">
        <v>0</v>
      </c>
      <c r="U20" s="460">
        <v>0</v>
      </c>
      <c r="V20" s="460">
        <f>SUM(Q20:U20)</f>
        <v>1152891</v>
      </c>
      <c r="W20" s="460">
        <v>0</v>
      </c>
      <c r="X20" s="460">
        <v>0</v>
      </c>
      <c r="Y20" s="460">
        <v>0</v>
      </c>
      <c r="Z20" s="460">
        <f t="shared" si="30"/>
        <v>0</v>
      </c>
      <c r="AA20" s="460">
        <f t="shared" si="31"/>
        <v>1152891</v>
      </c>
      <c r="AB20" s="69">
        <f t="shared" si="32"/>
        <v>389677</v>
      </c>
      <c r="AC20" s="69">
        <f t="shared" si="33"/>
        <v>11529</v>
      </c>
      <c r="AD20" s="460">
        <v>4750</v>
      </c>
      <c r="AE20" s="460">
        <v>0</v>
      </c>
      <c r="AF20" s="460">
        <f t="shared" si="34"/>
        <v>4750</v>
      </c>
      <c r="AG20" s="460">
        <f t="shared" si="35"/>
        <v>1558847</v>
      </c>
      <c r="AH20" s="461">
        <v>0</v>
      </c>
      <c r="AI20" s="461">
        <v>0</v>
      </c>
      <c r="AJ20" s="461">
        <v>3.53</v>
      </c>
      <c r="AK20" s="461">
        <v>0</v>
      </c>
      <c r="AL20" s="674">
        <v>0</v>
      </c>
      <c r="AM20" s="461">
        <v>0</v>
      </c>
      <c r="AN20" s="461">
        <v>0</v>
      </c>
      <c r="AO20" s="461">
        <v>0</v>
      </c>
      <c r="AP20" s="461">
        <f>AH20+AJ20+AK20+AM20+AN20</f>
        <v>3.53</v>
      </c>
      <c r="AQ20" s="461">
        <f>AI20+AL20+AO20</f>
        <v>0</v>
      </c>
      <c r="AR20" s="463">
        <f t="shared" si="36"/>
        <v>3.53</v>
      </c>
      <c r="AS20" s="469">
        <f>I20+AG20</f>
        <v>1558847</v>
      </c>
      <c r="AT20" s="460">
        <f>J20+V20</f>
        <v>1152891</v>
      </c>
      <c r="AU20" s="460">
        <f t="shared" si="37"/>
        <v>0</v>
      </c>
      <c r="AV20" s="460">
        <f t="shared" si="38"/>
        <v>389677</v>
      </c>
      <c r="AW20" s="460">
        <f t="shared" si="38"/>
        <v>11529</v>
      </c>
      <c r="AX20" s="460">
        <f>M20+AF20</f>
        <v>4750</v>
      </c>
      <c r="AY20" s="461">
        <f>N20+AR20</f>
        <v>3.53</v>
      </c>
      <c r="AZ20" s="461">
        <f t="shared" si="39"/>
        <v>3.53</v>
      </c>
      <c r="BA20" s="463">
        <f t="shared" si="39"/>
        <v>0</v>
      </c>
    </row>
    <row r="21" spans="1:53" ht="12.95" customHeight="1" x14ac:dyDescent="0.25">
      <c r="A21" s="299">
        <v>3</v>
      </c>
      <c r="B21" s="300">
        <v>4464</v>
      </c>
      <c r="C21" s="300" t="s">
        <v>323</v>
      </c>
      <c r="D21" s="300">
        <v>46750461</v>
      </c>
      <c r="E21" s="302" t="s">
        <v>324</v>
      </c>
      <c r="F21" s="300">
        <v>3141</v>
      </c>
      <c r="G21" s="303" t="s">
        <v>311</v>
      </c>
      <c r="H21" s="303" t="s">
        <v>278</v>
      </c>
      <c r="I21" s="462">
        <f t="shared" si="25"/>
        <v>3056025</v>
      </c>
      <c r="J21" s="457">
        <v>2248397</v>
      </c>
      <c r="K21" s="457">
        <f t="shared" si="26"/>
        <v>759958</v>
      </c>
      <c r="L21" s="457">
        <f t="shared" si="27"/>
        <v>22484</v>
      </c>
      <c r="M21" s="457">
        <v>25186</v>
      </c>
      <c r="N21" s="748">
        <f t="shared" si="28"/>
        <v>7.23</v>
      </c>
      <c r="O21" s="749">
        <v>0</v>
      </c>
      <c r="P21" s="750">
        <v>7.23</v>
      </c>
      <c r="Q21" s="469">
        <f t="shared" si="29"/>
        <v>-3250</v>
      </c>
      <c r="R21" s="460">
        <v>0</v>
      </c>
      <c r="S21" s="673">
        <v>0</v>
      </c>
      <c r="T21" s="460">
        <v>0</v>
      </c>
      <c r="U21" s="460">
        <v>0</v>
      </c>
      <c r="V21" s="460">
        <f>SUM(Q21:U21)</f>
        <v>-3250</v>
      </c>
      <c r="W21" s="460">
        <v>3250</v>
      </c>
      <c r="X21" s="460">
        <v>0</v>
      </c>
      <c r="Y21" s="460">
        <v>0</v>
      </c>
      <c r="Z21" s="460">
        <f t="shared" si="30"/>
        <v>3250</v>
      </c>
      <c r="AA21" s="460">
        <f t="shared" si="31"/>
        <v>0</v>
      </c>
      <c r="AB21" s="69">
        <f t="shared" si="32"/>
        <v>0</v>
      </c>
      <c r="AC21" s="69">
        <f t="shared" si="33"/>
        <v>-33</v>
      </c>
      <c r="AD21" s="460">
        <v>0</v>
      </c>
      <c r="AE21" s="460">
        <v>0</v>
      </c>
      <c r="AF21" s="460">
        <f t="shared" si="34"/>
        <v>0</v>
      </c>
      <c r="AG21" s="460">
        <f t="shared" si="35"/>
        <v>-33</v>
      </c>
      <c r="AH21" s="461">
        <v>-0.05</v>
      </c>
      <c r="AI21" s="461">
        <v>0</v>
      </c>
      <c r="AJ21" s="461">
        <v>0</v>
      </c>
      <c r="AK21" s="461">
        <v>0</v>
      </c>
      <c r="AL21" s="674">
        <v>0</v>
      </c>
      <c r="AM21" s="461">
        <v>0</v>
      </c>
      <c r="AN21" s="461">
        <v>0</v>
      </c>
      <c r="AO21" s="461">
        <v>0</v>
      </c>
      <c r="AP21" s="461">
        <f>AH21+AJ21+AK21+AM21+AN21</f>
        <v>-0.05</v>
      </c>
      <c r="AQ21" s="461">
        <f>AI21+AL21+AO21</f>
        <v>0</v>
      </c>
      <c r="AR21" s="463">
        <f t="shared" si="36"/>
        <v>-0.05</v>
      </c>
      <c r="AS21" s="469">
        <f>I21+AG21</f>
        <v>3055992</v>
      </c>
      <c r="AT21" s="460">
        <f>J21+V21</f>
        <v>2245147</v>
      </c>
      <c r="AU21" s="460">
        <f t="shared" si="37"/>
        <v>3250</v>
      </c>
      <c r="AV21" s="460">
        <f t="shared" si="38"/>
        <v>759958</v>
      </c>
      <c r="AW21" s="460">
        <f t="shared" si="38"/>
        <v>22451</v>
      </c>
      <c r="AX21" s="460">
        <f>M21+AF21</f>
        <v>25186</v>
      </c>
      <c r="AY21" s="461">
        <f>N21+AR21</f>
        <v>7.1800000000000006</v>
      </c>
      <c r="AZ21" s="461">
        <f t="shared" si="39"/>
        <v>-0.05</v>
      </c>
      <c r="BA21" s="463">
        <f t="shared" si="39"/>
        <v>7.23</v>
      </c>
    </row>
    <row r="22" spans="1:53" ht="12.95" customHeight="1" x14ac:dyDescent="0.25">
      <c r="A22" s="299">
        <v>3</v>
      </c>
      <c r="B22" s="300">
        <v>4464</v>
      </c>
      <c r="C22" s="300" t="s">
        <v>323</v>
      </c>
      <c r="D22" s="300">
        <v>46750461</v>
      </c>
      <c r="E22" s="302" t="s">
        <v>326</v>
      </c>
      <c r="F22" s="300">
        <v>3143</v>
      </c>
      <c r="G22" s="303" t="s">
        <v>616</v>
      </c>
      <c r="H22" s="303" t="s">
        <v>277</v>
      </c>
      <c r="I22" s="462">
        <f t="shared" si="25"/>
        <v>3361715</v>
      </c>
      <c r="J22" s="457">
        <v>2493854</v>
      </c>
      <c r="K22" s="457">
        <f t="shared" si="26"/>
        <v>842923</v>
      </c>
      <c r="L22" s="457">
        <f>ROUND(J22*1%,0)-1</f>
        <v>24938</v>
      </c>
      <c r="M22" s="457">
        <v>0</v>
      </c>
      <c r="N22" s="748">
        <f t="shared" si="28"/>
        <v>4.9996999999999998</v>
      </c>
      <c r="O22" s="749">
        <v>4.9996999999999998</v>
      </c>
      <c r="P22" s="750">
        <v>0</v>
      </c>
      <c r="Q22" s="469">
        <f t="shared" si="29"/>
        <v>-35100</v>
      </c>
      <c r="R22" s="460">
        <v>0</v>
      </c>
      <c r="S22" s="673">
        <v>0</v>
      </c>
      <c r="T22" s="460">
        <v>0</v>
      </c>
      <c r="U22" s="460">
        <v>0</v>
      </c>
      <c r="V22" s="460">
        <f>SUM(Q22:U22)</f>
        <v>-35100</v>
      </c>
      <c r="W22" s="460">
        <v>35100</v>
      </c>
      <c r="X22" s="460">
        <v>0</v>
      </c>
      <c r="Y22" s="460">
        <v>0</v>
      </c>
      <c r="Z22" s="460">
        <f t="shared" si="30"/>
        <v>35100</v>
      </c>
      <c r="AA22" s="460">
        <f t="shared" si="31"/>
        <v>0</v>
      </c>
      <c r="AB22" s="69">
        <f t="shared" si="32"/>
        <v>0</v>
      </c>
      <c r="AC22" s="69">
        <f t="shared" si="33"/>
        <v>-351</v>
      </c>
      <c r="AD22" s="460">
        <v>0</v>
      </c>
      <c r="AE22" s="460">
        <v>0</v>
      </c>
      <c r="AF22" s="460">
        <f t="shared" si="34"/>
        <v>0</v>
      </c>
      <c r="AG22" s="460">
        <f t="shared" si="35"/>
        <v>-351</v>
      </c>
      <c r="AH22" s="461">
        <v>0</v>
      </c>
      <c r="AI22" s="461">
        <v>0</v>
      </c>
      <c r="AJ22" s="461">
        <v>0</v>
      </c>
      <c r="AK22" s="461">
        <v>0</v>
      </c>
      <c r="AL22" s="674">
        <v>0</v>
      </c>
      <c r="AM22" s="461">
        <v>0</v>
      </c>
      <c r="AN22" s="461">
        <v>0</v>
      </c>
      <c r="AO22" s="461">
        <v>0</v>
      </c>
      <c r="AP22" s="461">
        <f>AH22+AJ22+AK22+AM22+AN22</f>
        <v>0</v>
      </c>
      <c r="AQ22" s="461">
        <f>AI22+AL22+AO22</f>
        <v>0</v>
      </c>
      <c r="AR22" s="463">
        <f t="shared" si="36"/>
        <v>0</v>
      </c>
      <c r="AS22" s="469">
        <f>I22+AG22</f>
        <v>3361364</v>
      </c>
      <c r="AT22" s="460">
        <f>J22+V22</f>
        <v>2458754</v>
      </c>
      <c r="AU22" s="460">
        <f t="shared" si="37"/>
        <v>35100</v>
      </c>
      <c r="AV22" s="460">
        <f t="shared" si="38"/>
        <v>842923</v>
      </c>
      <c r="AW22" s="460">
        <f t="shared" si="38"/>
        <v>24587</v>
      </c>
      <c r="AX22" s="460">
        <f>M22+AF22</f>
        <v>0</v>
      </c>
      <c r="AY22" s="461">
        <f>N22+AR22</f>
        <v>4.9996999999999998</v>
      </c>
      <c r="AZ22" s="461">
        <f t="shared" si="39"/>
        <v>4.9996999999999998</v>
      </c>
      <c r="BA22" s="463">
        <f t="shared" si="39"/>
        <v>0</v>
      </c>
    </row>
    <row r="23" spans="1:53" ht="12.95" customHeight="1" x14ac:dyDescent="0.25">
      <c r="A23" s="299">
        <v>3</v>
      </c>
      <c r="B23" s="300">
        <v>4464</v>
      </c>
      <c r="C23" s="300" t="s">
        <v>323</v>
      </c>
      <c r="D23" s="300">
        <v>46750461</v>
      </c>
      <c r="E23" s="302" t="s">
        <v>326</v>
      </c>
      <c r="F23" s="300">
        <v>3143</v>
      </c>
      <c r="G23" s="303" t="s">
        <v>617</v>
      </c>
      <c r="H23" s="303" t="s">
        <v>278</v>
      </c>
      <c r="I23" s="462">
        <f t="shared" si="25"/>
        <v>123877</v>
      </c>
      <c r="J23" s="457">
        <v>88512</v>
      </c>
      <c r="K23" s="457">
        <f t="shared" si="26"/>
        <v>29917</v>
      </c>
      <c r="L23" s="457">
        <f t="shared" si="27"/>
        <v>885</v>
      </c>
      <c r="M23" s="457">
        <v>4563</v>
      </c>
      <c r="N23" s="748">
        <f t="shared" si="28"/>
        <v>0.35</v>
      </c>
      <c r="O23" s="749">
        <v>0</v>
      </c>
      <c r="P23" s="750">
        <v>0.35</v>
      </c>
      <c r="Q23" s="469">
        <f t="shared" si="29"/>
        <v>0</v>
      </c>
      <c r="R23" s="460">
        <v>0</v>
      </c>
      <c r="S23" s="673">
        <v>0</v>
      </c>
      <c r="T23" s="460">
        <v>0</v>
      </c>
      <c r="U23" s="460">
        <v>0</v>
      </c>
      <c r="V23" s="460">
        <f>SUM(Q23:U23)</f>
        <v>0</v>
      </c>
      <c r="W23" s="460">
        <v>0</v>
      </c>
      <c r="X23" s="460">
        <v>0</v>
      </c>
      <c r="Y23" s="460">
        <v>0</v>
      </c>
      <c r="Z23" s="460">
        <f t="shared" si="30"/>
        <v>0</v>
      </c>
      <c r="AA23" s="460">
        <f t="shared" si="31"/>
        <v>0</v>
      </c>
      <c r="AB23" s="69">
        <f t="shared" si="32"/>
        <v>0</v>
      </c>
      <c r="AC23" s="69">
        <f t="shared" si="33"/>
        <v>0</v>
      </c>
      <c r="AD23" s="460">
        <v>0</v>
      </c>
      <c r="AE23" s="460">
        <v>0</v>
      </c>
      <c r="AF23" s="460">
        <f t="shared" si="34"/>
        <v>0</v>
      </c>
      <c r="AG23" s="460">
        <f t="shared" si="35"/>
        <v>0</v>
      </c>
      <c r="AH23" s="461">
        <v>0</v>
      </c>
      <c r="AI23" s="461">
        <v>0</v>
      </c>
      <c r="AJ23" s="461">
        <v>0</v>
      </c>
      <c r="AK23" s="461">
        <v>0</v>
      </c>
      <c r="AL23" s="674">
        <v>0</v>
      </c>
      <c r="AM23" s="461">
        <v>0</v>
      </c>
      <c r="AN23" s="461">
        <v>0</v>
      </c>
      <c r="AO23" s="461">
        <v>0</v>
      </c>
      <c r="AP23" s="461">
        <f>AH23+AJ23+AK23+AM23+AN23</f>
        <v>0</v>
      </c>
      <c r="AQ23" s="461">
        <f>AI23+AL23+AO23</f>
        <v>0</v>
      </c>
      <c r="AR23" s="463">
        <f t="shared" si="36"/>
        <v>0</v>
      </c>
      <c r="AS23" s="469">
        <f>I23+AG23</f>
        <v>123877</v>
      </c>
      <c r="AT23" s="460">
        <f>J23+V23</f>
        <v>88512</v>
      </c>
      <c r="AU23" s="460">
        <f t="shared" si="37"/>
        <v>0</v>
      </c>
      <c r="AV23" s="460">
        <f t="shared" si="38"/>
        <v>29917</v>
      </c>
      <c r="AW23" s="460">
        <f t="shared" si="38"/>
        <v>885</v>
      </c>
      <c r="AX23" s="460">
        <f>M23+AF23</f>
        <v>4563</v>
      </c>
      <c r="AY23" s="461">
        <f>N23+AR23</f>
        <v>0.35</v>
      </c>
      <c r="AZ23" s="461">
        <f t="shared" si="39"/>
        <v>0</v>
      </c>
      <c r="BA23" s="463">
        <f t="shared" si="39"/>
        <v>0.35</v>
      </c>
    </row>
    <row r="24" spans="1:53" ht="12.95" customHeight="1" x14ac:dyDescent="0.25">
      <c r="A24" s="292">
        <v>3</v>
      </c>
      <c r="B24" s="294">
        <v>4464</v>
      </c>
      <c r="C24" s="294" t="s">
        <v>323</v>
      </c>
      <c r="D24" s="294">
        <v>46750461</v>
      </c>
      <c r="E24" s="307" t="s">
        <v>327</v>
      </c>
      <c r="F24" s="294"/>
      <c r="G24" s="308"/>
      <c r="H24" s="308"/>
      <c r="I24" s="537">
        <f t="shared" ref="I24:P24" si="40">SUM(I19:I23)</f>
        <v>44525365</v>
      </c>
      <c r="J24" s="534">
        <f t="shared" si="40"/>
        <v>32503113</v>
      </c>
      <c r="K24" s="534">
        <f t="shared" si="40"/>
        <v>10986052</v>
      </c>
      <c r="L24" s="534">
        <f t="shared" si="40"/>
        <v>325031</v>
      </c>
      <c r="M24" s="534">
        <f t="shared" si="40"/>
        <v>711169</v>
      </c>
      <c r="N24" s="757">
        <f t="shared" si="40"/>
        <v>58.270799999999994</v>
      </c>
      <c r="O24" s="757">
        <f t="shared" si="40"/>
        <v>42.590799999999994</v>
      </c>
      <c r="P24" s="759">
        <f t="shared" si="40"/>
        <v>15.68</v>
      </c>
      <c r="Q24" s="539">
        <f t="shared" ref="Q24:BA24" si="41">SUM(Q19:Q23)</f>
        <v>-91910</v>
      </c>
      <c r="R24" s="534">
        <f t="shared" si="41"/>
        <v>1152891</v>
      </c>
      <c r="S24" s="534">
        <f t="shared" si="41"/>
        <v>0</v>
      </c>
      <c r="T24" s="534">
        <f t="shared" si="41"/>
        <v>0</v>
      </c>
      <c r="U24" s="534">
        <f t="shared" si="41"/>
        <v>0</v>
      </c>
      <c r="V24" s="534">
        <f t="shared" si="41"/>
        <v>1060981</v>
      </c>
      <c r="W24" s="534">
        <f t="shared" si="41"/>
        <v>91910</v>
      </c>
      <c r="X24" s="534">
        <f t="shared" si="41"/>
        <v>0</v>
      </c>
      <c r="Y24" s="534">
        <f t="shared" si="41"/>
        <v>0</v>
      </c>
      <c r="Z24" s="534">
        <f t="shared" si="41"/>
        <v>91910</v>
      </c>
      <c r="AA24" s="534">
        <f t="shared" si="41"/>
        <v>1152891</v>
      </c>
      <c r="AB24" s="534">
        <f t="shared" si="41"/>
        <v>389677</v>
      </c>
      <c r="AC24" s="534">
        <f t="shared" si="41"/>
        <v>10609</v>
      </c>
      <c r="AD24" s="534">
        <f t="shared" si="41"/>
        <v>4750</v>
      </c>
      <c r="AE24" s="534">
        <f t="shared" si="41"/>
        <v>0</v>
      </c>
      <c r="AF24" s="534">
        <f t="shared" si="41"/>
        <v>4750</v>
      </c>
      <c r="AG24" s="534">
        <f t="shared" si="41"/>
        <v>1557927</v>
      </c>
      <c r="AH24" s="535">
        <f t="shared" si="41"/>
        <v>-0.08</v>
      </c>
      <c r="AI24" s="535">
        <f t="shared" si="41"/>
        <v>-7.0000000000000007E-2</v>
      </c>
      <c r="AJ24" s="535">
        <f t="shared" si="41"/>
        <v>3.53</v>
      </c>
      <c r="AK24" s="535">
        <f t="shared" si="41"/>
        <v>0</v>
      </c>
      <c r="AL24" s="535">
        <f t="shared" si="41"/>
        <v>0</v>
      </c>
      <c r="AM24" s="535">
        <f t="shared" si="41"/>
        <v>0</v>
      </c>
      <c r="AN24" s="535">
        <f t="shared" si="41"/>
        <v>0</v>
      </c>
      <c r="AO24" s="535">
        <f t="shared" si="41"/>
        <v>0</v>
      </c>
      <c r="AP24" s="535">
        <f t="shared" si="41"/>
        <v>3.45</v>
      </c>
      <c r="AQ24" s="535">
        <f t="shared" si="41"/>
        <v>-7.0000000000000007E-2</v>
      </c>
      <c r="AR24" s="309">
        <f t="shared" si="41"/>
        <v>3.38</v>
      </c>
      <c r="AS24" s="539">
        <f t="shared" si="41"/>
        <v>46083292</v>
      </c>
      <c r="AT24" s="534">
        <f t="shared" si="41"/>
        <v>33564094</v>
      </c>
      <c r="AU24" s="534">
        <f t="shared" si="41"/>
        <v>91910</v>
      </c>
      <c r="AV24" s="534">
        <f t="shared" si="41"/>
        <v>11375729</v>
      </c>
      <c r="AW24" s="534">
        <f t="shared" si="41"/>
        <v>335640</v>
      </c>
      <c r="AX24" s="534">
        <f t="shared" si="41"/>
        <v>715919</v>
      </c>
      <c r="AY24" s="535">
        <f t="shared" si="41"/>
        <v>61.650799999999997</v>
      </c>
      <c r="AZ24" s="535">
        <f t="shared" si="41"/>
        <v>46.040799999999997</v>
      </c>
      <c r="BA24" s="309">
        <f t="shared" si="41"/>
        <v>15.61</v>
      </c>
    </row>
    <row r="25" spans="1:53" ht="12.95" customHeight="1" x14ac:dyDescent="0.25">
      <c r="A25" s="299">
        <v>4</v>
      </c>
      <c r="B25" s="300">
        <v>4457</v>
      </c>
      <c r="C25" s="300">
        <v>600074609</v>
      </c>
      <c r="D25" s="300">
        <v>72743964</v>
      </c>
      <c r="E25" s="302" t="s">
        <v>328</v>
      </c>
      <c r="F25" s="300">
        <v>3117</v>
      </c>
      <c r="G25" s="303" t="s">
        <v>325</v>
      </c>
      <c r="H25" s="303" t="s">
        <v>277</v>
      </c>
      <c r="I25" s="462">
        <f t="shared" ref="I25:I29" si="42">SUM(J25:M25)</f>
        <v>6079975</v>
      </c>
      <c r="J25" s="457">
        <v>4439243</v>
      </c>
      <c r="K25" s="457">
        <f t="shared" ref="K25:K29" si="43">ROUND(J25*33.8%,0)</f>
        <v>1500464</v>
      </c>
      <c r="L25" s="457">
        <f>ROUND(J25*1%,0)+1</f>
        <v>44393</v>
      </c>
      <c r="M25" s="457">
        <v>95875</v>
      </c>
      <c r="N25" s="748">
        <f t="shared" ref="N25:N29" si="44">O25+P25</f>
        <v>7.6939999999999991</v>
      </c>
      <c r="O25" s="749">
        <v>6.2272999999999996</v>
      </c>
      <c r="P25" s="750">
        <v>1.4666999999999999</v>
      </c>
      <c r="Q25" s="469">
        <f t="shared" ref="Q25:Q29" si="45">W25*-1</f>
        <v>-19500</v>
      </c>
      <c r="R25" s="460">
        <v>0</v>
      </c>
      <c r="S25" s="673">
        <v>0</v>
      </c>
      <c r="T25" s="460">
        <v>0</v>
      </c>
      <c r="U25" s="460">
        <v>0</v>
      </c>
      <c r="V25" s="460">
        <f>SUM(Q25:U25)</f>
        <v>-19500</v>
      </c>
      <c r="W25" s="460">
        <v>19500</v>
      </c>
      <c r="X25" s="460">
        <v>0</v>
      </c>
      <c r="Y25" s="460">
        <v>0</v>
      </c>
      <c r="Z25" s="460">
        <f t="shared" ref="Z25:Z29" si="46">SUM(W25:Y25)</f>
        <v>19500</v>
      </c>
      <c r="AA25" s="460">
        <f t="shared" ref="AA25:AA29" si="47">V25+Z25</f>
        <v>0</v>
      </c>
      <c r="AB25" s="69">
        <f t="shared" ref="AB25:AB29" si="48">ROUND((V25+W25+X25)*33.8%,0)</f>
        <v>0</v>
      </c>
      <c r="AC25" s="69">
        <f t="shared" ref="AC25:AC29" si="49">ROUND(V25*1%,0)</f>
        <v>-195</v>
      </c>
      <c r="AD25" s="460">
        <v>0</v>
      </c>
      <c r="AE25" s="460">
        <v>0</v>
      </c>
      <c r="AF25" s="460">
        <f t="shared" ref="AF25:AF29" si="50">SUM(AD25:AE25)</f>
        <v>0</v>
      </c>
      <c r="AG25" s="460">
        <f t="shared" ref="AG25:AG29" si="51">AA25+AB25+AC25+AF25</f>
        <v>-195</v>
      </c>
      <c r="AH25" s="461">
        <v>0</v>
      </c>
      <c r="AI25" s="461">
        <v>-0.03</v>
      </c>
      <c r="AJ25" s="461">
        <v>0</v>
      </c>
      <c r="AK25" s="461">
        <v>0</v>
      </c>
      <c r="AL25" s="674">
        <v>0</v>
      </c>
      <c r="AM25" s="461">
        <v>0</v>
      </c>
      <c r="AN25" s="461">
        <v>0</v>
      </c>
      <c r="AO25" s="461">
        <v>0</v>
      </c>
      <c r="AP25" s="461">
        <f>AH25+AJ25+AK25+AM25+AN25</f>
        <v>0</v>
      </c>
      <c r="AQ25" s="461">
        <f>AI25+AL25+AO25</f>
        <v>-0.03</v>
      </c>
      <c r="AR25" s="463">
        <f t="shared" ref="AR25:AR29" si="52">SUM(AP25:AQ25)</f>
        <v>-0.03</v>
      </c>
      <c r="AS25" s="469">
        <f>I25+AG25</f>
        <v>6079780</v>
      </c>
      <c r="AT25" s="460">
        <f>J25+V25</f>
        <v>4419743</v>
      </c>
      <c r="AU25" s="460">
        <f t="shared" ref="AU25:AU29" si="53">Z25</f>
        <v>19500</v>
      </c>
      <c r="AV25" s="460">
        <f t="shared" ref="AV25:AW29" si="54">K25+AB25</f>
        <v>1500464</v>
      </c>
      <c r="AW25" s="460">
        <f t="shared" si="54"/>
        <v>44198</v>
      </c>
      <c r="AX25" s="460">
        <f>M25+AF25</f>
        <v>95875</v>
      </c>
      <c r="AY25" s="461">
        <f>N25+AR25</f>
        <v>7.6639999999999988</v>
      </c>
      <c r="AZ25" s="461">
        <f t="shared" ref="AZ25:BA29" si="55">O25+AP25</f>
        <v>6.2272999999999996</v>
      </c>
      <c r="BA25" s="463">
        <f t="shared" si="55"/>
        <v>1.4366999999999999</v>
      </c>
    </row>
    <row r="26" spans="1:53" ht="12.95" customHeight="1" x14ac:dyDescent="0.25">
      <c r="A26" s="299">
        <v>4</v>
      </c>
      <c r="B26" s="300">
        <v>4457</v>
      </c>
      <c r="C26" s="300">
        <v>600074609</v>
      </c>
      <c r="D26" s="300">
        <v>72743964</v>
      </c>
      <c r="E26" s="302" t="s">
        <v>328</v>
      </c>
      <c r="F26" s="300">
        <v>3117</v>
      </c>
      <c r="G26" s="303" t="s">
        <v>315</v>
      </c>
      <c r="H26" s="303" t="s">
        <v>278</v>
      </c>
      <c r="I26" s="462">
        <f t="shared" si="42"/>
        <v>0</v>
      </c>
      <c r="J26" s="457">
        <v>0</v>
      </c>
      <c r="K26" s="457">
        <f t="shared" si="43"/>
        <v>0</v>
      </c>
      <c r="L26" s="457">
        <f t="shared" ref="L26:L29" si="56">ROUND(J26*1%,0)</f>
        <v>0</v>
      </c>
      <c r="M26" s="457">
        <v>0</v>
      </c>
      <c r="N26" s="748">
        <f t="shared" si="44"/>
        <v>0</v>
      </c>
      <c r="O26" s="749">
        <v>0</v>
      </c>
      <c r="P26" s="750">
        <v>0</v>
      </c>
      <c r="Q26" s="469">
        <f t="shared" si="45"/>
        <v>0</v>
      </c>
      <c r="R26" s="460">
        <v>590927</v>
      </c>
      <c r="S26" s="673">
        <v>0</v>
      </c>
      <c r="T26" s="460">
        <v>0</v>
      </c>
      <c r="U26" s="460">
        <v>0</v>
      </c>
      <c r="V26" s="460">
        <f>SUM(Q26:U26)</f>
        <v>590927</v>
      </c>
      <c r="W26" s="460">
        <v>0</v>
      </c>
      <c r="X26" s="460">
        <v>0</v>
      </c>
      <c r="Y26" s="460">
        <v>0</v>
      </c>
      <c r="Z26" s="460">
        <f t="shared" si="46"/>
        <v>0</v>
      </c>
      <c r="AA26" s="460">
        <f t="shared" si="47"/>
        <v>590927</v>
      </c>
      <c r="AB26" s="69">
        <f t="shared" si="48"/>
        <v>199733</v>
      </c>
      <c r="AC26" s="69">
        <f t="shared" si="49"/>
        <v>5909</v>
      </c>
      <c r="AD26" s="460">
        <v>0</v>
      </c>
      <c r="AE26" s="460">
        <v>0</v>
      </c>
      <c r="AF26" s="460">
        <f t="shared" si="50"/>
        <v>0</v>
      </c>
      <c r="AG26" s="460">
        <f t="shared" si="51"/>
        <v>796569</v>
      </c>
      <c r="AH26" s="461">
        <v>0</v>
      </c>
      <c r="AI26" s="461">
        <v>0</v>
      </c>
      <c r="AJ26" s="461">
        <v>1.69</v>
      </c>
      <c r="AK26" s="461">
        <v>0</v>
      </c>
      <c r="AL26" s="674">
        <v>0</v>
      </c>
      <c r="AM26" s="461">
        <v>0</v>
      </c>
      <c r="AN26" s="461">
        <v>0</v>
      </c>
      <c r="AO26" s="461">
        <v>0</v>
      </c>
      <c r="AP26" s="461">
        <f>AH26+AJ26+AK26+AM26+AN26</f>
        <v>1.69</v>
      </c>
      <c r="AQ26" s="461">
        <f>AI26+AL26+AO26</f>
        <v>0</v>
      </c>
      <c r="AR26" s="463">
        <f t="shared" si="52"/>
        <v>1.69</v>
      </c>
      <c r="AS26" s="469">
        <f>I26+AG26</f>
        <v>796569</v>
      </c>
      <c r="AT26" s="460">
        <f>J26+V26</f>
        <v>590927</v>
      </c>
      <c r="AU26" s="460">
        <f t="shared" si="53"/>
        <v>0</v>
      </c>
      <c r="AV26" s="460">
        <f t="shared" si="54"/>
        <v>199733</v>
      </c>
      <c r="AW26" s="460">
        <f t="shared" si="54"/>
        <v>5909</v>
      </c>
      <c r="AX26" s="460">
        <f>M26+AF26</f>
        <v>0</v>
      </c>
      <c r="AY26" s="461">
        <f>N26+AR26</f>
        <v>1.69</v>
      </c>
      <c r="AZ26" s="461">
        <f t="shared" si="55"/>
        <v>1.69</v>
      </c>
      <c r="BA26" s="463">
        <f t="shared" si="55"/>
        <v>0</v>
      </c>
    </row>
    <row r="27" spans="1:53" ht="12.95" customHeight="1" x14ac:dyDescent="0.25">
      <c r="A27" s="299">
        <v>4</v>
      </c>
      <c r="B27" s="300">
        <v>4457</v>
      </c>
      <c r="C27" s="300">
        <v>600074609</v>
      </c>
      <c r="D27" s="300">
        <v>72743964</v>
      </c>
      <c r="E27" s="302" t="s">
        <v>328</v>
      </c>
      <c r="F27" s="300">
        <v>3141</v>
      </c>
      <c r="G27" s="303" t="s">
        <v>311</v>
      </c>
      <c r="H27" s="303" t="s">
        <v>278</v>
      </c>
      <c r="I27" s="462">
        <f t="shared" si="42"/>
        <v>233499</v>
      </c>
      <c r="J27" s="457">
        <v>171655</v>
      </c>
      <c r="K27" s="457">
        <f t="shared" si="43"/>
        <v>58019</v>
      </c>
      <c r="L27" s="457">
        <f t="shared" si="56"/>
        <v>1717</v>
      </c>
      <c r="M27" s="457">
        <v>2108</v>
      </c>
      <c r="N27" s="748">
        <f t="shared" si="44"/>
        <v>0.55000000000000004</v>
      </c>
      <c r="O27" s="749">
        <v>0</v>
      </c>
      <c r="P27" s="750">
        <v>0.55000000000000004</v>
      </c>
      <c r="Q27" s="469">
        <f t="shared" si="45"/>
        <v>0</v>
      </c>
      <c r="R27" s="460">
        <v>0</v>
      </c>
      <c r="S27" s="673">
        <v>0</v>
      </c>
      <c r="T27" s="460">
        <v>0</v>
      </c>
      <c r="U27" s="460">
        <v>0</v>
      </c>
      <c r="V27" s="460">
        <f>SUM(Q27:U27)</f>
        <v>0</v>
      </c>
      <c r="W27" s="460">
        <v>0</v>
      </c>
      <c r="X27" s="460">
        <v>0</v>
      </c>
      <c r="Y27" s="460">
        <v>0</v>
      </c>
      <c r="Z27" s="460">
        <f t="shared" si="46"/>
        <v>0</v>
      </c>
      <c r="AA27" s="460">
        <f t="shared" si="47"/>
        <v>0</v>
      </c>
      <c r="AB27" s="69">
        <f t="shared" si="48"/>
        <v>0</v>
      </c>
      <c r="AC27" s="69">
        <f t="shared" si="49"/>
        <v>0</v>
      </c>
      <c r="AD27" s="460">
        <v>0</v>
      </c>
      <c r="AE27" s="460">
        <v>0</v>
      </c>
      <c r="AF27" s="460">
        <f t="shared" si="50"/>
        <v>0</v>
      </c>
      <c r="AG27" s="460">
        <f t="shared" si="51"/>
        <v>0</v>
      </c>
      <c r="AH27" s="461">
        <v>0</v>
      </c>
      <c r="AI27" s="461">
        <v>0</v>
      </c>
      <c r="AJ27" s="461">
        <v>0</v>
      </c>
      <c r="AK27" s="461">
        <v>0</v>
      </c>
      <c r="AL27" s="674">
        <v>0</v>
      </c>
      <c r="AM27" s="461">
        <v>0</v>
      </c>
      <c r="AN27" s="461">
        <v>0</v>
      </c>
      <c r="AO27" s="461">
        <v>0</v>
      </c>
      <c r="AP27" s="461">
        <f>AH27+AJ27+AK27+AM27+AN27</f>
        <v>0</v>
      </c>
      <c r="AQ27" s="461">
        <f>AI27+AL27+AO27</f>
        <v>0</v>
      </c>
      <c r="AR27" s="463">
        <f t="shared" si="52"/>
        <v>0</v>
      </c>
      <c r="AS27" s="469">
        <f>I27+AG27</f>
        <v>233499</v>
      </c>
      <c r="AT27" s="460">
        <f>J27+V27</f>
        <v>171655</v>
      </c>
      <c r="AU27" s="460">
        <f t="shared" si="53"/>
        <v>0</v>
      </c>
      <c r="AV27" s="460">
        <f t="shared" si="54"/>
        <v>58019</v>
      </c>
      <c r="AW27" s="460">
        <f t="shared" si="54"/>
        <v>1717</v>
      </c>
      <c r="AX27" s="460">
        <f>M27+AF27</f>
        <v>2108</v>
      </c>
      <c r="AY27" s="461">
        <f>N27+AR27</f>
        <v>0.55000000000000004</v>
      </c>
      <c r="AZ27" s="461">
        <f t="shared" si="55"/>
        <v>0</v>
      </c>
      <c r="BA27" s="463">
        <f t="shared" si="55"/>
        <v>0.55000000000000004</v>
      </c>
    </row>
    <row r="28" spans="1:53" ht="12.95" customHeight="1" x14ac:dyDescent="0.25">
      <c r="A28" s="299">
        <v>4</v>
      </c>
      <c r="B28" s="300">
        <v>4457</v>
      </c>
      <c r="C28" s="300">
        <v>600074609</v>
      </c>
      <c r="D28" s="300">
        <v>72743964</v>
      </c>
      <c r="E28" s="302" t="s">
        <v>328</v>
      </c>
      <c r="F28" s="300">
        <v>3143</v>
      </c>
      <c r="G28" s="303" t="s">
        <v>616</v>
      </c>
      <c r="H28" s="303" t="s">
        <v>277</v>
      </c>
      <c r="I28" s="462">
        <f t="shared" si="42"/>
        <v>997582</v>
      </c>
      <c r="J28" s="457">
        <v>740046</v>
      </c>
      <c r="K28" s="457">
        <f t="shared" si="43"/>
        <v>250136</v>
      </c>
      <c r="L28" s="457">
        <f t="shared" si="56"/>
        <v>7400</v>
      </c>
      <c r="M28" s="457">
        <v>0</v>
      </c>
      <c r="N28" s="748">
        <f t="shared" si="44"/>
        <v>1.6428</v>
      </c>
      <c r="O28" s="749">
        <v>1.6428</v>
      </c>
      <c r="P28" s="750">
        <v>0</v>
      </c>
      <c r="Q28" s="469">
        <f t="shared" si="45"/>
        <v>0</v>
      </c>
      <c r="R28" s="460">
        <v>0</v>
      </c>
      <c r="S28" s="673">
        <v>0</v>
      </c>
      <c r="T28" s="460">
        <v>0</v>
      </c>
      <c r="U28" s="460">
        <v>0</v>
      </c>
      <c r="V28" s="460">
        <f>SUM(Q28:U28)</f>
        <v>0</v>
      </c>
      <c r="W28" s="460">
        <v>0</v>
      </c>
      <c r="X28" s="460">
        <v>0</v>
      </c>
      <c r="Y28" s="460">
        <v>0</v>
      </c>
      <c r="Z28" s="460">
        <f t="shared" si="46"/>
        <v>0</v>
      </c>
      <c r="AA28" s="460">
        <f t="shared" si="47"/>
        <v>0</v>
      </c>
      <c r="AB28" s="69">
        <f t="shared" si="48"/>
        <v>0</v>
      </c>
      <c r="AC28" s="69">
        <f t="shared" si="49"/>
        <v>0</v>
      </c>
      <c r="AD28" s="460">
        <v>0</v>
      </c>
      <c r="AE28" s="460">
        <v>0</v>
      </c>
      <c r="AF28" s="460">
        <f t="shared" si="50"/>
        <v>0</v>
      </c>
      <c r="AG28" s="460">
        <f t="shared" si="51"/>
        <v>0</v>
      </c>
      <c r="AH28" s="461">
        <v>0</v>
      </c>
      <c r="AI28" s="461">
        <v>0</v>
      </c>
      <c r="AJ28" s="461">
        <v>0</v>
      </c>
      <c r="AK28" s="461">
        <v>0</v>
      </c>
      <c r="AL28" s="674">
        <v>0</v>
      </c>
      <c r="AM28" s="461">
        <v>0</v>
      </c>
      <c r="AN28" s="461">
        <v>0</v>
      </c>
      <c r="AO28" s="461">
        <v>0</v>
      </c>
      <c r="AP28" s="461">
        <f>AH28+AJ28+AK28+AM28+AN28</f>
        <v>0</v>
      </c>
      <c r="AQ28" s="461">
        <f>AI28+AL28+AO28</f>
        <v>0</v>
      </c>
      <c r="AR28" s="463">
        <f t="shared" si="52"/>
        <v>0</v>
      </c>
      <c r="AS28" s="469">
        <f>I28+AG28</f>
        <v>997582</v>
      </c>
      <c r="AT28" s="460">
        <f>J28+V28</f>
        <v>740046</v>
      </c>
      <c r="AU28" s="460">
        <f t="shared" si="53"/>
        <v>0</v>
      </c>
      <c r="AV28" s="460">
        <f t="shared" si="54"/>
        <v>250136</v>
      </c>
      <c r="AW28" s="460">
        <f t="shared" si="54"/>
        <v>7400</v>
      </c>
      <c r="AX28" s="460">
        <f>M28+AF28</f>
        <v>0</v>
      </c>
      <c r="AY28" s="461">
        <f>N28+AR28</f>
        <v>1.6428</v>
      </c>
      <c r="AZ28" s="461">
        <f t="shared" si="55"/>
        <v>1.6428</v>
      </c>
      <c r="BA28" s="463">
        <f t="shared" si="55"/>
        <v>0</v>
      </c>
    </row>
    <row r="29" spans="1:53" ht="12.95" customHeight="1" x14ac:dyDescent="0.25">
      <c r="A29" s="299">
        <v>4</v>
      </c>
      <c r="B29" s="300">
        <v>4457</v>
      </c>
      <c r="C29" s="300">
        <v>600074609</v>
      </c>
      <c r="D29" s="300">
        <v>72743964</v>
      </c>
      <c r="E29" s="302" t="s">
        <v>328</v>
      </c>
      <c r="F29" s="300">
        <v>3143</v>
      </c>
      <c r="G29" s="303" t="s">
        <v>617</v>
      </c>
      <c r="H29" s="303" t="s">
        <v>278</v>
      </c>
      <c r="I29" s="462">
        <f t="shared" si="42"/>
        <v>24189</v>
      </c>
      <c r="J29" s="457">
        <v>17283</v>
      </c>
      <c r="K29" s="457">
        <f t="shared" si="43"/>
        <v>5842</v>
      </c>
      <c r="L29" s="457">
        <f t="shared" si="56"/>
        <v>173</v>
      </c>
      <c r="M29" s="457">
        <v>891</v>
      </c>
      <c r="N29" s="748">
        <f t="shared" si="44"/>
        <v>7.0000000000000007E-2</v>
      </c>
      <c r="O29" s="749">
        <v>0</v>
      </c>
      <c r="P29" s="750">
        <v>7.0000000000000007E-2</v>
      </c>
      <c r="Q29" s="469">
        <f t="shared" si="45"/>
        <v>0</v>
      </c>
      <c r="R29" s="460">
        <v>0</v>
      </c>
      <c r="S29" s="673">
        <v>0</v>
      </c>
      <c r="T29" s="460">
        <v>0</v>
      </c>
      <c r="U29" s="460">
        <v>0</v>
      </c>
      <c r="V29" s="460">
        <f>SUM(Q29:U29)</f>
        <v>0</v>
      </c>
      <c r="W29" s="460">
        <v>0</v>
      </c>
      <c r="X29" s="460">
        <v>0</v>
      </c>
      <c r="Y29" s="460">
        <v>0</v>
      </c>
      <c r="Z29" s="460">
        <f t="shared" si="46"/>
        <v>0</v>
      </c>
      <c r="AA29" s="460">
        <f t="shared" si="47"/>
        <v>0</v>
      </c>
      <c r="AB29" s="69">
        <f t="shared" si="48"/>
        <v>0</v>
      </c>
      <c r="AC29" s="69">
        <f t="shared" si="49"/>
        <v>0</v>
      </c>
      <c r="AD29" s="460">
        <v>0</v>
      </c>
      <c r="AE29" s="460">
        <v>0</v>
      </c>
      <c r="AF29" s="460">
        <f t="shared" si="50"/>
        <v>0</v>
      </c>
      <c r="AG29" s="460">
        <f t="shared" si="51"/>
        <v>0</v>
      </c>
      <c r="AH29" s="461">
        <v>0</v>
      </c>
      <c r="AI29" s="461">
        <v>0</v>
      </c>
      <c r="AJ29" s="461">
        <v>0</v>
      </c>
      <c r="AK29" s="461">
        <v>0</v>
      </c>
      <c r="AL29" s="674">
        <v>0</v>
      </c>
      <c r="AM29" s="461">
        <v>0</v>
      </c>
      <c r="AN29" s="461">
        <v>0</v>
      </c>
      <c r="AO29" s="461">
        <v>0</v>
      </c>
      <c r="AP29" s="461">
        <f>AH29+AJ29+AK29+AM29+AN29</f>
        <v>0</v>
      </c>
      <c r="AQ29" s="461">
        <f>AI29+AL29+AO29</f>
        <v>0</v>
      </c>
      <c r="AR29" s="463">
        <f t="shared" si="52"/>
        <v>0</v>
      </c>
      <c r="AS29" s="469">
        <f>I29+AG29</f>
        <v>24189</v>
      </c>
      <c r="AT29" s="460">
        <f>J29+V29</f>
        <v>17283</v>
      </c>
      <c r="AU29" s="460">
        <f t="shared" si="53"/>
        <v>0</v>
      </c>
      <c r="AV29" s="460">
        <f t="shared" si="54"/>
        <v>5842</v>
      </c>
      <c r="AW29" s="460">
        <f t="shared" si="54"/>
        <v>173</v>
      </c>
      <c r="AX29" s="460">
        <f>M29+AF29</f>
        <v>891</v>
      </c>
      <c r="AY29" s="461">
        <f>N29+AR29</f>
        <v>7.0000000000000007E-2</v>
      </c>
      <c r="AZ29" s="461">
        <f t="shared" si="55"/>
        <v>0</v>
      </c>
      <c r="BA29" s="463">
        <f t="shared" si="55"/>
        <v>7.0000000000000007E-2</v>
      </c>
    </row>
    <row r="30" spans="1:53" ht="12.95" customHeight="1" x14ac:dyDescent="0.25">
      <c r="A30" s="292">
        <v>4</v>
      </c>
      <c r="B30" s="294">
        <v>4457</v>
      </c>
      <c r="C30" s="294">
        <v>600074609</v>
      </c>
      <c r="D30" s="294">
        <v>72743964</v>
      </c>
      <c r="E30" s="307" t="s">
        <v>329</v>
      </c>
      <c r="F30" s="310"/>
      <c r="G30" s="311"/>
      <c r="H30" s="311"/>
      <c r="I30" s="537">
        <f t="shared" ref="I30:P30" si="57">SUM(I25:I29)</f>
        <v>7335245</v>
      </c>
      <c r="J30" s="534">
        <f t="shared" si="57"/>
        <v>5368227</v>
      </c>
      <c r="K30" s="534">
        <f t="shared" si="57"/>
        <v>1814461</v>
      </c>
      <c r="L30" s="534">
        <f t="shared" si="57"/>
        <v>53683</v>
      </c>
      <c r="M30" s="534">
        <f t="shared" si="57"/>
        <v>98874</v>
      </c>
      <c r="N30" s="757">
        <f t="shared" si="57"/>
        <v>9.9567999999999994</v>
      </c>
      <c r="O30" s="757">
        <f t="shared" si="57"/>
        <v>7.8700999999999999</v>
      </c>
      <c r="P30" s="759">
        <f t="shared" si="57"/>
        <v>2.0867</v>
      </c>
      <c r="Q30" s="539">
        <f t="shared" ref="Q30:BA30" si="58">SUM(Q25:Q29)</f>
        <v>-19500</v>
      </c>
      <c r="R30" s="534">
        <f t="shared" si="58"/>
        <v>590927</v>
      </c>
      <c r="S30" s="534">
        <f t="shared" si="58"/>
        <v>0</v>
      </c>
      <c r="T30" s="534">
        <f t="shared" si="58"/>
        <v>0</v>
      </c>
      <c r="U30" s="534">
        <f t="shared" si="58"/>
        <v>0</v>
      </c>
      <c r="V30" s="534">
        <f t="shared" si="58"/>
        <v>571427</v>
      </c>
      <c r="W30" s="534">
        <f t="shared" si="58"/>
        <v>19500</v>
      </c>
      <c r="X30" s="534">
        <f t="shared" si="58"/>
        <v>0</v>
      </c>
      <c r="Y30" s="534">
        <f t="shared" si="58"/>
        <v>0</v>
      </c>
      <c r="Z30" s="534">
        <f t="shared" si="58"/>
        <v>19500</v>
      </c>
      <c r="AA30" s="534">
        <f t="shared" si="58"/>
        <v>590927</v>
      </c>
      <c r="AB30" s="534">
        <f t="shared" si="58"/>
        <v>199733</v>
      </c>
      <c r="AC30" s="534">
        <f t="shared" si="58"/>
        <v>5714</v>
      </c>
      <c r="AD30" s="534">
        <f t="shared" si="58"/>
        <v>0</v>
      </c>
      <c r="AE30" s="534">
        <f t="shared" si="58"/>
        <v>0</v>
      </c>
      <c r="AF30" s="534">
        <f t="shared" si="58"/>
        <v>0</v>
      </c>
      <c r="AG30" s="534">
        <f t="shared" si="58"/>
        <v>796374</v>
      </c>
      <c r="AH30" s="535">
        <f t="shared" si="58"/>
        <v>0</v>
      </c>
      <c r="AI30" s="535">
        <f t="shared" si="58"/>
        <v>-0.03</v>
      </c>
      <c r="AJ30" s="535">
        <f t="shared" si="58"/>
        <v>1.69</v>
      </c>
      <c r="AK30" s="535">
        <f t="shared" si="58"/>
        <v>0</v>
      </c>
      <c r="AL30" s="535">
        <f t="shared" si="58"/>
        <v>0</v>
      </c>
      <c r="AM30" s="535">
        <f t="shared" si="58"/>
        <v>0</v>
      </c>
      <c r="AN30" s="535">
        <f t="shared" si="58"/>
        <v>0</v>
      </c>
      <c r="AO30" s="535">
        <f t="shared" si="58"/>
        <v>0</v>
      </c>
      <c r="AP30" s="535">
        <f t="shared" si="58"/>
        <v>1.69</v>
      </c>
      <c r="AQ30" s="535">
        <f t="shared" si="58"/>
        <v>-0.03</v>
      </c>
      <c r="AR30" s="309">
        <f t="shared" si="58"/>
        <v>1.66</v>
      </c>
      <c r="AS30" s="539">
        <f t="shared" si="58"/>
        <v>8131619</v>
      </c>
      <c r="AT30" s="534">
        <f t="shared" si="58"/>
        <v>5939654</v>
      </c>
      <c r="AU30" s="534">
        <f t="shared" si="58"/>
        <v>19500</v>
      </c>
      <c r="AV30" s="534">
        <f t="shared" si="58"/>
        <v>2014194</v>
      </c>
      <c r="AW30" s="534">
        <f t="shared" si="58"/>
        <v>59397</v>
      </c>
      <c r="AX30" s="534">
        <f t="shared" si="58"/>
        <v>98874</v>
      </c>
      <c r="AY30" s="535">
        <f t="shared" si="58"/>
        <v>11.6168</v>
      </c>
      <c r="AZ30" s="535">
        <f t="shared" si="58"/>
        <v>9.5600999999999985</v>
      </c>
      <c r="BA30" s="309">
        <f t="shared" si="58"/>
        <v>2.0566999999999998</v>
      </c>
    </row>
    <row r="31" spans="1:53" ht="12.95" customHeight="1" x14ac:dyDescent="0.25">
      <c r="A31" s="299">
        <v>5</v>
      </c>
      <c r="B31" s="300">
        <v>4456</v>
      </c>
      <c r="C31" s="300">
        <v>600074617</v>
      </c>
      <c r="D31" s="300">
        <v>68430132</v>
      </c>
      <c r="E31" s="302" t="s">
        <v>330</v>
      </c>
      <c r="F31" s="300">
        <v>3113</v>
      </c>
      <c r="G31" s="303" t="s">
        <v>325</v>
      </c>
      <c r="H31" s="303" t="s">
        <v>277</v>
      </c>
      <c r="I31" s="462">
        <f t="shared" ref="I31:I35" si="59">SUM(J31:M31)</f>
        <v>44352718</v>
      </c>
      <c r="J31" s="457">
        <v>32264594</v>
      </c>
      <c r="K31" s="457">
        <f t="shared" ref="K31:K35" si="60">ROUND(J31*33.8%,0)</f>
        <v>10905433</v>
      </c>
      <c r="L31" s="457">
        <f t="shared" ref="L31:L35" si="61">ROUND(J31*1%,0)</f>
        <v>322646</v>
      </c>
      <c r="M31" s="457">
        <v>860045</v>
      </c>
      <c r="N31" s="748">
        <f t="shared" ref="N31:N35" si="62">O31+P31</f>
        <v>53.3934</v>
      </c>
      <c r="O31" s="749">
        <v>43.863399999999999</v>
      </c>
      <c r="P31" s="750">
        <v>9.5299999999999994</v>
      </c>
      <c r="Q31" s="469">
        <f t="shared" ref="Q31:Q35" si="63">W31*-1</f>
        <v>-84500</v>
      </c>
      <c r="R31" s="460">
        <v>0</v>
      </c>
      <c r="S31" s="673">
        <v>0</v>
      </c>
      <c r="T31" s="460">
        <v>0</v>
      </c>
      <c r="U31" s="460">
        <v>0</v>
      </c>
      <c r="V31" s="460">
        <f>SUM(Q31:U31)</f>
        <v>-84500</v>
      </c>
      <c r="W31" s="460">
        <v>84500</v>
      </c>
      <c r="X31" s="460">
        <v>0</v>
      </c>
      <c r="Y31" s="460">
        <v>0</v>
      </c>
      <c r="Z31" s="460">
        <f t="shared" ref="Z31:Z35" si="64">SUM(W31:Y31)</f>
        <v>84500</v>
      </c>
      <c r="AA31" s="460">
        <f t="shared" ref="AA31:AA35" si="65">V31+Z31</f>
        <v>0</v>
      </c>
      <c r="AB31" s="69">
        <f t="shared" ref="AB31:AB35" si="66">ROUND((V31+W31+X31)*33.8%,0)</f>
        <v>0</v>
      </c>
      <c r="AC31" s="69">
        <f t="shared" ref="AC31:AC35" si="67">ROUND(V31*1%,0)</f>
        <v>-845</v>
      </c>
      <c r="AD31" s="460">
        <v>0</v>
      </c>
      <c r="AE31" s="460">
        <v>0</v>
      </c>
      <c r="AF31" s="460">
        <f t="shared" ref="AF31:AF35" si="68">SUM(AD31:AE31)</f>
        <v>0</v>
      </c>
      <c r="AG31" s="460">
        <f t="shared" ref="AG31:AG35" si="69">AA31+AB31+AC31+AF31</f>
        <v>-845</v>
      </c>
      <c r="AH31" s="461">
        <v>0</v>
      </c>
      <c r="AI31" s="461">
        <v>-0.12</v>
      </c>
      <c r="AJ31" s="461">
        <v>0</v>
      </c>
      <c r="AK31" s="461">
        <v>0</v>
      </c>
      <c r="AL31" s="674">
        <v>0</v>
      </c>
      <c r="AM31" s="461">
        <v>0</v>
      </c>
      <c r="AN31" s="461">
        <v>0</v>
      </c>
      <c r="AO31" s="461">
        <v>0</v>
      </c>
      <c r="AP31" s="461">
        <f>AH31+AJ31+AK31+AM31+AN31</f>
        <v>0</v>
      </c>
      <c r="AQ31" s="461">
        <f>AI31+AL31+AO31</f>
        <v>-0.12</v>
      </c>
      <c r="AR31" s="463">
        <f t="shared" ref="AR31:AR35" si="70">SUM(AP31:AQ31)</f>
        <v>-0.12</v>
      </c>
      <c r="AS31" s="469">
        <f>I31+AG31</f>
        <v>44351873</v>
      </c>
      <c r="AT31" s="460">
        <f>J31+V31</f>
        <v>32180094</v>
      </c>
      <c r="AU31" s="460">
        <f t="shared" ref="AU31:AU35" si="71">Z31</f>
        <v>84500</v>
      </c>
      <c r="AV31" s="460">
        <f t="shared" ref="AV31:AW35" si="72">K31+AB31</f>
        <v>10905433</v>
      </c>
      <c r="AW31" s="460">
        <f t="shared" si="72"/>
        <v>321801</v>
      </c>
      <c r="AX31" s="460">
        <f>M31+AF31</f>
        <v>860045</v>
      </c>
      <c r="AY31" s="461">
        <f>N31+AR31</f>
        <v>53.273400000000002</v>
      </c>
      <c r="AZ31" s="461">
        <f t="shared" ref="AZ31:BA35" si="73">O31+AP31</f>
        <v>43.863399999999999</v>
      </c>
      <c r="BA31" s="463">
        <f t="shared" si="73"/>
        <v>9.41</v>
      </c>
    </row>
    <row r="32" spans="1:53" ht="12.95" customHeight="1" x14ac:dyDescent="0.25">
      <c r="A32" s="299">
        <v>5</v>
      </c>
      <c r="B32" s="300">
        <v>4456</v>
      </c>
      <c r="C32" s="300">
        <v>600074617</v>
      </c>
      <c r="D32" s="300">
        <v>68430132</v>
      </c>
      <c r="E32" s="302" t="s">
        <v>330</v>
      </c>
      <c r="F32" s="300">
        <v>3113</v>
      </c>
      <c r="G32" s="303" t="s">
        <v>315</v>
      </c>
      <c r="H32" s="303" t="s">
        <v>278</v>
      </c>
      <c r="I32" s="462">
        <f t="shared" si="59"/>
        <v>0</v>
      </c>
      <c r="J32" s="457">
        <v>0</v>
      </c>
      <c r="K32" s="457">
        <f t="shared" si="60"/>
        <v>0</v>
      </c>
      <c r="L32" s="457">
        <f t="shared" si="61"/>
        <v>0</v>
      </c>
      <c r="M32" s="457">
        <v>0</v>
      </c>
      <c r="N32" s="748">
        <f t="shared" si="62"/>
        <v>0</v>
      </c>
      <c r="O32" s="749">
        <v>0</v>
      </c>
      <c r="P32" s="750">
        <v>0</v>
      </c>
      <c r="Q32" s="469">
        <f t="shared" si="63"/>
        <v>0</v>
      </c>
      <c r="R32" s="460">
        <v>2121790</v>
      </c>
      <c r="S32" s="673">
        <v>0</v>
      </c>
      <c r="T32" s="460">
        <v>0</v>
      </c>
      <c r="U32" s="460">
        <v>0</v>
      </c>
      <c r="V32" s="460">
        <f>SUM(Q32:U32)</f>
        <v>2121790</v>
      </c>
      <c r="W32" s="460">
        <v>0</v>
      </c>
      <c r="X32" s="460">
        <v>0</v>
      </c>
      <c r="Y32" s="460">
        <v>0</v>
      </c>
      <c r="Z32" s="460">
        <f t="shared" si="64"/>
        <v>0</v>
      </c>
      <c r="AA32" s="460">
        <f t="shared" si="65"/>
        <v>2121790</v>
      </c>
      <c r="AB32" s="69">
        <f t="shared" si="66"/>
        <v>717165</v>
      </c>
      <c r="AC32" s="69">
        <f t="shared" si="67"/>
        <v>21218</v>
      </c>
      <c r="AD32" s="460">
        <v>0</v>
      </c>
      <c r="AE32" s="460">
        <v>0</v>
      </c>
      <c r="AF32" s="460">
        <f t="shared" si="68"/>
        <v>0</v>
      </c>
      <c r="AG32" s="460">
        <f t="shared" si="69"/>
        <v>2860173</v>
      </c>
      <c r="AH32" s="461">
        <v>0</v>
      </c>
      <c r="AI32" s="461">
        <v>0</v>
      </c>
      <c r="AJ32" s="461">
        <v>6.21</v>
      </c>
      <c r="AK32" s="461">
        <v>0</v>
      </c>
      <c r="AL32" s="674">
        <v>0</v>
      </c>
      <c r="AM32" s="461">
        <v>0</v>
      </c>
      <c r="AN32" s="461">
        <v>0</v>
      </c>
      <c r="AO32" s="461">
        <v>0</v>
      </c>
      <c r="AP32" s="461">
        <f>AH32+AJ32+AK32+AM32+AN32</f>
        <v>6.21</v>
      </c>
      <c r="AQ32" s="461">
        <f>AI32+AL32+AO32</f>
        <v>0</v>
      </c>
      <c r="AR32" s="463">
        <f t="shared" si="70"/>
        <v>6.21</v>
      </c>
      <c r="AS32" s="469">
        <f>I32+AG32</f>
        <v>2860173</v>
      </c>
      <c r="AT32" s="460">
        <f>J32+V32</f>
        <v>2121790</v>
      </c>
      <c r="AU32" s="460">
        <f t="shared" si="71"/>
        <v>0</v>
      </c>
      <c r="AV32" s="460">
        <f t="shared" si="72"/>
        <v>717165</v>
      </c>
      <c r="AW32" s="460">
        <f t="shared" si="72"/>
        <v>21218</v>
      </c>
      <c r="AX32" s="460">
        <f>M32+AF32</f>
        <v>0</v>
      </c>
      <c r="AY32" s="461">
        <f>N32+AR32</f>
        <v>6.21</v>
      </c>
      <c r="AZ32" s="461">
        <f t="shared" si="73"/>
        <v>6.21</v>
      </c>
      <c r="BA32" s="463">
        <f t="shared" si="73"/>
        <v>0</v>
      </c>
    </row>
    <row r="33" spans="1:53" ht="12.95" customHeight="1" x14ac:dyDescent="0.25">
      <c r="A33" s="299">
        <v>5</v>
      </c>
      <c r="B33" s="300">
        <v>4456</v>
      </c>
      <c r="C33" s="300">
        <v>600074617</v>
      </c>
      <c r="D33" s="300">
        <v>68430132</v>
      </c>
      <c r="E33" s="302" t="s">
        <v>330</v>
      </c>
      <c r="F33" s="300">
        <v>3141</v>
      </c>
      <c r="G33" s="303" t="s">
        <v>311</v>
      </c>
      <c r="H33" s="303" t="s">
        <v>278</v>
      </c>
      <c r="I33" s="462">
        <f t="shared" si="59"/>
        <v>4288814</v>
      </c>
      <c r="J33" s="457">
        <v>3154571</v>
      </c>
      <c r="K33" s="457">
        <f t="shared" si="60"/>
        <v>1066245</v>
      </c>
      <c r="L33" s="457">
        <f t="shared" si="61"/>
        <v>31546</v>
      </c>
      <c r="M33" s="457">
        <v>36452</v>
      </c>
      <c r="N33" s="748">
        <f t="shared" si="62"/>
        <v>10.14</v>
      </c>
      <c r="O33" s="749">
        <v>0</v>
      </c>
      <c r="P33" s="750">
        <v>10.14</v>
      </c>
      <c r="Q33" s="469">
        <f t="shared" si="63"/>
        <v>-32500</v>
      </c>
      <c r="R33" s="460">
        <v>0</v>
      </c>
      <c r="S33" s="673">
        <v>0</v>
      </c>
      <c r="T33" s="460">
        <v>0</v>
      </c>
      <c r="U33" s="460">
        <v>0</v>
      </c>
      <c r="V33" s="460">
        <f>SUM(Q33:U33)</f>
        <v>-32500</v>
      </c>
      <c r="W33" s="460">
        <v>32500</v>
      </c>
      <c r="X33" s="460">
        <v>0</v>
      </c>
      <c r="Y33" s="460">
        <v>0</v>
      </c>
      <c r="Z33" s="460">
        <f t="shared" si="64"/>
        <v>32500</v>
      </c>
      <c r="AA33" s="460">
        <f t="shared" si="65"/>
        <v>0</v>
      </c>
      <c r="AB33" s="69">
        <f t="shared" si="66"/>
        <v>0</v>
      </c>
      <c r="AC33" s="69">
        <f t="shared" si="67"/>
        <v>-325</v>
      </c>
      <c r="AD33" s="460">
        <v>0</v>
      </c>
      <c r="AE33" s="460">
        <v>0</v>
      </c>
      <c r="AF33" s="460">
        <f t="shared" si="68"/>
        <v>0</v>
      </c>
      <c r="AG33" s="460">
        <f t="shared" si="69"/>
        <v>-325</v>
      </c>
      <c r="AH33" s="461">
        <v>0</v>
      </c>
      <c r="AI33" s="461">
        <v>0</v>
      </c>
      <c r="AJ33" s="461">
        <v>0</v>
      </c>
      <c r="AK33" s="461">
        <v>0</v>
      </c>
      <c r="AL33" s="674">
        <v>0</v>
      </c>
      <c r="AM33" s="461">
        <v>0</v>
      </c>
      <c r="AN33" s="461">
        <v>0</v>
      </c>
      <c r="AO33" s="461">
        <v>0</v>
      </c>
      <c r="AP33" s="461">
        <f>AH33+AJ33+AK33+AM33+AN33</f>
        <v>0</v>
      </c>
      <c r="AQ33" s="461">
        <f>AI33+AL33+AO33</f>
        <v>0</v>
      </c>
      <c r="AR33" s="463">
        <f t="shared" si="70"/>
        <v>0</v>
      </c>
      <c r="AS33" s="469">
        <f>I33+AG33</f>
        <v>4288489</v>
      </c>
      <c r="AT33" s="460">
        <f>J33+V33</f>
        <v>3122071</v>
      </c>
      <c r="AU33" s="460">
        <f t="shared" si="71"/>
        <v>32500</v>
      </c>
      <c r="AV33" s="460">
        <f t="shared" si="72"/>
        <v>1066245</v>
      </c>
      <c r="AW33" s="460">
        <f t="shared" si="72"/>
        <v>31221</v>
      </c>
      <c r="AX33" s="460">
        <f>M33+AF33</f>
        <v>36452</v>
      </c>
      <c r="AY33" s="461">
        <f>N33+AR33</f>
        <v>10.14</v>
      </c>
      <c r="AZ33" s="461">
        <f t="shared" si="73"/>
        <v>0</v>
      </c>
      <c r="BA33" s="463">
        <f t="shared" si="73"/>
        <v>10.14</v>
      </c>
    </row>
    <row r="34" spans="1:53" ht="12.95" customHeight="1" x14ac:dyDescent="0.25">
      <c r="A34" s="299">
        <v>5</v>
      </c>
      <c r="B34" s="300">
        <v>4456</v>
      </c>
      <c r="C34" s="300">
        <v>600074617</v>
      </c>
      <c r="D34" s="300">
        <v>68430132</v>
      </c>
      <c r="E34" s="302" t="s">
        <v>330</v>
      </c>
      <c r="F34" s="300">
        <v>3143</v>
      </c>
      <c r="G34" s="303" t="s">
        <v>616</v>
      </c>
      <c r="H34" s="303" t="s">
        <v>277</v>
      </c>
      <c r="I34" s="462">
        <f t="shared" si="59"/>
        <v>3107873</v>
      </c>
      <c r="J34" s="457">
        <v>2305544</v>
      </c>
      <c r="K34" s="457">
        <f t="shared" si="60"/>
        <v>779274</v>
      </c>
      <c r="L34" s="457">
        <f t="shared" si="61"/>
        <v>23055</v>
      </c>
      <c r="M34" s="457">
        <v>0</v>
      </c>
      <c r="N34" s="748">
        <f t="shared" si="62"/>
        <v>4.4824000000000002</v>
      </c>
      <c r="O34" s="749">
        <v>4.4824000000000002</v>
      </c>
      <c r="P34" s="750">
        <v>0</v>
      </c>
      <c r="Q34" s="469">
        <f t="shared" si="63"/>
        <v>-39000</v>
      </c>
      <c r="R34" s="460">
        <v>0</v>
      </c>
      <c r="S34" s="673">
        <v>0</v>
      </c>
      <c r="T34" s="460">
        <v>0</v>
      </c>
      <c r="U34" s="460">
        <v>0</v>
      </c>
      <c r="V34" s="460">
        <f>SUM(Q34:U34)</f>
        <v>-39000</v>
      </c>
      <c r="W34" s="460">
        <v>39000</v>
      </c>
      <c r="X34" s="460">
        <v>0</v>
      </c>
      <c r="Y34" s="460">
        <v>0</v>
      </c>
      <c r="Z34" s="460">
        <f t="shared" si="64"/>
        <v>39000</v>
      </c>
      <c r="AA34" s="460">
        <f t="shared" si="65"/>
        <v>0</v>
      </c>
      <c r="AB34" s="69">
        <f t="shared" si="66"/>
        <v>0</v>
      </c>
      <c r="AC34" s="69">
        <f t="shared" si="67"/>
        <v>-390</v>
      </c>
      <c r="AD34" s="460">
        <v>0</v>
      </c>
      <c r="AE34" s="460">
        <v>0</v>
      </c>
      <c r="AF34" s="460">
        <f t="shared" si="68"/>
        <v>0</v>
      </c>
      <c r="AG34" s="460">
        <f t="shared" si="69"/>
        <v>-390</v>
      </c>
      <c r="AH34" s="461">
        <v>0</v>
      </c>
      <c r="AI34" s="461">
        <v>0</v>
      </c>
      <c r="AJ34" s="461">
        <v>0</v>
      </c>
      <c r="AK34" s="461">
        <v>0</v>
      </c>
      <c r="AL34" s="674">
        <v>0</v>
      </c>
      <c r="AM34" s="461">
        <v>0</v>
      </c>
      <c r="AN34" s="461">
        <v>0</v>
      </c>
      <c r="AO34" s="461">
        <v>0</v>
      </c>
      <c r="AP34" s="461">
        <f>AH34+AJ34+AK34+AM34+AN34</f>
        <v>0</v>
      </c>
      <c r="AQ34" s="461">
        <f>AI34+AL34+AO34</f>
        <v>0</v>
      </c>
      <c r="AR34" s="463">
        <f t="shared" si="70"/>
        <v>0</v>
      </c>
      <c r="AS34" s="469">
        <f>I34+AG34</f>
        <v>3107483</v>
      </c>
      <c r="AT34" s="460">
        <f>J34+V34</f>
        <v>2266544</v>
      </c>
      <c r="AU34" s="460">
        <f t="shared" si="71"/>
        <v>39000</v>
      </c>
      <c r="AV34" s="460">
        <f t="shared" si="72"/>
        <v>779274</v>
      </c>
      <c r="AW34" s="460">
        <f t="shared" si="72"/>
        <v>22665</v>
      </c>
      <c r="AX34" s="460">
        <f>M34+AF34</f>
        <v>0</v>
      </c>
      <c r="AY34" s="461">
        <f>N34+AR34</f>
        <v>4.4824000000000002</v>
      </c>
      <c r="AZ34" s="461">
        <f t="shared" si="73"/>
        <v>4.4824000000000002</v>
      </c>
      <c r="BA34" s="463">
        <f t="shared" si="73"/>
        <v>0</v>
      </c>
    </row>
    <row r="35" spans="1:53" ht="12.95" customHeight="1" x14ac:dyDescent="0.25">
      <c r="A35" s="299">
        <v>5</v>
      </c>
      <c r="B35" s="300">
        <v>4456</v>
      </c>
      <c r="C35" s="300">
        <v>600074617</v>
      </c>
      <c r="D35" s="300">
        <v>68430132</v>
      </c>
      <c r="E35" s="302" t="s">
        <v>330</v>
      </c>
      <c r="F35" s="300">
        <v>3143</v>
      </c>
      <c r="G35" s="303" t="s">
        <v>617</v>
      </c>
      <c r="H35" s="303" t="s">
        <v>278</v>
      </c>
      <c r="I35" s="462">
        <f t="shared" si="59"/>
        <v>109951</v>
      </c>
      <c r="J35" s="457">
        <v>78561</v>
      </c>
      <c r="K35" s="457">
        <f t="shared" si="60"/>
        <v>26554</v>
      </c>
      <c r="L35" s="457">
        <f t="shared" si="61"/>
        <v>786</v>
      </c>
      <c r="M35" s="457">
        <v>4050</v>
      </c>
      <c r="N35" s="748">
        <f t="shared" si="62"/>
        <v>0.31</v>
      </c>
      <c r="O35" s="749">
        <v>0</v>
      </c>
      <c r="P35" s="750">
        <v>0.31</v>
      </c>
      <c r="Q35" s="469">
        <f t="shared" si="63"/>
        <v>0</v>
      </c>
      <c r="R35" s="460">
        <v>0</v>
      </c>
      <c r="S35" s="673">
        <v>0</v>
      </c>
      <c r="T35" s="460">
        <v>0</v>
      </c>
      <c r="U35" s="460">
        <v>0</v>
      </c>
      <c r="V35" s="460">
        <f>SUM(Q35:U35)</f>
        <v>0</v>
      </c>
      <c r="W35" s="460">
        <v>0</v>
      </c>
      <c r="X35" s="460">
        <v>0</v>
      </c>
      <c r="Y35" s="460">
        <v>0</v>
      </c>
      <c r="Z35" s="460">
        <f t="shared" si="64"/>
        <v>0</v>
      </c>
      <c r="AA35" s="460">
        <f t="shared" si="65"/>
        <v>0</v>
      </c>
      <c r="AB35" s="69">
        <f t="shared" si="66"/>
        <v>0</v>
      </c>
      <c r="AC35" s="69">
        <f t="shared" si="67"/>
        <v>0</v>
      </c>
      <c r="AD35" s="460">
        <v>0</v>
      </c>
      <c r="AE35" s="460">
        <v>0</v>
      </c>
      <c r="AF35" s="460">
        <f t="shared" si="68"/>
        <v>0</v>
      </c>
      <c r="AG35" s="460">
        <f t="shared" si="69"/>
        <v>0</v>
      </c>
      <c r="AH35" s="461">
        <v>0</v>
      </c>
      <c r="AI35" s="461">
        <v>0</v>
      </c>
      <c r="AJ35" s="461">
        <v>0</v>
      </c>
      <c r="AK35" s="461">
        <v>0</v>
      </c>
      <c r="AL35" s="674">
        <v>0</v>
      </c>
      <c r="AM35" s="461">
        <v>0</v>
      </c>
      <c r="AN35" s="461">
        <v>0</v>
      </c>
      <c r="AO35" s="461">
        <v>0</v>
      </c>
      <c r="AP35" s="461">
        <f>AH35+AJ35+AK35+AM35+AN35</f>
        <v>0</v>
      </c>
      <c r="AQ35" s="461">
        <f>AI35+AL35+AO35</f>
        <v>0</v>
      </c>
      <c r="AR35" s="463">
        <f t="shared" si="70"/>
        <v>0</v>
      </c>
      <c r="AS35" s="469">
        <f>I35+AG35</f>
        <v>109951</v>
      </c>
      <c r="AT35" s="460">
        <f>J35+V35</f>
        <v>78561</v>
      </c>
      <c r="AU35" s="460">
        <f t="shared" si="71"/>
        <v>0</v>
      </c>
      <c r="AV35" s="460">
        <f t="shared" si="72"/>
        <v>26554</v>
      </c>
      <c r="AW35" s="460">
        <f t="shared" si="72"/>
        <v>786</v>
      </c>
      <c r="AX35" s="460">
        <f>M35+AF35</f>
        <v>4050</v>
      </c>
      <c r="AY35" s="461">
        <f>N35+AR35</f>
        <v>0.31</v>
      </c>
      <c r="AZ35" s="461">
        <f t="shared" si="73"/>
        <v>0</v>
      </c>
      <c r="BA35" s="463">
        <f t="shared" si="73"/>
        <v>0.31</v>
      </c>
    </row>
    <row r="36" spans="1:53" ht="12.95" customHeight="1" x14ac:dyDescent="0.25">
      <c r="A36" s="292">
        <v>5</v>
      </c>
      <c r="B36" s="294">
        <v>4456</v>
      </c>
      <c r="C36" s="294">
        <v>600074617</v>
      </c>
      <c r="D36" s="294">
        <v>68430132</v>
      </c>
      <c r="E36" s="307" t="s">
        <v>331</v>
      </c>
      <c r="F36" s="310"/>
      <c r="G36" s="311"/>
      <c r="H36" s="311"/>
      <c r="I36" s="537">
        <f t="shared" ref="I36:P36" si="74">SUM(I31:I35)</f>
        <v>51859356</v>
      </c>
      <c r="J36" s="534">
        <f t="shared" si="74"/>
        <v>37803270</v>
      </c>
      <c r="K36" s="534">
        <f t="shared" si="74"/>
        <v>12777506</v>
      </c>
      <c r="L36" s="534">
        <f t="shared" si="74"/>
        <v>378033</v>
      </c>
      <c r="M36" s="534">
        <f t="shared" si="74"/>
        <v>900547</v>
      </c>
      <c r="N36" s="757">
        <f t="shared" si="74"/>
        <v>68.325800000000001</v>
      </c>
      <c r="O36" s="757">
        <f t="shared" si="74"/>
        <v>48.345799999999997</v>
      </c>
      <c r="P36" s="759">
        <f t="shared" si="74"/>
        <v>19.98</v>
      </c>
      <c r="Q36" s="539">
        <f t="shared" ref="Q36:BA36" si="75">SUM(Q31:Q35)</f>
        <v>-156000</v>
      </c>
      <c r="R36" s="534">
        <f t="shared" si="75"/>
        <v>2121790</v>
      </c>
      <c r="S36" s="534">
        <f t="shared" si="75"/>
        <v>0</v>
      </c>
      <c r="T36" s="534">
        <f t="shared" si="75"/>
        <v>0</v>
      </c>
      <c r="U36" s="534">
        <f t="shared" si="75"/>
        <v>0</v>
      </c>
      <c r="V36" s="534">
        <f t="shared" si="75"/>
        <v>1965790</v>
      </c>
      <c r="W36" s="534">
        <f t="shared" si="75"/>
        <v>156000</v>
      </c>
      <c r="X36" s="534">
        <f t="shared" si="75"/>
        <v>0</v>
      </c>
      <c r="Y36" s="534">
        <f t="shared" si="75"/>
        <v>0</v>
      </c>
      <c r="Z36" s="534">
        <f t="shared" si="75"/>
        <v>156000</v>
      </c>
      <c r="AA36" s="534">
        <f t="shared" si="75"/>
        <v>2121790</v>
      </c>
      <c r="AB36" s="534">
        <f t="shared" si="75"/>
        <v>717165</v>
      </c>
      <c r="AC36" s="534">
        <f t="shared" si="75"/>
        <v>19658</v>
      </c>
      <c r="AD36" s="534">
        <f t="shared" si="75"/>
        <v>0</v>
      </c>
      <c r="AE36" s="534">
        <f t="shared" si="75"/>
        <v>0</v>
      </c>
      <c r="AF36" s="534">
        <f t="shared" si="75"/>
        <v>0</v>
      </c>
      <c r="AG36" s="534">
        <f t="shared" si="75"/>
        <v>2858613</v>
      </c>
      <c r="AH36" s="535">
        <f t="shared" si="75"/>
        <v>0</v>
      </c>
      <c r="AI36" s="535">
        <f t="shared" si="75"/>
        <v>-0.12</v>
      </c>
      <c r="AJ36" s="535">
        <f t="shared" si="75"/>
        <v>6.21</v>
      </c>
      <c r="AK36" s="535">
        <f t="shared" si="75"/>
        <v>0</v>
      </c>
      <c r="AL36" s="535">
        <f t="shared" si="75"/>
        <v>0</v>
      </c>
      <c r="AM36" s="535">
        <f t="shared" si="75"/>
        <v>0</v>
      </c>
      <c r="AN36" s="535">
        <f t="shared" si="75"/>
        <v>0</v>
      </c>
      <c r="AO36" s="535">
        <f t="shared" si="75"/>
        <v>0</v>
      </c>
      <c r="AP36" s="535">
        <f t="shared" si="75"/>
        <v>6.21</v>
      </c>
      <c r="AQ36" s="535">
        <f t="shared" si="75"/>
        <v>-0.12</v>
      </c>
      <c r="AR36" s="309">
        <f t="shared" si="75"/>
        <v>6.09</v>
      </c>
      <c r="AS36" s="539">
        <f t="shared" si="75"/>
        <v>54717969</v>
      </c>
      <c r="AT36" s="534">
        <f t="shared" si="75"/>
        <v>39769060</v>
      </c>
      <c r="AU36" s="534">
        <f t="shared" si="75"/>
        <v>156000</v>
      </c>
      <c r="AV36" s="534">
        <f t="shared" si="75"/>
        <v>13494671</v>
      </c>
      <c r="AW36" s="534">
        <f t="shared" si="75"/>
        <v>397691</v>
      </c>
      <c r="AX36" s="534">
        <f t="shared" si="75"/>
        <v>900547</v>
      </c>
      <c r="AY36" s="535">
        <f t="shared" si="75"/>
        <v>74.415800000000004</v>
      </c>
      <c r="AZ36" s="535">
        <f t="shared" si="75"/>
        <v>54.555799999999998</v>
      </c>
      <c r="BA36" s="309">
        <f t="shared" si="75"/>
        <v>19.86</v>
      </c>
    </row>
    <row r="37" spans="1:53" ht="12.95" customHeight="1" x14ac:dyDescent="0.25">
      <c r="A37" s="299">
        <v>6</v>
      </c>
      <c r="B37" s="300">
        <v>4478</v>
      </c>
      <c r="C37" s="300">
        <v>600075141</v>
      </c>
      <c r="D37" s="300">
        <v>70975191</v>
      </c>
      <c r="E37" s="302" t="s">
        <v>332</v>
      </c>
      <c r="F37" s="300">
        <v>3114</v>
      </c>
      <c r="G37" s="305" t="s">
        <v>546</v>
      </c>
      <c r="H37" s="303" t="s">
        <v>277</v>
      </c>
      <c r="I37" s="462">
        <f t="shared" ref="I37:I41" si="76">SUM(J37:M37)</f>
        <v>9168143</v>
      </c>
      <c r="J37" s="457">
        <v>6726668</v>
      </c>
      <c r="K37" s="457">
        <f t="shared" ref="K37:K41" si="77">ROUND(J37*33.8%,0)</f>
        <v>2273614</v>
      </c>
      <c r="L37" s="457">
        <f>ROUND(J37*1%,0)-1</f>
        <v>67266</v>
      </c>
      <c r="M37" s="457">
        <v>100595</v>
      </c>
      <c r="N37" s="748">
        <f t="shared" ref="N37:N41" si="78">O37+P37</f>
        <v>10.898099999999999</v>
      </c>
      <c r="O37" s="749">
        <v>8.3180999999999994</v>
      </c>
      <c r="P37" s="750">
        <v>2.58</v>
      </c>
      <c r="Q37" s="469">
        <f t="shared" ref="Q37:Q41" si="79">W37*-1</f>
        <v>-26000</v>
      </c>
      <c r="R37" s="460">
        <v>0</v>
      </c>
      <c r="S37" s="673">
        <v>0</v>
      </c>
      <c r="T37" s="460">
        <v>0</v>
      </c>
      <c r="U37" s="460">
        <v>0</v>
      </c>
      <c r="V37" s="460">
        <f>SUM(Q37:U37)</f>
        <v>-26000</v>
      </c>
      <c r="W37" s="460">
        <v>26000</v>
      </c>
      <c r="X37" s="460">
        <v>0</v>
      </c>
      <c r="Y37" s="460">
        <v>0</v>
      </c>
      <c r="Z37" s="460">
        <f t="shared" ref="Z37:Z41" si="80">SUM(W37:Y37)</f>
        <v>26000</v>
      </c>
      <c r="AA37" s="460">
        <f t="shared" ref="AA37:AA41" si="81">V37+Z37</f>
        <v>0</v>
      </c>
      <c r="AB37" s="69">
        <f t="shared" ref="AB37:AB41" si="82">ROUND((V37+W37+X37)*33.8%,0)</f>
        <v>0</v>
      </c>
      <c r="AC37" s="69">
        <f t="shared" ref="AC37:AC41" si="83">ROUND(V37*1%,0)</f>
        <v>-260</v>
      </c>
      <c r="AD37" s="460">
        <v>0</v>
      </c>
      <c r="AE37" s="460">
        <v>0</v>
      </c>
      <c r="AF37" s="460">
        <f t="shared" ref="AF37:AF41" si="84">SUM(AD37:AE37)</f>
        <v>0</v>
      </c>
      <c r="AG37" s="460">
        <f t="shared" ref="AG37:AG41" si="85">AA37+AB37+AC37+AF37</f>
        <v>-260</v>
      </c>
      <c r="AH37" s="461">
        <v>0</v>
      </c>
      <c r="AI37" s="461">
        <v>0</v>
      </c>
      <c r="AJ37" s="461">
        <v>0</v>
      </c>
      <c r="AK37" s="461">
        <v>0</v>
      </c>
      <c r="AL37" s="674">
        <v>0</v>
      </c>
      <c r="AM37" s="461">
        <v>0</v>
      </c>
      <c r="AN37" s="461">
        <v>0</v>
      </c>
      <c r="AO37" s="461">
        <v>0</v>
      </c>
      <c r="AP37" s="461">
        <f>AH37+AJ37+AK37+AM37+AN37</f>
        <v>0</v>
      </c>
      <c r="AQ37" s="461">
        <f>AI37+AL37+AO37</f>
        <v>0</v>
      </c>
      <c r="AR37" s="463">
        <f t="shared" ref="AR37:AR41" si="86">SUM(AP37:AQ37)</f>
        <v>0</v>
      </c>
      <c r="AS37" s="469">
        <f>I37+AG37</f>
        <v>9167883</v>
      </c>
      <c r="AT37" s="460">
        <f>J37+V37</f>
        <v>6700668</v>
      </c>
      <c r="AU37" s="460">
        <f t="shared" ref="AU37:AU41" si="87">Z37</f>
        <v>26000</v>
      </c>
      <c r="AV37" s="460">
        <f t="shared" ref="AV37:AW41" si="88">K37+AB37</f>
        <v>2273614</v>
      </c>
      <c r="AW37" s="460">
        <f t="shared" si="88"/>
        <v>67006</v>
      </c>
      <c r="AX37" s="460">
        <f>M37+AF37</f>
        <v>100595</v>
      </c>
      <c r="AY37" s="461">
        <f>N37+AR37</f>
        <v>10.898099999999999</v>
      </c>
      <c r="AZ37" s="461">
        <f t="shared" ref="AZ37:BA41" si="89">O37+AP37</f>
        <v>8.3180999999999994</v>
      </c>
      <c r="BA37" s="463">
        <f t="shared" si="89"/>
        <v>2.58</v>
      </c>
    </row>
    <row r="38" spans="1:53" ht="12.95" customHeight="1" x14ac:dyDescent="0.25">
      <c r="A38" s="299">
        <v>6</v>
      </c>
      <c r="B38" s="300">
        <v>4478</v>
      </c>
      <c r="C38" s="300">
        <v>600075141</v>
      </c>
      <c r="D38" s="300">
        <v>70975191</v>
      </c>
      <c r="E38" s="302" t="s">
        <v>332</v>
      </c>
      <c r="F38" s="300">
        <v>3114</v>
      </c>
      <c r="G38" s="305" t="s">
        <v>315</v>
      </c>
      <c r="H38" s="303" t="s">
        <v>278</v>
      </c>
      <c r="I38" s="462">
        <f t="shared" si="76"/>
        <v>0</v>
      </c>
      <c r="J38" s="457">
        <v>0</v>
      </c>
      <c r="K38" s="457">
        <f t="shared" si="77"/>
        <v>0</v>
      </c>
      <c r="L38" s="457">
        <f t="shared" ref="L38:L41" si="90">ROUND(J38*1%,0)</f>
        <v>0</v>
      </c>
      <c r="M38" s="457">
        <v>0</v>
      </c>
      <c r="N38" s="748">
        <f t="shared" si="78"/>
        <v>0</v>
      </c>
      <c r="O38" s="749">
        <v>0</v>
      </c>
      <c r="P38" s="750">
        <v>0</v>
      </c>
      <c r="Q38" s="469">
        <f t="shared" si="79"/>
        <v>0</v>
      </c>
      <c r="R38" s="460">
        <v>0</v>
      </c>
      <c r="S38" s="673">
        <v>0</v>
      </c>
      <c r="T38" s="460">
        <v>0</v>
      </c>
      <c r="U38" s="460">
        <v>0</v>
      </c>
      <c r="V38" s="460">
        <f>SUM(Q38:U38)</f>
        <v>0</v>
      </c>
      <c r="W38" s="460">
        <v>0</v>
      </c>
      <c r="X38" s="460">
        <v>0</v>
      </c>
      <c r="Y38" s="460">
        <v>0</v>
      </c>
      <c r="Z38" s="460">
        <f t="shared" si="80"/>
        <v>0</v>
      </c>
      <c r="AA38" s="460">
        <f t="shared" si="81"/>
        <v>0</v>
      </c>
      <c r="AB38" s="69">
        <f t="shared" si="82"/>
        <v>0</v>
      </c>
      <c r="AC38" s="69">
        <f t="shared" si="83"/>
        <v>0</v>
      </c>
      <c r="AD38" s="460">
        <v>0</v>
      </c>
      <c r="AE38" s="460">
        <v>0</v>
      </c>
      <c r="AF38" s="460">
        <f t="shared" si="84"/>
        <v>0</v>
      </c>
      <c r="AG38" s="460">
        <f t="shared" si="85"/>
        <v>0</v>
      </c>
      <c r="AH38" s="461">
        <v>0</v>
      </c>
      <c r="AI38" s="461">
        <v>0</v>
      </c>
      <c r="AJ38" s="461">
        <v>0</v>
      </c>
      <c r="AK38" s="461">
        <v>0</v>
      </c>
      <c r="AL38" s="674">
        <v>0</v>
      </c>
      <c r="AM38" s="461">
        <v>0</v>
      </c>
      <c r="AN38" s="461">
        <v>0</v>
      </c>
      <c r="AO38" s="461">
        <v>0</v>
      </c>
      <c r="AP38" s="461">
        <f>AH38+AJ38+AK38+AM38+AN38</f>
        <v>0</v>
      </c>
      <c r="AQ38" s="461">
        <f>AI38+AL38+AO38</f>
        <v>0</v>
      </c>
      <c r="AR38" s="463">
        <f t="shared" si="86"/>
        <v>0</v>
      </c>
      <c r="AS38" s="469">
        <f>I38+AG38</f>
        <v>0</v>
      </c>
      <c r="AT38" s="460">
        <f>J38+V38</f>
        <v>0</v>
      </c>
      <c r="AU38" s="460">
        <f t="shared" si="87"/>
        <v>0</v>
      </c>
      <c r="AV38" s="460">
        <f t="shared" si="88"/>
        <v>0</v>
      </c>
      <c r="AW38" s="460">
        <f t="shared" si="88"/>
        <v>0</v>
      </c>
      <c r="AX38" s="460">
        <f>M38+AF38</f>
        <v>0</v>
      </c>
      <c r="AY38" s="461">
        <f>N38+AR38</f>
        <v>0</v>
      </c>
      <c r="AZ38" s="461">
        <f t="shared" si="89"/>
        <v>0</v>
      </c>
      <c r="BA38" s="463">
        <f t="shared" si="89"/>
        <v>0</v>
      </c>
    </row>
    <row r="39" spans="1:53" ht="12.95" customHeight="1" x14ac:dyDescent="0.25">
      <c r="A39" s="299">
        <v>6</v>
      </c>
      <c r="B39" s="300">
        <v>4478</v>
      </c>
      <c r="C39" s="300">
        <v>600075141</v>
      </c>
      <c r="D39" s="300">
        <v>70975191</v>
      </c>
      <c r="E39" s="302" t="s">
        <v>332</v>
      </c>
      <c r="F39" s="300">
        <v>3114</v>
      </c>
      <c r="G39" s="305" t="s">
        <v>309</v>
      </c>
      <c r="H39" s="303" t="s">
        <v>277</v>
      </c>
      <c r="I39" s="462">
        <f t="shared" si="76"/>
        <v>729224</v>
      </c>
      <c r="J39" s="457">
        <v>540967</v>
      </c>
      <c r="K39" s="457">
        <f t="shared" si="77"/>
        <v>182847</v>
      </c>
      <c r="L39" s="457">
        <f t="shared" si="90"/>
        <v>5410</v>
      </c>
      <c r="M39" s="457">
        <v>0</v>
      </c>
      <c r="N39" s="748">
        <f t="shared" si="78"/>
        <v>1.2777000000000001</v>
      </c>
      <c r="O39" s="749">
        <v>1.2777000000000001</v>
      </c>
      <c r="P39" s="750">
        <v>0</v>
      </c>
      <c r="Q39" s="469">
        <f t="shared" si="79"/>
        <v>0</v>
      </c>
      <c r="R39" s="460">
        <v>0</v>
      </c>
      <c r="S39" s="673">
        <v>0</v>
      </c>
      <c r="T39" s="460">
        <v>0</v>
      </c>
      <c r="U39" s="460">
        <v>0</v>
      </c>
      <c r="V39" s="460">
        <f>SUM(Q39:U39)</f>
        <v>0</v>
      </c>
      <c r="W39" s="460">
        <v>0</v>
      </c>
      <c r="X39" s="460">
        <v>0</v>
      </c>
      <c r="Y39" s="460">
        <v>0</v>
      </c>
      <c r="Z39" s="460">
        <f t="shared" si="80"/>
        <v>0</v>
      </c>
      <c r="AA39" s="460">
        <f t="shared" si="81"/>
        <v>0</v>
      </c>
      <c r="AB39" s="69">
        <f t="shared" si="82"/>
        <v>0</v>
      </c>
      <c r="AC39" s="69">
        <f t="shared" si="83"/>
        <v>0</v>
      </c>
      <c r="AD39" s="460">
        <v>0</v>
      </c>
      <c r="AE39" s="460">
        <v>0</v>
      </c>
      <c r="AF39" s="460">
        <f t="shared" si="84"/>
        <v>0</v>
      </c>
      <c r="AG39" s="460">
        <f t="shared" si="85"/>
        <v>0</v>
      </c>
      <c r="AH39" s="461">
        <v>0</v>
      </c>
      <c r="AI39" s="461">
        <v>0</v>
      </c>
      <c r="AJ39" s="461">
        <v>0</v>
      </c>
      <c r="AK39" s="461">
        <v>0</v>
      </c>
      <c r="AL39" s="674">
        <v>0</v>
      </c>
      <c r="AM39" s="461">
        <v>0</v>
      </c>
      <c r="AN39" s="461">
        <v>0</v>
      </c>
      <c r="AO39" s="461">
        <v>0</v>
      </c>
      <c r="AP39" s="461">
        <f>AH39+AJ39+AK39+AM39+AN39</f>
        <v>0</v>
      </c>
      <c r="AQ39" s="461">
        <f>AI39+AL39+AO39</f>
        <v>0</v>
      </c>
      <c r="AR39" s="463">
        <f t="shared" si="86"/>
        <v>0</v>
      </c>
      <c r="AS39" s="469">
        <f>I39+AG39</f>
        <v>729224</v>
      </c>
      <c r="AT39" s="460">
        <f>J39+V39</f>
        <v>540967</v>
      </c>
      <c r="AU39" s="460">
        <f t="shared" si="87"/>
        <v>0</v>
      </c>
      <c r="AV39" s="460">
        <f t="shared" si="88"/>
        <v>182847</v>
      </c>
      <c r="AW39" s="460">
        <f t="shared" si="88"/>
        <v>5410</v>
      </c>
      <c r="AX39" s="460">
        <f>M39+AF39</f>
        <v>0</v>
      </c>
      <c r="AY39" s="461">
        <f>N39+AR39</f>
        <v>1.2777000000000001</v>
      </c>
      <c r="AZ39" s="461">
        <f t="shared" si="89"/>
        <v>1.2777000000000001</v>
      </c>
      <c r="BA39" s="463">
        <f t="shared" si="89"/>
        <v>0</v>
      </c>
    </row>
    <row r="40" spans="1:53" ht="12.95" customHeight="1" x14ac:dyDescent="0.25">
      <c r="A40" s="299">
        <v>6</v>
      </c>
      <c r="B40" s="300">
        <v>4478</v>
      </c>
      <c r="C40" s="300">
        <v>600075141</v>
      </c>
      <c r="D40" s="300">
        <v>70975191</v>
      </c>
      <c r="E40" s="302" t="s">
        <v>332</v>
      </c>
      <c r="F40" s="300">
        <v>3143</v>
      </c>
      <c r="G40" s="303" t="s">
        <v>616</v>
      </c>
      <c r="H40" s="303" t="s">
        <v>277</v>
      </c>
      <c r="I40" s="462">
        <f t="shared" si="76"/>
        <v>418028</v>
      </c>
      <c r="J40" s="457">
        <v>310110</v>
      </c>
      <c r="K40" s="457">
        <f t="shared" si="77"/>
        <v>104817</v>
      </c>
      <c r="L40" s="457">
        <f t="shared" si="90"/>
        <v>3101</v>
      </c>
      <c r="M40" s="457">
        <v>0</v>
      </c>
      <c r="N40" s="748">
        <f t="shared" si="78"/>
        <v>0.67849999999999999</v>
      </c>
      <c r="O40" s="749">
        <v>0.67849999999999999</v>
      </c>
      <c r="P40" s="750">
        <v>0</v>
      </c>
      <c r="Q40" s="469">
        <f t="shared" si="79"/>
        <v>0</v>
      </c>
      <c r="R40" s="460">
        <v>0</v>
      </c>
      <c r="S40" s="673">
        <v>0</v>
      </c>
      <c r="T40" s="460">
        <v>0</v>
      </c>
      <c r="U40" s="460">
        <v>0</v>
      </c>
      <c r="V40" s="460">
        <f>SUM(Q40:U40)</f>
        <v>0</v>
      </c>
      <c r="W40" s="460">
        <v>0</v>
      </c>
      <c r="X40" s="460">
        <v>0</v>
      </c>
      <c r="Y40" s="460">
        <v>0</v>
      </c>
      <c r="Z40" s="460">
        <f t="shared" si="80"/>
        <v>0</v>
      </c>
      <c r="AA40" s="460">
        <f t="shared" si="81"/>
        <v>0</v>
      </c>
      <c r="AB40" s="69">
        <f t="shared" si="82"/>
        <v>0</v>
      </c>
      <c r="AC40" s="69">
        <f t="shared" si="83"/>
        <v>0</v>
      </c>
      <c r="AD40" s="460">
        <v>0</v>
      </c>
      <c r="AE40" s="460">
        <v>0</v>
      </c>
      <c r="AF40" s="460">
        <f t="shared" si="84"/>
        <v>0</v>
      </c>
      <c r="AG40" s="460">
        <f t="shared" si="85"/>
        <v>0</v>
      </c>
      <c r="AH40" s="461">
        <v>0</v>
      </c>
      <c r="AI40" s="461">
        <v>0</v>
      </c>
      <c r="AJ40" s="461">
        <v>0</v>
      </c>
      <c r="AK40" s="461">
        <v>0</v>
      </c>
      <c r="AL40" s="674">
        <v>0</v>
      </c>
      <c r="AM40" s="461">
        <v>0</v>
      </c>
      <c r="AN40" s="461">
        <v>0</v>
      </c>
      <c r="AO40" s="461">
        <v>0</v>
      </c>
      <c r="AP40" s="461">
        <f>AH40+AJ40+AK40+AM40+AN40</f>
        <v>0</v>
      </c>
      <c r="AQ40" s="461">
        <f>AI40+AL40+AO40</f>
        <v>0</v>
      </c>
      <c r="AR40" s="463">
        <f t="shared" si="86"/>
        <v>0</v>
      </c>
      <c r="AS40" s="469">
        <f>I40+AG40</f>
        <v>418028</v>
      </c>
      <c r="AT40" s="460">
        <f>J40+V40</f>
        <v>310110</v>
      </c>
      <c r="AU40" s="460">
        <f t="shared" si="87"/>
        <v>0</v>
      </c>
      <c r="AV40" s="460">
        <f t="shared" si="88"/>
        <v>104817</v>
      </c>
      <c r="AW40" s="460">
        <f t="shared" si="88"/>
        <v>3101</v>
      </c>
      <c r="AX40" s="460">
        <f>M40+AF40</f>
        <v>0</v>
      </c>
      <c r="AY40" s="461">
        <f>N40+AR40</f>
        <v>0.67849999999999999</v>
      </c>
      <c r="AZ40" s="461">
        <f t="shared" si="89"/>
        <v>0.67849999999999999</v>
      </c>
      <c r="BA40" s="463">
        <f t="shared" si="89"/>
        <v>0</v>
      </c>
    </row>
    <row r="41" spans="1:53" ht="12.95" customHeight="1" x14ac:dyDescent="0.25">
      <c r="A41" s="299">
        <v>6</v>
      </c>
      <c r="B41" s="300">
        <v>4478</v>
      </c>
      <c r="C41" s="300">
        <v>600075141</v>
      </c>
      <c r="D41" s="300">
        <v>70975191</v>
      </c>
      <c r="E41" s="302" t="s">
        <v>332</v>
      </c>
      <c r="F41" s="300">
        <v>3143</v>
      </c>
      <c r="G41" s="303" t="s">
        <v>617</v>
      </c>
      <c r="H41" s="303" t="s">
        <v>278</v>
      </c>
      <c r="I41" s="462">
        <f t="shared" si="76"/>
        <v>7329</v>
      </c>
      <c r="J41" s="457">
        <v>5237</v>
      </c>
      <c r="K41" s="457">
        <f t="shared" si="77"/>
        <v>1770</v>
      </c>
      <c r="L41" s="457">
        <f t="shared" si="90"/>
        <v>52</v>
      </c>
      <c r="M41" s="457">
        <v>270</v>
      </c>
      <c r="N41" s="748">
        <f t="shared" si="78"/>
        <v>0.02</v>
      </c>
      <c r="O41" s="749">
        <v>0</v>
      </c>
      <c r="P41" s="750">
        <v>0.02</v>
      </c>
      <c r="Q41" s="469">
        <f t="shared" si="79"/>
        <v>0</v>
      </c>
      <c r="R41" s="460">
        <v>0</v>
      </c>
      <c r="S41" s="673">
        <v>0</v>
      </c>
      <c r="T41" s="460">
        <v>0</v>
      </c>
      <c r="U41" s="460">
        <v>0</v>
      </c>
      <c r="V41" s="460">
        <f>SUM(Q41:U41)</f>
        <v>0</v>
      </c>
      <c r="W41" s="460">
        <v>0</v>
      </c>
      <c r="X41" s="460">
        <v>0</v>
      </c>
      <c r="Y41" s="460">
        <v>0</v>
      </c>
      <c r="Z41" s="460">
        <f t="shared" si="80"/>
        <v>0</v>
      </c>
      <c r="AA41" s="460">
        <f t="shared" si="81"/>
        <v>0</v>
      </c>
      <c r="AB41" s="69">
        <f t="shared" si="82"/>
        <v>0</v>
      </c>
      <c r="AC41" s="69">
        <f t="shared" si="83"/>
        <v>0</v>
      </c>
      <c r="AD41" s="460">
        <v>0</v>
      </c>
      <c r="AE41" s="460">
        <v>0</v>
      </c>
      <c r="AF41" s="460">
        <f t="shared" si="84"/>
        <v>0</v>
      </c>
      <c r="AG41" s="460">
        <f t="shared" si="85"/>
        <v>0</v>
      </c>
      <c r="AH41" s="461">
        <v>0</v>
      </c>
      <c r="AI41" s="461">
        <v>0</v>
      </c>
      <c r="AJ41" s="461">
        <v>0</v>
      </c>
      <c r="AK41" s="461">
        <v>0</v>
      </c>
      <c r="AL41" s="674">
        <v>0</v>
      </c>
      <c r="AM41" s="461">
        <v>0</v>
      </c>
      <c r="AN41" s="461">
        <v>0</v>
      </c>
      <c r="AO41" s="461">
        <v>0</v>
      </c>
      <c r="AP41" s="461">
        <f>AH41+AJ41+AK41+AM41+AN41</f>
        <v>0</v>
      </c>
      <c r="AQ41" s="461">
        <f>AI41+AL41+AO41</f>
        <v>0</v>
      </c>
      <c r="AR41" s="463">
        <f t="shared" si="86"/>
        <v>0</v>
      </c>
      <c r="AS41" s="469">
        <f>I41+AG41</f>
        <v>7329</v>
      </c>
      <c r="AT41" s="460">
        <f>J41+V41</f>
        <v>5237</v>
      </c>
      <c r="AU41" s="460">
        <f t="shared" si="87"/>
        <v>0</v>
      </c>
      <c r="AV41" s="460">
        <f t="shared" si="88"/>
        <v>1770</v>
      </c>
      <c r="AW41" s="460">
        <f t="shared" si="88"/>
        <v>52</v>
      </c>
      <c r="AX41" s="460">
        <f>M41+AF41</f>
        <v>270</v>
      </c>
      <c r="AY41" s="461">
        <f>N41+AR41</f>
        <v>0.02</v>
      </c>
      <c r="AZ41" s="461">
        <f t="shared" si="89"/>
        <v>0</v>
      </c>
      <c r="BA41" s="463">
        <f t="shared" si="89"/>
        <v>0.02</v>
      </c>
    </row>
    <row r="42" spans="1:53" ht="12.95" customHeight="1" x14ac:dyDescent="0.25">
      <c r="A42" s="292">
        <v>6</v>
      </c>
      <c r="B42" s="294">
        <v>4478</v>
      </c>
      <c r="C42" s="294">
        <v>600075141</v>
      </c>
      <c r="D42" s="294">
        <v>70975191</v>
      </c>
      <c r="E42" s="307" t="s">
        <v>333</v>
      </c>
      <c r="F42" s="310"/>
      <c r="G42" s="311"/>
      <c r="H42" s="311"/>
      <c r="I42" s="537">
        <f t="shared" ref="I42:P42" si="91">SUM(I37:I41)</f>
        <v>10322724</v>
      </c>
      <c r="J42" s="534">
        <f t="shared" si="91"/>
        <v>7582982</v>
      </c>
      <c r="K42" s="534">
        <f t="shared" si="91"/>
        <v>2563048</v>
      </c>
      <c r="L42" s="534">
        <f t="shared" si="91"/>
        <v>75829</v>
      </c>
      <c r="M42" s="534">
        <f t="shared" si="91"/>
        <v>100865</v>
      </c>
      <c r="N42" s="757">
        <f t="shared" si="91"/>
        <v>12.874299999999998</v>
      </c>
      <c r="O42" s="757">
        <f t="shared" si="91"/>
        <v>10.274299999999998</v>
      </c>
      <c r="P42" s="759">
        <f t="shared" si="91"/>
        <v>2.6</v>
      </c>
      <c r="Q42" s="539">
        <f t="shared" ref="Q42:BA42" si="92">SUM(Q37:Q41)</f>
        <v>-26000</v>
      </c>
      <c r="R42" s="534">
        <f t="shared" si="92"/>
        <v>0</v>
      </c>
      <c r="S42" s="534">
        <f t="shared" si="92"/>
        <v>0</v>
      </c>
      <c r="T42" s="534">
        <f t="shared" si="92"/>
        <v>0</v>
      </c>
      <c r="U42" s="534">
        <f t="shared" si="92"/>
        <v>0</v>
      </c>
      <c r="V42" s="534">
        <f t="shared" si="92"/>
        <v>-26000</v>
      </c>
      <c r="W42" s="534">
        <f t="shared" si="92"/>
        <v>26000</v>
      </c>
      <c r="X42" s="534">
        <f t="shared" si="92"/>
        <v>0</v>
      </c>
      <c r="Y42" s="534">
        <f t="shared" si="92"/>
        <v>0</v>
      </c>
      <c r="Z42" s="534">
        <f t="shared" si="92"/>
        <v>26000</v>
      </c>
      <c r="AA42" s="534">
        <f t="shared" si="92"/>
        <v>0</v>
      </c>
      <c r="AB42" s="534">
        <f t="shared" si="92"/>
        <v>0</v>
      </c>
      <c r="AC42" s="534">
        <f t="shared" si="92"/>
        <v>-260</v>
      </c>
      <c r="AD42" s="534">
        <f t="shared" si="92"/>
        <v>0</v>
      </c>
      <c r="AE42" s="534">
        <f t="shared" si="92"/>
        <v>0</v>
      </c>
      <c r="AF42" s="534">
        <f t="shared" si="92"/>
        <v>0</v>
      </c>
      <c r="AG42" s="534">
        <f t="shared" si="92"/>
        <v>-260</v>
      </c>
      <c r="AH42" s="535">
        <f t="shared" si="92"/>
        <v>0</v>
      </c>
      <c r="AI42" s="535">
        <f t="shared" si="92"/>
        <v>0</v>
      </c>
      <c r="AJ42" s="535">
        <f t="shared" si="92"/>
        <v>0</v>
      </c>
      <c r="AK42" s="535">
        <f t="shared" si="92"/>
        <v>0</v>
      </c>
      <c r="AL42" s="535">
        <f t="shared" si="92"/>
        <v>0</v>
      </c>
      <c r="AM42" s="535">
        <f t="shared" si="92"/>
        <v>0</v>
      </c>
      <c r="AN42" s="535">
        <f t="shared" si="92"/>
        <v>0</v>
      </c>
      <c r="AO42" s="535">
        <f t="shared" si="92"/>
        <v>0</v>
      </c>
      <c r="AP42" s="535">
        <f t="shared" si="92"/>
        <v>0</v>
      </c>
      <c r="AQ42" s="535">
        <f t="shared" si="92"/>
        <v>0</v>
      </c>
      <c r="AR42" s="309">
        <f t="shared" si="92"/>
        <v>0</v>
      </c>
      <c r="AS42" s="539">
        <f t="shared" si="92"/>
        <v>10322464</v>
      </c>
      <c r="AT42" s="534">
        <f t="shared" si="92"/>
        <v>7556982</v>
      </c>
      <c r="AU42" s="534">
        <f t="shared" si="92"/>
        <v>26000</v>
      </c>
      <c r="AV42" s="534">
        <f t="shared" si="92"/>
        <v>2563048</v>
      </c>
      <c r="AW42" s="534">
        <f t="shared" si="92"/>
        <v>75569</v>
      </c>
      <c r="AX42" s="534">
        <f t="shared" si="92"/>
        <v>100865</v>
      </c>
      <c r="AY42" s="535">
        <f t="shared" si="92"/>
        <v>12.874299999999998</v>
      </c>
      <c r="AZ42" s="535">
        <f t="shared" si="92"/>
        <v>10.274299999999998</v>
      </c>
      <c r="BA42" s="309">
        <f t="shared" si="92"/>
        <v>2.6</v>
      </c>
    </row>
    <row r="43" spans="1:53" ht="12.95" customHeight="1" x14ac:dyDescent="0.25">
      <c r="A43" s="299">
        <v>7</v>
      </c>
      <c r="B43" s="300">
        <v>4471</v>
      </c>
      <c r="C43" s="300">
        <v>600075061</v>
      </c>
      <c r="D43" s="300">
        <v>70975205</v>
      </c>
      <c r="E43" s="302" t="s">
        <v>334</v>
      </c>
      <c r="F43" s="300">
        <v>3231</v>
      </c>
      <c r="G43" s="303" t="s">
        <v>312</v>
      </c>
      <c r="H43" s="303" t="s">
        <v>277</v>
      </c>
      <c r="I43" s="462">
        <f t="shared" ref="I43" si="93">SUM(J43:M43)</f>
        <v>11070600</v>
      </c>
      <c r="J43" s="457">
        <v>8195661</v>
      </c>
      <c r="K43" s="457">
        <f t="shared" ref="K43" si="94">ROUND(J43*33.8%,0)</f>
        <v>2770133</v>
      </c>
      <c r="L43" s="457">
        <f>ROUND(J43*1%,0)</f>
        <v>81957</v>
      </c>
      <c r="M43" s="457">
        <v>22849</v>
      </c>
      <c r="N43" s="748">
        <f t="shared" ref="N43" si="95">O43+P43</f>
        <v>14.451599999999999</v>
      </c>
      <c r="O43" s="749">
        <v>13.0709</v>
      </c>
      <c r="P43" s="750">
        <v>1.3807</v>
      </c>
      <c r="Q43" s="469">
        <f t="shared" ref="Q43" si="96">W43*-1</f>
        <v>-22750</v>
      </c>
      <c r="R43" s="460">
        <v>0</v>
      </c>
      <c r="S43" s="673">
        <v>0</v>
      </c>
      <c r="T43" s="460">
        <v>0</v>
      </c>
      <c r="U43" s="460">
        <v>0</v>
      </c>
      <c r="V43" s="460">
        <f>SUM(Q43:U43)</f>
        <v>-22750</v>
      </c>
      <c r="W43" s="460">
        <v>22750</v>
      </c>
      <c r="X43" s="460">
        <v>0</v>
      </c>
      <c r="Y43" s="460">
        <v>0</v>
      </c>
      <c r="Z43" s="460">
        <f t="shared" ref="Z43" si="97">SUM(W43:Y43)</f>
        <v>22750</v>
      </c>
      <c r="AA43" s="460">
        <f t="shared" ref="AA43" si="98">V43+Z43</f>
        <v>0</v>
      </c>
      <c r="AB43" s="69">
        <f t="shared" ref="AB43" si="99">ROUND((V43+W43+X43)*33.8%,0)</f>
        <v>0</v>
      </c>
      <c r="AC43" s="69">
        <f>ROUND(V43*1%,0)</f>
        <v>-228</v>
      </c>
      <c r="AD43" s="460">
        <v>0</v>
      </c>
      <c r="AE43" s="460">
        <v>0</v>
      </c>
      <c r="AF43" s="460">
        <f t="shared" ref="AF43" si="100">SUM(AD43:AE43)</f>
        <v>0</v>
      </c>
      <c r="AG43" s="460">
        <f t="shared" ref="AG43" si="101">AA43+AB43+AC43+AF43</f>
        <v>-228</v>
      </c>
      <c r="AH43" s="461">
        <v>0</v>
      </c>
      <c r="AI43" s="461">
        <v>-0.05</v>
      </c>
      <c r="AJ43" s="461">
        <v>0</v>
      </c>
      <c r="AK43" s="461">
        <v>0</v>
      </c>
      <c r="AL43" s="674">
        <v>0</v>
      </c>
      <c r="AM43" s="461">
        <v>0</v>
      </c>
      <c r="AN43" s="461">
        <v>0</v>
      </c>
      <c r="AO43" s="461">
        <v>0</v>
      </c>
      <c r="AP43" s="461">
        <f>AH43+AJ43+AK43+AM43+AN43</f>
        <v>0</v>
      </c>
      <c r="AQ43" s="461">
        <f>AI43+AL43+AO43</f>
        <v>-0.05</v>
      </c>
      <c r="AR43" s="463">
        <f t="shared" ref="AR43" si="102">SUM(AP43:AQ43)</f>
        <v>-0.05</v>
      </c>
      <c r="AS43" s="469">
        <f>I43+AG43</f>
        <v>11070372</v>
      </c>
      <c r="AT43" s="460">
        <f>J43+V43</f>
        <v>8172911</v>
      </c>
      <c r="AU43" s="460">
        <f>Z43</f>
        <v>22750</v>
      </c>
      <c r="AV43" s="460">
        <f>K43+AB43</f>
        <v>2770133</v>
      </c>
      <c r="AW43" s="460">
        <f>L43+AC43</f>
        <v>81729</v>
      </c>
      <c r="AX43" s="460">
        <f>M43+AF43</f>
        <v>22849</v>
      </c>
      <c r="AY43" s="461">
        <f>N43+AR43</f>
        <v>14.401599999999998</v>
      </c>
      <c r="AZ43" s="461">
        <f>O43+AP43</f>
        <v>13.0709</v>
      </c>
      <c r="BA43" s="463">
        <f>P43+AQ43</f>
        <v>1.3307</v>
      </c>
    </row>
    <row r="44" spans="1:53" ht="12.95" customHeight="1" x14ac:dyDescent="0.25">
      <c r="A44" s="292">
        <v>7</v>
      </c>
      <c r="B44" s="294">
        <v>4471</v>
      </c>
      <c r="C44" s="294">
        <v>600075061</v>
      </c>
      <c r="D44" s="294">
        <v>70975205</v>
      </c>
      <c r="E44" s="307" t="s">
        <v>335</v>
      </c>
      <c r="F44" s="310"/>
      <c r="G44" s="311"/>
      <c r="H44" s="311"/>
      <c r="I44" s="537">
        <f t="shared" ref="I44:BA44" si="103">SUM(I43)</f>
        <v>11070600</v>
      </c>
      <c r="J44" s="534">
        <f t="shared" si="103"/>
        <v>8195661</v>
      </c>
      <c r="K44" s="534">
        <f t="shared" si="103"/>
        <v>2770133</v>
      </c>
      <c r="L44" s="534">
        <f t="shared" si="103"/>
        <v>81957</v>
      </c>
      <c r="M44" s="534">
        <f t="shared" si="103"/>
        <v>22849</v>
      </c>
      <c r="N44" s="757">
        <f t="shared" si="103"/>
        <v>14.451599999999999</v>
      </c>
      <c r="O44" s="757">
        <f t="shared" si="103"/>
        <v>13.0709</v>
      </c>
      <c r="P44" s="759">
        <f t="shared" si="103"/>
        <v>1.3807</v>
      </c>
      <c r="Q44" s="539">
        <f t="shared" si="103"/>
        <v>-22750</v>
      </c>
      <c r="R44" s="534">
        <f t="shared" si="103"/>
        <v>0</v>
      </c>
      <c r="S44" s="534">
        <f t="shared" si="103"/>
        <v>0</v>
      </c>
      <c r="T44" s="534">
        <f t="shared" si="103"/>
        <v>0</v>
      </c>
      <c r="U44" s="534">
        <f t="shared" si="103"/>
        <v>0</v>
      </c>
      <c r="V44" s="534">
        <f t="shared" si="103"/>
        <v>-22750</v>
      </c>
      <c r="W44" s="534">
        <f t="shared" si="103"/>
        <v>22750</v>
      </c>
      <c r="X44" s="534">
        <f t="shared" si="103"/>
        <v>0</v>
      </c>
      <c r="Y44" s="534">
        <f t="shared" si="103"/>
        <v>0</v>
      </c>
      <c r="Z44" s="534">
        <f t="shared" si="103"/>
        <v>22750</v>
      </c>
      <c r="AA44" s="534">
        <f t="shared" si="103"/>
        <v>0</v>
      </c>
      <c r="AB44" s="534">
        <f t="shared" si="103"/>
        <v>0</v>
      </c>
      <c r="AC44" s="534">
        <f t="shared" si="103"/>
        <v>-228</v>
      </c>
      <c r="AD44" s="534">
        <f t="shared" si="103"/>
        <v>0</v>
      </c>
      <c r="AE44" s="534">
        <f t="shared" si="103"/>
        <v>0</v>
      </c>
      <c r="AF44" s="534">
        <f t="shared" si="103"/>
        <v>0</v>
      </c>
      <c r="AG44" s="534">
        <f t="shared" si="103"/>
        <v>-228</v>
      </c>
      <c r="AH44" s="535">
        <f t="shared" si="103"/>
        <v>0</v>
      </c>
      <c r="AI44" s="535">
        <f t="shared" si="103"/>
        <v>-0.05</v>
      </c>
      <c r="AJ44" s="535">
        <f t="shared" si="103"/>
        <v>0</v>
      </c>
      <c r="AK44" s="535">
        <f t="shared" si="103"/>
        <v>0</v>
      </c>
      <c r="AL44" s="535">
        <f t="shared" si="103"/>
        <v>0</v>
      </c>
      <c r="AM44" s="535">
        <f t="shared" si="103"/>
        <v>0</v>
      </c>
      <c r="AN44" s="535">
        <f t="shared" si="103"/>
        <v>0</v>
      </c>
      <c r="AO44" s="535">
        <f t="shared" si="103"/>
        <v>0</v>
      </c>
      <c r="AP44" s="535">
        <f t="shared" si="103"/>
        <v>0</v>
      </c>
      <c r="AQ44" s="535">
        <f t="shared" si="103"/>
        <v>-0.05</v>
      </c>
      <c r="AR44" s="309">
        <f t="shared" si="103"/>
        <v>-0.05</v>
      </c>
      <c r="AS44" s="539">
        <f t="shared" si="103"/>
        <v>11070372</v>
      </c>
      <c r="AT44" s="534">
        <f t="shared" si="103"/>
        <v>8172911</v>
      </c>
      <c r="AU44" s="534">
        <f t="shared" si="103"/>
        <v>22750</v>
      </c>
      <c r="AV44" s="534">
        <f t="shared" si="103"/>
        <v>2770133</v>
      </c>
      <c r="AW44" s="534">
        <f t="shared" si="103"/>
        <v>81729</v>
      </c>
      <c r="AX44" s="534">
        <f t="shared" si="103"/>
        <v>22849</v>
      </c>
      <c r="AY44" s="535">
        <f t="shared" si="103"/>
        <v>14.401599999999998</v>
      </c>
      <c r="AZ44" s="535">
        <f t="shared" si="103"/>
        <v>13.0709</v>
      </c>
      <c r="BA44" s="309">
        <f t="shared" si="103"/>
        <v>1.3307</v>
      </c>
    </row>
    <row r="45" spans="1:53" ht="12.95" customHeight="1" x14ac:dyDescent="0.25">
      <c r="A45" s="299">
        <v>8</v>
      </c>
      <c r="B45" s="300">
        <v>4474</v>
      </c>
      <c r="C45" s="300">
        <v>600075192</v>
      </c>
      <c r="D45" s="300">
        <v>49864661</v>
      </c>
      <c r="E45" s="302" t="s">
        <v>336</v>
      </c>
      <c r="F45" s="300">
        <v>3233</v>
      </c>
      <c r="G45" s="312" t="s">
        <v>314</v>
      </c>
      <c r="H45" s="303" t="s">
        <v>278</v>
      </c>
      <c r="I45" s="462">
        <f t="shared" ref="I45" si="104">SUM(J45:M45)</f>
        <v>1809387</v>
      </c>
      <c r="J45" s="457">
        <v>1340889</v>
      </c>
      <c r="K45" s="457">
        <f t="shared" ref="K45" si="105">ROUND(J45*33.8%,0)</f>
        <v>453220</v>
      </c>
      <c r="L45" s="457">
        <f>ROUND(J45*1%,0)</f>
        <v>13409</v>
      </c>
      <c r="M45" s="457">
        <v>1869</v>
      </c>
      <c r="N45" s="748">
        <f t="shared" ref="N45" si="106">O45+P45</f>
        <v>2.92</v>
      </c>
      <c r="O45" s="749">
        <v>2.08</v>
      </c>
      <c r="P45" s="750">
        <v>0.84</v>
      </c>
      <c r="Q45" s="469">
        <f t="shared" ref="Q45" si="107">W45*-1</f>
        <v>0</v>
      </c>
      <c r="R45" s="460">
        <v>0</v>
      </c>
      <c r="S45" s="673">
        <v>0</v>
      </c>
      <c r="T45" s="460">
        <v>0</v>
      </c>
      <c r="U45" s="460">
        <v>0</v>
      </c>
      <c r="V45" s="460">
        <f>SUM(Q45:U45)</f>
        <v>0</v>
      </c>
      <c r="W45" s="460">
        <v>0</v>
      </c>
      <c r="X45" s="460">
        <v>0</v>
      </c>
      <c r="Y45" s="460">
        <v>0</v>
      </c>
      <c r="Z45" s="460">
        <f t="shared" ref="Z45" si="108">SUM(W45:Y45)</f>
        <v>0</v>
      </c>
      <c r="AA45" s="460">
        <f t="shared" ref="AA45" si="109">V45+Z45</f>
        <v>0</v>
      </c>
      <c r="AB45" s="69">
        <f t="shared" ref="AB45" si="110">ROUND((V45+W45+X45)*33.8%,0)</f>
        <v>0</v>
      </c>
      <c r="AC45" s="69">
        <f>ROUND(V45*1%,0)</f>
        <v>0</v>
      </c>
      <c r="AD45" s="460">
        <v>0</v>
      </c>
      <c r="AE45" s="460">
        <v>0</v>
      </c>
      <c r="AF45" s="460">
        <f t="shared" ref="AF45" si="111">SUM(AD45:AE45)</f>
        <v>0</v>
      </c>
      <c r="AG45" s="460">
        <f t="shared" ref="AG45" si="112">AA45+AB45+AC45+AF45</f>
        <v>0</v>
      </c>
      <c r="AH45" s="461">
        <v>0</v>
      </c>
      <c r="AI45" s="461">
        <v>0</v>
      </c>
      <c r="AJ45" s="461">
        <v>0</v>
      </c>
      <c r="AK45" s="461">
        <v>0</v>
      </c>
      <c r="AL45" s="674">
        <v>0</v>
      </c>
      <c r="AM45" s="461">
        <v>0</v>
      </c>
      <c r="AN45" s="461">
        <v>0</v>
      </c>
      <c r="AO45" s="461">
        <v>0</v>
      </c>
      <c r="AP45" s="461">
        <f>AH45+AJ45+AK45+AM45+AN45</f>
        <v>0</v>
      </c>
      <c r="AQ45" s="461">
        <f>AI45+AL45+AO45</f>
        <v>0</v>
      </c>
      <c r="AR45" s="463">
        <f t="shared" ref="AR45" si="113">SUM(AP45:AQ45)</f>
        <v>0</v>
      </c>
      <c r="AS45" s="469">
        <f>I45+AG45</f>
        <v>1809387</v>
      </c>
      <c r="AT45" s="460">
        <f>J45+V45</f>
        <v>1340889</v>
      </c>
      <c r="AU45" s="460">
        <f>Z45</f>
        <v>0</v>
      </c>
      <c r="AV45" s="460">
        <f>K45+AB45</f>
        <v>453220</v>
      </c>
      <c r="AW45" s="460">
        <f>L45+AC45</f>
        <v>13409</v>
      </c>
      <c r="AX45" s="460">
        <f>M45+AF45</f>
        <v>1869</v>
      </c>
      <c r="AY45" s="461">
        <f>N45+AR45</f>
        <v>2.92</v>
      </c>
      <c r="AZ45" s="461">
        <f>O45+AP45</f>
        <v>2.08</v>
      </c>
      <c r="BA45" s="463">
        <f>P45+AQ45</f>
        <v>0.84</v>
      </c>
    </row>
    <row r="46" spans="1:53" ht="12.95" customHeight="1" x14ac:dyDescent="0.25">
      <c r="A46" s="292">
        <v>8</v>
      </c>
      <c r="B46" s="294">
        <v>4474</v>
      </c>
      <c r="C46" s="294">
        <v>600075192</v>
      </c>
      <c r="D46" s="294">
        <v>49864661</v>
      </c>
      <c r="E46" s="307" t="s">
        <v>337</v>
      </c>
      <c r="F46" s="310"/>
      <c r="G46" s="311"/>
      <c r="H46" s="311"/>
      <c r="I46" s="537">
        <f t="shared" ref="I46:BA46" si="114">SUM(I45)</f>
        <v>1809387</v>
      </c>
      <c r="J46" s="534">
        <f t="shared" si="114"/>
        <v>1340889</v>
      </c>
      <c r="K46" s="534">
        <f t="shared" si="114"/>
        <v>453220</v>
      </c>
      <c r="L46" s="534">
        <f t="shared" si="114"/>
        <v>13409</v>
      </c>
      <c r="M46" s="534">
        <f t="shared" si="114"/>
        <v>1869</v>
      </c>
      <c r="N46" s="757">
        <f t="shared" si="114"/>
        <v>2.92</v>
      </c>
      <c r="O46" s="757">
        <f t="shared" si="114"/>
        <v>2.08</v>
      </c>
      <c r="P46" s="759">
        <f t="shared" si="114"/>
        <v>0.84</v>
      </c>
      <c r="Q46" s="539">
        <f t="shared" si="114"/>
        <v>0</v>
      </c>
      <c r="R46" s="534">
        <f t="shared" si="114"/>
        <v>0</v>
      </c>
      <c r="S46" s="534">
        <f t="shared" si="114"/>
        <v>0</v>
      </c>
      <c r="T46" s="534">
        <f t="shared" si="114"/>
        <v>0</v>
      </c>
      <c r="U46" s="534">
        <f t="shared" si="114"/>
        <v>0</v>
      </c>
      <c r="V46" s="534">
        <f t="shared" si="114"/>
        <v>0</v>
      </c>
      <c r="W46" s="534">
        <f t="shared" si="114"/>
        <v>0</v>
      </c>
      <c r="X46" s="534">
        <f t="shared" si="114"/>
        <v>0</v>
      </c>
      <c r="Y46" s="534">
        <f t="shared" si="114"/>
        <v>0</v>
      </c>
      <c r="Z46" s="534">
        <f t="shared" si="114"/>
        <v>0</v>
      </c>
      <c r="AA46" s="534">
        <f t="shared" si="114"/>
        <v>0</v>
      </c>
      <c r="AB46" s="534">
        <f t="shared" si="114"/>
        <v>0</v>
      </c>
      <c r="AC46" s="534">
        <f t="shared" si="114"/>
        <v>0</v>
      </c>
      <c r="AD46" s="534">
        <f t="shared" si="114"/>
        <v>0</v>
      </c>
      <c r="AE46" s="534">
        <f t="shared" si="114"/>
        <v>0</v>
      </c>
      <c r="AF46" s="534">
        <f t="shared" si="114"/>
        <v>0</v>
      </c>
      <c r="AG46" s="534">
        <f t="shared" si="114"/>
        <v>0</v>
      </c>
      <c r="AH46" s="535">
        <f t="shared" si="114"/>
        <v>0</v>
      </c>
      <c r="AI46" s="535">
        <f t="shared" si="114"/>
        <v>0</v>
      </c>
      <c r="AJ46" s="535">
        <f t="shared" si="114"/>
        <v>0</v>
      </c>
      <c r="AK46" s="535">
        <f t="shared" si="114"/>
        <v>0</v>
      </c>
      <c r="AL46" s="535">
        <f t="shared" si="114"/>
        <v>0</v>
      </c>
      <c r="AM46" s="535">
        <f t="shared" si="114"/>
        <v>0</v>
      </c>
      <c r="AN46" s="535">
        <f t="shared" si="114"/>
        <v>0</v>
      </c>
      <c r="AO46" s="535">
        <f t="shared" si="114"/>
        <v>0</v>
      </c>
      <c r="AP46" s="535">
        <f t="shared" si="114"/>
        <v>0</v>
      </c>
      <c r="AQ46" s="535">
        <f t="shared" si="114"/>
        <v>0</v>
      </c>
      <c r="AR46" s="309">
        <f t="shared" si="114"/>
        <v>0</v>
      </c>
      <c r="AS46" s="539">
        <f t="shared" si="114"/>
        <v>1809387</v>
      </c>
      <c r="AT46" s="534">
        <f t="shared" si="114"/>
        <v>1340889</v>
      </c>
      <c r="AU46" s="534">
        <f t="shared" si="114"/>
        <v>0</v>
      </c>
      <c r="AV46" s="534">
        <f t="shared" si="114"/>
        <v>453220</v>
      </c>
      <c r="AW46" s="534">
        <f t="shared" si="114"/>
        <v>13409</v>
      </c>
      <c r="AX46" s="534">
        <f t="shared" si="114"/>
        <v>1869</v>
      </c>
      <c r="AY46" s="535">
        <f t="shared" si="114"/>
        <v>2.92</v>
      </c>
      <c r="AZ46" s="535">
        <f t="shared" si="114"/>
        <v>2.08</v>
      </c>
      <c r="BA46" s="309">
        <f t="shared" si="114"/>
        <v>0.84</v>
      </c>
    </row>
    <row r="47" spans="1:53" ht="12.95" customHeight="1" x14ac:dyDescent="0.25">
      <c r="A47" s="299">
        <v>9</v>
      </c>
      <c r="B47" s="300">
        <v>4402</v>
      </c>
      <c r="C47" s="301">
        <v>600074021</v>
      </c>
      <c r="D47" s="300">
        <v>70695342</v>
      </c>
      <c r="E47" s="302" t="s">
        <v>338</v>
      </c>
      <c r="F47" s="300">
        <v>3111</v>
      </c>
      <c r="G47" s="303" t="s">
        <v>321</v>
      </c>
      <c r="H47" s="303" t="s">
        <v>277</v>
      </c>
      <c r="I47" s="462">
        <f t="shared" ref="I47:I49" si="115">SUM(J47:M47)</f>
        <v>12217008</v>
      </c>
      <c r="J47" s="457">
        <v>9014991</v>
      </c>
      <c r="K47" s="457">
        <f t="shared" ref="K47:K49" si="116">ROUND(J47*33.8%,0)</f>
        <v>3047067</v>
      </c>
      <c r="L47" s="457">
        <f t="shared" ref="L47:L49" si="117">ROUND(J47*1%,0)</f>
        <v>90150</v>
      </c>
      <c r="M47" s="457">
        <v>64800</v>
      </c>
      <c r="N47" s="748">
        <f t="shared" ref="N47:N49" si="118">O47+P47</f>
        <v>18.704599999999999</v>
      </c>
      <c r="O47" s="749">
        <v>13.8546</v>
      </c>
      <c r="P47" s="750">
        <v>4.8499999999999996</v>
      </c>
      <c r="Q47" s="469">
        <f t="shared" ref="Q47:Q49" si="119">W47*-1</f>
        <v>0</v>
      </c>
      <c r="R47" s="460">
        <v>0</v>
      </c>
      <c r="S47" s="673">
        <v>0</v>
      </c>
      <c r="T47" s="460">
        <v>0</v>
      </c>
      <c r="U47" s="460">
        <v>0</v>
      </c>
      <c r="V47" s="460">
        <f>SUM(Q47:U47)</f>
        <v>0</v>
      </c>
      <c r="W47" s="460">
        <v>0</v>
      </c>
      <c r="X47" s="460">
        <v>0</v>
      </c>
      <c r="Y47" s="460">
        <v>0</v>
      </c>
      <c r="Z47" s="460">
        <f t="shared" ref="Z47:Z49" si="120">SUM(W47:Y47)</f>
        <v>0</v>
      </c>
      <c r="AA47" s="460">
        <f t="shared" ref="AA47:AA49" si="121">V47+Z47</f>
        <v>0</v>
      </c>
      <c r="AB47" s="69">
        <f t="shared" ref="AB47:AB49" si="122">ROUND((V47+W47+X47)*33.8%,0)</f>
        <v>0</v>
      </c>
      <c r="AC47" s="69">
        <f t="shared" ref="AC47:AC49" si="123">ROUND(V47*1%,0)</f>
        <v>0</v>
      </c>
      <c r="AD47" s="460">
        <v>0</v>
      </c>
      <c r="AE47" s="460">
        <v>0</v>
      </c>
      <c r="AF47" s="460">
        <f t="shared" ref="AF47:AF49" si="124">SUM(AD47:AE47)</f>
        <v>0</v>
      </c>
      <c r="AG47" s="460">
        <f t="shared" ref="AG47:AG49" si="125">AA47+AB47+AC47+AF47</f>
        <v>0</v>
      </c>
      <c r="AH47" s="461">
        <v>0</v>
      </c>
      <c r="AI47" s="461">
        <v>0</v>
      </c>
      <c r="AJ47" s="461">
        <v>0</v>
      </c>
      <c r="AK47" s="461">
        <v>0</v>
      </c>
      <c r="AL47" s="674">
        <v>0</v>
      </c>
      <c r="AM47" s="461">
        <v>0</v>
      </c>
      <c r="AN47" s="461">
        <v>0</v>
      </c>
      <c r="AO47" s="461">
        <v>0</v>
      </c>
      <c r="AP47" s="461">
        <f>AH47+AJ47+AK47+AM47+AN47</f>
        <v>0</v>
      </c>
      <c r="AQ47" s="461">
        <f>AI47+AL47+AO47</f>
        <v>0</v>
      </c>
      <c r="AR47" s="463">
        <f t="shared" ref="AR47:AR49" si="126">SUM(AP47:AQ47)</f>
        <v>0</v>
      </c>
      <c r="AS47" s="469">
        <f>I47+AG47</f>
        <v>12217008</v>
      </c>
      <c r="AT47" s="460">
        <f>J47+V47</f>
        <v>9014991</v>
      </c>
      <c r="AU47" s="460">
        <f t="shared" ref="AU47:AU49" si="127">Z47</f>
        <v>0</v>
      </c>
      <c r="AV47" s="460">
        <f t="shared" ref="AV47:AW49" si="128">K47+AB47</f>
        <v>3047067</v>
      </c>
      <c r="AW47" s="460">
        <f t="shared" si="128"/>
        <v>90150</v>
      </c>
      <c r="AX47" s="460">
        <f>M47+AF47</f>
        <v>64800</v>
      </c>
      <c r="AY47" s="461">
        <f>N47+AR47</f>
        <v>18.704599999999999</v>
      </c>
      <c r="AZ47" s="461">
        <f t="shared" ref="AZ47:BA49" si="129">O47+AP47</f>
        <v>13.8546</v>
      </c>
      <c r="BA47" s="463">
        <f t="shared" si="129"/>
        <v>4.8499999999999996</v>
      </c>
    </row>
    <row r="48" spans="1:53" ht="12.95" customHeight="1" x14ac:dyDescent="0.25">
      <c r="A48" s="299">
        <v>9</v>
      </c>
      <c r="B48" s="300">
        <v>4402</v>
      </c>
      <c r="C48" s="301">
        <v>600074021</v>
      </c>
      <c r="D48" s="300">
        <v>70695342</v>
      </c>
      <c r="E48" s="302" t="s">
        <v>338</v>
      </c>
      <c r="F48" s="300">
        <v>3111</v>
      </c>
      <c r="G48" s="303" t="s">
        <v>315</v>
      </c>
      <c r="H48" s="303" t="s">
        <v>278</v>
      </c>
      <c r="I48" s="462">
        <f t="shared" si="115"/>
        <v>0</v>
      </c>
      <c r="J48" s="457">
        <v>0</v>
      </c>
      <c r="K48" s="457">
        <f t="shared" si="116"/>
        <v>0</v>
      </c>
      <c r="L48" s="457">
        <f t="shared" si="117"/>
        <v>0</v>
      </c>
      <c r="M48" s="457">
        <v>0</v>
      </c>
      <c r="N48" s="748">
        <f t="shared" si="118"/>
        <v>0</v>
      </c>
      <c r="O48" s="749">
        <v>0</v>
      </c>
      <c r="P48" s="750">
        <v>0</v>
      </c>
      <c r="Q48" s="469">
        <f t="shared" si="119"/>
        <v>0</v>
      </c>
      <c r="R48" s="460">
        <v>481180</v>
      </c>
      <c r="S48" s="673">
        <v>0</v>
      </c>
      <c r="T48" s="460">
        <v>0</v>
      </c>
      <c r="U48" s="460">
        <v>0</v>
      </c>
      <c r="V48" s="460">
        <f>SUM(Q48:U48)</f>
        <v>481180</v>
      </c>
      <c r="W48" s="460">
        <v>0</v>
      </c>
      <c r="X48" s="460">
        <v>0</v>
      </c>
      <c r="Y48" s="460">
        <v>0</v>
      </c>
      <c r="Z48" s="460">
        <f t="shared" si="120"/>
        <v>0</v>
      </c>
      <c r="AA48" s="460">
        <f t="shared" si="121"/>
        <v>481180</v>
      </c>
      <c r="AB48" s="69">
        <f t="shared" si="122"/>
        <v>162639</v>
      </c>
      <c r="AC48" s="69">
        <f t="shared" si="123"/>
        <v>4812</v>
      </c>
      <c r="AD48" s="460">
        <v>0</v>
      </c>
      <c r="AE48" s="460">
        <v>0</v>
      </c>
      <c r="AF48" s="460">
        <f t="shared" si="124"/>
        <v>0</v>
      </c>
      <c r="AG48" s="460">
        <f t="shared" si="125"/>
        <v>648631</v>
      </c>
      <c r="AH48" s="461">
        <v>0</v>
      </c>
      <c r="AI48" s="461">
        <v>0</v>
      </c>
      <c r="AJ48" s="461">
        <v>1.39</v>
      </c>
      <c r="AK48" s="461">
        <v>0</v>
      </c>
      <c r="AL48" s="674">
        <v>0</v>
      </c>
      <c r="AM48" s="461">
        <v>0</v>
      </c>
      <c r="AN48" s="461">
        <v>0</v>
      </c>
      <c r="AO48" s="461">
        <v>0</v>
      </c>
      <c r="AP48" s="461">
        <f>AH48+AJ48+AK48+AM48+AN48</f>
        <v>1.39</v>
      </c>
      <c r="AQ48" s="461">
        <f>AI48+AL48+AO48</f>
        <v>0</v>
      </c>
      <c r="AR48" s="463">
        <f t="shared" si="126"/>
        <v>1.39</v>
      </c>
      <c r="AS48" s="469">
        <f>I48+AG48</f>
        <v>648631</v>
      </c>
      <c r="AT48" s="460">
        <f>J48+V48</f>
        <v>481180</v>
      </c>
      <c r="AU48" s="460">
        <f t="shared" si="127"/>
        <v>0</v>
      </c>
      <c r="AV48" s="460">
        <f t="shared" si="128"/>
        <v>162639</v>
      </c>
      <c r="AW48" s="460">
        <f t="shared" si="128"/>
        <v>4812</v>
      </c>
      <c r="AX48" s="460">
        <f>M48+AF48</f>
        <v>0</v>
      </c>
      <c r="AY48" s="461">
        <f>N48+AR48</f>
        <v>1.39</v>
      </c>
      <c r="AZ48" s="461">
        <f t="shared" si="129"/>
        <v>1.39</v>
      </c>
      <c r="BA48" s="463">
        <f t="shared" si="129"/>
        <v>0</v>
      </c>
    </row>
    <row r="49" spans="1:53" ht="12.95" customHeight="1" x14ac:dyDescent="0.25">
      <c r="A49" s="299">
        <v>9</v>
      </c>
      <c r="B49" s="300">
        <v>4402</v>
      </c>
      <c r="C49" s="301">
        <v>600074021</v>
      </c>
      <c r="D49" s="300">
        <v>70695342</v>
      </c>
      <c r="E49" s="302" t="s">
        <v>338</v>
      </c>
      <c r="F49" s="300">
        <v>3141</v>
      </c>
      <c r="G49" s="303" t="s">
        <v>311</v>
      </c>
      <c r="H49" s="303" t="s">
        <v>278</v>
      </c>
      <c r="I49" s="462">
        <f t="shared" si="115"/>
        <v>1938940</v>
      </c>
      <c r="J49" s="457">
        <f>754007+596056+81881</f>
        <v>1431944</v>
      </c>
      <c r="K49" s="457">
        <f t="shared" si="116"/>
        <v>483997</v>
      </c>
      <c r="L49" s="457">
        <f t="shared" si="117"/>
        <v>14319</v>
      </c>
      <c r="M49" s="457">
        <f>5044+3092+544</f>
        <v>8680</v>
      </c>
      <c r="N49" s="748">
        <f t="shared" si="118"/>
        <v>4.5999999999999996</v>
      </c>
      <c r="O49" s="749">
        <v>0</v>
      </c>
      <c r="P49" s="750">
        <f>2.42+1.92+0.26</f>
        <v>4.5999999999999996</v>
      </c>
      <c r="Q49" s="469">
        <f t="shared" si="119"/>
        <v>0</v>
      </c>
      <c r="R49" s="460">
        <v>0</v>
      </c>
      <c r="S49" s="673">
        <v>0</v>
      </c>
      <c r="T49" s="460">
        <v>0</v>
      </c>
      <c r="U49" s="460">
        <v>0</v>
      </c>
      <c r="V49" s="460">
        <f>SUM(Q49:U49)</f>
        <v>0</v>
      </c>
      <c r="W49" s="460">
        <v>0</v>
      </c>
      <c r="X49" s="460">
        <v>0</v>
      </c>
      <c r="Y49" s="460">
        <v>0</v>
      </c>
      <c r="Z49" s="460">
        <f t="shared" si="120"/>
        <v>0</v>
      </c>
      <c r="AA49" s="460">
        <f t="shared" si="121"/>
        <v>0</v>
      </c>
      <c r="AB49" s="69">
        <f t="shared" si="122"/>
        <v>0</v>
      </c>
      <c r="AC49" s="69">
        <f t="shared" si="123"/>
        <v>0</v>
      </c>
      <c r="AD49" s="460">
        <v>0</v>
      </c>
      <c r="AE49" s="460">
        <v>0</v>
      </c>
      <c r="AF49" s="460">
        <f t="shared" si="124"/>
        <v>0</v>
      </c>
      <c r="AG49" s="460">
        <f t="shared" si="125"/>
        <v>0</v>
      </c>
      <c r="AH49" s="461">
        <v>0</v>
      </c>
      <c r="AI49" s="461">
        <v>0</v>
      </c>
      <c r="AJ49" s="461">
        <v>0</v>
      </c>
      <c r="AK49" s="461">
        <v>0</v>
      </c>
      <c r="AL49" s="674">
        <v>0</v>
      </c>
      <c r="AM49" s="461">
        <v>0</v>
      </c>
      <c r="AN49" s="461">
        <v>0</v>
      </c>
      <c r="AO49" s="461">
        <v>0</v>
      </c>
      <c r="AP49" s="461">
        <f>AH49+AJ49+AK49+AM49+AN49</f>
        <v>0</v>
      </c>
      <c r="AQ49" s="461">
        <f>AI49+AL49+AO49</f>
        <v>0</v>
      </c>
      <c r="AR49" s="463">
        <f t="shared" si="126"/>
        <v>0</v>
      </c>
      <c r="AS49" s="469">
        <f>I49+AG49</f>
        <v>1938940</v>
      </c>
      <c r="AT49" s="460">
        <f>J49+V49</f>
        <v>1431944</v>
      </c>
      <c r="AU49" s="460">
        <f t="shared" si="127"/>
        <v>0</v>
      </c>
      <c r="AV49" s="460">
        <f t="shared" si="128"/>
        <v>483997</v>
      </c>
      <c r="AW49" s="460">
        <f t="shared" si="128"/>
        <v>14319</v>
      </c>
      <c r="AX49" s="460">
        <f>M49+AF49</f>
        <v>8680</v>
      </c>
      <c r="AY49" s="461">
        <f>N49+AR49</f>
        <v>4.5999999999999996</v>
      </c>
      <c r="AZ49" s="461">
        <f t="shared" si="129"/>
        <v>0</v>
      </c>
      <c r="BA49" s="463">
        <f t="shared" si="129"/>
        <v>4.5999999999999996</v>
      </c>
    </row>
    <row r="50" spans="1:53" ht="12.95" customHeight="1" x14ac:dyDescent="0.25">
      <c r="A50" s="292">
        <v>9</v>
      </c>
      <c r="B50" s="294">
        <v>4402</v>
      </c>
      <c r="C50" s="306">
        <v>600074021</v>
      </c>
      <c r="D50" s="294">
        <v>70695342</v>
      </c>
      <c r="E50" s="307" t="s">
        <v>339</v>
      </c>
      <c r="F50" s="310"/>
      <c r="G50" s="311"/>
      <c r="H50" s="311"/>
      <c r="I50" s="537">
        <f t="shared" ref="I50:P50" si="130">SUM(I47:I49)</f>
        <v>14155948</v>
      </c>
      <c r="J50" s="534">
        <f t="shared" si="130"/>
        <v>10446935</v>
      </c>
      <c r="K50" s="534">
        <f t="shared" si="130"/>
        <v>3531064</v>
      </c>
      <c r="L50" s="534">
        <f t="shared" si="130"/>
        <v>104469</v>
      </c>
      <c r="M50" s="534">
        <f t="shared" si="130"/>
        <v>73480</v>
      </c>
      <c r="N50" s="757">
        <f t="shared" si="130"/>
        <v>23.304600000000001</v>
      </c>
      <c r="O50" s="757">
        <f t="shared" si="130"/>
        <v>13.8546</v>
      </c>
      <c r="P50" s="759">
        <f t="shared" si="130"/>
        <v>9.4499999999999993</v>
      </c>
      <c r="Q50" s="539">
        <f t="shared" ref="Q50:BA50" si="131">SUM(Q47:Q49)</f>
        <v>0</v>
      </c>
      <c r="R50" s="534">
        <f t="shared" si="131"/>
        <v>481180</v>
      </c>
      <c r="S50" s="534">
        <f t="shared" si="131"/>
        <v>0</v>
      </c>
      <c r="T50" s="534">
        <f t="shared" si="131"/>
        <v>0</v>
      </c>
      <c r="U50" s="534">
        <f t="shared" si="131"/>
        <v>0</v>
      </c>
      <c r="V50" s="534">
        <f t="shared" si="131"/>
        <v>481180</v>
      </c>
      <c r="W50" s="534">
        <f t="shared" si="131"/>
        <v>0</v>
      </c>
      <c r="X50" s="534">
        <f t="shared" si="131"/>
        <v>0</v>
      </c>
      <c r="Y50" s="534">
        <f t="shared" si="131"/>
        <v>0</v>
      </c>
      <c r="Z50" s="534">
        <f t="shared" si="131"/>
        <v>0</v>
      </c>
      <c r="AA50" s="534">
        <f t="shared" si="131"/>
        <v>481180</v>
      </c>
      <c r="AB50" s="534">
        <f t="shared" si="131"/>
        <v>162639</v>
      </c>
      <c r="AC50" s="534">
        <f t="shared" si="131"/>
        <v>4812</v>
      </c>
      <c r="AD50" s="534">
        <f t="shared" si="131"/>
        <v>0</v>
      </c>
      <c r="AE50" s="534">
        <f t="shared" si="131"/>
        <v>0</v>
      </c>
      <c r="AF50" s="534">
        <f t="shared" si="131"/>
        <v>0</v>
      </c>
      <c r="AG50" s="534">
        <f t="shared" si="131"/>
        <v>648631</v>
      </c>
      <c r="AH50" s="535">
        <f t="shared" si="131"/>
        <v>0</v>
      </c>
      <c r="AI50" s="535">
        <f t="shared" si="131"/>
        <v>0</v>
      </c>
      <c r="AJ50" s="535">
        <f t="shared" si="131"/>
        <v>1.39</v>
      </c>
      <c r="AK50" s="535">
        <f t="shared" si="131"/>
        <v>0</v>
      </c>
      <c r="AL50" s="535">
        <f t="shared" si="131"/>
        <v>0</v>
      </c>
      <c r="AM50" s="535">
        <f t="shared" si="131"/>
        <v>0</v>
      </c>
      <c r="AN50" s="535">
        <f t="shared" si="131"/>
        <v>0</v>
      </c>
      <c r="AO50" s="535">
        <f t="shared" si="131"/>
        <v>0</v>
      </c>
      <c r="AP50" s="535">
        <f t="shared" si="131"/>
        <v>1.39</v>
      </c>
      <c r="AQ50" s="535">
        <f t="shared" si="131"/>
        <v>0</v>
      </c>
      <c r="AR50" s="309">
        <f t="shared" si="131"/>
        <v>1.39</v>
      </c>
      <c r="AS50" s="539">
        <f t="shared" si="131"/>
        <v>14804579</v>
      </c>
      <c r="AT50" s="534">
        <f t="shared" si="131"/>
        <v>10928115</v>
      </c>
      <c r="AU50" s="534">
        <f t="shared" si="131"/>
        <v>0</v>
      </c>
      <c r="AV50" s="534">
        <f t="shared" si="131"/>
        <v>3693703</v>
      </c>
      <c r="AW50" s="534">
        <f t="shared" si="131"/>
        <v>109281</v>
      </c>
      <c r="AX50" s="534">
        <f t="shared" si="131"/>
        <v>73480</v>
      </c>
      <c r="AY50" s="535">
        <f t="shared" si="131"/>
        <v>24.694600000000001</v>
      </c>
      <c r="AZ50" s="535">
        <f t="shared" si="131"/>
        <v>15.2446</v>
      </c>
      <c r="BA50" s="309">
        <f t="shared" si="131"/>
        <v>9.4499999999999993</v>
      </c>
    </row>
    <row r="51" spans="1:53" ht="12.95" customHeight="1" x14ac:dyDescent="0.25">
      <c r="A51" s="299">
        <v>10</v>
      </c>
      <c r="B51" s="300">
        <v>4481</v>
      </c>
      <c r="C51" s="300">
        <v>600074722</v>
      </c>
      <c r="D51" s="300">
        <v>70942692</v>
      </c>
      <c r="E51" s="302" t="s">
        <v>340</v>
      </c>
      <c r="F51" s="300">
        <v>3113</v>
      </c>
      <c r="G51" s="303" t="s">
        <v>341</v>
      </c>
      <c r="H51" s="303" t="s">
        <v>277</v>
      </c>
      <c r="I51" s="462">
        <f t="shared" ref="I51:I55" si="132">SUM(J51:M51)</f>
        <v>25521045</v>
      </c>
      <c r="J51" s="457">
        <v>18609592</v>
      </c>
      <c r="K51" s="457">
        <f t="shared" ref="K51:K55" si="133">ROUND(J51*33.8%,0)</f>
        <v>6290042</v>
      </c>
      <c r="L51" s="457">
        <f t="shared" ref="L51:L55" si="134">ROUND(J51*1%,0)</f>
        <v>186096</v>
      </c>
      <c r="M51" s="457">
        <v>435315</v>
      </c>
      <c r="N51" s="748">
        <f t="shared" ref="N51:N55" si="135">O51+P51</f>
        <v>31.047900000000002</v>
      </c>
      <c r="O51" s="749">
        <v>24.317900000000002</v>
      </c>
      <c r="P51" s="750">
        <v>6.73</v>
      </c>
      <c r="Q51" s="469">
        <f t="shared" ref="Q51:Q55" si="136">W51*-1</f>
        <v>0</v>
      </c>
      <c r="R51" s="460">
        <v>0</v>
      </c>
      <c r="S51" s="673">
        <v>0</v>
      </c>
      <c r="T51" s="460">
        <v>0</v>
      </c>
      <c r="U51" s="460">
        <v>0</v>
      </c>
      <c r="V51" s="460">
        <f>SUM(Q51:U51)</f>
        <v>0</v>
      </c>
      <c r="W51" s="460">
        <v>0</v>
      </c>
      <c r="X51" s="460">
        <v>0</v>
      </c>
      <c r="Y51" s="460">
        <v>0</v>
      </c>
      <c r="Z51" s="460">
        <f t="shared" ref="Z51:Z55" si="137">SUM(W51:Y51)</f>
        <v>0</v>
      </c>
      <c r="AA51" s="460">
        <f t="shared" ref="AA51:AA55" si="138">V51+Z51</f>
        <v>0</v>
      </c>
      <c r="AB51" s="69">
        <f t="shared" ref="AB51:AB55" si="139">ROUND((V51+W51+X51)*33.8%,0)</f>
        <v>0</v>
      </c>
      <c r="AC51" s="69">
        <f t="shared" ref="AC51:AC55" si="140">ROUND(V51*1%,0)</f>
        <v>0</v>
      </c>
      <c r="AD51" s="460">
        <v>0</v>
      </c>
      <c r="AE51" s="460">
        <v>0</v>
      </c>
      <c r="AF51" s="460">
        <f t="shared" ref="AF51:AF55" si="141">SUM(AD51:AE51)</f>
        <v>0</v>
      </c>
      <c r="AG51" s="460">
        <f t="shared" ref="AG51:AG55" si="142">AA51+AB51+AC51+AF51</f>
        <v>0</v>
      </c>
      <c r="AH51" s="461">
        <v>0</v>
      </c>
      <c r="AI51" s="461">
        <v>0</v>
      </c>
      <c r="AJ51" s="461">
        <v>0</v>
      </c>
      <c r="AK51" s="461">
        <v>0</v>
      </c>
      <c r="AL51" s="674">
        <v>0</v>
      </c>
      <c r="AM51" s="461">
        <v>0</v>
      </c>
      <c r="AN51" s="461">
        <v>0</v>
      </c>
      <c r="AO51" s="461">
        <v>0</v>
      </c>
      <c r="AP51" s="461">
        <f>AH51+AJ51+AK51+AM51+AN51</f>
        <v>0</v>
      </c>
      <c r="AQ51" s="461">
        <f>AI51+AL51+AO51</f>
        <v>0</v>
      </c>
      <c r="AR51" s="463">
        <f t="shared" ref="AR51:AR55" si="143">SUM(AP51:AQ51)</f>
        <v>0</v>
      </c>
      <c r="AS51" s="469">
        <f>I51+AG51</f>
        <v>25521045</v>
      </c>
      <c r="AT51" s="460">
        <f>J51+V51</f>
        <v>18609592</v>
      </c>
      <c r="AU51" s="460">
        <f t="shared" ref="AU51:AU55" si="144">Z51</f>
        <v>0</v>
      </c>
      <c r="AV51" s="460">
        <f t="shared" ref="AV51:AW55" si="145">K51+AB51</f>
        <v>6290042</v>
      </c>
      <c r="AW51" s="460">
        <f t="shared" si="145"/>
        <v>186096</v>
      </c>
      <c r="AX51" s="460">
        <f>M51+AF51</f>
        <v>435315</v>
      </c>
      <c r="AY51" s="461">
        <f>N51+AR51</f>
        <v>31.047900000000002</v>
      </c>
      <c r="AZ51" s="461">
        <f t="shared" ref="AZ51:BA55" si="146">O51+AP51</f>
        <v>24.317900000000002</v>
      </c>
      <c r="BA51" s="463">
        <f t="shared" si="146"/>
        <v>6.73</v>
      </c>
    </row>
    <row r="52" spans="1:53" ht="12.95" customHeight="1" x14ac:dyDescent="0.25">
      <c r="A52" s="299">
        <v>10</v>
      </c>
      <c r="B52" s="300">
        <v>4481</v>
      </c>
      <c r="C52" s="300">
        <v>600074722</v>
      </c>
      <c r="D52" s="300">
        <v>70942692</v>
      </c>
      <c r="E52" s="302" t="s">
        <v>342</v>
      </c>
      <c r="F52" s="300">
        <v>3113</v>
      </c>
      <c r="G52" s="303" t="s">
        <v>315</v>
      </c>
      <c r="H52" s="303" t="s">
        <v>278</v>
      </c>
      <c r="I52" s="462">
        <f t="shared" si="132"/>
        <v>0</v>
      </c>
      <c r="J52" s="457">
        <v>0</v>
      </c>
      <c r="K52" s="457">
        <f t="shared" si="133"/>
        <v>0</v>
      </c>
      <c r="L52" s="457">
        <f t="shared" si="134"/>
        <v>0</v>
      </c>
      <c r="M52" s="457">
        <v>0</v>
      </c>
      <c r="N52" s="748">
        <f t="shared" si="135"/>
        <v>0</v>
      </c>
      <c r="O52" s="749">
        <v>0</v>
      </c>
      <c r="P52" s="750">
        <v>0</v>
      </c>
      <c r="Q52" s="469">
        <f t="shared" si="136"/>
        <v>0</v>
      </c>
      <c r="R52" s="460">
        <v>2011330</v>
      </c>
      <c r="S52" s="673">
        <v>0</v>
      </c>
      <c r="T52" s="460">
        <v>0</v>
      </c>
      <c r="U52" s="460">
        <v>0</v>
      </c>
      <c r="V52" s="460">
        <f>SUM(Q52:U52)</f>
        <v>2011330</v>
      </c>
      <c r="W52" s="460">
        <v>0</v>
      </c>
      <c r="X52" s="460">
        <v>0</v>
      </c>
      <c r="Y52" s="460">
        <v>0</v>
      </c>
      <c r="Z52" s="460">
        <f t="shared" si="137"/>
        <v>0</v>
      </c>
      <c r="AA52" s="460">
        <f t="shared" si="138"/>
        <v>2011330</v>
      </c>
      <c r="AB52" s="69">
        <f t="shared" si="139"/>
        <v>679830</v>
      </c>
      <c r="AC52" s="69">
        <f t="shared" si="140"/>
        <v>20113</v>
      </c>
      <c r="AD52" s="460">
        <v>0</v>
      </c>
      <c r="AE52" s="460">
        <v>0</v>
      </c>
      <c r="AF52" s="460">
        <f t="shared" si="141"/>
        <v>0</v>
      </c>
      <c r="AG52" s="460">
        <f t="shared" si="142"/>
        <v>2711273</v>
      </c>
      <c r="AH52" s="461">
        <v>0</v>
      </c>
      <c r="AI52" s="461">
        <v>0</v>
      </c>
      <c r="AJ52" s="461">
        <v>5.81</v>
      </c>
      <c r="AK52" s="461">
        <v>0</v>
      </c>
      <c r="AL52" s="674">
        <v>0</v>
      </c>
      <c r="AM52" s="461">
        <v>0</v>
      </c>
      <c r="AN52" s="461">
        <v>0</v>
      </c>
      <c r="AO52" s="461">
        <v>0</v>
      </c>
      <c r="AP52" s="461">
        <f>AH52+AJ52+AK52+AM52+AN52</f>
        <v>5.81</v>
      </c>
      <c r="AQ52" s="461">
        <f>AI52+AL52+AO52</f>
        <v>0</v>
      </c>
      <c r="AR52" s="463">
        <f t="shared" si="143"/>
        <v>5.81</v>
      </c>
      <c r="AS52" s="469">
        <f>I52+AG52</f>
        <v>2711273</v>
      </c>
      <c r="AT52" s="460">
        <f>J52+V52</f>
        <v>2011330</v>
      </c>
      <c r="AU52" s="460">
        <f t="shared" si="144"/>
        <v>0</v>
      </c>
      <c r="AV52" s="460">
        <f t="shared" si="145"/>
        <v>679830</v>
      </c>
      <c r="AW52" s="460">
        <f t="shared" si="145"/>
        <v>20113</v>
      </c>
      <c r="AX52" s="460">
        <f>M52+AF52</f>
        <v>0</v>
      </c>
      <c r="AY52" s="461">
        <f>N52+AR52</f>
        <v>5.81</v>
      </c>
      <c r="AZ52" s="461">
        <f t="shared" si="146"/>
        <v>5.81</v>
      </c>
      <c r="BA52" s="463">
        <f t="shared" si="146"/>
        <v>0</v>
      </c>
    </row>
    <row r="53" spans="1:53" ht="12.95" customHeight="1" x14ac:dyDescent="0.25">
      <c r="A53" s="299">
        <v>10</v>
      </c>
      <c r="B53" s="300">
        <v>4481</v>
      </c>
      <c r="C53" s="300">
        <v>600074722</v>
      </c>
      <c r="D53" s="300">
        <v>70942692</v>
      </c>
      <c r="E53" s="302" t="s">
        <v>342</v>
      </c>
      <c r="F53" s="300">
        <v>3141</v>
      </c>
      <c r="G53" s="303" t="s">
        <v>311</v>
      </c>
      <c r="H53" s="303" t="s">
        <v>278</v>
      </c>
      <c r="I53" s="462">
        <f t="shared" si="132"/>
        <v>1580867</v>
      </c>
      <c r="J53" s="457">
        <v>1163993</v>
      </c>
      <c r="K53" s="457">
        <f t="shared" si="133"/>
        <v>393430</v>
      </c>
      <c r="L53" s="457">
        <f t="shared" si="134"/>
        <v>11640</v>
      </c>
      <c r="M53" s="457">
        <v>11804</v>
      </c>
      <c r="N53" s="748">
        <f t="shared" si="135"/>
        <v>3.74</v>
      </c>
      <c r="O53" s="749">
        <v>0</v>
      </c>
      <c r="P53" s="750">
        <v>3.74</v>
      </c>
      <c r="Q53" s="469">
        <f t="shared" si="136"/>
        <v>0</v>
      </c>
      <c r="R53" s="460">
        <v>0</v>
      </c>
      <c r="S53" s="673">
        <v>0</v>
      </c>
      <c r="T53" s="460">
        <v>0</v>
      </c>
      <c r="U53" s="460">
        <v>0</v>
      </c>
      <c r="V53" s="460">
        <f>SUM(Q53:U53)</f>
        <v>0</v>
      </c>
      <c r="W53" s="460">
        <v>0</v>
      </c>
      <c r="X53" s="460">
        <v>0</v>
      </c>
      <c r="Y53" s="460">
        <v>0</v>
      </c>
      <c r="Z53" s="460">
        <f t="shared" si="137"/>
        <v>0</v>
      </c>
      <c r="AA53" s="460">
        <f t="shared" si="138"/>
        <v>0</v>
      </c>
      <c r="AB53" s="69">
        <f t="shared" si="139"/>
        <v>0</v>
      </c>
      <c r="AC53" s="69">
        <f t="shared" si="140"/>
        <v>0</v>
      </c>
      <c r="AD53" s="460">
        <v>0</v>
      </c>
      <c r="AE53" s="460">
        <v>0</v>
      </c>
      <c r="AF53" s="460">
        <f t="shared" si="141"/>
        <v>0</v>
      </c>
      <c r="AG53" s="460">
        <f t="shared" si="142"/>
        <v>0</v>
      </c>
      <c r="AH53" s="461">
        <v>0</v>
      </c>
      <c r="AI53" s="461">
        <v>0</v>
      </c>
      <c r="AJ53" s="461">
        <v>0</v>
      </c>
      <c r="AK53" s="461">
        <v>0</v>
      </c>
      <c r="AL53" s="674">
        <v>0</v>
      </c>
      <c r="AM53" s="461">
        <v>0</v>
      </c>
      <c r="AN53" s="461">
        <v>0</v>
      </c>
      <c r="AO53" s="461">
        <v>0</v>
      </c>
      <c r="AP53" s="461">
        <f>AH53+AJ53+AK53+AM53+AN53</f>
        <v>0</v>
      </c>
      <c r="AQ53" s="461">
        <f>AI53+AL53+AO53</f>
        <v>0</v>
      </c>
      <c r="AR53" s="463">
        <f t="shared" si="143"/>
        <v>0</v>
      </c>
      <c r="AS53" s="469">
        <f>I53+AG53</f>
        <v>1580867</v>
      </c>
      <c r="AT53" s="460">
        <f>J53+V53</f>
        <v>1163993</v>
      </c>
      <c r="AU53" s="460">
        <f t="shared" si="144"/>
        <v>0</v>
      </c>
      <c r="AV53" s="460">
        <f t="shared" si="145"/>
        <v>393430</v>
      </c>
      <c r="AW53" s="460">
        <f t="shared" si="145"/>
        <v>11640</v>
      </c>
      <c r="AX53" s="460">
        <f>M53+AF53</f>
        <v>11804</v>
      </c>
      <c r="AY53" s="461">
        <f>N53+AR53</f>
        <v>3.74</v>
      </c>
      <c r="AZ53" s="461">
        <f t="shared" si="146"/>
        <v>0</v>
      </c>
      <c r="BA53" s="463">
        <f t="shared" si="146"/>
        <v>3.74</v>
      </c>
    </row>
    <row r="54" spans="1:53" ht="12.95" customHeight="1" x14ac:dyDescent="0.25">
      <c r="A54" s="299">
        <v>10</v>
      </c>
      <c r="B54" s="300">
        <v>4481</v>
      </c>
      <c r="C54" s="300">
        <v>600074722</v>
      </c>
      <c r="D54" s="300">
        <v>70942692</v>
      </c>
      <c r="E54" s="302" t="s">
        <v>342</v>
      </c>
      <c r="F54" s="300">
        <v>3143</v>
      </c>
      <c r="G54" s="303" t="s">
        <v>616</v>
      </c>
      <c r="H54" s="303" t="s">
        <v>277</v>
      </c>
      <c r="I54" s="462">
        <f t="shared" si="132"/>
        <v>1700075</v>
      </c>
      <c r="J54" s="457">
        <v>1261183</v>
      </c>
      <c r="K54" s="457">
        <f t="shared" si="133"/>
        <v>426280</v>
      </c>
      <c r="L54" s="457">
        <f t="shared" si="134"/>
        <v>12612</v>
      </c>
      <c r="M54" s="457">
        <v>0</v>
      </c>
      <c r="N54" s="748">
        <f t="shared" si="135"/>
        <v>2.5714000000000001</v>
      </c>
      <c r="O54" s="749">
        <v>2.5714000000000001</v>
      </c>
      <c r="P54" s="750">
        <v>0</v>
      </c>
      <c r="Q54" s="469">
        <f t="shared" si="136"/>
        <v>0</v>
      </c>
      <c r="R54" s="460">
        <v>0</v>
      </c>
      <c r="S54" s="673">
        <v>0</v>
      </c>
      <c r="T54" s="460">
        <v>0</v>
      </c>
      <c r="U54" s="460">
        <v>0</v>
      </c>
      <c r="V54" s="460">
        <f>SUM(Q54:U54)</f>
        <v>0</v>
      </c>
      <c r="W54" s="460">
        <v>0</v>
      </c>
      <c r="X54" s="460">
        <v>0</v>
      </c>
      <c r="Y54" s="460">
        <v>0</v>
      </c>
      <c r="Z54" s="460">
        <f t="shared" si="137"/>
        <v>0</v>
      </c>
      <c r="AA54" s="460">
        <f t="shared" si="138"/>
        <v>0</v>
      </c>
      <c r="AB54" s="69">
        <f t="shared" si="139"/>
        <v>0</v>
      </c>
      <c r="AC54" s="69">
        <f t="shared" si="140"/>
        <v>0</v>
      </c>
      <c r="AD54" s="460">
        <v>0</v>
      </c>
      <c r="AE54" s="460">
        <v>0</v>
      </c>
      <c r="AF54" s="460">
        <f t="shared" si="141"/>
        <v>0</v>
      </c>
      <c r="AG54" s="460">
        <f t="shared" si="142"/>
        <v>0</v>
      </c>
      <c r="AH54" s="461">
        <v>0</v>
      </c>
      <c r="AI54" s="461">
        <v>0</v>
      </c>
      <c r="AJ54" s="461">
        <v>0</v>
      </c>
      <c r="AK54" s="461">
        <v>0</v>
      </c>
      <c r="AL54" s="674">
        <v>0</v>
      </c>
      <c r="AM54" s="461">
        <v>0</v>
      </c>
      <c r="AN54" s="461">
        <v>0</v>
      </c>
      <c r="AO54" s="461">
        <v>0</v>
      </c>
      <c r="AP54" s="461">
        <f>AH54+AJ54+AK54+AM54+AN54</f>
        <v>0</v>
      </c>
      <c r="AQ54" s="461">
        <f>AI54+AL54+AO54</f>
        <v>0</v>
      </c>
      <c r="AR54" s="463">
        <f t="shared" si="143"/>
        <v>0</v>
      </c>
      <c r="AS54" s="469">
        <f>I54+AG54</f>
        <v>1700075</v>
      </c>
      <c r="AT54" s="460">
        <f>J54+V54</f>
        <v>1261183</v>
      </c>
      <c r="AU54" s="460">
        <f t="shared" si="144"/>
        <v>0</v>
      </c>
      <c r="AV54" s="460">
        <f t="shared" si="145"/>
        <v>426280</v>
      </c>
      <c r="AW54" s="460">
        <f t="shared" si="145"/>
        <v>12612</v>
      </c>
      <c r="AX54" s="460">
        <f>M54+AF54</f>
        <v>0</v>
      </c>
      <c r="AY54" s="461">
        <f>N54+AR54</f>
        <v>2.5714000000000001</v>
      </c>
      <c r="AZ54" s="461">
        <f t="shared" si="146"/>
        <v>2.5714000000000001</v>
      </c>
      <c r="BA54" s="463">
        <f t="shared" si="146"/>
        <v>0</v>
      </c>
    </row>
    <row r="55" spans="1:53" ht="12.95" customHeight="1" x14ac:dyDescent="0.25">
      <c r="A55" s="299">
        <v>10</v>
      </c>
      <c r="B55" s="300">
        <v>4481</v>
      </c>
      <c r="C55" s="300">
        <v>600074722</v>
      </c>
      <c r="D55" s="300">
        <v>70942692</v>
      </c>
      <c r="E55" s="302" t="s">
        <v>342</v>
      </c>
      <c r="F55" s="300">
        <v>3143</v>
      </c>
      <c r="G55" s="303" t="s">
        <v>617</v>
      </c>
      <c r="H55" s="303" t="s">
        <v>278</v>
      </c>
      <c r="I55" s="462">
        <f t="shared" si="132"/>
        <v>57907</v>
      </c>
      <c r="J55" s="457">
        <v>41375</v>
      </c>
      <c r="K55" s="457">
        <f t="shared" si="133"/>
        <v>13985</v>
      </c>
      <c r="L55" s="457">
        <f t="shared" si="134"/>
        <v>414</v>
      </c>
      <c r="M55" s="457">
        <v>2133</v>
      </c>
      <c r="N55" s="748">
        <f t="shared" si="135"/>
        <v>0.16</v>
      </c>
      <c r="O55" s="749">
        <v>0</v>
      </c>
      <c r="P55" s="750">
        <v>0.16</v>
      </c>
      <c r="Q55" s="469">
        <f t="shared" si="136"/>
        <v>0</v>
      </c>
      <c r="R55" s="460">
        <v>0</v>
      </c>
      <c r="S55" s="673">
        <v>0</v>
      </c>
      <c r="T55" s="460">
        <v>0</v>
      </c>
      <c r="U55" s="460">
        <v>0</v>
      </c>
      <c r="V55" s="460">
        <f>SUM(Q55:U55)</f>
        <v>0</v>
      </c>
      <c r="W55" s="460">
        <v>0</v>
      </c>
      <c r="X55" s="460">
        <v>0</v>
      </c>
      <c r="Y55" s="460">
        <v>0</v>
      </c>
      <c r="Z55" s="460">
        <f t="shared" si="137"/>
        <v>0</v>
      </c>
      <c r="AA55" s="460">
        <f t="shared" si="138"/>
        <v>0</v>
      </c>
      <c r="AB55" s="69">
        <f t="shared" si="139"/>
        <v>0</v>
      </c>
      <c r="AC55" s="69">
        <f t="shared" si="140"/>
        <v>0</v>
      </c>
      <c r="AD55" s="460">
        <v>0</v>
      </c>
      <c r="AE55" s="460">
        <v>0</v>
      </c>
      <c r="AF55" s="460">
        <f t="shared" si="141"/>
        <v>0</v>
      </c>
      <c r="AG55" s="460">
        <f t="shared" si="142"/>
        <v>0</v>
      </c>
      <c r="AH55" s="461">
        <v>0</v>
      </c>
      <c r="AI55" s="461">
        <v>0</v>
      </c>
      <c r="AJ55" s="461">
        <v>0</v>
      </c>
      <c r="AK55" s="461">
        <v>0</v>
      </c>
      <c r="AL55" s="674">
        <v>0</v>
      </c>
      <c r="AM55" s="461">
        <v>0</v>
      </c>
      <c r="AN55" s="461">
        <v>0</v>
      </c>
      <c r="AO55" s="461">
        <v>0</v>
      </c>
      <c r="AP55" s="461">
        <f>AH55+AJ55+AK55+AM55+AN55</f>
        <v>0</v>
      </c>
      <c r="AQ55" s="461">
        <f>AI55+AL55+AO55</f>
        <v>0</v>
      </c>
      <c r="AR55" s="463">
        <f t="shared" si="143"/>
        <v>0</v>
      </c>
      <c r="AS55" s="469">
        <f>I55+AG55</f>
        <v>57907</v>
      </c>
      <c r="AT55" s="460">
        <f>J55+V55</f>
        <v>41375</v>
      </c>
      <c r="AU55" s="460">
        <f t="shared" si="144"/>
        <v>0</v>
      </c>
      <c r="AV55" s="460">
        <f t="shared" si="145"/>
        <v>13985</v>
      </c>
      <c r="AW55" s="460">
        <f t="shared" si="145"/>
        <v>414</v>
      </c>
      <c r="AX55" s="460">
        <f>M55+AF55</f>
        <v>2133</v>
      </c>
      <c r="AY55" s="461">
        <f>N55+AR55</f>
        <v>0.16</v>
      </c>
      <c r="AZ55" s="461">
        <f t="shared" si="146"/>
        <v>0</v>
      </c>
      <c r="BA55" s="463">
        <f t="shared" si="146"/>
        <v>0.16</v>
      </c>
    </row>
    <row r="56" spans="1:53" ht="12.95" customHeight="1" x14ac:dyDescent="0.25">
      <c r="A56" s="292">
        <v>10</v>
      </c>
      <c r="B56" s="294">
        <v>4481</v>
      </c>
      <c r="C56" s="294">
        <v>600074722</v>
      </c>
      <c r="D56" s="294">
        <v>70942692</v>
      </c>
      <c r="E56" s="307" t="s">
        <v>343</v>
      </c>
      <c r="F56" s="310"/>
      <c r="G56" s="311"/>
      <c r="H56" s="311"/>
      <c r="I56" s="537">
        <f t="shared" ref="I56:P56" si="147">SUM(I51:I55)</f>
        <v>28859894</v>
      </c>
      <c r="J56" s="534">
        <f t="shared" si="147"/>
        <v>21076143</v>
      </c>
      <c r="K56" s="534">
        <f t="shared" si="147"/>
        <v>7123737</v>
      </c>
      <c r="L56" s="534">
        <f t="shared" si="147"/>
        <v>210762</v>
      </c>
      <c r="M56" s="534">
        <f t="shared" si="147"/>
        <v>449252</v>
      </c>
      <c r="N56" s="757">
        <f t="shared" si="147"/>
        <v>37.519299999999994</v>
      </c>
      <c r="O56" s="757">
        <f t="shared" si="147"/>
        <v>26.889300000000002</v>
      </c>
      <c r="P56" s="759">
        <f t="shared" si="147"/>
        <v>10.63</v>
      </c>
      <c r="Q56" s="539">
        <f t="shared" ref="Q56:BA56" si="148">SUM(Q51:Q55)</f>
        <v>0</v>
      </c>
      <c r="R56" s="534">
        <f t="shared" si="148"/>
        <v>2011330</v>
      </c>
      <c r="S56" s="534">
        <f t="shared" si="148"/>
        <v>0</v>
      </c>
      <c r="T56" s="534">
        <f t="shared" si="148"/>
        <v>0</v>
      </c>
      <c r="U56" s="534">
        <f t="shared" si="148"/>
        <v>0</v>
      </c>
      <c r="V56" s="534">
        <f t="shared" si="148"/>
        <v>2011330</v>
      </c>
      <c r="W56" s="534">
        <f t="shared" si="148"/>
        <v>0</v>
      </c>
      <c r="X56" s="534">
        <f t="shared" si="148"/>
        <v>0</v>
      </c>
      <c r="Y56" s="534">
        <f t="shared" si="148"/>
        <v>0</v>
      </c>
      <c r="Z56" s="534">
        <f t="shared" si="148"/>
        <v>0</v>
      </c>
      <c r="AA56" s="534">
        <f t="shared" si="148"/>
        <v>2011330</v>
      </c>
      <c r="AB56" s="534">
        <f t="shared" si="148"/>
        <v>679830</v>
      </c>
      <c r="AC56" s="534">
        <f t="shared" si="148"/>
        <v>20113</v>
      </c>
      <c r="AD56" s="534">
        <f t="shared" si="148"/>
        <v>0</v>
      </c>
      <c r="AE56" s="534">
        <f t="shared" si="148"/>
        <v>0</v>
      </c>
      <c r="AF56" s="534">
        <f t="shared" si="148"/>
        <v>0</v>
      </c>
      <c r="AG56" s="534">
        <f t="shared" si="148"/>
        <v>2711273</v>
      </c>
      <c r="AH56" s="535">
        <f t="shared" si="148"/>
        <v>0</v>
      </c>
      <c r="AI56" s="535">
        <f t="shared" si="148"/>
        <v>0</v>
      </c>
      <c r="AJ56" s="535">
        <f t="shared" si="148"/>
        <v>5.81</v>
      </c>
      <c r="AK56" s="535">
        <f t="shared" si="148"/>
        <v>0</v>
      </c>
      <c r="AL56" s="535">
        <f t="shared" si="148"/>
        <v>0</v>
      </c>
      <c r="AM56" s="535">
        <f t="shared" si="148"/>
        <v>0</v>
      </c>
      <c r="AN56" s="535">
        <f t="shared" si="148"/>
        <v>0</v>
      </c>
      <c r="AO56" s="535">
        <f t="shared" si="148"/>
        <v>0</v>
      </c>
      <c r="AP56" s="535">
        <f t="shared" si="148"/>
        <v>5.81</v>
      </c>
      <c r="AQ56" s="535">
        <f t="shared" si="148"/>
        <v>0</v>
      </c>
      <c r="AR56" s="309">
        <f t="shared" si="148"/>
        <v>5.81</v>
      </c>
      <c r="AS56" s="539">
        <f t="shared" si="148"/>
        <v>31571167</v>
      </c>
      <c r="AT56" s="534">
        <f t="shared" si="148"/>
        <v>23087473</v>
      </c>
      <c r="AU56" s="534">
        <f t="shared" si="148"/>
        <v>0</v>
      </c>
      <c r="AV56" s="534">
        <f t="shared" si="148"/>
        <v>7803567</v>
      </c>
      <c r="AW56" s="534">
        <f t="shared" si="148"/>
        <v>230875</v>
      </c>
      <c r="AX56" s="534">
        <f t="shared" si="148"/>
        <v>449252</v>
      </c>
      <c r="AY56" s="535">
        <f t="shared" si="148"/>
        <v>43.329299999999996</v>
      </c>
      <c r="AZ56" s="535">
        <f t="shared" si="148"/>
        <v>32.699300000000001</v>
      </c>
      <c r="BA56" s="309">
        <f t="shared" si="148"/>
        <v>10.63</v>
      </c>
    </row>
    <row r="57" spans="1:53" ht="12.95" customHeight="1" x14ac:dyDescent="0.25">
      <c r="A57" s="299">
        <v>11</v>
      </c>
      <c r="B57" s="300">
        <v>4469</v>
      </c>
      <c r="C57" s="300">
        <v>600075079</v>
      </c>
      <c r="D57" s="300">
        <v>70695334</v>
      </c>
      <c r="E57" s="302" t="s">
        <v>344</v>
      </c>
      <c r="F57" s="300">
        <v>3231</v>
      </c>
      <c r="G57" s="303" t="s">
        <v>414</v>
      </c>
      <c r="H57" s="303" t="s">
        <v>277</v>
      </c>
      <c r="I57" s="462">
        <f t="shared" ref="I57" si="149">SUM(J57:M57)</f>
        <v>3077991</v>
      </c>
      <c r="J57" s="457">
        <v>2279159</v>
      </c>
      <c r="K57" s="457">
        <f t="shared" ref="K57" si="150">ROUND(J57*33.8%,0)</f>
        <v>770356</v>
      </c>
      <c r="L57" s="457">
        <f>ROUND(J57*1%,0)</f>
        <v>22792</v>
      </c>
      <c r="M57" s="457">
        <v>5684</v>
      </c>
      <c r="N57" s="748">
        <f t="shared" ref="N57" si="151">O57+P57</f>
        <v>4.0242000000000004</v>
      </c>
      <c r="O57" s="749">
        <v>3.641</v>
      </c>
      <c r="P57" s="750">
        <v>0.38319999999999999</v>
      </c>
      <c r="Q57" s="469">
        <f t="shared" ref="Q57" si="152">W57*-1</f>
        <v>0</v>
      </c>
      <c r="R57" s="460">
        <v>0</v>
      </c>
      <c r="S57" s="673">
        <v>0</v>
      </c>
      <c r="T57" s="460">
        <v>0</v>
      </c>
      <c r="U57" s="460">
        <v>0</v>
      </c>
      <c r="V57" s="460">
        <f>SUM(Q57:U57)</f>
        <v>0</v>
      </c>
      <c r="W57" s="460">
        <v>0</v>
      </c>
      <c r="X57" s="460">
        <v>0</v>
      </c>
      <c r="Y57" s="460">
        <v>0</v>
      </c>
      <c r="Z57" s="460">
        <f t="shared" ref="Z57" si="153">SUM(W57:Y57)</f>
        <v>0</v>
      </c>
      <c r="AA57" s="460">
        <f t="shared" ref="AA57" si="154">V57+Z57</f>
        <v>0</v>
      </c>
      <c r="AB57" s="69">
        <f t="shared" ref="AB57" si="155">ROUND((V57+W57+X57)*33.8%,0)</f>
        <v>0</v>
      </c>
      <c r="AC57" s="69">
        <f>ROUND(V57*1%,0)</f>
        <v>0</v>
      </c>
      <c r="AD57" s="460">
        <v>0</v>
      </c>
      <c r="AE57" s="460">
        <v>0</v>
      </c>
      <c r="AF57" s="460">
        <f t="shared" ref="AF57" si="156">SUM(AD57:AE57)</f>
        <v>0</v>
      </c>
      <c r="AG57" s="460">
        <f t="shared" ref="AG57" si="157">AA57+AB57+AC57+AF57</f>
        <v>0</v>
      </c>
      <c r="AH57" s="461">
        <v>0</v>
      </c>
      <c r="AI57" s="461">
        <v>0</v>
      </c>
      <c r="AJ57" s="461">
        <v>0</v>
      </c>
      <c r="AK57" s="461">
        <v>0</v>
      </c>
      <c r="AL57" s="674">
        <v>0</v>
      </c>
      <c r="AM57" s="461">
        <v>0</v>
      </c>
      <c r="AN57" s="461">
        <v>0</v>
      </c>
      <c r="AO57" s="461">
        <v>0</v>
      </c>
      <c r="AP57" s="461">
        <f>AH57+AJ57+AK57+AM57+AN57</f>
        <v>0</v>
      </c>
      <c r="AQ57" s="461">
        <f>AI57+AL57+AO57</f>
        <v>0</v>
      </c>
      <c r="AR57" s="463">
        <f t="shared" ref="AR57" si="158">SUM(AP57:AQ57)</f>
        <v>0</v>
      </c>
      <c r="AS57" s="469">
        <f>I57+AG57</f>
        <v>3077991</v>
      </c>
      <c r="AT57" s="460">
        <f>J57+V57</f>
        <v>2279159</v>
      </c>
      <c r="AU57" s="460">
        <f>Z57</f>
        <v>0</v>
      </c>
      <c r="AV57" s="460">
        <f>K57+AB57</f>
        <v>770356</v>
      </c>
      <c r="AW57" s="460">
        <f>L57+AC57</f>
        <v>22792</v>
      </c>
      <c r="AX57" s="460">
        <f>M57+AF57</f>
        <v>5684</v>
      </c>
      <c r="AY57" s="461">
        <f>N57+AR57</f>
        <v>4.0242000000000004</v>
      </c>
      <c r="AZ57" s="461">
        <f>O57+AP57</f>
        <v>3.641</v>
      </c>
      <c r="BA57" s="463">
        <f>P57+AQ57</f>
        <v>0.38319999999999999</v>
      </c>
    </row>
    <row r="58" spans="1:53" ht="12.95" customHeight="1" x14ac:dyDescent="0.25">
      <c r="A58" s="292">
        <v>11</v>
      </c>
      <c r="B58" s="294">
        <v>4469</v>
      </c>
      <c r="C58" s="294">
        <v>600075079</v>
      </c>
      <c r="D58" s="294">
        <v>70695334</v>
      </c>
      <c r="E58" s="307" t="s">
        <v>345</v>
      </c>
      <c r="F58" s="310"/>
      <c r="G58" s="311"/>
      <c r="H58" s="311"/>
      <c r="I58" s="537">
        <f t="shared" ref="I58:BA58" si="159">SUM(I57)</f>
        <v>3077991</v>
      </c>
      <c r="J58" s="534">
        <f t="shared" si="159"/>
        <v>2279159</v>
      </c>
      <c r="K58" s="534">
        <f t="shared" si="159"/>
        <v>770356</v>
      </c>
      <c r="L58" s="534">
        <f t="shared" si="159"/>
        <v>22792</v>
      </c>
      <c r="M58" s="534">
        <f t="shared" si="159"/>
        <v>5684</v>
      </c>
      <c r="N58" s="757">
        <f t="shared" si="159"/>
        <v>4.0242000000000004</v>
      </c>
      <c r="O58" s="757">
        <f t="shared" si="159"/>
        <v>3.641</v>
      </c>
      <c r="P58" s="759">
        <f t="shared" si="159"/>
        <v>0.38319999999999999</v>
      </c>
      <c r="Q58" s="539">
        <f t="shared" si="159"/>
        <v>0</v>
      </c>
      <c r="R58" s="534">
        <f t="shared" si="159"/>
        <v>0</v>
      </c>
      <c r="S58" s="534">
        <f t="shared" si="159"/>
        <v>0</v>
      </c>
      <c r="T58" s="534">
        <f t="shared" si="159"/>
        <v>0</v>
      </c>
      <c r="U58" s="534">
        <f t="shared" si="159"/>
        <v>0</v>
      </c>
      <c r="V58" s="534">
        <f t="shared" si="159"/>
        <v>0</v>
      </c>
      <c r="W58" s="534">
        <f t="shared" si="159"/>
        <v>0</v>
      </c>
      <c r="X58" s="534">
        <f t="shared" si="159"/>
        <v>0</v>
      </c>
      <c r="Y58" s="534">
        <f t="shared" si="159"/>
        <v>0</v>
      </c>
      <c r="Z58" s="534">
        <f t="shared" si="159"/>
        <v>0</v>
      </c>
      <c r="AA58" s="534">
        <f t="shared" si="159"/>
        <v>0</v>
      </c>
      <c r="AB58" s="534">
        <f t="shared" si="159"/>
        <v>0</v>
      </c>
      <c r="AC58" s="534">
        <f t="shared" si="159"/>
        <v>0</v>
      </c>
      <c r="AD58" s="534">
        <f t="shared" si="159"/>
        <v>0</v>
      </c>
      <c r="AE58" s="534">
        <f t="shared" si="159"/>
        <v>0</v>
      </c>
      <c r="AF58" s="534">
        <f t="shared" si="159"/>
        <v>0</v>
      </c>
      <c r="AG58" s="534">
        <f t="shared" si="159"/>
        <v>0</v>
      </c>
      <c r="AH58" s="535">
        <f t="shared" si="159"/>
        <v>0</v>
      </c>
      <c r="AI58" s="535">
        <f t="shared" si="159"/>
        <v>0</v>
      </c>
      <c r="AJ58" s="535">
        <f t="shared" si="159"/>
        <v>0</v>
      </c>
      <c r="AK58" s="535">
        <f t="shared" si="159"/>
        <v>0</v>
      </c>
      <c r="AL58" s="535">
        <f t="shared" si="159"/>
        <v>0</v>
      </c>
      <c r="AM58" s="535">
        <f t="shared" si="159"/>
        <v>0</v>
      </c>
      <c r="AN58" s="535">
        <f t="shared" si="159"/>
        <v>0</v>
      </c>
      <c r="AO58" s="535">
        <f t="shared" si="159"/>
        <v>0</v>
      </c>
      <c r="AP58" s="535">
        <f t="shared" si="159"/>
        <v>0</v>
      </c>
      <c r="AQ58" s="535">
        <f t="shared" si="159"/>
        <v>0</v>
      </c>
      <c r="AR58" s="309">
        <f t="shared" si="159"/>
        <v>0</v>
      </c>
      <c r="AS58" s="539">
        <f t="shared" si="159"/>
        <v>3077991</v>
      </c>
      <c r="AT58" s="534">
        <f t="shared" si="159"/>
        <v>2279159</v>
      </c>
      <c r="AU58" s="534">
        <f t="shared" si="159"/>
        <v>0</v>
      </c>
      <c r="AV58" s="534">
        <f t="shared" si="159"/>
        <v>770356</v>
      </c>
      <c r="AW58" s="534">
        <f t="shared" si="159"/>
        <v>22792</v>
      </c>
      <c r="AX58" s="534">
        <f t="shared" si="159"/>
        <v>5684</v>
      </c>
      <c r="AY58" s="535">
        <f t="shared" si="159"/>
        <v>4.0242000000000004</v>
      </c>
      <c r="AZ58" s="535">
        <f t="shared" si="159"/>
        <v>3.641</v>
      </c>
      <c r="BA58" s="309">
        <f t="shared" si="159"/>
        <v>0.38319999999999999</v>
      </c>
    </row>
    <row r="59" spans="1:53" ht="12.95" customHeight="1" x14ac:dyDescent="0.25">
      <c r="A59" s="299">
        <v>12</v>
      </c>
      <c r="B59" s="300">
        <v>4451</v>
      </c>
      <c r="C59" s="300">
        <v>600074927</v>
      </c>
      <c r="D59" s="300">
        <v>49864653</v>
      </c>
      <c r="E59" s="302" t="s">
        <v>346</v>
      </c>
      <c r="F59" s="300">
        <v>3111</v>
      </c>
      <c r="G59" s="303" t="s">
        <v>321</v>
      </c>
      <c r="H59" s="303" t="s">
        <v>277</v>
      </c>
      <c r="I59" s="462">
        <f t="shared" ref="I59:I64" si="160">SUM(J59:M59)</f>
        <v>7877060</v>
      </c>
      <c r="J59" s="457">
        <v>5811098</v>
      </c>
      <c r="K59" s="457">
        <f t="shared" ref="K59:K64" si="161">ROUND(J59*33.8%,0)</f>
        <v>1964151</v>
      </c>
      <c r="L59" s="457">
        <f t="shared" ref="L59:L64" si="162">ROUND(J59*1%,0)</f>
        <v>58111</v>
      </c>
      <c r="M59" s="457">
        <v>43700</v>
      </c>
      <c r="N59" s="748">
        <f t="shared" ref="N59:N64" si="163">O59+P59</f>
        <v>11.945200000000002</v>
      </c>
      <c r="O59" s="749">
        <v>10.145200000000001</v>
      </c>
      <c r="P59" s="750">
        <v>1.8</v>
      </c>
      <c r="Q59" s="469">
        <f t="shared" ref="Q59:Q64" si="164">W59*-1</f>
        <v>-32500</v>
      </c>
      <c r="R59" s="460">
        <v>0</v>
      </c>
      <c r="S59" s="673">
        <v>0</v>
      </c>
      <c r="T59" s="460">
        <v>0</v>
      </c>
      <c r="U59" s="460">
        <v>0</v>
      </c>
      <c r="V59" s="460">
        <f t="shared" ref="V59:V64" si="165">SUM(Q59:U59)</f>
        <v>-32500</v>
      </c>
      <c r="W59" s="460">
        <v>32500</v>
      </c>
      <c r="X59" s="460">
        <v>0</v>
      </c>
      <c r="Y59" s="460">
        <v>0</v>
      </c>
      <c r="Z59" s="460">
        <f t="shared" ref="Z59:Z64" si="166">SUM(W59:Y59)</f>
        <v>32500</v>
      </c>
      <c r="AA59" s="460">
        <f t="shared" ref="AA59:AA64" si="167">V59+Z59</f>
        <v>0</v>
      </c>
      <c r="AB59" s="69">
        <f t="shared" ref="AB59:AB64" si="168">ROUND((V59+W59+X59)*33.8%,0)</f>
        <v>0</v>
      </c>
      <c r="AC59" s="69">
        <f t="shared" ref="AC59:AC64" si="169">ROUND(V59*1%,0)</f>
        <v>-325</v>
      </c>
      <c r="AD59" s="460">
        <v>0</v>
      </c>
      <c r="AE59" s="460">
        <v>0</v>
      </c>
      <c r="AF59" s="460">
        <f t="shared" ref="AF59:AF64" si="170">SUM(AD59:AE59)</f>
        <v>0</v>
      </c>
      <c r="AG59" s="460">
        <f t="shared" ref="AG59:AG64" si="171">AA59+AB59+AC59+AF59</f>
        <v>-325</v>
      </c>
      <c r="AH59" s="461">
        <v>-0.05</v>
      </c>
      <c r="AI59" s="461">
        <v>0</v>
      </c>
      <c r="AJ59" s="461">
        <v>0</v>
      </c>
      <c r="AK59" s="461">
        <v>0</v>
      </c>
      <c r="AL59" s="674">
        <v>0</v>
      </c>
      <c r="AM59" s="461">
        <v>0</v>
      </c>
      <c r="AN59" s="461">
        <v>0</v>
      </c>
      <c r="AO59" s="461">
        <v>0</v>
      </c>
      <c r="AP59" s="461">
        <f t="shared" ref="AP59:AP64" si="172">AH59+AJ59+AK59+AM59+AN59</f>
        <v>-0.05</v>
      </c>
      <c r="AQ59" s="461">
        <f t="shared" ref="AQ59:AQ64" si="173">AI59+AL59+AO59</f>
        <v>0</v>
      </c>
      <c r="AR59" s="463">
        <f t="shared" ref="AR59:AR64" si="174">SUM(AP59:AQ59)</f>
        <v>-0.05</v>
      </c>
      <c r="AS59" s="469">
        <f t="shared" ref="AS59:AS64" si="175">I59+AG59</f>
        <v>7876735</v>
      </c>
      <c r="AT59" s="460">
        <f t="shared" ref="AT59:AT64" si="176">J59+V59</f>
        <v>5778598</v>
      </c>
      <c r="AU59" s="460">
        <f t="shared" ref="AU59:AU64" si="177">Z59</f>
        <v>32500</v>
      </c>
      <c r="AV59" s="460">
        <f t="shared" ref="AV59:AW64" si="178">K59+AB59</f>
        <v>1964151</v>
      </c>
      <c r="AW59" s="460">
        <f t="shared" si="178"/>
        <v>57786</v>
      </c>
      <c r="AX59" s="460">
        <f t="shared" ref="AX59:AX64" si="179">M59+AF59</f>
        <v>43700</v>
      </c>
      <c r="AY59" s="461">
        <f t="shared" ref="AY59:AY64" si="180">N59+AR59</f>
        <v>11.895200000000001</v>
      </c>
      <c r="AZ59" s="461">
        <f t="shared" ref="AZ59:BA64" si="181">O59+AP59</f>
        <v>10.0952</v>
      </c>
      <c r="BA59" s="463">
        <f t="shared" si="181"/>
        <v>1.8</v>
      </c>
    </row>
    <row r="60" spans="1:53" ht="12.95" customHeight="1" x14ac:dyDescent="0.25">
      <c r="A60" s="299">
        <v>12</v>
      </c>
      <c r="B60" s="300">
        <v>4451</v>
      </c>
      <c r="C60" s="300">
        <v>600074927</v>
      </c>
      <c r="D60" s="300">
        <v>49864653</v>
      </c>
      <c r="E60" s="302" t="s">
        <v>346</v>
      </c>
      <c r="F60" s="300">
        <v>3113</v>
      </c>
      <c r="G60" s="303" t="s">
        <v>325</v>
      </c>
      <c r="H60" s="303" t="s">
        <v>277</v>
      </c>
      <c r="I60" s="462">
        <f t="shared" si="160"/>
        <v>29027300</v>
      </c>
      <c r="J60" s="457">
        <v>21163977</v>
      </c>
      <c r="K60" s="457">
        <f t="shared" si="161"/>
        <v>7153424</v>
      </c>
      <c r="L60" s="457">
        <f>ROUND(J60*1%,0)-1</f>
        <v>211639</v>
      </c>
      <c r="M60" s="457">
        <v>498260</v>
      </c>
      <c r="N60" s="748">
        <f t="shared" si="163"/>
        <v>35.780200000000001</v>
      </c>
      <c r="O60" s="749">
        <v>28.2272</v>
      </c>
      <c r="P60" s="750">
        <v>7.5529999999999999</v>
      </c>
      <c r="Q60" s="469">
        <f t="shared" si="164"/>
        <v>-58500</v>
      </c>
      <c r="R60" s="460">
        <v>0</v>
      </c>
      <c r="S60" s="673">
        <v>0</v>
      </c>
      <c r="T60" s="460">
        <v>0</v>
      </c>
      <c r="U60" s="460">
        <v>0</v>
      </c>
      <c r="V60" s="460">
        <f t="shared" si="165"/>
        <v>-58500</v>
      </c>
      <c r="W60" s="460">
        <v>58500</v>
      </c>
      <c r="X60" s="460">
        <v>0</v>
      </c>
      <c r="Y60" s="460">
        <v>0</v>
      </c>
      <c r="Z60" s="460">
        <f t="shared" si="166"/>
        <v>58500</v>
      </c>
      <c r="AA60" s="460">
        <f t="shared" si="167"/>
        <v>0</v>
      </c>
      <c r="AB60" s="69">
        <f t="shared" si="168"/>
        <v>0</v>
      </c>
      <c r="AC60" s="69">
        <f t="shared" si="169"/>
        <v>-585</v>
      </c>
      <c r="AD60" s="460">
        <v>0</v>
      </c>
      <c r="AE60" s="460">
        <v>0</v>
      </c>
      <c r="AF60" s="460">
        <f t="shared" si="170"/>
        <v>0</v>
      </c>
      <c r="AG60" s="460">
        <f t="shared" si="171"/>
        <v>-585</v>
      </c>
      <c r="AH60" s="461">
        <v>-7.0000000000000007E-2</v>
      </c>
      <c r="AI60" s="461">
        <v>0</v>
      </c>
      <c r="AJ60" s="461">
        <v>0</v>
      </c>
      <c r="AK60" s="461">
        <v>0</v>
      </c>
      <c r="AL60" s="674">
        <v>0</v>
      </c>
      <c r="AM60" s="461">
        <v>0</v>
      </c>
      <c r="AN60" s="461">
        <v>0</v>
      </c>
      <c r="AO60" s="461">
        <v>0</v>
      </c>
      <c r="AP60" s="461">
        <f t="shared" si="172"/>
        <v>-7.0000000000000007E-2</v>
      </c>
      <c r="AQ60" s="461">
        <f t="shared" si="173"/>
        <v>0</v>
      </c>
      <c r="AR60" s="463">
        <f t="shared" si="174"/>
        <v>-7.0000000000000007E-2</v>
      </c>
      <c r="AS60" s="469">
        <f t="shared" si="175"/>
        <v>29026715</v>
      </c>
      <c r="AT60" s="460">
        <f t="shared" si="176"/>
        <v>21105477</v>
      </c>
      <c r="AU60" s="460">
        <f t="shared" si="177"/>
        <v>58500</v>
      </c>
      <c r="AV60" s="460">
        <f t="shared" si="178"/>
        <v>7153424</v>
      </c>
      <c r="AW60" s="460">
        <f t="shared" si="178"/>
        <v>211054</v>
      </c>
      <c r="AX60" s="460">
        <f t="shared" si="179"/>
        <v>498260</v>
      </c>
      <c r="AY60" s="461">
        <f t="shared" si="180"/>
        <v>35.7102</v>
      </c>
      <c r="AZ60" s="461">
        <f t="shared" si="181"/>
        <v>28.1572</v>
      </c>
      <c r="BA60" s="463">
        <f t="shared" si="181"/>
        <v>7.5529999999999999</v>
      </c>
    </row>
    <row r="61" spans="1:53" ht="12.95" customHeight="1" x14ac:dyDescent="0.25">
      <c r="A61" s="299">
        <v>12</v>
      </c>
      <c r="B61" s="300">
        <v>4451</v>
      </c>
      <c r="C61" s="300">
        <v>600074927</v>
      </c>
      <c r="D61" s="300">
        <v>49864653</v>
      </c>
      <c r="E61" s="302" t="s">
        <v>346</v>
      </c>
      <c r="F61" s="300">
        <v>3113</v>
      </c>
      <c r="G61" s="303" t="s">
        <v>315</v>
      </c>
      <c r="H61" s="303" t="s">
        <v>278</v>
      </c>
      <c r="I61" s="462">
        <f t="shared" si="160"/>
        <v>0</v>
      </c>
      <c r="J61" s="457">
        <v>0</v>
      </c>
      <c r="K61" s="457">
        <f t="shared" si="161"/>
        <v>0</v>
      </c>
      <c r="L61" s="457">
        <f t="shared" si="162"/>
        <v>0</v>
      </c>
      <c r="M61" s="457">
        <v>0</v>
      </c>
      <c r="N61" s="748">
        <f t="shared" si="163"/>
        <v>0</v>
      </c>
      <c r="O61" s="749">
        <v>0</v>
      </c>
      <c r="P61" s="750">
        <v>0</v>
      </c>
      <c r="Q61" s="469">
        <f t="shared" si="164"/>
        <v>0</v>
      </c>
      <c r="R61" s="460">
        <f>3589538+232873</f>
        <v>3822411</v>
      </c>
      <c r="S61" s="673">
        <v>0</v>
      </c>
      <c r="T61" s="460">
        <v>0</v>
      </c>
      <c r="U61" s="460">
        <v>0</v>
      </c>
      <c r="V61" s="460">
        <f t="shared" si="165"/>
        <v>3822411</v>
      </c>
      <c r="W61" s="460">
        <v>0</v>
      </c>
      <c r="X61" s="460">
        <v>0</v>
      </c>
      <c r="Y61" s="460">
        <v>0</v>
      </c>
      <c r="Z61" s="460">
        <f t="shared" si="166"/>
        <v>0</v>
      </c>
      <c r="AA61" s="460">
        <f t="shared" si="167"/>
        <v>3822411</v>
      </c>
      <c r="AB61" s="69">
        <f t="shared" si="168"/>
        <v>1291975</v>
      </c>
      <c r="AC61" s="69">
        <f t="shared" si="169"/>
        <v>38224</v>
      </c>
      <c r="AD61" s="460">
        <v>0</v>
      </c>
      <c r="AE61" s="460">
        <v>0</v>
      </c>
      <c r="AF61" s="460">
        <f t="shared" si="170"/>
        <v>0</v>
      </c>
      <c r="AG61" s="460">
        <f t="shared" si="171"/>
        <v>5152610</v>
      </c>
      <c r="AH61" s="461">
        <v>0</v>
      </c>
      <c r="AI61" s="461">
        <v>0</v>
      </c>
      <c r="AJ61" s="461">
        <f>11.03+0.92</f>
        <v>11.95</v>
      </c>
      <c r="AK61" s="461">
        <v>0</v>
      </c>
      <c r="AL61" s="674">
        <v>0</v>
      </c>
      <c r="AM61" s="461">
        <v>0</v>
      </c>
      <c r="AN61" s="461">
        <v>0</v>
      </c>
      <c r="AO61" s="461">
        <v>0</v>
      </c>
      <c r="AP61" s="461">
        <f t="shared" si="172"/>
        <v>11.95</v>
      </c>
      <c r="AQ61" s="461">
        <f t="shared" si="173"/>
        <v>0</v>
      </c>
      <c r="AR61" s="463">
        <f t="shared" si="174"/>
        <v>11.95</v>
      </c>
      <c r="AS61" s="469">
        <f t="shared" si="175"/>
        <v>5152610</v>
      </c>
      <c r="AT61" s="460">
        <f t="shared" si="176"/>
        <v>3822411</v>
      </c>
      <c r="AU61" s="460">
        <f t="shared" si="177"/>
        <v>0</v>
      </c>
      <c r="AV61" s="460">
        <f t="shared" si="178"/>
        <v>1291975</v>
      </c>
      <c r="AW61" s="460">
        <f t="shared" si="178"/>
        <v>38224</v>
      </c>
      <c r="AX61" s="460">
        <f t="shared" si="179"/>
        <v>0</v>
      </c>
      <c r="AY61" s="461">
        <f t="shared" si="180"/>
        <v>11.95</v>
      </c>
      <c r="AZ61" s="461">
        <f t="shared" si="181"/>
        <v>11.95</v>
      </c>
      <c r="BA61" s="463">
        <f t="shared" si="181"/>
        <v>0</v>
      </c>
    </row>
    <row r="62" spans="1:53" ht="12.95" customHeight="1" x14ac:dyDescent="0.25">
      <c r="A62" s="299">
        <v>12</v>
      </c>
      <c r="B62" s="300">
        <v>4451</v>
      </c>
      <c r="C62" s="300">
        <v>600074927</v>
      </c>
      <c r="D62" s="300">
        <v>49864653</v>
      </c>
      <c r="E62" s="302" t="s">
        <v>346</v>
      </c>
      <c r="F62" s="300">
        <v>3141</v>
      </c>
      <c r="G62" s="303" t="s">
        <v>311</v>
      </c>
      <c r="H62" s="303" t="s">
        <v>278</v>
      </c>
      <c r="I62" s="462">
        <f t="shared" si="160"/>
        <v>3692316</v>
      </c>
      <c r="J62" s="457">
        <f>2391674+170192+158634</f>
        <v>2720500</v>
      </c>
      <c r="K62" s="457">
        <f t="shared" si="161"/>
        <v>919529</v>
      </c>
      <c r="L62" s="457">
        <f t="shared" si="162"/>
        <v>27205</v>
      </c>
      <c r="M62" s="457">
        <f>22362+1428+1292</f>
        <v>25082</v>
      </c>
      <c r="N62" s="748">
        <f t="shared" si="163"/>
        <v>8.75</v>
      </c>
      <c r="O62" s="749">
        <v>0</v>
      </c>
      <c r="P62" s="750">
        <f>0.55+7.69+0.51</f>
        <v>8.75</v>
      </c>
      <c r="Q62" s="469">
        <f t="shared" si="164"/>
        <v>-6500</v>
      </c>
      <c r="R62" s="460">
        <v>0</v>
      </c>
      <c r="S62" s="673">
        <v>0</v>
      </c>
      <c r="T62" s="460">
        <v>0</v>
      </c>
      <c r="U62" s="460">
        <v>0</v>
      </c>
      <c r="V62" s="460">
        <f t="shared" si="165"/>
        <v>-6500</v>
      </c>
      <c r="W62" s="460">
        <v>6500</v>
      </c>
      <c r="X62" s="460">
        <v>0</v>
      </c>
      <c r="Y62" s="460">
        <v>0</v>
      </c>
      <c r="Z62" s="460">
        <f t="shared" si="166"/>
        <v>6500</v>
      </c>
      <c r="AA62" s="460">
        <f t="shared" si="167"/>
        <v>0</v>
      </c>
      <c r="AB62" s="69">
        <f t="shared" si="168"/>
        <v>0</v>
      </c>
      <c r="AC62" s="69">
        <f t="shared" si="169"/>
        <v>-65</v>
      </c>
      <c r="AD62" s="460">
        <v>0</v>
      </c>
      <c r="AE62" s="460">
        <v>0</v>
      </c>
      <c r="AF62" s="460">
        <f t="shared" si="170"/>
        <v>0</v>
      </c>
      <c r="AG62" s="460">
        <f t="shared" si="171"/>
        <v>-65</v>
      </c>
      <c r="AH62" s="461">
        <v>0</v>
      </c>
      <c r="AI62" s="461">
        <v>0</v>
      </c>
      <c r="AJ62" s="461">
        <v>0</v>
      </c>
      <c r="AK62" s="461">
        <v>0</v>
      </c>
      <c r="AL62" s="674">
        <v>0</v>
      </c>
      <c r="AM62" s="461">
        <v>0</v>
      </c>
      <c r="AN62" s="461">
        <v>0</v>
      </c>
      <c r="AO62" s="461">
        <v>0</v>
      </c>
      <c r="AP62" s="461">
        <f t="shared" si="172"/>
        <v>0</v>
      </c>
      <c r="AQ62" s="461">
        <f t="shared" si="173"/>
        <v>0</v>
      </c>
      <c r="AR62" s="463">
        <f t="shared" si="174"/>
        <v>0</v>
      </c>
      <c r="AS62" s="469">
        <f t="shared" si="175"/>
        <v>3692251</v>
      </c>
      <c r="AT62" s="460">
        <f t="shared" si="176"/>
        <v>2714000</v>
      </c>
      <c r="AU62" s="460">
        <f t="shared" si="177"/>
        <v>6500</v>
      </c>
      <c r="AV62" s="460">
        <f t="shared" si="178"/>
        <v>919529</v>
      </c>
      <c r="AW62" s="460">
        <f t="shared" si="178"/>
        <v>27140</v>
      </c>
      <c r="AX62" s="460">
        <f t="shared" si="179"/>
        <v>25082</v>
      </c>
      <c r="AY62" s="461">
        <f t="shared" si="180"/>
        <v>8.75</v>
      </c>
      <c r="AZ62" s="461">
        <f t="shared" si="181"/>
        <v>0</v>
      </c>
      <c r="BA62" s="463">
        <f t="shared" si="181"/>
        <v>8.75</v>
      </c>
    </row>
    <row r="63" spans="1:53" ht="12.95" customHeight="1" x14ac:dyDescent="0.25">
      <c r="A63" s="299">
        <v>12</v>
      </c>
      <c r="B63" s="300">
        <v>4451</v>
      </c>
      <c r="C63" s="300">
        <v>600074927</v>
      </c>
      <c r="D63" s="300">
        <v>49864653</v>
      </c>
      <c r="E63" s="302" t="s">
        <v>346</v>
      </c>
      <c r="F63" s="300">
        <v>3143</v>
      </c>
      <c r="G63" s="303" t="s">
        <v>616</v>
      </c>
      <c r="H63" s="303" t="s">
        <v>277</v>
      </c>
      <c r="I63" s="462">
        <f t="shared" si="160"/>
        <v>2355298</v>
      </c>
      <c r="J63" s="457">
        <v>1747253</v>
      </c>
      <c r="K63" s="457">
        <f t="shared" si="161"/>
        <v>590572</v>
      </c>
      <c r="L63" s="457">
        <f t="shared" si="162"/>
        <v>17473</v>
      </c>
      <c r="M63" s="457">
        <v>0</v>
      </c>
      <c r="N63" s="748">
        <f t="shared" si="163"/>
        <v>3.6608000000000001</v>
      </c>
      <c r="O63" s="749">
        <v>3.6608000000000001</v>
      </c>
      <c r="P63" s="750">
        <v>0</v>
      </c>
      <c r="Q63" s="469">
        <f t="shared" si="164"/>
        <v>0</v>
      </c>
      <c r="R63" s="460">
        <v>0</v>
      </c>
      <c r="S63" s="673">
        <v>0</v>
      </c>
      <c r="T63" s="460">
        <v>0</v>
      </c>
      <c r="U63" s="460">
        <v>0</v>
      </c>
      <c r="V63" s="460">
        <f t="shared" si="165"/>
        <v>0</v>
      </c>
      <c r="W63" s="460">
        <v>0</v>
      </c>
      <c r="X63" s="460">
        <v>0</v>
      </c>
      <c r="Y63" s="460">
        <v>0</v>
      </c>
      <c r="Z63" s="460">
        <f t="shared" si="166"/>
        <v>0</v>
      </c>
      <c r="AA63" s="460">
        <f t="shared" si="167"/>
        <v>0</v>
      </c>
      <c r="AB63" s="69">
        <f t="shared" si="168"/>
        <v>0</v>
      </c>
      <c r="AC63" s="69">
        <f t="shared" si="169"/>
        <v>0</v>
      </c>
      <c r="AD63" s="460">
        <v>0</v>
      </c>
      <c r="AE63" s="460">
        <v>0</v>
      </c>
      <c r="AF63" s="460">
        <f t="shared" si="170"/>
        <v>0</v>
      </c>
      <c r="AG63" s="460">
        <f t="shared" si="171"/>
        <v>0</v>
      </c>
      <c r="AH63" s="461">
        <v>0</v>
      </c>
      <c r="AI63" s="461">
        <v>0</v>
      </c>
      <c r="AJ63" s="461">
        <v>0</v>
      </c>
      <c r="AK63" s="461">
        <v>0</v>
      </c>
      <c r="AL63" s="674">
        <v>0</v>
      </c>
      <c r="AM63" s="461">
        <v>0</v>
      </c>
      <c r="AN63" s="461">
        <v>0</v>
      </c>
      <c r="AO63" s="461">
        <v>0</v>
      </c>
      <c r="AP63" s="461">
        <f t="shared" si="172"/>
        <v>0</v>
      </c>
      <c r="AQ63" s="461">
        <f t="shared" si="173"/>
        <v>0</v>
      </c>
      <c r="AR63" s="463">
        <f t="shared" si="174"/>
        <v>0</v>
      </c>
      <c r="AS63" s="469">
        <f t="shared" si="175"/>
        <v>2355298</v>
      </c>
      <c r="AT63" s="460">
        <f t="shared" si="176"/>
        <v>1747253</v>
      </c>
      <c r="AU63" s="460">
        <f t="shared" si="177"/>
        <v>0</v>
      </c>
      <c r="AV63" s="460">
        <f t="shared" si="178"/>
        <v>590572</v>
      </c>
      <c r="AW63" s="460">
        <f t="shared" si="178"/>
        <v>17473</v>
      </c>
      <c r="AX63" s="460">
        <f t="shared" si="179"/>
        <v>0</v>
      </c>
      <c r="AY63" s="461">
        <f t="shared" si="180"/>
        <v>3.6608000000000001</v>
      </c>
      <c r="AZ63" s="461">
        <f t="shared" si="181"/>
        <v>3.6608000000000001</v>
      </c>
      <c r="BA63" s="463">
        <f t="shared" si="181"/>
        <v>0</v>
      </c>
    </row>
    <row r="64" spans="1:53" ht="12.95" customHeight="1" x14ac:dyDescent="0.25">
      <c r="A64" s="299">
        <v>12</v>
      </c>
      <c r="B64" s="300">
        <v>4451</v>
      </c>
      <c r="C64" s="300">
        <v>600074927</v>
      </c>
      <c r="D64" s="300">
        <v>49864653</v>
      </c>
      <c r="E64" s="302" t="s">
        <v>346</v>
      </c>
      <c r="F64" s="300">
        <v>3143</v>
      </c>
      <c r="G64" s="303" t="s">
        <v>617</v>
      </c>
      <c r="H64" s="303" t="s">
        <v>278</v>
      </c>
      <c r="I64" s="462">
        <f t="shared" si="160"/>
        <v>72567</v>
      </c>
      <c r="J64" s="457">
        <v>51850</v>
      </c>
      <c r="K64" s="457">
        <f t="shared" si="161"/>
        <v>17525</v>
      </c>
      <c r="L64" s="457">
        <f t="shared" si="162"/>
        <v>519</v>
      </c>
      <c r="M64" s="457">
        <v>2673</v>
      </c>
      <c r="N64" s="748">
        <f t="shared" si="163"/>
        <v>0.21</v>
      </c>
      <c r="O64" s="749">
        <v>0</v>
      </c>
      <c r="P64" s="750">
        <v>0.21</v>
      </c>
      <c r="Q64" s="469">
        <f t="shared" si="164"/>
        <v>0</v>
      </c>
      <c r="R64" s="460">
        <v>0</v>
      </c>
      <c r="S64" s="673">
        <v>0</v>
      </c>
      <c r="T64" s="460">
        <v>0</v>
      </c>
      <c r="U64" s="460">
        <v>0</v>
      </c>
      <c r="V64" s="460">
        <f t="shared" si="165"/>
        <v>0</v>
      </c>
      <c r="W64" s="460">
        <v>0</v>
      </c>
      <c r="X64" s="460">
        <v>0</v>
      </c>
      <c r="Y64" s="460">
        <v>0</v>
      </c>
      <c r="Z64" s="460">
        <f t="shared" si="166"/>
        <v>0</v>
      </c>
      <c r="AA64" s="460">
        <f t="shared" si="167"/>
        <v>0</v>
      </c>
      <c r="AB64" s="69">
        <f t="shared" si="168"/>
        <v>0</v>
      </c>
      <c r="AC64" s="69">
        <f t="shared" si="169"/>
        <v>0</v>
      </c>
      <c r="AD64" s="460">
        <v>0</v>
      </c>
      <c r="AE64" s="460">
        <v>0</v>
      </c>
      <c r="AF64" s="460">
        <f t="shared" si="170"/>
        <v>0</v>
      </c>
      <c r="AG64" s="460">
        <f t="shared" si="171"/>
        <v>0</v>
      </c>
      <c r="AH64" s="461">
        <v>0</v>
      </c>
      <c r="AI64" s="461">
        <v>0</v>
      </c>
      <c r="AJ64" s="461">
        <v>0</v>
      </c>
      <c r="AK64" s="461">
        <v>0</v>
      </c>
      <c r="AL64" s="674">
        <v>0</v>
      </c>
      <c r="AM64" s="461">
        <v>0</v>
      </c>
      <c r="AN64" s="461">
        <v>0</v>
      </c>
      <c r="AO64" s="461">
        <v>0</v>
      </c>
      <c r="AP64" s="461">
        <f t="shared" si="172"/>
        <v>0</v>
      </c>
      <c r="AQ64" s="461">
        <f t="shared" si="173"/>
        <v>0</v>
      </c>
      <c r="AR64" s="463">
        <f t="shared" si="174"/>
        <v>0</v>
      </c>
      <c r="AS64" s="469">
        <f t="shared" si="175"/>
        <v>72567</v>
      </c>
      <c r="AT64" s="460">
        <f t="shared" si="176"/>
        <v>51850</v>
      </c>
      <c r="AU64" s="460">
        <f t="shared" si="177"/>
        <v>0</v>
      </c>
      <c r="AV64" s="460">
        <f t="shared" si="178"/>
        <v>17525</v>
      </c>
      <c r="AW64" s="460">
        <f t="shared" si="178"/>
        <v>519</v>
      </c>
      <c r="AX64" s="460">
        <f t="shared" si="179"/>
        <v>2673</v>
      </c>
      <c r="AY64" s="461">
        <f t="shared" si="180"/>
        <v>0.21</v>
      </c>
      <c r="AZ64" s="461">
        <f t="shared" si="181"/>
        <v>0</v>
      </c>
      <c r="BA64" s="463">
        <f t="shared" si="181"/>
        <v>0.21</v>
      </c>
    </row>
    <row r="65" spans="1:53" ht="12.95" customHeight="1" x14ac:dyDescent="0.25">
      <c r="A65" s="292">
        <v>12</v>
      </c>
      <c r="B65" s="294">
        <v>4451</v>
      </c>
      <c r="C65" s="294">
        <v>600074927</v>
      </c>
      <c r="D65" s="294">
        <v>49864653</v>
      </c>
      <c r="E65" s="307" t="s">
        <v>347</v>
      </c>
      <c r="F65" s="310"/>
      <c r="G65" s="311"/>
      <c r="H65" s="311"/>
      <c r="I65" s="537">
        <f t="shared" ref="I65:P65" si="182">SUM(I59:I64)</f>
        <v>43024541</v>
      </c>
      <c r="J65" s="534">
        <f t="shared" si="182"/>
        <v>31494678</v>
      </c>
      <c r="K65" s="534">
        <f t="shared" si="182"/>
        <v>10645201</v>
      </c>
      <c r="L65" s="534">
        <f t="shared" si="182"/>
        <v>314947</v>
      </c>
      <c r="M65" s="534">
        <f t="shared" si="182"/>
        <v>569715</v>
      </c>
      <c r="N65" s="757">
        <f t="shared" si="182"/>
        <v>60.346200000000003</v>
      </c>
      <c r="O65" s="757">
        <f t="shared" si="182"/>
        <v>42.033200000000001</v>
      </c>
      <c r="P65" s="759">
        <f t="shared" si="182"/>
        <v>18.313000000000002</v>
      </c>
      <c r="Q65" s="539">
        <f t="shared" ref="Q65:BA65" si="183">SUM(Q59:Q64)</f>
        <v>-97500</v>
      </c>
      <c r="R65" s="534">
        <f t="shared" si="183"/>
        <v>3822411</v>
      </c>
      <c r="S65" s="534">
        <f t="shared" si="183"/>
        <v>0</v>
      </c>
      <c r="T65" s="534">
        <f t="shared" si="183"/>
        <v>0</v>
      </c>
      <c r="U65" s="534">
        <f t="shared" si="183"/>
        <v>0</v>
      </c>
      <c r="V65" s="534">
        <f t="shared" si="183"/>
        <v>3724911</v>
      </c>
      <c r="W65" s="534">
        <f t="shared" si="183"/>
        <v>97500</v>
      </c>
      <c r="X65" s="534">
        <f t="shared" si="183"/>
        <v>0</v>
      </c>
      <c r="Y65" s="534">
        <f t="shared" si="183"/>
        <v>0</v>
      </c>
      <c r="Z65" s="534">
        <f t="shared" si="183"/>
        <v>97500</v>
      </c>
      <c r="AA65" s="534">
        <f t="shared" si="183"/>
        <v>3822411</v>
      </c>
      <c r="AB65" s="534">
        <f t="shared" si="183"/>
        <v>1291975</v>
      </c>
      <c r="AC65" s="534">
        <f t="shared" si="183"/>
        <v>37249</v>
      </c>
      <c r="AD65" s="534">
        <f t="shared" si="183"/>
        <v>0</v>
      </c>
      <c r="AE65" s="534">
        <f t="shared" si="183"/>
        <v>0</v>
      </c>
      <c r="AF65" s="534">
        <f t="shared" si="183"/>
        <v>0</v>
      </c>
      <c r="AG65" s="534">
        <f t="shared" si="183"/>
        <v>5151635</v>
      </c>
      <c r="AH65" s="535">
        <f t="shared" si="183"/>
        <v>-0.12000000000000001</v>
      </c>
      <c r="AI65" s="535">
        <f t="shared" si="183"/>
        <v>0</v>
      </c>
      <c r="AJ65" s="535">
        <f t="shared" si="183"/>
        <v>11.95</v>
      </c>
      <c r="AK65" s="535">
        <f t="shared" si="183"/>
        <v>0</v>
      </c>
      <c r="AL65" s="535">
        <f t="shared" si="183"/>
        <v>0</v>
      </c>
      <c r="AM65" s="535">
        <f t="shared" si="183"/>
        <v>0</v>
      </c>
      <c r="AN65" s="535">
        <f t="shared" si="183"/>
        <v>0</v>
      </c>
      <c r="AO65" s="535">
        <f t="shared" si="183"/>
        <v>0</v>
      </c>
      <c r="AP65" s="535">
        <f t="shared" si="183"/>
        <v>11.83</v>
      </c>
      <c r="AQ65" s="535">
        <f t="shared" si="183"/>
        <v>0</v>
      </c>
      <c r="AR65" s="309">
        <f t="shared" si="183"/>
        <v>11.83</v>
      </c>
      <c r="AS65" s="539">
        <f t="shared" si="183"/>
        <v>48176176</v>
      </c>
      <c r="AT65" s="534">
        <f t="shared" si="183"/>
        <v>35219589</v>
      </c>
      <c r="AU65" s="534">
        <f t="shared" si="183"/>
        <v>97500</v>
      </c>
      <c r="AV65" s="534">
        <f t="shared" si="183"/>
        <v>11937176</v>
      </c>
      <c r="AW65" s="534">
        <f t="shared" si="183"/>
        <v>352196</v>
      </c>
      <c r="AX65" s="534">
        <f t="shared" si="183"/>
        <v>569715</v>
      </c>
      <c r="AY65" s="535">
        <f t="shared" si="183"/>
        <v>72.176199999999994</v>
      </c>
      <c r="AZ65" s="535">
        <f t="shared" si="183"/>
        <v>53.863199999999999</v>
      </c>
      <c r="BA65" s="309">
        <f t="shared" si="183"/>
        <v>18.313000000000002</v>
      </c>
    </row>
    <row r="66" spans="1:53" ht="12.95" customHeight="1" x14ac:dyDescent="0.25">
      <c r="A66" s="299">
        <v>13</v>
      </c>
      <c r="B66" s="300">
        <v>4450</v>
      </c>
      <c r="C66" s="300">
        <v>650033841</v>
      </c>
      <c r="D66" s="300">
        <v>72744995</v>
      </c>
      <c r="E66" s="302" t="s">
        <v>348</v>
      </c>
      <c r="F66" s="300">
        <v>3111</v>
      </c>
      <c r="G66" s="303" t="s">
        <v>349</v>
      </c>
      <c r="H66" s="303" t="s">
        <v>277</v>
      </c>
      <c r="I66" s="462">
        <f t="shared" ref="I66:I71" si="184">SUM(J66:M66)</f>
        <v>1470067</v>
      </c>
      <c r="J66" s="457">
        <v>1085213</v>
      </c>
      <c r="K66" s="457">
        <f t="shared" ref="K66:K71" si="185">ROUND(J66*33.8%,0)</f>
        <v>366802</v>
      </c>
      <c r="L66" s="457">
        <f t="shared" ref="L66:L71" si="186">ROUND(J66*1%,0)</f>
        <v>10852</v>
      </c>
      <c r="M66" s="457">
        <v>7200</v>
      </c>
      <c r="N66" s="748">
        <f t="shared" ref="N66:N71" si="187">O66+P66</f>
        <v>2.2955000000000001</v>
      </c>
      <c r="O66" s="749">
        <v>1.9355</v>
      </c>
      <c r="P66" s="750">
        <v>0.36</v>
      </c>
      <c r="Q66" s="469">
        <f t="shared" ref="Q66:Q71" si="188">W66*-1</f>
        <v>-9750</v>
      </c>
      <c r="R66" s="460">
        <v>0</v>
      </c>
      <c r="S66" s="673">
        <v>0</v>
      </c>
      <c r="T66" s="460">
        <v>0</v>
      </c>
      <c r="U66" s="460">
        <v>0</v>
      </c>
      <c r="V66" s="460">
        <f t="shared" ref="V66:V71" si="189">SUM(Q66:U66)</f>
        <v>-9750</v>
      </c>
      <c r="W66" s="460">
        <v>9750</v>
      </c>
      <c r="X66" s="460">
        <v>0</v>
      </c>
      <c r="Y66" s="460">
        <v>0</v>
      </c>
      <c r="Z66" s="460">
        <f t="shared" ref="Z66:Z71" si="190">SUM(W66:Y66)</f>
        <v>9750</v>
      </c>
      <c r="AA66" s="460">
        <f t="shared" ref="AA66:AA71" si="191">V66+Z66</f>
        <v>0</v>
      </c>
      <c r="AB66" s="69">
        <f t="shared" ref="AB66:AB71" si="192">ROUND((V66+W66+X66)*33.8%,0)</f>
        <v>0</v>
      </c>
      <c r="AC66" s="69">
        <f t="shared" ref="AC66:AC71" si="193">ROUND(V66*1%,0)</f>
        <v>-98</v>
      </c>
      <c r="AD66" s="460">
        <v>0</v>
      </c>
      <c r="AE66" s="460">
        <v>0</v>
      </c>
      <c r="AF66" s="460">
        <f t="shared" ref="AF66:AF71" si="194">SUM(AD66:AE66)</f>
        <v>0</v>
      </c>
      <c r="AG66" s="460">
        <f t="shared" ref="AG66:AG71" si="195">AA66+AB66+AC66+AF66</f>
        <v>-98</v>
      </c>
      <c r="AH66" s="461">
        <v>0</v>
      </c>
      <c r="AI66" s="461">
        <v>0</v>
      </c>
      <c r="AJ66" s="461">
        <v>0</v>
      </c>
      <c r="AK66" s="461">
        <v>0</v>
      </c>
      <c r="AL66" s="674">
        <v>0</v>
      </c>
      <c r="AM66" s="461">
        <v>0</v>
      </c>
      <c r="AN66" s="461">
        <v>0</v>
      </c>
      <c r="AO66" s="461">
        <v>0</v>
      </c>
      <c r="AP66" s="461">
        <f t="shared" ref="AP66:AP71" si="196">AH66+AJ66+AK66+AM66+AN66</f>
        <v>0</v>
      </c>
      <c r="AQ66" s="461">
        <f t="shared" ref="AQ66:AQ71" si="197">AI66+AL66+AO66</f>
        <v>0</v>
      </c>
      <c r="AR66" s="463">
        <f t="shared" ref="AR66:AR71" si="198">SUM(AP66:AQ66)</f>
        <v>0</v>
      </c>
      <c r="AS66" s="469">
        <f t="shared" ref="AS66:AS71" si="199">I66+AG66</f>
        <v>1469969</v>
      </c>
      <c r="AT66" s="460">
        <f t="shared" ref="AT66:AT71" si="200">J66+V66</f>
        <v>1075463</v>
      </c>
      <c r="AU66" s="460">
        <f t="shared" ref="AU66:AU71" si="201">Z66</f>
        <v>9750</v>
      </c>
      <c r="AV66" s="460">
        <f t="shared" ref="AV66:AW71" si="202">K66+AB66</f>
        <v>366802</v>
      </c>
      <c r="AW66" s="460">
        <f t="shared" si="202"/>
        <v>10754</v>
      </c>
      <c r="AX66" s="460">
        <f t="shared" ref="AX66:AX71" si="203">M66+AF66</f>
        <v>7200</v>
      </c>
      <c r="AY66" s="461">
        <f t="shared" ref="AY66:AY71" si="204">N66+AR66</f>
        <v>2.2955000000000001</v>
      </c>
      <c r="AZ66" s="461">
        <f t="shared" ref="AZ66:BA71" si="205">O66+AP66</f>
        <v>1.9355</v>
      </c>
      <c r="BA66" s="463">
        <f t="shared" si="205"/>
        <v>0.36</v>
      </c>
    </row>
    <row r="67" spans="1:53" ht="12.95" customHeight="1" x14ac:dyDescent="0.25">
      <c r="A67" s="299">
        <v>13</v>
      </c>
      <c r="B67" s="300">
        <v>4450</v>
      </c>
      <c r="C67" s="300">
        <v>650033841</v>
      </c>
      <c r="D67" s="300">
        <v>72744995</v>
      </c>
      <c r="E67" s="302" t="s">
        <v>348</v>
      </c>
      <c r="F67" s="300">
        <v>3117</v>
      </c>
      <c r="G67" s="303" t="s">
        <v>325</v>
      </c>
      <c r="H67" s="303" t="s">
        <v>277</v>
      </c>
      <c r="I67" s="462">
        <f t="shared" si="184"/>
        <v>3320629</v>
      </c>
      <c r="J67" s="457">
        <v>2427265</v>
      </c>
      <c r="K67" s="457">
        <f t="shared" si="185"/>
        <v>820416</v>
      </c>
      <c r="L67" s="457">
        <f t="shared" si="186"/>
        <v>24273</v>
      </c>
      <c r="M67" s="457">
        <v>48675</v>
      </c>
      <c r="N67" s="748">
        <f t="shared" si="187"/>
        <v>4.5997000000000003</v>
      </c>
      <c r="O67" s="749">
        <v>3.5318000000000001</v>
      </c>
      <c r="P67" s="750">
        <v>1.0678999999999998</v>
      </c>
      <c r="Q67" s="469">
        <f t="shared" si="188"/>
        <v>-3250</v>
      </c>
      <c r="R67" s="460">
        <v>0</v>
      </c>
      <c r="S67" s="673">
        <v>0</v>
      </c>
      <c r="T67" s="460">
        <v>0</v>
      </c>
      <c r="U67" s="460">
        <v>0</v>
      </c>
      <c r="V67" s="460">
        <f t="shared" si="189"/>
        <v>-3250</v>
      </c>
      <c r="W67" s="460">
        <v>3250</v>
      </c>
      <c r="X67" s="460">
        <v>0</v>
      </c>
      <c r="Y67" s="460">
        <v>0</v>
      </c>
      <c r="Z67" s="460">
        <f t="shared" si="190"/>
        <v>3250</v>
      </c>
      <c r="AA67" s="460">
        <f t="shared" si="191"/>
        <v>0</v>
      </c>
      <c r="AB67" s="69">
        <f t="shared" si="192"/>
        <v>0</v>
      </c>
      <c r="AC67" s="69">
        <f t="shared" si="193"/>
        <v>-33</v>
      </c>
      <c r="AD67" s="460">
        <v>0</v>
      </c>
      <c r="AE67" s="460">
        <v>0</v>
      </c>
      <c r="AF67" s="460">
        <f t="shared" si="194"/>
        <v>0</v>
      </c>
      <c r="AG67" s="460">
        <f t="shared" si="195"/>
        <v>-33</v>
      </c>
      <c r="AH67" s="461">
        <v>0</v>
      </c>
      <c r="AI67" s="461">
        <v>0</v>
      </c>
      <c r="AJ67" s="461">
        <v>0</v>
      </c>
      <c r="AK67" s="461">
        <v>0</v>
      </c>
      <c r="AL67" s="674">
        <v>0</v>
      </c>
      <c r="AM67" s="461">
        <v>0</v>
      </c>
      <c r="AN67" s="461">
        <v>0</v>
      </c>
      <c r="AO67" s="461">
        <v>0</v>
      </c>
      <c r="AP67" s="461">
        <f t="shared" si="196"/>
        <v>0</v>
      </c>
      <c r="AQ67" s="461">
        <f t="shared" si="197"/>
        <v>0</v>
      </c>
      <c r="AR67" s="463">
        <f t="shared" si="198"/>
        <v>0</v>
      </c>
      <c r="AS67" s="469">
        <f t="shared" si="199"/>
        <v>3320596</v>
      </c>
      <c r="AT67" s="460">
        <f t="shared" si="200"/>
        <v>2424015</v>
      </c>
      <c r="AU67" s="460">
        <f t="shared" si="201"/>
        <v>3250</v>
      </c>
      <c r="AV67" s="460">
        <f t="shared" si="202"/>
        <v>820416</v>
      </c>
      <c r="AW67" s="460">
        <f t="shared" si="202"/>
        <v>24240</v>
      </c>
      <c r="AX67" s="460">
        <f t="shared" si="203"/>
        <v>48675</v>
      </c>
      <c r="AY67" s="461">
        <f t="shared" si="204"/>
        <v>4.5997000000000003</v>
      </c>
      <c r="AZ67" s="461">
        <f t="shared" si="205"/>
        <v>3.5318000000000001</v>
      </c>
      <c r="BA67" s="463">
        <f t="shared" si="205"/>
        <v>1.0678999999999998</v>
      </c>
    </row>
    <row r="68" spans="1:53" ht="12.95" customHeight="1" x14ac:dyDescent="0.25">
      <c r="A68" s="299">
        <v>13</v>
      </c>
      <c r="B68" s="300">
        <v>4450</v>
      </c>
      <c r="C68" s="300">
        <v>650033841</v>
      </c>
      <c r="D68" s="300">
        <v>72744995</v>
      </c>
      <c r="E68" s="302" t="s">
        <v>348</v>
      </c>
      <c r="F68" s="300">
        <v>3117</v>
      </c>
      <c r="G68" s="303" t="s">
        <v>315</v>
      </c>
      <c r="H68" s="303" t="s">
        <v>278</v>
      </c>
      <c r="I68" s="462">
        <f t="shared" si="184"/>
        <v>0</v>
      </c>
      <c r="J68" s="457">
        <v>0</v>
      </c>
      <c r="K68" s="457">
        <f t="shared" si="185"/>
        <v>0</v>
      </c>
      <c r="L68" s="457">
        <f t="shared" si="186"/>
        <v>0</v>
      </c>
      <c r="M68" s="457">
        <v>0</v>
      </c>
      <c r="N68" s="748">
        <f t="shared" si="187"/>
        <v>0</v>
      </c>
      <c r="O68" s="749">
        <v>0</v>
      </c>
      <c r="P68" s="750">
        <v>0</v>
      </c>
      <c r="Q68" s="469">
        <f t="shared" si="188"/>
        <v>0</v>
      </c>
      <c r="R68" s="460">
        <v>519669</v>
      </c>
      <c r="S68" s="673">
        <v>0</v>
      </c>
      <c r="T68" s="460">
        <v>0</v>
      </c>
      <c r="U68" s="460">
        <v>0</v>
      </c>
      <c r="V68" s="460">
        <f t="shared" si="189"/>
        <v>519669</v>
      </c>
      <c r="W68" s="460">
        <v>0</v>
      </c>
      <c r="X68" s="460">
        <v>0</v>
      </c>
      <c r="Y68" s="460">
        <v>0</v>
      </c>
      <c r="Z68" s="460">
        <f t="shared" si="190"/>
        <v>0</v>
      </c>
      <c r="AA68" s="460">
        <f t="shared" si="191"/>
        <v>519669</v>
      </c>
      <c r="AB68" s="69">
        <f t="shared" si="192"/>
        <v>175648</v>
      </c>
      <c r="AC68" s="69">
        <f t="shared" si="193"/>
        <v>5197</v>
      </c>
      <c r="AD68" s="460">
        <v>0</v>
      </c>
      <c r="AE68" s="460">
        <v>0</v>
      </c>
      <c r="AF68" s="460">
        <f t="shared" si="194"/>
        <v>0</v>
      </c>
      <c r="AG68" s="460">
        <f t="shared" si="195"/>
        <v>700514</v>
      </c>
      <c r="AH68" s="461">
        <v>0</v>
      </c>
      <c r="AI68" s="461">
        <v>0</v>
      </c>
      <c r="AJ68" s="461">
        <v>1.5</v>
      </c>
      <c r="AK68" s="461">
        <v>0</v>
      </c>
      <c r="AL68" s="674">
        <v>0</v>
      </c>
      <c r="AM68" s="461">
        <v>0</v>
      </c>
      <c r="AN68" s="461">
        <v>0</v>
      </c>
      <c r="AO68" s="461">
        <v>0</v>
      </c>
      <c r="AP68" s="461">
        <f t="shared" si="196"/>
        <v>1.5</v>
      </c>
      <c r="AQ68" s="461">
        <f t="shared" si="197"/>
        <v>0</v>
      </c>
      <c r="AR68" s="463">
        <f t="shared" si="198"/>
        <v>1.5</v>
      </c>
      <c r="AS68" s="469">
        <f t="shared" si="199"/>
        <v>700514</v>
      </c>
      <c r="AT68" s="460">
        <f t="shared" si="200"/>
        <v>519669</v>
      </c>
      <c r="AU68" s="460">
        <f t="shared" si="201"/>
        <v>0</v>
      </c>
      <c r="AV68" s="460">
        <f t="shared" si="202"/>
        <v>175648</v>
      </c>
      <c r="AW68" s="460">
        <f t="shared" si="202"/>
        <v>5197</v>
      </c>
      <c r="AX68" s="460">
        <f t="shared" si="203"/>
        <v>0</v>
      </c>
      <c r="AY68" s="461">
        <f t="shared" si="204"/>
        <v>1.5</v>
      </c>
      <c r="AZ68" s="461">
        <f t="shared" si="205"/>
        <v>1.5</v>
      </c>
      <c r="BA68" s="463">
        <f t="shared" si="205"/>
        <v>0</v>
      </c>
    </row>
    <row r="69" spans="1:53" ht="12.95" customHeight="1" x14ac:dyDescent="0.25">
      <c r="A69" s="299">
        <v>13</v>
      </c>
      <c r="B69" s="300">
        <v>4450</v>
      </c>
      <c r="C69" s="300">
        <v>650033841</v>
      </c>
      <c r="D69" s="300">
        <v>72744995</v>
      </c>
      <c r="E69" s="302" t="s">
        <v>348</v>
      </c>
      <c r="F69" s="300">
        <v>3141</v>
      </c>
      <c r="G69" s="303" t="s">
        <v>311</v>
      </c>
      <c r="H69" s="303" t="s">
        <v>278</v>
      </c>
      <c r="I69" s="462">
        <f t="shared" si="184"/>
        <v>255102</v>
      </c>
      <c r="J69" s="457">
        <f>188059</f>
        <v>188059</v>
      </c>
      <c r="K69" s="457">
        <f t="shared" si="185"/>
        <v>63564</v>
      </c>
      <c r="L69" s="457">
        <f t="shared" si="186"/>
        <v>1881</v>
      </c>
      <c r="M69" s="457">
        <v>1598</v>
      </c>
      <c r="N69" s="748">
        <f t="shared" si="187"/>
        <v>0.6</v>
      </c>
      <c r="O69" s="749">
        <v>0</v>
      </c>
      <c r="P69" s="750">
        <v>0.6</v>
      </c>
      <c r="Q69" s="469">
        <f t="shared" si="188"/>
        <v>-14950</v>
      </c>
      <c r="R69" s="460">
        <v>0</v>
      </c>
      <c r="S69" s="673">
        <v>0</v>
      </c>
      <c r="T69" s="460">
        <v>0</v>
      </c>
      <c r="U69" s="460">
        <v>0</v>
      </c>
      <c r="V69" s="460">
        <f t="shared" si="189"/>
        <v>-14950</v>
      </c>
      <c r="W69" s="460">
        <v>14950</v>
      </c>
      <c r="X69" s="460">
        <v>0</v>
      </c>
      <c r="Y69" s="460">
        <v>0</v>
      </c>
      <c r="Z69" s="460">
        <f t="shared" si="190"/>
        <v>14950</v>
      </c>
      <c r="AA69" s="460">
        <f t="shared" si="191"/>
        <v>0</v>
      </c>
      <c r="AB69" s="69">
        <f t="shared" si="192"/>
        <v>0</v>
      </c>
      <c r="AC69" s="69">
        <f t="shared" si="193"/>
        <v>-150</v>
      </c>
      <c r="AD69" s="460">
        <v>0</v>
      </c>
      <c r="AE69" s="460">
        <v>0</v>
      </c>
      <c r="AF69" s="460">
        <f t="shared" si="194"/>
        <v>0</v>
      </c>
      <c r="AG69" s="460">
        <f t="shared" si="195"/>
        <v>-150</v>
      </c>
      <c r="AH69" s="461">
        <v>0</v>
      </c>
      <c r="AI69" s="461">
        <v>-0.04</v>
      </c>
      <c r="AJ69" s="461">
        <v>0</v>
      </c>
      <c r="AK69" s="461">
        <v>0</v>
      </c>
      <c r="AL69" s="674">
        <v>0</v>
      </c>
      <c r="AM69" s="461">
        <v>0</v>
      </c>
      <c r="AN69" s="461">
        <v>0</v>
      </c>
      <c r="AO69" s="461">
        <v>0</v>
      </c>
      <c r="AP69" s="461">
        <f t="shared" si="196"/>
        <v>0</v>
      </c>
      <c r="AQ69" s="461">
        <f t="shared" si="197"/>
        <v>-0.04</v>
      </c>
      <c r="AR69" s="463">
        <f t="shared" si="198"/>
        <v>-0.04</v>
      </c>
      <c r="AS69" s="469">
        <f t="shared" si="199"/>
        <v>254952</v>
      </c>
      <c r="AT69" s="460">
        <f t="shared" si="200"/>
        <v>173109</v>
      </c>
      <c r="AU69" s="460">
        <f t="shared" si="201"/>
        <v>14950</v>
      </c>
      <c r="AV69" s="460">
        <f t="shared" si="202"/>
        <v>63564</v>
      </c>
      <c r="AW69" s="460">
        <f t="shared" si="202"/>
        <v>1731</v>
      </c>
      <c r="AX69" s="460">
        <f t="shared" si="203"/>
        <v>1598</v>
      </c>
      <c r="AY69" s="461">
        <f t="shared" si="204"/>
        <v>0.55999999999999994</v>
      </c>
      <c r="AZ69" s="461">
        <f t="shared" si="205"/>
        <v>0</v>
      </c>
      <c r="BA69" s="463">
        <f t="shared" si="205"/>
        <v>0.55999999999999994</v>
      </c>
    </row>
    <row r="70" spans="1:53" ht="12.95" customHeight="1" x14ac:dyDescent="0.25">
      <c r="A70" s="299">
        <v>13</v>
      </c>
      <c r="B70" s="300">
        <v>4450</v>
      </c>
      <c r="C70" s="300">
        <v>650033841</v>
      </c>
      <c r="D70" s="300">
        <v>72744995</v>
      </c>
      <c r="E70" s="302" t="s">
        <v>348</v>
      </c>
      <c r="F70" s="300">
        <v>3143</v>
      </c>
      <c r="G70" s="303" t="s">
        <v>616</v>
      </c>
      <c r="H70" s="303" t="s">
        <v>277</v>
      </c>
      <c r="I70" s="462">
        <f t="shared" si="184"/>
        <v>405861</v>
      </c>
      <c r="J70" s="457">
        <v>301084</v>
      </c>
      <c r="K70" s="457">
        <f t="shared" si="185"/>
        <v>101766</v>
      </c>
      <c r="L70" s="457">
        <f t="shared" si="186"/>
        <v>3011</v>
      </c>
      <c r="M70" s="457">
        <v>0</v>
      </c>
      <c r="N70" s="748">
        <f t="shared" si="187"/>
        <v>0.66659999999999997</v>
      </c>
      <c r="O70" s="749">
        <v>0.66659999999999997</v>
      </c>
      <c r="P70" s="750">
        <v>0</v>
      </c>
      <c r="Q70" s="469">
        <f t="shared" si="188"/>
        <v>0</v>
      </c>
      <c r="R70" s="460">
        <v>0</v>
      </c>
      <c r="S70" s="673">
        <v>0</v>
      </c>
      <c r="T70" s="460">
        <v>0</v>
      </c>
      <c r="U70" s="460">
        <v>0</v>
      </c>
      <c r="V70" s="460">
        <f t="shared" si="189"/>
        <v>0</v>
      </c>
      <c r="W70" s="460">
        <v>0</v>
      </c>
      <c r="X70" s="460">
        <v>0</v>
      </c>
      <c r="Y70" s="460">
        <v>0</v>
      </c>
      <c r="Z70" s="460">
        <f t="shared" si="190"/>
        <v>0</v>
      </c>
      <c r="AA70" s="460">
        <f t="shared" si="191"/>
        <v>0</v>
      </c>
      <c r="AB70" s="69">
        <f t="shared" si="192"/>
        <v>0</v>
      </c>
      <c r="AC70" s="69">
        <f t="shared" si="193"/>
        <v>0</v>
      </c>
      <c r="AD70" s="460">
        <v>0</v>
      </c>
      <c r="AE70" s="460">
        <v>0</v>
      </c>
      <c r="AF70" s="460">
        <f t="shared" si="194"/>
        <v>0</v>
      </c>
      <c r="AG70" s="460">
        <f t="shared" si="195"/>
        <v>0</v>
      </c>
      <c r="AH70" s="461">
        <v>0</v>
      </c>
      <c r="AI70" s="461">
        <v>0</v>
      </c>
      <c r="AJ70" s="461">
        <v>0</v>
      </c>
      <c r="AK70" s="461">
        <v>0</v>
      </c>
      <c r="AL70" s="674">
        <v>0</v>
      </c>
      <c r="AM70" s="461">
        <v>0</v>
      </c>
      <c r="AN70" s="461">
        <v>0</v>
      </c>
      <c r="AO70" s="461">
        <v>0</v>
      </c>
      <c r="AP70" s="461">
        <f t="shared" si="196"/>
        <v>0</v>
      </c>
      <c r="AQ70" s="461">
        <f t="shared" si="197"/>
        <v>0</v>
      </c>
      <c r="AR70" s="463">
        <f t="shared" si="198"/>
        <v>0</v>
      </c>
      <c r="AS70" s="469">
        <f t="shared" si="199"/>
        <v>405861</v>
      </c>
      <c r="AT70" s="460">
        <f t="shared" si="200"/>
        <v>301084</v>
      </c>
      <c r="AU70" s="460">
        <f t="shared" si="201"/>
        <v>0</v>
      </c>
      <c r="AV70" s="460">
        <f t="shared" si="202"/>
        <v>101766</v>
      </c>
      <c r="AW70" s="460">
        <f t="shared" si="202"/>
        <v>3011</v>
      </c>
      <c r="AX70" s="460">
        <f t="shared" si="203"/>
        <v>0</v>
      </c>
      <c r="AY70" s="461">
        <f t="shared" si="204"/>
        <v>0.66659999999999997</v>
      </c>
      <c r="AZ70" s="461">
        <f t="shared" si="205"/>
        <v>0.66659999999999997</v>
      </c>
      <c r="BA70" s="463">
        <f t="shared" si="205"/>
        <v>0</v>
      </c>
    </row>
    <row r="71" spans="1:53" ht="12.95" customHeight="1" x14ac:dyDescent="0.25">
      <c r="A71" s="299">
        <v>13</v>
      </c>
      <c r="B71" s="300">
        <v>4450</v>
      </c>
      <c r="C71" s="300">
        <v>650033841</v>
      </c>
      <c r="D71" s="300">
        <v>72744995</v>
      </c>
      <c r="E71" s="302" t="s">
        <v>348</v>
      </c>
      <c r="F71" s="300">
        <v>3143</v>
      </c>
      <c r="G71" s="303" t="s">
        <v>617</v>
      </c>
      <c r="H71" s="303" t="s">
        <v>278</v>
      </c>
      <c r="I71" s="462">
        <f t="shared" si="184"/>
        <v>13927</v>
      </c>
      <c r="J71" s="457">
        <v>9951</v>
      </c>
      <c r="K71" s="457">
        <f t="shared" si="185"/>
        <v>3363</v>
      </c>
      <c r="L71" s="457">
        <f t="shared" si="186"/>
        <v>100</v>
      </c>
      <c r="M71" s="457">
        <v>513</v>
      </c>
      <c r="N71" s="748">
        <f t="shared" si="187"/>
        <v>0.04</v>
      </c>
      <c r="O71" s="749">
        <v>0</v>
      </c>
      <c r="P71" s="750">
        <v>0.04</v>
      </c>
      <c r="Q71" s="469">
        <f t="shared" si="188"/>
        <v>0</v>
      </c>
      <c r="R71" s="460">
        <v>0</v>
      </c>
      <c r="S71" s="673">
        <v>0</v>
      </c>
      <c r="T71" s="460">
        <v>0</v>
      </c>
      <c r="U71" s="460">
        <v>0</v>
      </c>
      <c r="V71" s="460">
        <f t="shared" si="189"/>
        <v>0</v>
      </c>
      <c r="W71" s="460">
        <v>0</v>
      </c>
      <c r="X71" s="460">
        <v>0</v>
      </c>
      <c r="Y71" s="460">
        <v>0</v>
      </c>
      <c r="Z71" s="460">
        <f t="shared" si="190"/>
        <v>0</v>
      </c>
      <c r="AA71" s="460">
        <f t="shared" si="191"/>
        <v>0</v>
      </c>
      <c r="AB71" s="69">
        <f t="shared" si="192"/>
        <v>0</v>
      </c>
      <c r="AC71" s="69">
        <f t="shared" si="193"/>
        <v>0</v>
      </c>
      <c r="AD71" s="460">
        <v>0</v>
      </c>
      <c r="AE71" s="460">
        <v>0</v>
      </c>
      <c r="AF71" s="460">
        <f t="shared" si="194"/>
        <v>0</v>
      </c>
      <c r="AG71" s="460">
        <f t="shared" si="195"/>
        <v>0</v>
      </c>
      <c r="AH71" s="461">
        <v>0</v>
      </c>
      <c r="AI71" s="461">
        <v>0</v>
      </c>
      <c r="AJ71" s="461">
        <v>0</v>
      </c>
      <c r="AK71" s="461">
        <v>0</v>
      </c>
      <c r="AL71" s="674">
        <v>0</v>
      </c>
      <c r="AM71" s="461">
        <v>0</v>
      </c>
      <c r="AN71" s="461">
        <v>0</v>
      </c>
      <c r="AO71" s="461">
        <v>0</v>
      </c>
      <c r="AP71" s="461">
        <f t="shared" si="196"/>
        <v>0</v>
      </c>
      <c r="AQ71" s="461">
        <f t="shared" si="197"/>
        <v>0</v>
      </c>
      <c r="AR71" s="463">
        <f t="shared" si="198"/>
        <v>0</v>
      </c>
      <c r="AS71" s="469">
        <f t="shared" si="199"/>
        <v>13927</v>
      </c>
      <c r="AT71" s="460">
        <f t="shared" si="200"/>
        <v>9951</v>
      </c>
      <c r="AU71" s="460">
        <f t="shared" si="201"/>
        <v>0</v>
      </c>
      <c r="AV71" s="460">
        <f t="shared" si="202"/>
        <v>3363</v>
      </c>
      <c r="AW71" s="460">
        <f t="shared" si="202"/>
        <v>100</v>
      </c>
      <c r="AX71" s="460">
        <f t="shared" si="203"/>
        <v>513</v>
      </c>
      <c r="AY71" s="461">
        <f t="shared" si="204"/>
        <v>0.04</v>
      </c>
      <c r="AZ71" s="461">
        <f t="shared" si="205"/>
        <v>0</v>
      </c>
      <c r="BA71" s="463">
        <f t="shared" si="205"/>
        <v>0.04</v>
      </c>
    </row>
    <row r="72" spans="1:53" ht="12.95" customHeight="1" x14ac:dyDescent="0.25">
      <c r="A72" s="292">
        <v>13</v>
      </c>
      <c r="B72" s="294">
        <v>4450</v>
      </c>
      <c r="C72" s="294">
        <v>650033841</v>
      </c>
      <c r="D72" s="294">
        <v>72744995</v>
      </c>
      <c r="E72" s="307" t="s">
        <v>350</v>
      </c>
      <c r="F72" s="310"/>
      <c r="G72" s="311"/>
      <c r="H72" s="311"/>
      <c r="I72" s="537">
        <f t="shared" ref="I72:BA72" si="206">SUM(I66:I71)</f>
        <v>5465586</v>
      </c>
      <c r="J72" s="534">
        <f t="shared" si="206"/>
        <v>4011572</v>
      </c>
      <c r="K72" s="534">
        <f t="shared" si="206"/>
        <v>1355911</v>
      </c>
      <c r="L72" s="534">
        <f t="shared" si="206"/>
        <v>40117</v>
      </c>
      <c r="M72" s="534">
        <f t="shared" si="206"/>
        <v>57986</v>
      </c>
      <c r="N72" s="757">
        <f t="shared" si="206"/>
        <v>8.2018000000000004</v>
      </c>
      <c r="O72" s="757">
        <f t="shared" si="206"/>
        <v>6.1338999999999997</v>
      </c>
      <c r="P72" s="759">
        <f t="shared" si="206"/>
        <v>2.0678999999999998</v>
      </c>
      <c r="Q72" s="539">
        <f t="shared" si="206"/>
        <v>-27950</v>
      </c>
      <c r="R72" s="534">
        <f t="shared" si="206"/>
        <v>519669</v>
      </c>
      <c r="S72" s="534">
        <f t="shared" si="206"/>
        <v>0</v>
      </c>
      <c r="T72" s="534">
        <f t="shared" si="206"/>
        <v>0</v>
      </c>
      <c r="U72" s="534">
        <f t="shared" si="206"/>
        <v>0</v>
      </c>
      <c r="V72" s="534">
        <f t="shared" si="206"/>
        <v>491719</v>
      </c>
      <c r="W72" s="534">
        <f t="shared" si="206"/>
        <v>27950</v>
      </c>
      <c r="X72" s="534">
        <f t="shared" si="206"/>
        <v>0</v>
      </c>
      <c r="Y72" s="534">
        <f t="shared" si="206"/>
        <v>0</v>
      </c>
      <c r="Z72" s="534">
        <f t="shared" si="206"/>
        <v>27950</v>
      </c>
      <c r="AA72" s="534">
        <f t="shared" si="206"/>
        <v>519669</v>
      </c>
      <c r="AB72" s="534">
        <f t="shared" si="206"/>
        <v>175648</v>
      </c>
      <c r="AC72" s="534">
        <f t="shared" si="206"/>
        <v>4916</v>
      </c>
      <c r="AD72" s="534">
        <f t="shared" si="206"/>
        <v>0</v>
      </c>
      <c r="AE72" s="534">
        <f t="shared" si="206"/>
        <v>0</v>
      </c>
      <c r="AF72" s="534">
        <f t="shared" si="206"/>
        <v>0</v>
      </c>
      <c r="AG72" s="534">
        <f t="shared" si="206"/>
        <v>700233</v>
      </c>
      <c r="AH72" s="535">
        <f t="shared" si="206"/>
        <v>0</v>
      </c>
      <c r="AI72" s="535">
        <f t="shared" si="206"/>
        <v>-0.04</v>
      </c>
      <c r="AJ72" s="535">
        <f t="shared" si="206"/>
        <v>1.5</v>
      </c>
      <c r="AK72" s="535">
        <f t="shared" si="206"/>
        <v>0</v>
      </c>
      <c r="AL72" s="535">
        <f t="shared" si="206"/>
        <v>0</v>
      </c>
      <c r="AM72" s="535">
        <f t="shared" si="206"/>
        <v>0</v>
      </c>
      <c r="AN72" s="535">
        <f t="shared" si="206"/>
        <v>0</v>
      </c>
      <c r="AO72" s="535">
        <f t="shared" si="206"/>
        <v>0</v>
      </c>
      <c r="AP72" s="535">
        <f t="shared" si="206"/>
        <v>1.5</v>
      </c>
      <c r="AQ72" s="535">
        <f t="shared" si="206"/>
        <v>-0.04</v>
      </c>
      <c r="AR72" s="309">
        <f t="shared" si="206"/>
        <v>1.46</v>
      </c>
      <c r="AS72" s="539">
        <f t="shared" si="206"/>
        <v>6165819</v>
      </c>
      <c r="AT72" s="534">
        <f t="shared" si="206"/>
        <v>4503291</v>
      </c>
      <c r="AU72" s="534">
        <f t="shared" si="206"/>
        <v>27950</v>
      </c>
      <c r="AV72" s="534">
        <f t="shared" si="206"/>
        <v>1531559</v>
      </c>
      <c r="AW72" s="534">
        <f t="shared" si="206"/>
        <v>45033</v>
      </c>
      <c r="AX72" s="534">
        <f t="shared" si="206"/>
        <v>57986</v>
      </c>
      <c r="AY72" s="535">
        <f t="shared" si="206"/>
        <v>9.6618000000000013</v>
      </c>
      <c r="AZ72" s="535">
        <f t="shared" si="206"/>
        <v>7.6338999999999997</v>
      </c>
      <c r="BA72" s="309">
        <f t="shared" si="206"/>
        <v>2.0278999999999998</v>
      </c>
    </row>
    <row r="73" spans="1:53" ht="12.95" customHeight="1" x14ac:dyDescent="0.25">
      <c r="A73" s="299">
        <v>14</v>
      </c>
      <c r="B73" s="300">
        <v>4430</v>
      </c>
      <c r="C73" s="300">
        <v>600074862</v>
      </c>
      <c r="D73" s="300">
        <v>70695024</v>
      </c>
      <c r="E73" s="302" t="s">
        <v>351</v>
      </c>
      <c r="F73" s="300">
        <v>3111</v>
      </c>
      <c r="G73" s="303" t="s">
        <v>349</v>
      </c>
      <c r="H73" s="303" t="s">
        <v>277</v>
      </c>
      <c r="I73" s="462">
        <f t="shared" ref="I73:I78" si="207">SUM(J73:M73)</f>
        <v>1477251</v>
      </c>
      <c r="J73" s="457">
        <v>1089355</v>
      </c>
      <c r="K73" s="457">
        <f>ROUND(J73*33.8%,0)+1</f>
        <v>368203</v>
      </c>
      <c r="L73" s="457">
        <f>ROUND(J73*1%,0)-1</f>
        <v>10893</v>
      </c>
      <c r="M73" s="457">
        <v>8800</v>
      </c>
      <c r="N73" s="748">
        <f t="shared" ref="N73:N78" si="208">O73+P73</f>
        <v>2.2709999999999999</v>
      </c>
      <c r="O73" s="749">
        <v>1.871</v>
      </c>
      <c r="P73" s="750">
        <v>0.4</v>
      </c>
      <c r="Q73" s="469">
        <f t="shared" ref="Q73:Q78" si="209">W73*-1</f>
        <v>0</v>
      </c>
      <c r="R73" s="460">
        <v>0</v>
      </c>
      <c r="S73" s="673">
        <v>0</v>
      </c>
      <c r="T73" s="460">
        <v>0</v>
      </c>
      <c r="U73" s="460">
        <v>0</v>
      </c>
      <c r="V73" s="460">
        <f t="shared" ref="V73:V78" si="210">SUM(Q73:U73)</f>
        <v>0</v>
      </c>
      <c r="W73" s="460">
        <v>0</v>
      </c>
      <c r="X73" s="460">
        <v>0</v>
      </c>
      <c r="Y73" s="460">
        <v>0</v>
      </c>
      <c r="Z73" s="460">
        <f t="shared" ref="Z73:Z78" si="211">SUM(W73:Y73)</f>
        <v>0</v>
      </c>
      <c r="AA73" s="460">
        <f t="shared" ref="AA73:AA78" si="212">V73+Z73</f>
        <v>0</v>
      </c>
      <c r="AB73" s="69">
        <f t="shared" ref="AB73:AB78" si="213">ROUND((V73+W73+X73)*33.8%,0)</f>
        <v>0</v>
      </c>
      <c r="AC73" s="69">
        <f t="shared" ref="AC73:AC78" si="214">ROUND(V73*1%,0)</f>
        <v>0</v>
      </c>
      <c r="AD73" s="460">
        <v>0</v>
      </c>
      <c r="AE73" s="460">
        <v>0</v>
      </c>
      <c r="AF73" s="460">
        <f t="shared" ref="AF73:AF78" si="215">SUM(AD73:AE73)</f>
        <v>0</v>
      </c>
      <c r="AG73" s="460">
        <f t="shared" ref="AG73:AG78" si="216">AA73+AB73+AC73+AF73</f>
        <v>0</v>
      </c>
      <c r="AH73" s="461">
        <v>0</v>
      </c>
      <c r="AI73" s="461">
        <v>0</v>
      </c>
      <c r="AJ73" s="461">
        <v>0</v>
      </c>
      <c r="AK73" s="461">
        <v>0</v>
      </c>
      <c r="AL73" s="674">
        <v>0</v>
      </c>
      <c r="AM73" s="461">
        <v>0</v>
      </c>
      <c r="AN73" s="461">
        <v>0</v>
      </c>
      <c r="AO73" s="461">
        <v>0</v>
      </c>
      <c r="AP73" s="461">
        <f t="shared" ref="AP73:AP78" si="217">AH73+AJ73+AK73+AM73+AN73</f>
        <v>0</v>
      </c>
      <c r="AQ73" s="461">
        <f t="shared" ref="AQ73:AQ78" si="218">AI73+AL73+AO73</f>
        <v>0</v>
      </c>
      <c r="AR73" s="463">
        <f t="shared" ref="AR73:AR78" si="219">SUM(AP73:AQ73)</f>
        <v>0</v>
      </c>
      <c r="AS73" s="469">
        <f t="shared" ref="AS73:AS78" si="220">I73+AG73</f>
        <v>1477251</v>
      </c>
      <c r="AT73" s="460">
        <f t="shared" ref="AT73:AT78" si="221">J73+V73</f>
        <v>1089355</v>
      </c>
      <c r="AU73" s="460">
        <f t="shared" ref="AU73:AU78" si="222">Z73</f>
        <v>0</v>
      </c>
      <c r="AV73" s="460">
        <f t="shared" ref="AV73:AW78" si="223">K73+AB73</f>
        <v>368203</v>
      </c>
      <c r="AW73" s="460">
        <f t="shared" si="223"/>
        <v>10893</v>
      </c>
      <c r="AX73" s="460">
        <f t="shared" ref="AX73:AX78" si="224">M73+AF73</f>
        <v>8800</v>
      </c>
      <c r="AY73" s="461">
        <f t="shared" ref="AY73:AY78" si="225">N73+AR73</f>
        <v>2.2709999999999999</v>
      </c>
      <c r="AZ73" s="461">
        <f t="shared" ref="AZ73:BA78" si="226">O73+AP73</f>
        <v>1.871</v>
      </c>
      <c r="BA73" s="463">
        <f t="shared" si="226"/>
        <v>0.4</v>
      </c>
    </row>
    <row r="74" spans="1:53" ht="12.95" customHeight="1" x14ac:dyDescent="0.25">
      <c r="A74" s="299">
        <v>14</v>
      </c>
      <c r="B74" s="300">
        <v>4430</v>
      </c>
      <c r="C74" s="300">
        <v>600074862</v>
      </c>
      <c r="D74" s="300">
        <v>70695024</v>
      </c>
      <c r="E74" s="302" t="s">
        <v>351</v>
      </c>
      <c r="F74" s="300">
        <v>3117</v>
      </c>
      <c r="G74" s="303" t="s">
        <v>310</v>
      </c>
      <c r="H74" s="303" t="s">
        <v>277</v>
      </c>
      <c r="I74" s="462">
        <f t="shared" si="207"/>
        <v>2771821</v>
      </c>
      <c r="J74" s="457">
        <v>2028892</v>
      </c>
      <c r="K74" s="457">
        <f t="shared" ref="K74:K78" si="227">ROUND(J74*33.8%,0)</f>
        <v>685765</v>
      </c>
      <c r="L74" s="457">
        <f t="shared" ref="L74:L78" si="228">ROUND(J74*1%,0)</f>
        <v>20289</v>
      </c>
      <c r="M74" s="457">
        <v>36875</v>
      </c>
      <c r="N74" s="748">
        <f t="shared" si="208"/>
        <v>3.7538</v>
      </c>
      <c r="O74" s="749">
        <v>2.9538000000000002</v>
      </c>
      <c r="P74" s="750">
        <v>0.79999999999999993</v>
      </c>
      <c r="Q74" s="469">
        <f t="shared" si="209"/>
        <v>0</v>
      </c>
      <c r="R74" s="460">
        <v>0</v>
      </c>
      <c r="S74" s="673">
        <v>0</v>
      </c>
      <c r="T74" s="460">
        <v>0</v>
      </c>
      <c r="U74" s="460">
        <v>0</v>
      </c>
      <c r="V74" s="460">
        <f t="shared" si="210"/>
        <v>0</v>
      </c>
      <c r="W74" s="460">
        <v>0</v>
      </c>
      <c r="X74" s="460">
        <v>0</v>
      </c>
      <c r="Y74" s="460">
        <v>0</v>
      </c>
      <c r="Z74" s="460">
        <f t="shared" si="211"/>
        <v>0</v>
      </c>
      <c r="AA74" s="460">
        <f t="shared" si="212"/>
        <v>0</v>
      </c>
      <c r="AB74" s="69">
        <f t="shared" si="213"/>
        <v>0</v>
      </c>
      <c r="AC74" s="69">
        <f t="shared" si="214"/>
        <v>0</v>
      </c>
      <c r="AD74" s="460">
        <v>0</v>
      </c>
      <c r="AE74" s="460">
        <v>0</v>
      </c>
      <c r="AF74" s="460">
        <f t="shared" si="215"/>
        <v>0</v>
      </c>
      <c r="AG74" s="460">
        <f t="shared" si="216"/>
        <v>0</v>
      </c>
      <c r="AH74" s="461">
        <v>0</v>
      </c>
      <c r="AI74" s="461">
        <v>0</v>
      </c>
      <c r="AJ74" s="461">
        <v>0</v>
      </c>
      <c r="AK74" s="461">
        <v>0</v>
      </c>
      <c r="AL74" s="674">
        <v>0</v>
      </c>
      <c r="AM74" s="461">
        <v>0</v>
      </c>
      <c r="AN74" s="461">
        <v>0</v>
      </c>
      <c r="AO74" s="461">
        <v>0</v>
      </c>
      <c r="AP74" s="461">
        <f t="shared" si="217"/>
        <v>0</v>
      </c>
      <c r="AQ74" s="461">
        <f t="shared" si="218"/>
        <v>0</v>
      </c>
      <c r="AR74" s="463">
        <f t="shared" si="219"/>
        <v>0</v>
      </c>
      <c r="AS74" s="469">
        <f t="shared" si="220"/>
        <v>2771821</v>
      </c>
      <c r="AT74" s="460">
        <f t="shared" si="221"/>
        <v>2028892</v>
      </c>
      <c r="AU74" s="460">
        <f t="shared" si="222"/>
        <v>0</v>
      </c>
      <c r="AV74" s="460">
        <f t="shared" si="223"/>
        <v>685765</v>
      </c>
      <c r="AW74" s="460">
        <f t="shared" si="223"/>
        <v>20289</v>
      </c>
      <c r="AX74" s="460">
        <f t="shared" si="224"/>
        <v>36875</v>
      </c>
      <c r="AY74" s="461">
        <f t="shared" si="225"/>
        <v>3.7538</v>
      </c>
      <c r="AZ74" s="461">
        <f t="shared" si="226"/>
        <v>2.9538000000000002</v>
      </c>
      <c r="BA74" s="463">
        <f t="shared" si="226"/>
        <v>0.79999999999999993</v>
      </c>
    </row>
    <row r="75" spans="1:53" ht="12.95" customHeight="1" x14ac:dyDescent="0.25">
      <c r="A75" s="299">
        <v>14</v>
      </c>
      <c r="B75" s="300">
        <v>4430</v>
      </c>
      <c r="C75" s="300">
        <v>600074862</v>
      </c>
      <c r="D75" s="300">
        <v>70695024</v>
      </c>
      <c r="E75" s="302" t="s">
        <v>351</v>
      </c>
      <c r="F75" s="300">
        <v>3117</v>
      </c>
      <c r="G75" s="303" t="s">
        <v>315</v>
      </c>
      <c r="H75" s="303" t="s">
        <v>278</v>
      </c>
      <c r="I75" s="462">
        <f t="shared" si="207"/>
        <v>0</v>
      </c>
      <c r="J75" s="457">
        <v>0</v>
      </c>
      <c r="K75" s="457">
        <f t="shared" si="227"/>
        <v>0</v>
      </c>
      <c r="L75" s="457">
        <f t="shared" si="228"/>
        <v>0</v>
      </c>
      <c r="M75" s="457">
        <v>0</v>
      </c>
      <c r="N75" s="748">
        <f t="shared" si="208"/>
        <v>0</v>
      </c>
      <c r="O75" s="749">
        <v>0</v>
      </c>
      <c r="P75" s="750">
        <v>0</v>
      </c>
      <c r="Q75" s="469">
        <f t="shared" si="209"/>
        <v>0</v>
      </c>
      <c r="R75" s="460">
        <v>0</v>
      </c>
      <c r="S75" s="673">
        <v>0</v>
      </c>
      <c r="T75" s="460">
        <v>0</v>
      </c>
      <c r="U75" s="460">
        <v>0</v>
      </c>
      <c r="V75" s="460">
        <f t="shared" si="210"/>
        <v>0</v>
      </c>
      <c r="W75" s="460">
        <v>0</v>
      </c>
      <c r="X75" s="460">
        <v>0</v>
      </c>
      <c r="Y75" s="460">
        <v>0</v>
      </c>
      <c r="Z75" s="460">
        <f t="shared" si="211"/>
        <v>0</v>
      </c>
      <c r="AA75" s="460">
        <f t="shared" si="212"/>
        <v>0</v>
      </c>
      <c r="AB75" s="69">
        <f t="shared" si="213"/>
        <v>0</v>
      </c>
      <c r="AC75" s="69">
        <f t="shared" si="214"/>
        <v>0</v>
      </c>
      <c r="AD75" s="460">
        <v>0</v>
      </c>
      <c r="AE75" s="460">
        <v>0</v>
      </c>
      <c r="AF75" s="460">
        <f t="shared" si="215"/>
        <v>0</v>
      </c>
      <c r="AG75" s="460">
        <f t="shared" si="216"/>
        <v>0</v>
      </c>
      <c r="AH75" s="461">
        <v>0</v>
      </c>
      <c r="AI75" s="461">
        <v>0</v>
      </c>
      <c r="AJ75" s="461">
        <v>0</v>
      </c>
      <c r="AK75" s="461">
        <v>0</v>
      </c>
      <c r="AL75" s="674">
        <v>0</v>
      </c>
      <c r="AM75" s="461">
        <v>0</v>
      </c>
      <c r="AN75" s="461">
        <v>0</v>
      </c>
      <c r="AO75" s="461">
        <v>0</v>
      </c>
      <c r="AP75" s="461">
        <f t="shared" si="217"/>
        <v>0</v>
      </c>
      <c r="AQ75" s="461">
        <f t="shared" si="218"/>
        <v>0</v>
      </c>
      <c r="AR75" s="463">
        <f t="shared" si="219"/>
        <v>0</v>
      </c>
      <c r="AS75" s="469">
        <f t="shared" si="220"/>
        <v>0</v>
      </c>
      <c r="AT75" s="460">
        <f t="shared" si="221"/>
        <v>0</v>
      </c>
      <c r="AU75" s="460">
        <f t="shared" si="222"/>
        <v>0</v>
      </c>
      <c r="AV75" s="460">
        <f t="shared" si="223"/>
        <v>0</v>
      </c>
      <c r="AW75" s="460">
        <f t="shared" si="223"/>
        <v>0</v>
      </c>
      <c r="AX75" s="460">
        <f t="shared" si="224"/>
        <v>0</v>
      </c>
      <c r="AY75" s="461">
        <f t="shared" si="225"/>
        <v>0</v>
      </c>
      <c r="AZ75" s="461">
        <f t="shared" si="226"/>
        <v>0</v>
      </c>
      <c r="BA75" s="463">
        <f t="shared" si="226"/>
        <v>0</v>
      </c>
    </row>
    <row r="76" spans="1:53" ht="12.95" customHeight="1" x14ac:dyDescent="0.25">
      <c r="A76" s="299">
        <v>14</v>
      </c>
      <c r="B76" s="300">
        <v>4430</v>
      </c>
      <c r="C76" s="300">
        <v>600074862</v>
      </c>
      <c r="D76" s="300">
        <v>70695024</v>
      </c>
      <c r="E76" s="302" t="s">
        <v>351</v>
      </c>
      <c r="F76" s="300">
        <v>3141</v>
      </c>
      <c r="G76" s="303" t="s">
        <v>311</v>
      </c>
      <c r="H76" s="303" t="s">
        <v>278</v>
      </c>
      <c r="I76" s="462">
        <f t="shared" si="207"/>
        <v>561719</v>
      </c>
      <c r="J76" s="457">
        <f>415162</f>
        <v>415162</v>
      </c>
      <c r="K76" s="457">
        <f t="shared" si="227"/>
        <v>140325</v>
      </c>
      <c r="L76" s="457">
        <f t="shared" si="228"/>
        <v>4152</v>
      </c>
      <c r="M76" s="457">
        <v>2080</v>
      </c>
      <c r="N76" s="748">
        <f t="shared" si="208"/>
        <v>1.33</v>
      </c>
      <c r="O76" s="749">
        <v>0</v>
      </c>
      <c r="P76" s="750">
        <v>1.33</v>
      </c>
      <c r="Q76" s="469">
        <f t="shared" si="209"/>
        <v>0</v>
      </c>
      <c r="R76" s="460">
        <v>0</v>
      </c>
      <c r="S76" s="673">
        <v>0</v>
      </c>
      <c r="T76" s="460">
        <v>0</v>
      </c>
      <c r="U76" s="460">
        <v>0</v>
      </c>
      <c r="V76" s="460">
        <f t="shared" si="210"/>
        <v>0</v>
      </c>
      <c r="W76" s="460">
        <v>0</v>
      </c>
      <c r="X76" s="460">
        <v>0</v>
      </c>
      <c r="Y76" s="460">
        <v>0</v>
      </c>
      <c r="Z76" s="460">
        <f t="shared" si="211"/>
        <v>0</v>
      </c>
      <c r="AA76" s="460">
        <f t="shared" si="212"/>
        <v>0</v>
      </c>
      <c r="AB76" s="69">
        <f t="shared" si="213"/>
        <v>0</v>
      </c>
      <c r="AC76" s="69">
        <f t="shared" si="214"/>
        <v>0</v>
      </c>
      <c r="AD76" s="460">
        <v>0</v>
      </c>
      <c r="AE76" s="460">
        <v>0</v>
      </c>
      <c r="AF76" s="460">
        <f t="shared" si="215"/>
        <v>0</v>
      </c>
      <c r="AG76" s="460">
        <f t="shared" si="216"/>
        <v>0</v>
      </c>
      <c r="AH76" s="461">
        <v>0</v>
      </c>
      <c r="AI76" s="461">
        <v>0</v>
      </c>
      <c r="AJ76" s="461">
        <v>0</v>
      </c>
      <c r="AK76" s="461">
        <v>0</v>
      </c>
      <c r="AL76" s="674">
        <v>0</v>
      </c>
      <c r="AM76" s="461">
        <v>0</v>
      </c>
      <c r="AN76" s="461">
        <v>0</v>
      </c>
      <c r="AO76" s="461">
        <v>0</v>
      </c>
      <c r="AP76" s="461">
        <f t="shared" si="217"/>
        <v>0</v>
      </c>
      <c r="AQ76" s="461">
        <f t="shared" si="218"/>
        <v>0</v>
      </c>
      <c r="AR76" s="463">
        <f t="shared" si="219"/>
        <v>0</v>
      </c>
      <c r="AS76" s="469">
        <f t="shared" si="220"/>
        <v>561719</v>
      </c>
      <c r="AT76" s="460">
        <f t="shared" si="221"/>
        <v>415162</v>
      </c>
      <c r="AU76" s="460">
        <f t="shared" si="222"/>
        <v>0</v>
      </c>
      <c r="AV76" s="460">
        <f t="shared" si="223"/>
        <v>140325</v>
      </c>
      <c r="AW76" s="460">
        <f t="shared" si="223"/>
        <v>4152</v>
      </c>
      <c r="AX76" s="460">
        <f t="shared" si="224"/>
        <v>2080</v>
      </c>
      <c r="AY76" s="461">
        <f t="shared" si="225"/>
        <v>1.33</v>
      </c>
      <c r="AZ76" s="461">
        <f t="shared" si="226"/>
        <v>0</v>
      </c>
      <c r="BA76" s="463">
        <f t="shared" si="226"/>
        <v>1.33</v>
      </c>
    </row>
    <row r="77" spans="1:53" ht="12.95" customHeight="1" x14ac:dyDescent="0.25">
      <c r="A77" s="299">
        <v>14</v>
      </c>
      <c r="B77" s="300">
        <v>4430</v>
      </c>
      <c r="C77" s="300">
        <v>600074862</v>
      </c>
      <c r="D77" s="300">
        <v>70695024</v>
      </c>
      <c r="E77" s="302" t="s">
        <v>351</v>
      </c>
      <c r="F77" s="300">
        <v>3143</v>
      </c>
      <c r="G77" s="303" t="s">
        <v>616</v>
      </c>
      <c r="H77" s="303" t="s">
        <v>277</v>
      </c>
      <c r="I77" s="462">
        <f t="shared" si="207"/>
        <v>587004</v>
      </c>
      <c r="J77" s="457">
        <v>435463</v>
      </c>
      <c r="K77" s="457">
        <f t="shared" si="227"/>
        <v>147186</v>
      </c>
      <c r="L77" s="457">
        <f t="shared" si="228"/>
        <v>4355</v>
      </c>
      <c r="M77" s="457">
        <v>0</v>
      </c>
      <c r="N77" s="748">
        <f t="shared" si="208"/>
        <v>1</v>
      </c>
      <c r="O77" s="749">
        <v>1</v>
      </c>
      <c r="P77" s="750">
        <v>0</v>
      </c>
      <c r="Q77" s="469">
        <f t="shared" si="209"/>
        <v>0</v>
      </c>
      <c r="R77" s="460">
        <v>0</v>
      </c>
      <c r="S77" s="673">
        <v>0</v>
      </c>
      <c r="T77" s="460">
        <v>0</v>
      </c>
      <c r="U77" s="460">
        <v>0</v>
      </c>
      <c r="V77" s="460">
        <f t="shared" si="210"/>
        <v>0</v>
      </c>
      <c r="W77" s="460">
        <v>0</v>
      </c>
      <c r="X77" s="460">
        <v>0</v>
      </c>
      <c r="Y77" s="460">
        <v>0</v>
      </c>
      <c r="Z77" s="460">
        <f t="shared" si="211"/>
        <v>0</v>
      </c>
      <c r="AA77" s="460">
        <f t="shared" si="212"/>
        <v>0</v>
      </c>
      <c r="AB77" s="69">
        <f t="shared" si="213"/>
        <v>0</v>
      </c>
      <c r="AC77" s="69">
        <f t="shared" si="214"/>
        <v>0</v>
      </c>
      <c r="AD77" s="460">
        <v>0</v>
      </c>
      <c r="AE77" s="460">
        <v>0</v>
      </c>
      <c r="AF77" s="460">
        <f t="shared" si="215"/>
        <v>0</v>
      </c>
      <c r="AG77" s="460">
        <f t="shared" si="216"/>
        <v>0</v>
      </c>
      <c r="AH77" s="461">
        <v>0</v>
      </c>
      <c r="AI77" s="461">
        <v>0</v>
      </c>
      <c r="AJ77" s="461">
        <v>0</v>
      </c>
      <c r="AK77" s="461">
        <v>0</v>
      </c>
      <c r="AL77" s="674">
        <v>0</v>
      </c>
      <c r="AM77" s="461">
        <v>0</v>
      </c>
      <c r="AN77" s="461">
        <v>0</v>
      </c>
      <c r="AO77" s="461">
        <v>0</v>
      </c>
      <c r="AP77" s="461">
        <f t="shared" si="217"/>
        <v>0</v>
      </c>
      <c r="AQ77" s="461">
        <f t="shared" si="218"/>
        <v>0</v>
      </c>
      <c r="AR77" s="463">
        <f t="shared" si="219"/>
        <v>0</v>
      </c>
      <c r="AS77" s="469">
        <f t="shared" si="220"/>
        <v>587004</v>
      </c>
      <c r="AT77" s="460">
        <f t="shared" si="221"/>
        <v>435463</v>
      </c>
      <c r="AU77" s="460">
        <f t="shared" si="222"/>
        <v>0</v>
      </c>
      <c r="AV77" s="460">
        <f t="shared" si="223"/>
        <v>147186</v>
      </c>
      <c r="AW77" s="460">
        <f t="shared" si="223"/>
        <v>4355</v>
      </c>
      <c r="AX77" s="460">
        <f t="shared" si="224"/>
        <v>0</v>
      </c>
      <c r="AY77" s="461">
        <f t="shared" si="225"/>
        <v>1</v>
      </c>
      <c r="AZ77" s="461">
        <f t="shared" si="226"/>
        <v>1</v>
      </c>
      <c r="BA77" s="463">
        <f t="shared" si="226"/>
        <v>0</v>
      </c>
    </row>
    <row r="78" spans="1:53" ht="12.95" customHeight="1" x14ac:dyDescent="0.25">
      <c r="A78" s="299">
        <v>14</v>
      </c>
      <c r="B78" s="300">
        <v>4430</v>
      </c>
      <c r="C78" s="300">
        <v>600074862</v>
      </c>
      <c r="D78" s="300">
        <v>70695024</v>
      </c>
      <c r="E78" s="302" t="s">
        <v>351</v>
      </c>
      <c r="F78" s="300">
        <v>3143</v>
      </c>
      <c r="G78" s="303" t="s">
        <v>617</v>
      </c>
      <c r="H78" s="303" t="s">
        <v>278</v>
      </c>
      <c r="I78" s="462">
        <f t="shared" si="207"/>
        <v>15394</v>
      </c>
      <c r="J78" s="457">
        <v>10999</v>
      </c>
      <c r="K78" s="457">
        <f t="shared" si="227"/>
        <v>3718</v>
      </c>
      <c r="L78" s="457">
        <f t="shared" si="228"/>
        <v>110</v>
      </c>
      <c r="M78" s="457">
        <v>567</v>
      </c>
      <c r="N78" s="748">
        <f t="shared" si="208"/>
        <v>0.04</v>
      </c>
      <c r="O78" s="749">
        <v>0</v>
      </c>
      <c r="P78" s="750">
        <v>0.04</v>
      </c>
      <c r="Q78" s="469">
        <f t="shared" si="209"/>
        <v>0</v>
      </c>
      <c r="R78" s="460">
        <v>0</v>
      </c>
      <c r="S78" s="673">
        <v>0</v>
      </c>
      <c r="T78" s="460">
        <v>0</v>
      </c>
      <c r="U78" s="460">
        <v>0</v>
      </c>
      <c r="V78" s="460">
        <f t="shared" si="210"/>
        <v>0</v>
      </c>
      <c r="W78" s="460">
        <v>0</v>
      </c>
      <c r="X78" s="460">
        <v>0</v>
      </c>
      <c r="Y78" s="460">
        <v>0</v>
      </c>
      <c r="Z78" s="460">
        <f t="shared" si="211"/>
        <v>0</v>
      </c>
      <c r="AA78" s="460">
        <f t="shared" si="212"/>
        <v>0</v>
      </c>
      <c r="AB78" s="69">
        <f t="shared" si="213"/>
        <v>0</v>
      </c>
      <c r="AC78" s="69">
        <f t="shared" si="214"/>
        <v>0</v>
      </c>
      <c r="AD78" s="460">
        <v>0</v>
      </c>
      <c r="AE78" s="460">
        <v>0</v>
      </c>
      <c r="AF78" s="460">
        <f t="shared" si="215"/>
        <v>0</v>
      </c>
      <c r="AG78" s="460">
        <f t="shared" si="216"/>
        <v>0</v>
      </c>
      <c r="AH78" s="461">
        <v>0</v>
      </c>
      <c r="AI78" s="461">
        <v>0</v>
      </c>
      <c r="AJ78" s="461">
        <v>0</v>
      </c>
      <c r="AK78" s="461">
        <v>0</v>
      </c>
      <c r="AL78" s="674">
        <v>0</v>
      </c>
      <c r="AM78" s="461">
        <v>0</v>
      </c>
      <c r="AN78" s="461">
        <v>0</v>
      </c>
      <c r="AO78" s="461">
        <v>0</v>
      </c>
      <c r="AP78" s="461">
        <f t="shared" si="217"/>
        <v>0</v>
      </c>
      <c r="AQ78" s="461">
        <f t="shared" si="218"/>
        <v>0</v>
      </c>
      <c r="AR78" s="463">
        <f t="shared" si="219"/>
        <v>0</v>
      </c>
      <c r="AS78" s="469">
        <f t="shared" si="220"/>
        <v>15394</v>
      </c>
      <c r="AT78" s="460">
        <f t="shared" si="221"/>
        <v>10999</v>
      </c>
      <c r="AU78" s="460">
        <f t="shared" si="222"/>
        <v>0</v>
      </c>
      <c r="AV78" s="460">
        <f t="shared" si="223"/>
        <v>3718</v>
      </c>
      <c r="AW78" s="460">
        <f t="shared" si="223"/>
        <v>110</v>
      </c>
      <c r="AX78" s="460">
        <f t="shared" si="224"/>
        <v>567</v>
      </c>
      <c r="AY78" s="461">
        <f t="shared" si="225"/>
        <v>0.04</v>
      </c>
      <c r="AZ78" s="461">
        <f t="shared" si="226"/>
        <v>0</v>
      </c>
      <c r="BA78" s="463">
        <f t="shared" si="226"/>
        <v>0.04</v>
      </c>
    </row>
    <row r="79" spans="1:53" ht="12.95" customHeight="1" x14ac:dyDescent="0.25">
      <c r="A79" s="292">
        <v>14</v>
      </c>
      <c r="B79" s="294">
        <v>4430</v>
      </c>
      <c r="C79" s="294">
        <v>600074862</v>
      </c>
      <c r="D79" s="294">
        <v>70695024</v>
      </c>
      <c r="E79" s="307" t="s">
        <v>352</v>
      </c>
      <c r="F79" s="310"/>
      <c r="G79" s="311"/>
      <c r="H79" s="311"/>
      <c r="I79" s="537">
        <f t="shared" ref="I79:P79" si="229">SUM(I73:I78)</f>
        <v>5413189</v>
      </c>
      <c r="J79" s="534">
        <f t="shared" si="229"/>
        <v>3979871</v>
      </c>
      <c r="K79" s="534">
        <f t="shared" si="229"/>
        <v>1345197</v>
      </c>
      <c r="L79" s="534">
        <f t="shared" si="229"/>
        <v>39799</v>
      </c>
      <c r="M79" s="534">
        <f t="shared" si="229"/>
        <v>48322</v>
      </c>
      <c r="N79" s="757">
        <f t="shared" si="229"/>
        <v>8.3948</v>
      </c>
      <c r="O79" s="757">
        <f t="shared" si="229"/>
        <v>5.8247999999999998</v>
      </c>
      <c r="P79" s="759">
        <f t="shared" si="229"/>
        <v>2.5700000000000003</v>
      </c>
      <c r="Q79" s="539">
        <f t="shared" ref="Q79:BA79" si="230">SUM(Q73:Q78)</f>
        <v>0</v>
      </c>
      <c r="R79" s="534">
        <f t="shared" si="230"/>
        <v>0</v>
      </c>
      <c r="S79" s="534">
        <f t="shared" si="230"/>
        <v>0</v>
      </c>
      <c r="T79" s="534">
        <f t="shared" si="230"/>
        <v>0</v>
      </c>
      <c r="U79" s="534">
        <f t="shared" si="230"/>
        <v>0</v>
      </c>
      <c r="V79" s="534">
        <f t="shared" si="230"/>
        <v>0</v>
      </c>
      <c r="W79" s="534">
        <f t="shared" si="230"/>
        <v>0</v>
      </c>
      <c r="X79" s="534">
        <f t="shared" si="230"/>
        <v>0</v>
      </c>
      <c r="Y79" s="534">
        <f t="shared" si="230"/>
        <v>0</v>
      </c>
      <c r="Z79" s="534">
        <f t="shared" si="230"/>
        <v>0</v>
      </c>
      <c r="AA79" s="534">
        <f t="shared" si="230"/>
        <v>0</v>
      </c>
      <c r="AB79" s="534">
        <f t="shared" si="230"/>
        <v>0</v>
      </c>
      <c r="AC79" s="534">
        <f t="shared" si="230"/>
        <v>0</v>
      </c>
      <c r="AD79" s="534">
        <f t="shared" si="230"/>
        <v>0</v>
      </c>
      <c r="AE79" s="534">
        <f t="shared" si="230"/>
        <v>0</v>
      </c>
      <c r="AF79" s="534">
        <f t="shared" si="230"/>
        <v>0</v>
      </c>
      <c r="AG79" s="534">
        <f t="shared" si="230"/>
        <v>0</v>
      </c>
      <c r="AH79" s="535">
        <f t="shared" si="230"/>
        <v>0</v>
      </c>
      <c r="AI79" s="535">
        <f t="shared" si="230"/>
        <v>0</v>
      </c>
      <c r="AJ79" s="535">
        <f t="shared" si="230"/>
        <v>0</v>
      </c>
      <c r="AK79" s="535">
        <f t="shared" si="230"/>
        <v>0</v>
      </c>
      <c r="AL79" s="535">
        <f t="shared" si="230"/>
        <v>0</v>
      </c>
      <c r="AM79" s="535">
        <f t="shared" si="230"/>
        <v>0</v>
      </c>
      <c r="AN79" s="535">
        <f t="shared" si="230"/>
        <v>0</v>
      </c>
      <c r="AO79" s="535">
        <f t="shared" si="230"/>
        <v>0</v>
      </c>
      <c r="AP79" s="535">
        <f t="shared" si="230"/>
        <v>0</v>
      </c>
      <c r="AQ79" s="535">
        <f t="shared" si="230"/>
        <v>0</v>
      </c>
      <c r="AR79" s="309">
        <f t="shared" si="230"/>
        <v>0</v>
      </c>
      <c r="AS79" s="539">
        <f t="shared" si="230"/>
        <v>5413189</v>
      </c>
      <c r="AT79" s="534">
        <f t="shared" si="230"/>
        <v>3979871</v>
      </c>
      <c r="AU79" s="534">
        <f t="shared" si="230"/>
        <v>0</v>
      </c>
      <c r="AV79" s="534">
        <f t="shared" si="230"/>
        <v>1345197</v>
      </c>
      <c r="AW79" s="534">
        <f t="shared" si="230"/>
        <v>39799</v>
      </c>
      <c r="AX79" s="534">
        <f t="shared" si="230"/>
        <v>48322</v>
      </c>
      <c r="AY79" s="535">
        <f t="shared" si="230"/>
        <v>8.3948</v>
      </c>
      <c r="AZ79" s="535">
        <f t="shared" si="230"/>
        <v>5.8247999999999998</v>
      </c>
      <c r="BA79" s="309">
        <f t="shared" si="230"/>
        <v>2.5700000000000003</v>
      </c>
    </row>
    <row r="80" spans="1:53" ht="12.95" customHeight="1" x14ac:dyDescent="0.25">
      <c r="A80" s="299">
        <v>15</v>
      </c>
      <c r="B80" s="300">
        <v>4433</v>
      </c>
      <c r="C80" s="300">
        <v>600075001</v>
      </c>
      <c r="D80" s="300">
        <v>70695440</v>
      </c>
      <c r="E80" s="302" t="s">
        <v>353</v>
      </c>
      <c r="F80" s="300">
        <v>3111</v>
      </c>
      <c r="G80" s="303" t="s">
        <v>321</v>
      </c>
      <c r="H80" s="303" t="s">
        <v>277</v>
      </c>
      <c r="I80" s="462">
        <f t="shared" ref="I80:I85" si="231">SUM(J80:M80)</f>
        <v>1503020</v>
      </c>
      <c r="J80" s="457">
        <v>1109955</v>
      </c>
      <c r="K80" s="457">
        <f t="shared" ref="K80:K85" si="232">ROUND(J80*33.8%,0)</f>
        <v>375165</v>
      </c>
      <c r="L80" s="457">
        <f t="shared" ref="L80:L85" si="233">ROUND(J80*1%,0)</f>
        <v>11100</v>
      </c>
      <c r="M80" s="457">
        <v>6800</v>
      </c>
      <c r="N80" s="748">
        <f t="shared" ref="N80:N85" si="234">O80+P80</f>
        <v>2.36</v>
      </c>
      <c r="O80" s="749">
        <v>2</v>
      </c>
      <c r="P80" s="750">
        <v>0.36</v>
      </c>
      <c r="Q80" s="469">
        <f t="shared" ref="Q80:Q85" si="235">W80*-1</f>
        <v>0</v>
      </c>
      <c r="R80" s="460">
        <v>0</v>
      </c>
      <c r="S80" s="673">
        <v>0</v>
      </c>
      <c r="T80" s="460">
        <v>0</v>
      </c>
      <c r="U80" s="460">
        <v>0</v>
      </c>
      <c r="V80" s="460">
        <f t="shared" ref="V80:V85" si="236">SUM(Q80:U80)</f>
        <v>0</v>
      </c>
      <c r="W80" s="460">
        <v>0</v>
      </c>
      <c r="X80" s="460">
        <v>0</v>
      </c>
      <c r="Y80" s="460">
        <v>0</v>
      </c>
      <c r="Z80" s="460">
        <f t="shared" ref="Z80:Z85" si="237">SUM(W80:Y80)</f>
        <v>0</v>
      </c>
      <c r="AA80" s="460">
        <f t="shared" ref="AA80:AA85" si="238">V80+Z80</f>
        <v>0</v>
      </c>
      <c r="AB80" s="69">
        <f t="shared" ref="AB80:AB85" si="239">ROUND((V80+W80+X80)*33.8%,0)</f>
        <v>0</v>
      </c>
      <c r="AC80" s="69">
        <f t="shared" ref="AC80:AC85" si="240">ROUND(V80*1%,0)</f>
        <v>0</v>
      </c>
      <c r="AD80" s="460">
        <v>0</v>
      </c>
      <c r="AE80" s="460">
        <v>0</v>
      </c>
      <c r="AF80" s="460">
        <f t="shared" ref="AF80:AF85" si="241">SUM(AD80:AE80)</f>
        <v>0</v>
      </c>
      <c r="AG80" s="460">
        <f t="shared" ref="AG80:AG85" si="242">AA80+AB80+AC80+AF80</f>
        <v>0</v>
      </c>
      <c r="AH80" s="461">
        <v>0</v>
      </c>
      <c r="AI80" s="461">
        <v>0</v>
      </c>
      <c r="AJ80" s="461">
        <v>0</v>
      </c>
      <c r="AK80" s="461">
        <v>0</v>
      </c>
      <c r="AL80" s="674">
        <v>0</v>
      </c>
      <c r="AM80" s="461">
        <v>0</v>
      </c>
      <c r="AN80" s="461">
        <v>0</v>
      </c>
      <c r="AO80" s="461">
        <v>0</v>
      </c>
      <c r="AP80" s="461">
        <f t="shared" ref="AP80:AP85" si="243">AH80+AJ80+AK80+AM80+AN80</f>
        <v>0</v>
      </c>
      <c r="AQ80" s="461">
        <f t="shared" ref="AQ80:AQ85" si="244">AI80+AL80+AO80</f>
        <v>0</v>
      </c>
      <c r="AR80" s="463">
        <f t="shared" ref="AR80:AR85" si="245">SUM(AP80:AQ80)</f>
        <v>0</v>
      </c>
      <c r="AS80" s="469">
        <f t="shared" ref="AS80:AS85" si="246">I80+AG80</f>
        <v>1503020</v>
      </c>
      <c r="AT80" s="460">
        <f t="shared" ref="AT80:AT85" si="247">J80+V80</f>
        <v>1109955</v>
      </c>
      <c r="AU80" s="460">
        <f t="shared" ref="AU80:AU85" si="248">Z80</f>
        <v>0</v>
      </c>
      <c r="AV80" s="460">
        <f t="shared" ref="AV80:AW85" si="249">K80+AB80</f>
        <v>375165</v>
      </c>
      <c r="AW80" s="460">
        <f t="shared" si="249"/>
        <v>11100</v>
      </c>
      <c r="AX80" s="460">
        <f t="shared" ref="AX80:AX85" si="250">M80+AF80</f>
        <v>6800</v>
      </c>
      <c r="AY80" s="461">
        <f t="shared" ref="AY80:AY85" si="251">N80+AR80</f>
        <v>2.36</v>
      </c>
      <c r="AZ80" s="461">
        <f t="shared" ref="AZ80:BA85" si="252">O80+AP80</f>
        <v>2</v>
      </c>
      <c r="BA80" s="463">
        <f t="shared" si="252"/>
        <v>0.36</v>
      </c>
    </row>
    <row r="81" spans="1:53" ht="12.95" customHeight="1" x14ac:dyDescent="0.25">
      <c r="A81" s="299">
        <v>15</v>
      </c>
      <c r="B81" s="300">
        <v>4433</v>
      </c>
      <c r="C81" s="300">
        <v>600075001</v>
      </c>
      <c r="D81" s="300">
        <v>70695440</v>
      </c>
      <c r="E81" s="302" t="s">
        <v>353</v>
      </c>
      <c r="F81" s="300">
        <v>3117</v>
      </c>
      <c r="G81" s="303" t="s">
        <v>325</v>
      </c>
      <c r="H81" s="303" t="s">
        <v>277</v>
      </c>
      <c r="I81" s="462">
        <f t="shared" si="231"/>
        <v>1441213</v>
      </c>
      <c r="J81" s="457">
        <v>1056019</v>
      </c>
      <c r="K81" s="457">
        <f t="shared" si="232"/>
        <v>356934</v>
      </c>
      <c r="L81" s="457">
        <f t="shared" si="233"/>
        <v>10560</v>
      </c>
      <c r="M81" s="457">
        <v>17700</v>
      </c>
      <c r="N81" s="748">
        <f t="shared" si="234"/>
        <v>2.0455000000000001</v>
      </c>
      <c r="O81" s="749">
        <v>1.5455000000000001</v>
      </c>
      <c r="P81" s="750">
        <v>0.5</v>
      </c>
      <c r="Q81" s="469">
        <f t="shared" si="235"/>
        <v>0</v>
      </c>
      <c r="R81" s="460">
        <v>0</v>
      </c>
      <c r="S81" s="673">
        <v>0</v>
      </c>
      <c r="T81" s="460">
        <v>0</v>
      </c>
      <c r="U81" s="460">
        <v>0</v>
      </c>
      <c r="V81" s="460">
        <f t="shared" si="236"/>
        <v>0</v>
      </c>
      <c r="W81" s="460">
        <v>0</v>
      </c>
      <c r="X81" s="460">
        <v>0</v>
      </c>
      <c r="Y81" s="460">
        <v>0</v>
      </c>
      <c r="Z81" s="460">
        <f t="shared" si="237"/>
        <v>0</v>
      </c>
      <c r="AA81" s="460">
        <f t="shared" si="238"/>
        <v>0</v>
      </c>
      <c r="AB81" s="69">
        <f t="shared" si="239"/>
        <v>0</v>
      </c>
      <c r="AC81" s="69">
        <f t="shared" si="240"/>
        <v>0</v>
      </c>
      <c r="AD81" s="460">
        <v>0</v>
      </c>
      <c r="AE81" s="460">
        <v>0</v>
      </c>
      <c r="AF81" s="460">
        <f t="shared" si="241"/>
        <v>0</v>
      </c>
      <c r="AG81" s="460">
        <f t="shared" si="242"/>
        <v>0</v>
      </c>
      <c r="AH81" s="461">
        <v>0</v>
      </c>
      <c r="AI81" s="461">
        <v>0</v>
      </c>
      <c r="AJ81" s="461">
        <v>0</v>
      </c>
      <c r="AK81" s="461">
        <v>0</v>
      </c>
      <c r="AL81" s="674">
        <v>0</v>
      </c>
      <c r="AM81" s="461">
        <v>0</v>
      </c>
      <c r="AN81" s="461">
        <v>0</v>
      </c>
      <c r="AO81" s="461">
        <v>0</v>
      </c>
      <c r="AP81" s="461">
        <f t="shared" si="243"/>
        <v>0</v>
      </c>
      <c r="AQ81" s="461">
        <f t="shared" si="244"/>
        <v>0</v>
      </c>
      <c r="AR81" s="463">
        <f t="shared" si="245"/>
        <v>0</v>
      </c>
      <c r="AS81" s="469">
        <f t="shared" si="246"/>
        <v>1441213</v>
      </c>
      <c r="AT81" s="460">
        <f t="shared" si="247"/>
        <v>1056019</v>
      </c>
      <c r="AU81" s="460">
        <f t="shared" si="248"/>
        <v>0</v>
      </c>
      <c r="AV81" s="460">
        <f t="shared" si="249"/>
        <v>356934</v>
      </c>
      <c r="AW81" s="460">
        <f t="shared" si="249"/>
        <v>10560</v>
      </c>
      <c r="AX81" s="460">
        <f t="shared" si="250"/>
        <v>17700</v>
      </c>
      <c r="AY81" s="461">
        <f t="shared" si="251"/>
        <v>2.0455000000000001</v>
      </c>
      <c r="AZ81" s="461">
        <f t="shared" si="252"/>
        <v>1.5455000000000001</v>
      </c>
      <c r="BA81" s="463">
        <f t="shared" si="252"/>
        <v>0.5</v>
      </c>
    </row>
    <row r="82" spans="1:53" ht="12.95" customHeight="1" x14ac:dyDescent="0.25">
      <c r="A82" s="299">
        <v>15</v>
      </c>
      <c r="B82" s="300">
        <v>4433</v>
      </c>
      <c r="C82" s="300">
        <v>600075001</v>
      </c>
      <c r="D82" s="300">
        <v>70695440</v>
      </c>
      <c r="E82" s="302" t="s">
        <v>353</v>
      </c>
      <c r="F82" s="300">
        <v>3117</v>
      </c>
      <c r="G82" s="303" t="s">
        <v>315</v>
      </c>
      <c r="H82" s="303" t="s">
        <v>278</v>
      </c>
      <c r="I82" s="462">
        <f t="shared" si="231"/>
        <v>0</v>
      </c>
      <c r="J82" s="457">
        <v>0</v>
      </c>
      <c r="K82" s="457">
        <f t="shared" si="232"/>
        <v>0</v>
      </c>
      <c r="L82" s="457">
        <f t="shared" si="233"/>
        <v>0</v>
      </c>
      <c r="M82" s="457">
        <v>0</v>
      </c>
      <c r="N82" s="748">
        <f t="shared" si="234"/>
        <v>0</v>
      </c>
      <c r="O82" s="749">
        <v>0</v>
      </c>
      <c r="P82" s="750">
        <v>0</v>
      </c>
      <c r="Q82" s="469">
        <f t="shared" si="235"/>
        <v>0</v>
      </c>
      <c r="R82" s="460">
        <v>173223</v>
      </c>
      <c r="S82" s="673">
        <v>0</v>
      </c>
      <c r="T82" s="460">
        <v>0</v>
      </c>
      <c r="U82" s="460">
        <v>0</v>
      </c>
      <c r="V82" s="460">
        <f t="shared" si="236"/>
        <v>173223</v>
      </c>
      <c r="W82" s="460">
        <v>0</v>
      </c>
      <c r="X82" s="460">
        <v>0</v>
      </c>
      <c r="Y82" s="460">
        <v>0</v>
      </c>
      <c r="Z82" s="460">
        <f t="shared" si="237"/>
        <v>0</v>
      </c>
      <c r="AA82" s="460">
        <f t="shared" si="238"/>
        <v>173223</v>
      </c>
      <c r="AB82" s="69">
        <f t="shared" si="239"/>
        <v>58549</v>
      </c>
      <c r="AC82" s="69">
        <f t="shared" si="240"/>
        <v>1732</v>
      </c>
      <c r="AD82" s="460">
        <v>0</v>
      </c>
      <c r="AE82" s="460">
        <v>0</v>
      </c>
      <c r="AF82" s="460">
        <f t="shared" si="241"/>
        <v>0</v>
      </c>
      <c r="AG82" s="460">
        <f t="shared" si="242"/>
        <v>233504</v>
      </c>
      <c r="AH82" s="461">
        <v>0</v>
      </c>
      <c r="AI82" s="461">
        <v>0</v>
      </c>
      <c r="AJ82" s="461">
        <v>0.5</v>
      </c>
      <c r="AK82" s="461">
        <v>0</v>
      </c>
      <c r="AL82" s="674">
        <v>0</v>
      </c>
      <c r="AM82" s="461">
        <v>0</v>
      </c>
      <c r="AN82" s="461">
        <v>0</v>
      </c>
      <c r="AO82" s="461">
        <v>0</v>
      </c>
      <c r="AP82" s="461">
        <f t="shared" si="243"/>
        <v>0.5</v>
      </c>
      <c r="AQ82" s="461">
        <f t="shared" si="244"/>
        <v>0</v>
      </c>
      <c r="AR82" s="463">
        <f t="shared" si="245"/>
        <v>0.5</v>
      </c>
      <c r="AS82" s="469">
        <f t="shared" si="246"/>
        <v>233504</v>
      </c>
      <c r="AT82" s="460">
        <f t="shared" si="247"/>
        <v>173223</v>
      </c>
      <c r="AU82" s="460">
        <f t="shared" si="248"/>
        <v>0</v>
      </c>
      <c r="AV82" s="460">
        <f t="shared" si="249"/>
        <v>58549</v>
      </c>
      <c r="AW82" s="460">
        <f t="shared" si="249"/>
        <v>1732</v>
      </c>
      <c r="AX82" s="460">
        <f t="shared" si="250"/>
        <v>0</v>
      </c>
      <c r="AY82" s="461">
        <f t="shared" si="251"/>
        <v>0.5</v>
      </c>
      <c r="AZ82" s="461">
        <f t="shared" si="252"/>
        <v>0.5</v>
      </c>
      <c r="BA82" s="463">
        <f t="shared" si="252"/>
        <v>0</v>
      </c>
    </row>
    <row r="83" spans="1:53" ht="12.95" customHeight="1" x14ac:dyDescent="0.25">
      <c r="A83" s="299">
        <v>15</v>
      </c>
      <c r="B83" s="300">
        <v>4433</v>
      </c>
      <c r="C83" s="300">
        <v>600075001</v>
      </c>
      <c r="D83" s="300">
        <v>70695440</v>
      </c>
      <c r="E83" s="302" t="s">
        <v>353</v>
      </c>
      <c r="F83" s="300">
        <v>3141</v>
      </c>
      <c r="G83" s="303" t="s">
        <v>311</v>
      </c>
      <c r="H83" s="303" t="s">
        <v>278</v>
      </c>
      <c r="I83" s="462">
        <f t="shared" si="231"/>
        <v>428047</v>
      </c>
      <c r="J83" s="457">
        <v>316424</v>
      </c>
      <c r="K83" s="457">
        <f t="shared" si="232"/>
        <v>106951</v>
      </c>
      <c r="L83" s="457">
        <f t="shared" si="233"/>
        <v>3164</v>
      </c>
      <c r="M83" s="457">
        <v>1508</v>
      </c>
      <c r="N83" s="748">
        <f t="shared" si="234"/>
        <v>1.02</v>
      </c>
      <c r="O83" s="749">
        <v>0</v>
      </c>
      <c r="P83" s="750">
        <v>1.02</v>
      </c>
      <c r="Q83" s="469">
        <f t="shared" si="235"/>
        <v>0</v>
      </c>
      <c r="R83" s="460">
        <v>0</v>
      </c>
      <c r="S83" s="673">
        <v>0</v>
      </c>
      <c r="T83" s="460">
        <v>0</v>
      </c>
      <c r="U83" s="460">
        <v>0</v>
      </c>
      <c r="V83" s="460">
        <f t="shared" si="236"/>
        <v>0</v>
      </c>
      <c r="W83" s="460">
        <v>0</v>
      </c>
      <c r="X83" s="460">
        <v>0</v>
      </c>
      <c r="Y83" s="460">
        <v>0</v>
      </c>
      <c r="Z83" s="460">
        <f t="shared" si="237"/>
        <v>0</v>
      </c>
      <c r="AA83" s="460">
        <f t="shared" si="238"/>
        <v>0</v>
      </c>
      <c r="AB83" s="69">
        <f t="shared" si="239"/>
        <v>0</v>
      </c>
      <c r="AC83" s="69">
        <f t="shared" si="240"/>
        <v>0</v>
      </c>
      <c r="AD83" s="460">
        <v>0</v>
      </c>
      <c r="AE83" s="460">
        <v>0</v>
      </c>
      <c r="AF83" s="460">
        <f t="shared" si="241"/>
        <v>0</v>
      </c>
      <c r="AG83" s="460">
        <f t="shared" si="242"/>
        <v>0</v>
      </c>
      <c r="AH83" s="461">
        <v>0</v>
      </c>
      <c r="AI83" s="461">
        <v>0</v>
      </c>
      <c r="AJ83" s="461">
        <v>0</v>
      </c>
      <c r="AK83" s="461">
        <v>0</v>
      </c>
      <c r="AL83" s="674">
        <v>0</v>
      </c>
      <c r="AM83" s="461">
        <v>0</v>
      </c>
      <c r="AN83" s="461">
        <v>0</v>
      </c>
      <c r="AO83" s="461">
        <v>0</v>
      </c>
      <c r="AP83" s="461">
        <f t="shared" si="243"/>
        <v>0</v>
      </c>
      <c r="AQ83" s="461">
        <f t="shared" si="244"/>
        <v>0</v>
      </c>
      <c r="AR83" s="463">
        <f t="shared" si="245"/>
        <v>0</v>
      </c>
      <c r="AS83" s="469">
        <f t="shared" si="246"/>
        <v>428047</v>
      </c>
      <c r="AT83" s="460">
        <f t="shared" si="247"/>
        <v>316424</v>
      </c>
      <c r="AU83" s="460">
        <f t="shared" si="248"/>
        <v>0</v>
      </c>
      <c r="AV83" s="460">
        <f t="shared" si="249"/>
        <v>106951</v>
      </c>
      <c r="AW83" s="460">
        <f t="shared" si="249"/>
        <v>3164</v>
      </c>
      <c r="AX83" s="460">
        <f t="shared" si="250"/>
        <v>1508</v>
      </c>
      <c r="AY83" s="461">
        <f t="shared" si="251"/>
        <v>1.02</v>
      </c>
      <c r="AZ83" s="461">
        <f t="shared" si="252"/>
        <v>0</v>
      </c>
      <c r="BA83" s="463">
        <f t="shared" si="252"/>
        <v>1.02</v>
      </c>
    </row>
    <row r="84" spans="1:53" ht="12.95" customHeight="1" x14ac:dyDescent="0.25">
      <c r="A84" s="299">
        <v>15</v>
      </c>
      <c r="B84" s="300">
        <v>4433</v>
      </c>
      <c r="C84" s="300">
        <v>600075001</v>
      </c>
      <c r="D84" s="300">
        <v>70695440</v>
      </c>
      <c r="E84" s="302" t="s">
        <v>353</v>
      </c>
      <c r="F84" s="300">
        <v>3143</v>
      </c>
      <c r="G84" s="303" t="s">
        <v>616</v>
      </c>
      <c r="H84" s="303" t="s">
        <v>277</v>
      </c>
      <c r="I84" s="462">
        <f t="shared" si="231"/>
        <v>254807</v>
      </c>
      <c r="J84" s="457">
        <v>189026</v>
      </c>
      <c r="K84" s="457">
        <f t="shared" si="232"/>
        <v>63891</v>
      </c>
      <c r="L84" s="457">
        <f t="shared" si="233"/>
        <v>1890</v>
      </c>
      <c r="M84" s="457">
        <v>0</v>
      </c>
      <c r="N84" s="748">
        <f t="shared" si="234"/>
        <v>0.5</v>
      </c>
      <c r="O84" s="749">
        <v>0.5</v>
      </c>
      <c r="P84" s="750">
        <v>0</v>
      </c>
      <c r="Q84" s="469">
        <f t="shared" si="235"/>
        <v>0</v>
      </c>
      <c r="R84" s="460">
        <v>0</v>
      </c>
      <c r="S84" s="673">
        <v>0</v>
      </c>
      <c r="T84" s="460">
        <v>0</v>
      </c>
      <c r="U84" s="460">
        <v>0</v>
      </c>
      <c r="V84" s="460">
        <f t="shared" si="236"/>
        <v>0</v>
      </c>
      <c r="W84" s="460">
        <v>0</v>
      </c>
      <c r="X84" s="460">
        <v>0</v>
      </c>
      <c r="Y84" s="460">
        <v>0</v>
      </c>
      <c r="Z84" s="460">
        <f t="shared" si="237"/>
        <v>0</v>
      </c>
      <c r="AA84" s="460">
        <f t="shared" si="238"/>
        <v>0</v>
      </c>
      <c r="AB84" s="69">
        <f t="shared" si="239"/>
        <v>0</v>
      </c>
      <c r="AC84" s="69">
        <f t="shared" si="240"/>
        <v>0</v>
      </c>
      <c r="AD84" s="460">
        <v>0</v>
      </c>
      <c r="AE84" s="460">
        <v>0</v>
      </c>
      <c r="AF84" s="460">
        <f t="shared" si="241"/>
        <v>0</v>
      </c>
      <c r="AG84" s="460">
        <f t="shared" si="242"/>
        <v>0</v>
      </c>
      <c r="AH84" s="461">
        <v>0</v>
      </c>
      <c r="AI84" s="461">
        <v>0</v>
      </c>
      <c r="AJ84" s="461">
        <v>0</v>
      </c>
      <c r="AK84" s="461">
        <v>0</v>
      </c>
      <c r="AL84" s="674">
        <v>0</v>
      </c>
      <c r="AM84" s="461">
        <v>0</v>
      </c>
      <c r="AN84" s="461">
        <v>0</v>
      </c>
      <c r="AO84" s="461">
        <v>0</v>
      </c>
      <c r="AP84" s="461">
        <f t="shared" si="243"/>
        <v>0</v>
      </c>
      <c r="AQ84" s="461">
        <f t="shared" si="244"/>
        <v>0</v>
      </c>
      <c r="AR84" s="463">
        <f t="shared" si="245"/>
        <v>0</v>
      </c>
      <c r="AS84" s="469">
        <f t="shared" si="246"/>
        <v>254807</v>
      </c>
      <c r="AT84" s="460">
        <f t="shared" si="247"/>
        <v>189026</v>
      </c>
      <c r="AU84" s="460">
        <f t="shared" si="248"/>
        <v>0</v>
      </c>
      <c r="AV84" s="460">
        <f t="shared" si="249"/>
        <v>63891</v>
      </c>
      <c r="AW84" s="460">
        <f t="shared" si="249"/>
        <v>1890</v>
      </c>
      <c r="AX84" s="460">
        <f t="shared" si="250"/>
        <v>0</v>
      </c>
      <c r="AY84" s="461">
        <f t="shared" si="251"/>
        <v>0.5</v>
      </c>
      <c r="AZ84" s="461">
        <f t="shared" si="252"/>
        <v>0.5</v>
      </c>
      <c r="BA84" s="463">
        <f t="shared" si="252"/>
        <v>0</v>
      </c>
    </row>
    <row r="85" spans="1:53" ht="12.95" customHeight="1" x14ac:dyDescent="0.25">
      <c r="A85" s="299">
        <v>15</v>
      </c>
      <c r="B85" s="300">
        <v>4433</v>
      </c>
      <c r="C85" s="300">
        <v>600075001</v>
      </c>
      <c r="D85" s="300">
        <v>70695440</v>
      </c>
      <c r="E85" s="302" t="s">
        <v>353</v>
      </c>
      <c r="F85" s="300">
        <v>3143</v>
      </c>
      <c r="G85" s="303" t="s">
        <v>617</v>
      </c>
      <c r="H85" s="303" t="s">
        <v>278</v>
      </c>
      <c r="I85" s="462">
        <f t="shared" si="231"/>
        <v>8796</v>
      </c>
      <c r="J85" s="457">
        <v>6285</v>
      </c>
      <c r="K85" s="457">
        <f t="shared" si="232"/>
        <v>2124</v>
      </c>
      <c r="L85" s="457">
        <f t="shared" si="233"/>
        <v>63</v>
      </c>
      <c r="M85" s="457">
        <v>324</v>
      </c>
      <c r="N85" s="748">
        <f t="shared" si="234"/>
        <v>0.03</v>
      </c>
      <c r="O85" s="749">
        <v>0</v>
      </c>
      <c r="P85" s="750">
        <v>0.03</v>
      </c>
      <c r="Q85" s="469">
        <f t="shared" si="235"/>
        <v>0</v>
      </c>
      <c r="R85" s="460">
        <v>0</v>
      </c>
      <c r="S85" s="673">
        <v>0</v>
      </c>
      <c r="T85" s="460">
        <v>0</v>
      </c>
      <c r="U85" s="460">
        <v>0</v>
      </c>
      <c r="V85" s="460">
        <f t="shared" si="236"/>
        <v>0</v>
      </c>
      <c r="W85" s="460">
        <v>0</v>
      </c>
      <c r="X85" s="460">
        <v>0</v>
      </c>
      <c r="Y85" s="460">
        <v>0</v>
      </c>
      <c r="Z85" s="460">
        <f t="shared" si="237"/>
        <v>0</v>
      </c>
      <c r="AA85" s="460">
        <f t="shared" si="238"/>
        <v>0</v>
      </c>
      <c r="AB85" s="69">
        <f t="shared" si="239"/>
        <v>0</v>
      </c>
      <c r="AC85" s="69">
        <f t="shared" si="240"/>
        <v>0</v>
      </c>
      <c r="AD85" s="460">
        <v>0</v>
      </c>
      <c r="AE85" s="460">
        <v>0</v>
      </c>
      <c r="AF85" s="460">
        <f t="shared" si="241"/>
        <v>0</v>
      </c>
      <c r="AG85" s="460">
        <f t="shared" si="242"/>
        <v>0</v>
      </c>
      <c r="AH85" s="461">
        <v>0</v>
      </c>
      <c r="AI85" s="461">
        <v>0</v>
      </c>
      <c r="AJ85" s="461">
        <v>0</v>
      </c>
      <c r="AK85" s="461">
        <v>0</v>
      </c>
      <c r="AL85" s="674">
        <v>0</v>
      </c>
      <c r="AM85" s="461">
        <v>0</v>
      </c>
      <c r="AN85" s="461">
        <v>0</v>
      </c>
      <c r="AO85" s="461">
        <v>0</v>
      </c>
      <c r="AP85" s="461">
        <f t="shared" si="243"/>
        <v>0</v>
      </c>
      <c r="AQ85" s="461">
        <f t="shared" si="244"/>
        <v>0</v>
      </c>
      <c r="AR85" s="463">
        <f t="shared" si="245"/>
        <v>0</v>
      </c>
      <c r="AS85" s="469">
        <f t="shared" si="246"/>
        <v>8796</v>
      </c>
      <c r="AT85" s="460">
        <f t="shared" si="247"/>
        <v>6285</v>
      </c>
      <c r="AU85" s="460">
        <f t="shared" si="248"/>
        <v>0</v>
      </c>
      <c r="AV85" s="460">
        <f t="shared" si="249"/>
        <v>2124</v>
      </c>
      <c r="AW85" s="460">
        <f t="shared" si="249"/>
        <v>63</v>
      </c>
      <c r="AX85" s="460">
        <f t="shared" si="250"/>
        <v>324</v>
      </c>
      <c r="AY85" s="461">
        <f t="shared" si="251"/>
        <v>0.03</v>
      </c>
      <c r="AZ85" s="461">
        <f t="shared" si="252"/>
        <v>0</v>
      </c>
      <c r="BA85" s="463">
        <f t="shared" si="252"/>
        <v>0.03</v>
      </c>
    </row>
    <row r="86" spans="1:53" ht="12.95" customHeight="1" x14ac:dyDescent="0.25">
      <c r="A86" s="292">
        <v>15</v>
      </c>
      <c r="B86" s="294">
        <v>4433</v>
      </c>
      <c r="C86" s="294">
        <v>600075001</v>
      </c>
      <c r="D86" s="294">
        <v>70695440</v>
      </c>
      <c r="E86" s="307" t="s">
        <v>354</v>
      </c>
      <c r="F86" s="310"/>
      <c r="G86" s="311"/>
      <c r="H86" s="311"/>
      <c r="I86" s="537">
        <f t="shared" ref="I86:BA86" si="253">SUM(I80:I85)</f>
        <v>3635883</v>
      </c>
      <c r="J86" s="534">
        <f t="shared" si="253"/>
        <v>2677709</v>
      </c>
      <c r="K86" s="534">
        <f t="shared" si="253"/>
        <v>905065</v>
      </c>
      <c r="L86" s="534">
        <f t="shared" si="253"/>
        <v>26777</v>
      </c>
      <c r="M86" s="534">
        <f t="shared" si="253"/>
        <v>26332</v>
      </c>
      <c r="N86" s="757">
        <f t="shared" si="253"/>
        <v>5.9554999999999998</v>
      </c>
      <c r="O86" s="757">
        <f t="shared" si="253"/>
        <v>4.0455000000000005</v>
      </c>
      <c r="P86" s="759">
        <f t="shared" si="253"/>
        <v>1.91</v>
      </c>
      <c r="Q86" s="539">
        <f t="shared" si="253"/>
        <v>0</v>
      </c>
      <c r="R86" s="534">
        <f t="shared" si="253"/>
        <v>173223</v>
      </c>
      <c r="S86" s="534">
        <f t="shared" si="253"/>
        <v>0</v>
      </c>
      <c r="T86" s="534">
        <f t="shared" si="253"/>
        <v>0</v>
      </c>
      <c r="U86" s="534">
        <f t="shared" si="253"/>
        <v>0</v>
      </c>
      <c r="V86" s="534">
        <f t="shared" si="253"/>
        <v>173223</v>
      </c>
      <c r="W86" s="534">
        <f t="shared" si="253"/>
        <v>0</v>
      </c>
      <c r="X86" s="534">
        <f t="shared" si="253"/>
        <v>0</v>
      </c>
      <c r="Y86" s="534">
        <f t="shared" si="253"/>
        <v>0</v>
      </c>
      <c r="Z86" s="534">
        <f t="shared" si="253"/>
        <v>0</v>
      </c>
      <c r="AA86" s="534">
        <f t="shared" si="253"/>
        <v>173223</v>
      </c>
      <c r="AB86" s="534">
        <f t="shared" si="253"/>
        <v>58549</v>
      </c>
      <c r="AC86" s="534">
        <f t="shared" si="253"/>
        <v>1732</v>
      </c>
      <c r="AD86" s="534">
        <f t="shared" si="253"/>
        <v>0</v>
      </c>
      <c r="AE86" s="534">
        <f t="shared" si="253"/>
        <v>0</v>
      </c>
      <c r="AF86" s="534">
        <f t="shared" si="253"/>
        <v>0</v>
      </c>
      <c r="AG86" s="534">
        <f t="shared" si="253"/>
        <v>233504</v>
      </c>
      <c r="AH86" s="535">
        <f t="shared" si="253"/>
        <v>0</v>
      </c>
      <c r="AI86" s="535">
        <f t="shared" si="253"/>
        <v>0</v>
      </c>
      <c r="AJ86" s="535">
        <f t="shared" si="253"/>
        <v>0.5</v>
      </c>
      <c r="AK86" s="535">
        <f t="shared" si="253"/>
        <v>0</v>
      </c>
      <c r="AL86" s="535">
        <f t="shared" si="253"/>
        <v>0</v>
      </c>
      <c r="AM86" s="535">
        <f t="shared" si="253"/>
        <v>0</v>
      </c>
      <c r="AN86" s="535">
        <f t="shared" si="253"/>
        <v>0</v>
      </c>
      <c r="AO86" s="535">
        <f t="shared" si="253"/>
        <v>0</v>
      </c>
      <c r="AP86" s="535">
        <f t="shared" si="253"/>
        <v>0.5</v>
      </c>
      <c r="AQ86" s="535">
        <f t="shared" si="253"/>
        <v>0</v>
      </c>
      <c r="AR86" s="309">
        <f t="shared" si="253"/>
        <v>0.5</v>
      </c>
      <c r="AS86" s="539">
        <f t="shared" si="253"/>
        <v>3869387</v>
      </c>
      <c r="AT86" s="534">
        <f t="shared" si="253"/>
        <v>2850932</v>
      </c>
      <c r="AU86" s="534">
        <f t="shared" si="253"/>
        <v>0</v>
      </c>
      <c r="AV86" s="534">
        <f t="shared" si="253"/>
        <v>963614</v>
      </c>
      <c r="AW86" s="534">
        <f t="shared" si="253"/>
        <v>28509</v>
      </c>
      <c r="AX86" s="534">
        <f t="shared" si="253"/>
        <v>26332</v>
      </c>
      <c r="AY86" s="535">
        <f t="shared" si="253"/>
        <v>6.4554999999999998</v>
      </c>
      <c r="AZ86" s="535">
        <f t="shared" si="253"/>
        <v>4.5455000000000005</v>
      </c>
      <c r="BA86" s="309">
        <f t="shared" si="253"/>
        <v>1.91</v>
      </c>
    </row>
    <row r="87" spans="1:53" ht="12.95" customHeight="1" x14ac:dyDescent="0.25">
      <c r="A87" s="299">
        <v>16</v>
      </c>
      <c r="B87" s="300">
        <v>4487</v>
      </c>
      <c r="C87" s="300">
        <v>600074854</v>
      </c>
      <c r="D87" s="300">
        <v>70698503</v>
      </c>
      <c r="E87" s="302" t="s">
        <v>355</v>
      </c>
      <c r="F87" s="300">
        <v>3111</v>
      </c>
      <c r="G87" s="303" t="s">
        <v>321</v>
      </c>
      <c r="H87" s="303" t="s">
        <v>277</v>
      </c>
      <c r="I87" s="462">
        <f t="shared" ref="I87:I92" si="254">SUM(J87:M87)</f>
        <v>2707067</v>
      </c>
      <c r="J87" s="457">
        <v>2000495</v>
      </c>
      <c r="K87" s="457">
        <f t="shared" ref="K87:K92" si="255">ROUND(J87*33.8%,0)</f>
        <v>676167</v>
      </c>
      <c r="L87" s="457">
        <f t="shared" ref="L87:L92" si="256">ROUND(J87*1%,0)</f>
        <v>20005</v>
      </c>
      <c r="M87" s="457">
        <v>10400</v>
      </c>
      <c r="N87" s="748">
        <f t="shared" ref="N87:N92" si="257">O87+P87</f>
        <v>4.3449999999999998</v>
      </c>
      <c r="O87" s="749">
        <v>3.625</v>
      </c>
      <c r="P87" s="750">
        <v>0.72</v>
      </c>
      <c r="Q87" s="469">
        <f t="shared" ref="Q87:Q92" si="258">W87*-1</f>
        <v>0</v>
      </c>
      <c r="R87" s="460">
        <v>0</v>
      </c>
      <c r="S87" s="673">
        <v>0</v>
      </c>
      <c r="T87" s="460">
        <v>0</v>
      </c>
      <c r="U87" s="460">
        <v>0</v>
      </c>
      <c r="V87" s="460">
        <f t="shared" ref="V87:V92" si="259">SUM(Q87:U87)</f>
        <v>0</v>
      </c>
      <c r="W87" s="460">
        <v>0</v>
      </c>
      <c r="X87" s="460">
        <v>0</v>
      </c>
      <c r="Y87" s="460">
        <v>0</v>
      </c>
      <c r="Z87" s="460">
        <f t="shared" ref="Z87:Z92" si="260">SUM(W87:Y87)</f>
        <v>0</v>
      </c>
      <c r="AA87" s="460">
        <f t="shared" ref="AA87:AA92" si="261">V87+Z87</f>
        <v>0</v>
      </c>
      <c r="AB87" s="69">
        <f t="shared" ref="AB87:AB92" si="262">ROUND((V87+W87+X87)*33.8%,0)</f>
        <v>0</v>
      </c>
      <c r="AC87" s="69">
        <f t="shared" ref="AC87:AC92" si="263">ROUND(V87*1%,0)</f>
        <v>0</v>
      </c>
      <c r="AD87" s="460">
        <v>0</v>
      </c>
      <c r="AE87" s="460">
        <v>0</v>
      </c>
      <c r="AF87" s="460">
        <f t="shared" ref="AF87:AF92" si="264">SUM(AD87:AE87)</f>
        <v>0</v>
      </c>
      <c r="AG87" s="460">
        <f t="shared" ref="AG87:AG92" si="265">AA87+AB87+AC87+AF87</f>
        <v>0</v>
      </c>
      <c r="AH87" s="461">
        <v>0</v>
      </c>
      <c r="AI87" s="461">
        <v>0</v>
      </c>
      <c r="AJ87" s="461">
        <v>0</v>
      </c>
      <c r="AK87" s="461">
        <v>0</v>
      </c>
      <c r="AL87" s="674">
        <v>0</v>
      </c>
      <c r="AM87" s="461">
        <v>0</v>
      </c>
      <c r="AN87" s="461">
        <v>0</v>
      </c>
      <c r="AO87" s="461">
        <v>0</v>
      </c>
      <c r="AP87" s="461">
        <f t="shared" ref="AP87:AP92" si="266">AH87+AJ87+AK87+AM87+AN87</f>
        <v>0</v>
      </c>
      <c r="AQ87" s="461">
        <f t="shared" ref="AQ87:AQ92" si="267">AI87+AL87+AO87</f>
        <v>0</v>
      </c>
      <c r="AR87" s="463">
        <f t="shared" ref="AR87:AR92" si="268">SUM(AP87:AQ87)</f>
        <v>0</v>
      </c>
      <c r="AS87" s="469">
        <f t="shared" ref="AS87:AS92" si="269">I87+AG87</f>
        <v>2707067</v>
      </c>
      <c r="AT87" s="460">
        <f t="shared" ref="AT87:AT92" si="270">J87+V87</f>
        <v>2000495</v>
      </c>
      <c r="AU87" s="460">
        <f t="shared" ref="AU87:AU92" si="271">Z87</f>
        <v>0</v>
      </c>
      <c r="AV87" s="460">
        <f t="shared" ref="AV87:AW92" si="272">K87+AB87</f>
        <v>676167</v>
      </c>
      <c r="AW87" s="460">
        <f t="shared" si="272"/>
        <v>20005</v>
      </c>
      <c r="AX87" s="460">
        <f t="shared" ref="AX87:AX92" si="273">M87+AF87</f>
        <v>10400</v>
      </c>
      <c r="AY87" s="461">
        <f t="shared" ref="AY87:AY92" si="274">N87+AR87</f>
        <v>4.3449999999999998</v>
      </c>
      <c r="AZ87" s="461">
        <f t="shared" ref="AZ87:BA92" si="275">O87+AP87</f>
        <v>3.625</v>
      </c>
      <c r="BA87" s="463">
        <f t="shared" si="275"/>
        <v>0.72</v>
      </c>
    </row>
    <row r="88" spans="1:53" ht="12.95" customHeight="1" x14ac:dyDescent="0.25">
      <c r="A88" s="299">
        <v>16</v>
      </c>
      <c r="B88" s="300">
        <v>4487</v>
      </c>
      <c r="C88" s="300">
        <v>600074854</v>
      </c>
      <c r="D88" s="300">
        <v>70698503</v>
      </c>
      <c r="E88" s="302" t="s">
        <v>355</v>
      </c>
      <c r="F88" s="300">
        <v>3117</v>
      </c>
      <c r="G88" s="303" t="s">
        <v>325</v>
      </c>
      <c r="H88" s="303" t="s">
        <v>277</v>
      </c>
      <c r="I88" s="462">
        <f t="shared" si="254"/>
        <v>4315152</v>
      </c>
      <c r="J88" s="457">
        <v>3139875</v>
      </c>
      <c r="K88" s="457">
        <f t="shared" si="255"/>
        <v>1061278</v>
      </c>
      <c r="L88" s="457">
        <f t="shared" si="256"/>
        <v>31399</v>
      </c>
      <c r="M88" s="457">
        <v>82600</v>
      </c>
      <c r="N88" s="748">
        <f t="shared" si="257"/>
        <v>6.1237999999999992</v>
      </c>
      <c r="O88" s="749">
        <v>4.4204999999999997</v>
      </c>
      <c r="P88" s="750">
        <v>1.7033</v>
      </c>
      <c r="Q88" s="469">
        <f t="shared" si="258"/>
        <v>-130000</v>
      </c>
      <c r="R88" s="460">
        <v>0</v>
      </c>
      <c r="S88" s="673">
        <v>0</v>
      </c>
      <c r="T88" s="460">
        <v>0</v>
      </c>
      <c r="U88" s="460">
        <v>0</v>
      </c>
      <c r="V88" s="460">
        <f t="shared" si="259"/>
        <v>-130000</v>
      </c>
      <c r="W88" s="460">
        <v>130000</v>
      </c>
      <c r="X88" s="460">
        <v>0</v>
      </c>
      <c r="Y88" s="460">
        <v>0</v>
      </c>
      <c r="Z88" s="460">
        <f t="shared" si="260"/>
        <v>130000</v>
      </c>
      <c r="AA88" s="460">
        <f t="shared" si="261"/>
        <v>0</v>
      </c>
      <c r="AB88" s="69">
        <f t="shared" si="262"/>
        <v>0</v>
      </c>
      <c r="AC88" s="69">
        <f t="shared" si="263"/>
        <v>-1300</v>
      </c>
      <c r="AD88" s="460">
        <v>0</v>
      </c>
      <c r="AE88" s="460">
        <v>0</v>
      </c>
      <c r="AF88" s="460">
        <f t="shared" si="264"/>
        <v>0</v>
      </c>
      <c r="AG88" s="460">
        <f t="shared" si="265"/>
        <v>-1300</v>
      </c>
      <c r="AH88" s="461">
        <v>0</v>
      </c>
      <c r="AI88" s="461">
        <v>-0.31</v>
      </c>
      <c r="AJ88" s="461">
        <v>0</v>
      </c>
      <c r="AK88" s="461">
        <v>0</v>
      </c>
      <c r="AL88" s="674">
        <v>0</v>
      </c>
      <c r="AM88" s="461">
        <v>0</v>
      </c>
      <c r="AN88" s="461">
        <v>0</v>
      </c>
      <c r="AO88" s="461">
        <v>0</v>
      </c>
      <c r="AP88" s="461">
        <f t="shared" si="266"/>
        <v>0</v>
      </c>
      <c r="AQ88" s="461">
        <f t="shared" si="267"/>
        <v>-0.31</v>
      </c>
      <c r="AR88" s="463">
        <f t="shared" si="268"/>
        <v>-0.31</v>
      </c>
      <c r="AS88" s="469">
        <f t="shared" si="269"/>
        <v>4313852</v>
      </c>
      <c r="AT88" s="460">
        <f t="shared" si="270"/>
        <v>3009875</v>
      </c>
      <c r="AU88" s="460">
        <f t="shared" si="271"/>
        <v>130000</v>
      </c>
      <c r="AV88" s="460">
        <f t="shared" si="272"/>
        <v>1061278</v>
      </c>
      <c r="AW88" s="460">
        <f t="shared" si="272"/>
        <v>30099</v>
      </c>
      <c r="AX88" s="460">
        <f t="shared" si="273"/>
        <v>82600</v>
      </c>
      <c r="AY88" s="461">
        <f t="shared" si="274"/>
        <v>5.8137999999999996</v>
      </c>
      <c r="AZ88" s="461">
        <f t="shared" si="275"/>
        <v>4.4204999999999997</v>
      </c>
      <c r="BA88" s="463">
        <f t="shared" si="275"/>
        <v>1.3933</v>
      </c>
    </row>
    <row r="89" spans="1:53" ht="12.95" customHeight="1" x14ac:dyDescent="0.25">
      <c r="A89" s="299">
        <v>16</v>
      </c>
      <c r="B89" s="300">
        <v>4487</v>
      </c>
      <c r="C89" s="300">
        <v>600074854</v>
      </c>
      <c r="D89" s="300">
        <v>70698503</v>
      </c>
      <c r="E89" s="302" t="s">
        <v>355</v>
      </c>
      <c r="F89" s="300">
        <v>3117</v>
      </c>
      <c r="G89" s="303" t="s">
        <v>315</v>
      </c>
      <c r="H89" s="303" t="s">
        <v>278</v>
      </c>
      <c r="I89" s="462">
        <f t="shared" si="254"/>
        <v>0</v>
      </c>
      <c r="J89" s="457">
        <v>0</v>
      </c>
      <c r="K89" s="457">
        <f t="shared" si="255"/>
        <v>0</v>
      </c>
      <c r="L89" s="457">
        <f t="shared" si="256"/>
        <v>0</v>
      </c>
      <c r="M89" s="457">
        <v>0</v>
      </c>
      <c r="N89" s="748">
        <f t="shared" si="257"/>
        <v>0</v>
      </c>
      <c r="O89" s="749">
        <v>0</v>
      </c>
      <c r="P89" s="750">
        <v>0</v>
      </c>
      <c r="Q89" s="469">
        <f t="shared" si="258"/>
        <v>0</v>
      </c>
      <c r="R89" s="460">
        <v>779505</v>
      </c>
      <c r="S89" s="673">
        <v>0</v>
      </c>
      <c r="T89" s="460">
        <v>0</v>
      </c>
      <c r="U89" s="460">
        <v>0</v>
      </c>
      <c r="V89" s="460">
        <f t="shared" si="259"/>
        <v>779505</v>
      </c>
      <c r="W89" s="460">
        <v>0</v>
      </c>
      <c r="X89" s="460">
        <v>0</v>
      </c>
      <c r="Y89" s="460">
        <v>0</v>
      </c>
      <c r="Z89" s="460">
        <f t="shared" si="260"/>
        <v>0</v>
      </c>
      <c r="AA89" s="460">
        <f t="shared" si="261"/>
        <v>779505</v>
      </c>
      <c r="AB89" s="69">
        <f t="shared" si="262"/>
        <v>263473</v>
      </c>
      <c r="AC89" s="69">
        <f t="shared" si="263"/>
        <v>7795</v>
      </c>
      <c r="AD89" s="460">
        <v>0</v>
      </c>
      <c r="AE89" s="460">
        <v>0</v>
      </c>
      <c r="AF89" s="460">
        <f t="shared" si="264"/>
        <v>0</v>
      </c>
      <c r="AG89" s="460">
        <f t="shared" si="265"/>
        <v>1050773</v>
      </c>
      <c r="AH89" s="461">
        <v>0</v>
      </c>
      <c r="AI89" s="461">
        <v>0</v>
      </c>
      <c r="AJ89" s="461">
        <v>2.25</v>
      </c>
      <c r="AK89" s="461">
        <v>0</v>
      </c>
      <c r="AL89" s="674">
        <v>0</v>
      </c>
      <c r="AM89" s="461">
        <v>0</v>
      </c>
      <c r="AN89" s="461">
        <v>0</v>
      </c>
      <c r="AO89" s="461">
        <v>0</v>
      </c>
      <c r="AP89" s="461">
        <f t="shared" si="266"/>
        <v>2.25</v>
      </c>
      <c r="AQ89" s="461">
        <f t="shared" si="267"/>
        <v>0</v>
      </c>
      <c r="AR89" s="463">
        <f t="shared" si="268"/>
        <v>2.25</v>
      </c>
      <c r="AS89" s="469">
        <f t="shared" si="269"/>
        <v>1050773</v>
      </c>
      <c r="AT89" s="460">
        <f t="shared" si="270"/>
        <v>779505</v>
      </c>
      <c r="AU89" s="460">
        <f t="shared" si="271"/>
        <v>0</v>
      </c>
      <c r="AV89" s="460">
        <f t="shared" si="272"/>
        <v>263473</v>
      </c>
      <c r="AW89" s="460">
        <f t="shared" si="272"/>
        <v>7795</v>
      </c>
      <c r="AX89" s="460">
        <f t="shared" si="273"/>
        <v>0</v>
      </c>
      <c r="AY89" s="461">
        <f t="shared" si="274"/>
        <v>2.25</v>
      </c>
      <c r="AZ89" s="461">
        <f t="shared" si="275"/>
        <v>2.25</v>
      </c>
      <c r="BA89" s="463">
        <f t="shared" si="275"/>
        <v>0</v>
      </c>
    </row>
    <row r="90" spans="1:53" ht="12.95" customHeight="1" x14ac:dyDescent="0.25">
      <c r="A90" s="299">
        <v>16</v>
      </c>
      <c r="B90" s="300">
        <v>4487</v>
      </c>
      <c r="C90" s="300">
        <v>600074854</v>
      </c>
      <c r="D90" s="300">
        <v>70698503</v>
      </c>
      <c r="E90" s="302" t="s">
        <v>355</v>
      </c>
      <c r="F90" s="300">
        <v>3141</v>
      </c>
      <c r="G90" s="303" t="s">
        <v>311</v>
      </c>
      <c r="H90" s="303" t="s">
        <v>278</v>
      </c>
      <c r="I90" s="462">
        <f t="shared" si="254"/>
        <v>926970</v>
      </c>
      <c r="J90" s="457">
        <v>684577</v>
      </c>
      <c r="K90" s="457">
        <f t="shared" si="255"/>
        <v>231387</v>
      </c>
      <c r="L90" s="457">
        <f t="shared" si="256"/>
        <v>6846</v>
      </c>
      <c r="M90" s="457">
        <v>4160</v>
      </c>
      <c r="N90" s="748">
        <f t="shared" si="257"/>
        <v>2.2000000000000002</v>
      </c>
      <c r="O90" s="749">
        <v>0</v>
      </c>
      <c r="P90" s="750">
        <v>2.2000000000000002</v>
      </c>
      <c r="Q90" s="469">
        <f t="shared" si="258"/>
        <v>0</v>
      </c>
      <c r="R90" s="460">
        <v>0</v>
      </c>
      <c r="S90" s="673">
        <v>0</v>
      </c>
      <c r="T90" s="460">
        <v>0</v>
      </c>
      <c r="U90" s="460">
        <v>0</v>
      </c>
      <c r="V90" s="460">
        <f t="shared" si="259"/>
        <v>0</v>
      </c>
      <c r="W90" s="460">
        <v>0</v>
      </c>
      <c r="X90" s="460">
        <v>0</v>
      </c>
      <c r="Y90" s="460">
        <v>0</v>
      </c>
      <c r="Z90" s="460">
        <f t="shared" si="260"/>
        <v>0</v>
      </c>
      <c r="AA90" s="460">
        <f t="shared" si="261"/>
        <v>0</v>
      </c>
      <c r="AB90" s="69">
        <f t="shared" si="262"/>
        <v>0</v>
      </c>
      <c r="AC90" s="69">
        <f t="shared" si="263"/>
        <v>0</v>
      </c>
      <c r="AD90" s="460">
        <v>0</v>
      </c>
      <c r="AE90" s="460">
        <v>0</v>
      </c>
      <c r="AF90" s="460">
        <f t="shared" si="264"/>
        <v>0</v>
      </c>
      <c r="AG90" s="460">
        <f t="shared" si="265"/>
        <v>0</v>
      </c>
      <c r="AH90" s="461">
        <v>0</v>
      </c>
      <c r="AI90" s="461">
        <v>0</v>
      </c>
      <c r="AJ90" s="461">
        <v>0</v>
      </c>
      <c r="AK90" s="461">
        <v>0</v>
      </c>
      <c r="AL90" s="674">
        <v>0</v>
      </c>
      <c r="AM90" s="461">
        <v>0</v>
      </c>
      <c r="AN90" s="461">
        <v>0</v>
      </c>
      <c r="AO90" s="461">
        <v>0</v>
      </c>
      <c r="AP90" s="461">
        <f t="shared" si="266"/>
        <v>0</v>
      </c>
      <c r="AQ90" s="461">
        <f t="shared" si="267"/>
        <v>0</v>
      </c>
      <c r="AR90" s="463">
        <f t="shared" si="268"/>
        <v>0</v>
      </c>
      <c r="AS90" s="469">
        <f t="shared" si="269"/>
        <v>926970</v>
      </c>
      <c r="AT90" s="460">
        <f t="shared" si="270"/>
        <v>684577</v>
      </c>
      <c r="AU90" s="460">
        <f t="shared" si="271"/>
        <v>0</v>
      </c>
      <c r="AV90" s="460">
        <f t="shared" si="272"/>
        <v>231387</v>
      </c>
      <c r="AW90" s="460">
        <f t="shared" si="272"/>
        <v>6846</v>
      </c>
      <c r="AX90" s="460">
        <f t="shared" si="273"/>
        <v>4160</v>
      </c>
      <c r="AY90" s="461">
        <f t="shared" si="274"/>
        <v>2.2000000000000002</v>
      </c>
      <c r="AZ90" s="461">
        <f t="shared" si="275"/>
        <v>0</v>
      </c>
      <c r="BA90" s="463">
        <f t="shared" si="275"/>
        <v>2.2000000000000002</v>
      </c>
    </row>
    <row r="91" spans="1:53" ht="12.95" customHeight="1" x14ac:dyDescent="0.25">
      <c r="A91" s="299">
        <v>16</v>
      </c>
      <c r="B91" s="300">
        <v>4487</v>
      </c>
      <c r="C91" s="300">
        <v>600074854</v>
      </c>
      <c r="D91" s="300">
        <v>70698503</v>
      </c>
      <c r="E91" s="302" t="s">
        <v>355</v>
      </c>
      <c r="F91" s="300">
        <v>3143</v>
      </c>
      <c r="G91" s="303" t="s">
        <v>616</v>
      </c>
      <c r="H91" s="303" t="s">
        <v>277</v>
      </c>
      <c r="I91" s="462">
        <f t="shared" si="254"/>
        <v>1230043</v>
      </c>
      <c r="J91" s="457">
        <v>912495</v>
      </c>
      <c r="K91" s="457">
        <f t="shared" si="255"/>
        <v>308423</v>
      </c>
      <c r="L91" s="457">
        <f t="shared" si="256"/>
        <v>9125</v>
      </c>
      <c r="M91" s="457">
        <v>0</v>
      </c>
      <c r="N91" s="748">
        <f t="shared" si="257"/>
        <v>2</v>
      </c>
      <c r="O91" s="749">
        <v>2</v>
      </c>
      <c r="P91" s="750">
        <v>0</v>
      </c>
      <c r="Q91" s="469">
        <f t="shared" si="258"/>
        <v>0</v>
      </c>
      <c r="R91" s="460">
        <v>0</v>
      </c>
      <c r="S91" s="673">
        <v>0</v>
      </c>
      <c r="T91" s="460">
        <v>0</v>
      </c>
      <c r="U91" s="460">
        <v>0</v>
      </c>
      <c r="V91" s="460">
        <f t="shared" si="259"/>
        <v>0</v>
      </c>
      <c r="W91" s="460">
        <v>0</v>
      </c>
      <c r="X91" s="460">
        <v>0</v>
      </c>
      <c r="Y91" s="460">
        <v>0</v>
      </c>
      <c r="Z91" s="460">
        <f t="shared" si="260"/>
        <v>0</v>
      </c>
      <c r="AA91" s="460">
        <f t="shared" si="261"/>
        <v>0</v>
      </c>
      <c r="AB91" s="69">
        <f t="shared" si="262"/>
        <v>0</v>
      </c>
      <c r="AC91" s="69">
        <f t="shared" si="263"/>
        <v>0</v>
      </c>
      <c r="AD91" s="460">
        <v>0</v>
      </c>
      <c r="AE91" s="460">
        <v>0</v>
      </c>
      <c r="AF91" s="460">
        <f t="shared" si="264"/>
        <v>0</v>
      </c>
      <c r="AG91" s="460">
        <f t="shared" si="265"/>
        <v>0</v>
      </c>
      <c r="AH91" s="461">
        <v>0</v>
      </c>
      <c r="AI91" s="461">
        <v>0</v>
      </c>
      <c r="AJ91" s="461">
        <v>0</v>
      </c>
      <c r="AK91" s="461">
        <v>0</v>
      </c>
      <c r="AL91" s="674">
        <v>0</v>
      </c>
      <c r="AM91" s="461">
        <v>0</v>
      </c>
      <c r="AN91" s="461">
        <v>0</v>
      </c>
      <c r="AO91" s="461">
        <v>0</v>
      </c>
      <c r="AP91" s="461">
        <f t="shared" si="266"/>
        <v>0</v>
      </c>
      <c r="AQ91" s="461">
        <f t="shared" si="267"/>
        <v>0</v>
      </c>
      <c r="AR91" s="463">
        <f t="shared" si="268"/>
        <v>0</v>
      </c>
      <c r="AS91" s="469">
        <f t="shared" si="269"/>
        <v>1230043</v>
      </c>
      <c r="AT91" s="460">
        <f t="shared" si="270"/>
        <v>912495</v>
      </c>
      <c r="AU91" s="460">
        <f t="shared" si="271"/>
        <v>0</v>
      </c>
      <c r="AV91" s="460">
        <f t="shared" si="272"/>
        <v>308423</v>
      </c>
      <c r="AW91" s="460">
        <f t="shared" si="272"/>
        <v>9125</v>
      </c>
      <c r="AX91" s="460">
        <f t="shared" si="273"/>
        <v>0</v>
      </c>
      <c r="AY91" s="461">
        <f t="shared" si="274"/>
        <v>2</v>
      </c>
      <c r="AZ91" s="461">
        <f t="shared" si="275"/>
        <v>2</v>
      </c>
      <c r="BA91" s="463">
        <f t="shared" si="275"/>
        <v>0</v>
      </c>
    </row>
    <row r="92" spans="1:53" ht="12.95" customHeight="1" x14ac:dyDescent="0.25">
      <c r="A92" s="299">
        <v>16</v>
      </c>
      <c r="B92" s="300">
        <v>4487</v>
      </c>
      <c r="C92" s="300">
        <v>600074854</v>
      </c>
      <c r="D92" s="300">
        <v>70698503</v>
      </c>
      <c r="E92" s="302" t="s">
        <v>355</v>
      </c>
      <c r="F92" s="300">
        <v>3143</v>
      </c>
      <c r="G92" s="303" t="s">
        <v>617</v>
      </c>
      <c r="H92" s="303" t="s">
        <v>278</v>
      </c>
      <c r="I92" s="462">
        <f t="shared" si="254"/>
        <v>36650</v>
      </c>
      <c r="J92" s="457">
        <v>26187</v>
      </c>
      <c r="K92" s="457">
        <f t="shared" si="255"/>
        <v>8851</v>
      </c>
      <c r="L92" s="457">
        <f t="shared" si="256"/>
        <v>262</v>
      </c>
      <c r="M92" s="457">
        <v>1350</v>
      </c>
      <c r="N92" s="748">
        <f t="shared" si="257"/>
        <v>0.1</v>
      </c>
      <c r="O92" s="749">
        <v>0</v>
      </c>
      <c r="P92" s="750">
        <v>0.1</v>
      </c>
      <c r="Q92" s="469">
        <f t="shared" si="258"/>
        <v>0</v>
      </c>
      <c r="R92" s="460">
        <v>0</v>
      </c>
      <c r="S92" s="673">
        <v>0</v>
      </c>
      <c r="T92" s="460">
        <v>0</v>
      </c>
      <c r="U92" s="460">
        <v>0</v>
      </c>
      <c r="V92" s="460">
        <f t="shared" si="259"/>
        <v>0</v>
      </c>
      <c r="W92" s="460">
        <v>0</v>
      </c>
      <c r="X92" s="460">
        <v>0</v>
      </c>
      <c r="Y92" s="460">
        <v>0</v>
      </c>
      <c r="Z92" s="460">
        <f t="shared" si="260"/>
        <v>0</v>
      </c>
      <c r="AA92" s="460">
        <f t="shared" si="261"/>
        <v>0</v>
      </c>
      <c r="AB92" s="69">
        <f t="shared" si="262"/>
        <v>0</v>
      </c>
      <c r="AC92" s="69">
        <f t="shared" si="263"/>
        <v>0</v>
      </c>
      <c r="AD92" s="460">
        <v>0</v>
      </c>
      <c r="AE92" s="460">
        <v>0</v>
      </c>
      <c r="AF92" s="460">
        <f t="shared" si="264"/>
        <v>0</v>
      </c>
      <c r="AG92" s="460">
        <f t="shared" si="265"/>
        <v>0</v>
      </c>
      <c r="AH92" s="461">
        <v>0</v>
      </c>
      <c r="AI92" s="461">
        <v>0</v>
      </c>
      <c r="AJ92" s="461">
        <v>0</v>
      </c>
      <c r="AK92" s="461">
        <v>0</v>
      </c>
      <c r="AL92" s="674">
        <v>0</v>
      </c>
      <c r="AM92" s="461">
        <v>0</v>
      </c>
      <c r="AN92" s="461">
        <v>0</v>
      </c>
      <c r="AO92" s="461">
        <v>0</v>
      </c>
      <c r="AP92" s="461">
        <f t="shared" si="266"/>
        <v>0</v>
      </c>
      <c r="AQ92" s="461">
        <f t="shared" si="267"/>
        <v>0</v>
      </c>
      <c r="AR92" s="463">
        <f t="shared" si="268"/>
        <v>0</v>
      </c>
      <c r="AS92" s="469">
        <f t="shared" si="269"/>
        <v>36650</v>
      </c>
      <c r="AT92" s="460">
        <f t="shared" si="270"/>
        <v>26187</v>
      </c>
      <c r="AU92" s="460">
        <f t="shared" si="271"/>
        <v>0</v>
      </c>
      <c r="AV92" s="460">
        <f t="shared" si="272"/>
        <v>8851</v>
      </c>
      <c r="AW92" s="460">
        <f t="shared" si="272"/>
        <v>262</v>
      </c>
      <c r="AX92" s="460">
        <f t="shared" si="273"/>
        <v>1350</v>
      </c>
      <c r="AY92" s="461">
        <f t="shared" si="274"/>
        <v>0.1</v>
      </c>
      <c r="AZ92" s="461">
        <f t="shared" si="275"/>
        <v>0</v>
      </c>
      <c r="BA92" s="463">
        <f t="shared" si="275"/>
        <v>0.1</v>
      </c>
    </row>
    <row r="93" spans="1:53" ht="12.95" customHeight="1" x14ac:dyDescent="0.25">
      <c r="A93" s="292">
        <v>16</v>
      </c>
      <c r="B93" s="294">
        <v>4487</v>
      </c>
      <c r="C93" s="294">
        <v>600074854</v>
      </c>
      <c r="D93" s="294">
        <v>70698503</v>
      </c>
      <c r="E93" s="307" t="s">
        <v>356</v>
      </c>
      <c r="F93" s="310"/>
      <c r="G93" s="311"/>
      <c r="H93" s="311"/>
      <c r="I93" s="537">
        <f t="shared" ref="I93:BA93" si="276">SUM(I87:I92)</f>
        <v>9215882</v>
      </c>
      <c r="J93" s="534">
        <f t="shared" si="276"/>
        <v>6763629</v>
      </c>
      <c r="K93" s="534">
        <f t="shared" si="276"/>
        <v>2286106</v>
      </c>
      <c r="L93" s="534">
        <f t="shared" si="276"/>
        <v>67637</v>
      </c>
      <c r="M93" s="534">
        <f t="shared" si="276"/>
        <v>98510</v>
      </c>
      <c r="N93" s="757">
        <f t="shared" si="276"/>
        <v>14.768799999999997</v>
      </c>
      <c r="O93" s="757">
        <f t="shared" si="276"/>
        <v>10.045500000000001</v>
      </c>
      <c r="P93" s="759">
        <f t="shared" si="276"/>
        <v>4.7233000000000001</v>
      </c>
      <c r="Q93" s="539">
        <f t="shared" si="276"/>
        <v>-130000</v>
      </c>
      <c r="R93" s="534">
        <f t="shared" si="276"/>
        <v>779505</v>
      </c>
      <c r="S93" s="534">
        <f t="shared" si="276"/>
        <v>0</v>
      </c>
      <c r="T93" s="534">
        <f t="shared" si="276"/>
        <v>0</v>
      </c>
      <c r="U93" s="534">
        <f t="shared" si="276"/>
        <v>0</v>
      </c>
      <c r="V93" s="534">
        <f t="shared" si="276"/>
        <v>649505</v>
      </c>
      <c r="W93" s="534">
        <f t="shared" si="276"/>
        <v>130000</v>
      </c>
      <c r="X93" s="534">
        <f t="shared" si="276"/>
        <v>0</v>
      </c>
      <c r="Y93" s="534">
        <f t="shared" si="276"/>
        <v>0</v>
      </c>
      <c r="Z93" s="534">
        <f t="shared" si="276"/>
        <v>130000</v>
      </c>
      <c r="AA93" s="534">
        <f t="shared" si="276"/>
        <v>779505</v>
      </c>
      <c r="AB93" s="534">
        <f t="shared" si="276"/>
        <v>263473</v>
      </c>
      <c r="AC93" s="534">
        <f t="shared" si="276"/>
        <v>6495</v>
      </c>
      <c r="AD93" s="534">
        <f t="shared" si="276"/>
        <v>0</v>
      </c>
      <c r="AE93" s="534">
        <f t="shared" si="276"/>
        <v>0</v>
      </c>
      <c r="AF93" s="534">
        <f t="shared" si="276"/>
        <v>0</v>
      </c>
      <c r="AG93" s="534">
        <f t="shared" si="276"/>
        <v>1049473</v>
      </c>
      <c r="AH93" s="535">
        <f t="shared" si="276"/>
        <v>0</v>
      </c>
      <c r="AI93" s="535">
        <f t="shared" si="276"/>
        <v>-0.31</v>
      </c>
      <c r="AJ93" s="535">
        <f t="shared" si="276"/>
        <v>2.25</v>
      </c>
      <c r="AK93" s="535">
        <f t="shared" si="276"/>
        <v>0</v>
      </c>
      <c r="AL93" s="535">
        <f t="shared" si="276"/>
        <v>0</v>
      </c>
      <c r="AM93" s="535">
        <f t="shared" si="276"/>
        <v>0</v>
      </c>
      <c r="AN93" s="535">
        <f t="shared" si="276"/>
        <v>0</v>
      </c>
      <c r="AO93" s="535">
        <f t="shared" si="276"/>
        <v>0</v>
      </c>
      <c r="AP93" s="535">
        <f t="shared" si="276"/>
        <v>2.25</v>
      </c>
      <c r="AQ93" s="535">
        <f t="shared" si="276"/>
        <v>-0.31</v>
      </c>
      <c r="AR93" s="309">
        <f t="shared" si="276"/>
        <v>1.94</v>
      </c>
      <c r="AS93" s="539">
        <f t="shared" si="276"/>
        <v>10265355</v>
      </c>
      <c r="AT93" s="534">
        <f t="shared" si="276"/>
        <v>7413134</v>
      </c>
      <c r="AU93" s="534">
        <f t="shared" si="276"/>
        <v>130000</v>
      </c>
      <c r="AV93" s="534">
        <f t="shared" si="276"/>
        <v>2549579</v>
      </c>
      <c r="AW93" s="534">
        <f t="shared" si="276"/>
        <v>74132</v>
      </c>
      <c r="AX93" s="534">
        <f t="shared" si="276"/>
        <v>98510</v>
      </c>
      <c r="AY93" s="535">
        <f t="shared" si="276"/>
        <v>16.7088</v>
      </c>
      <c r="AZ93" s="535">
        <f t="shared" si="276"/>
        <v>12.295500000000001</v>
      </c>
      <c r="BA93" s="309">
        <f t="shared" si="276"/>
        <v>4.4132999999999996</v>
      </c>
    </row>
    <row r="94" spans="1:53" ht="12.95" customHeight="1" x14ac:dyDescent="0.25">
      <c r="A94" s="299">
        <v>17</v>
      </c>
      <c r="B94" s="300">
        <v>4488</v>
      </c>
      <c r="C94" s="300">
        <v>600074803</v>
      </c>
      <c r="D94" s="300">
        <v>72742089</v>
      </c>
      <c r="E94" s="302" t="s">
        <v>357</v>
      </c>
      <c r="F94" s="300">
        <v>3111</v>
      </c>
      <c r="G94" s="303" t="s">
        <v>321</v>
      </c>
      <c r="H94" s="303" t="s">
        <v>277</v>
      </c>
      <c r="I94" s="462">
        <f t="shared" ref="I94:I99" si="277">SUM(J94:M94)</f>
        <v>1552546</v>
      </c>
      <c r="J94" s="457">
        <v>1145509</v>
      </c>
      <c r="K94" s="457">
        <f t="shared" ref="K94:K99" si="278">ROUND(J94*33.8%,0)</f>
        <v>387182</v>
      </c>
      <c r="L94" s="457">
        <f t="shared" ref="L94:L99" si="279">ROUND(J94*1%,0)</f>
        <v>11455</v>
      </c>
      <c r="M94" s="457">
        <v>8400</v>
      </c>
      <c r="N94" s="748">
        <f t="shared" ref="N94:N99" si="280">O94+P94</f>
        <v>2.4</v>
      </c>
      <c r="O94" s="749">
        <v>2</v>
      </c>
      <c r="P94" s="750">
        <v>0.4</v>
      </c>
      <c r="Q94" s="469">
        <f t="shared" ref="Q94:Q99" si="281">W94*-1</f>
        <v>-20345</v>
      </c>
      <c r="R94" s="460">
        <v>0</v>
      </c>
      <c r="S94" s="673">
        <v>0</v>
      </c>
      <c r="T94" s="460">
        <v>0</v>
      </c>
      <c r="U94" s="460">
        <v>0</v>
      </c>
      <c r="V94" s="460">
        <f t="shared" ref="V94:V99" si="282">SUM(Q94:U94)</f>
        <v>-20345</v>
      </c>
      <c r="W94" s="460">
        <v>20345</v>
      </c>
      <c r="X94" s="460">
        <v>0</v>
      </c>
      <c r="Y94" s="460">
        <v>0</v>
      </c>
      <c r="Z94" s="460">
        <f t="shared" ref="Z94:Z99" si="283">SUM(W94:Y94)</f>
        <v>20345</v>
      </c>
      <c r="AA94" s="460">
        <f t="shared" ref="AA94:AA99" si="284">V94+Z94</f>
        <v>0</v>
      </c>
      <c r="AB94" s="69">
        <f t="shared" ref="AB94:AB99" si="285">ROUND((V94+W94+X94)*33.8%,0)</f>
        <v>0</v>
      </c>
      <c r="AC94" s="69">
        <f t="shared" ref="AC94:AC99" si="286">ROUND(V94*1%,0)</f>
        <v>-203</v>
      </c>
      <c r="AD94" s="460">
        <v>0</v>
      </c>
      <c r="AE94" s="460">
        <v>0</v>
      </c>
      <c r="AF94" s="460">
        <f t="shared" ref="AF94:AF99" si="287">SUM(AD94:AE94)</f>
        <v>0</v>
      </c>
      <c r="AG94" s="460">
        <f t="shared" ref="AG94:AG99" si="288">AA94+AB94+AC94+AF94</f>
        <v>-203</v>
      </c>
      <c r="AH94" s="461">
        <v>0</v>
      </c>
      <c r="AI94" s="461">
        <v>0</v>
      </c>
      <c r="AJ94" s="461">
        <v>0</v>
      </c>
      <c r="AK94" s="461">
        <v>0</v>
      </c>
      <c r="AL94" s="674">
        <v>0</v>
      </c>
      <c r="AM94" s="461">
        <v>0</v>
      </c>
      <c r="AN94" s="461">
        <v>0</v>
      </c>
      <c r="AO94" s="461">
        <v>0</v>
      </c>
      <c r="AP94" s="461">
        <f t="shared" ref="AP94:AP99" si="289">AH94+AJ94+AK94+AM94+AN94</f>
        <v>0</v>
      </c>
      <c r="AQ94" s="461">
        <f t="shared" ref="AQ94:AQ99" si="290">AI94+AL94+AO94</f>
        <v>0</v>
      </c>
      <c r="AR94" s="463">
        <f t="shared" ref="AR94:AR99" si="291">SUM(AP94:AQ94)</f>
        <v>0</v>
      </c>
      <c r="AS94" s="469">
        <f t="shared" ref="AS94:AS99" si="292">I94+AG94</f>
        <v>1552343</v>
      </c>
      <c r="AT94" s="460">
        <f t="shared" ref="AT94:AT99" si="293">J94+V94</f>
        <v>1125164</v>
      </c>
      <c r="AU94" s="460">
        <f t="shared" ref="AU94:AU99" si="294">Z94</f>
        <v>20345</v>
      </c>
      <c r="AV94" s="460">
        <f t="shared" ref="AV94:AW99" si="295">K94+AB94</f>
        <v>387182</v>
      </c>
      <c r="AW94" s="460">
        <f t="shared" si="295"/>
        <v>11252</v>
      </c>
      <c r="AX94" s="460">
        <f t="shared" ref="AX94:AX99" si="296">M94+AF94</f>
        <v>8400</v>
      </c>
      <c r="AY94" s="461">
        <f t="shared" ref="AY94:AY99" si="297">N94+AR94</f>
        <v>2.4</v>
      </c>
      <c r="AZ94" s="461">
        <f t="shared" ref="AZ94:BA99" si="298">O94+AP94</f>
        <v>2</v>
      </c>
      <c r="BA94" s="463">
        <f t="shared" si="298"/>
        <v>0.4</v>
      </c>
    </row>
    <row r="95" spans="1:53" ht="12.95" customHeight="1" x14ac:dyDescent="0.25">
      <c r="A95" s="299">
        <v>17</v>
      </c>
      <c r="B95" s="300">
        <v>4488</v>
      </c>
      <c r="C95" s="300">
        <v>600074803</v>
      </c>
      <c r="D95" s="300">
        <v>72742089</v>
      </c>
      <c r="E95" s="302" t="s">
        <v>357</v>
      </c>
      <c r="F95" s="300">
        <v>3117</v>
      </c>
      <c r="G95" s="303" t="s">
        <v>325</v>
      </c>
      <c r="H95" s="303" t="s">
        <v>277</v>
      </c>
      <c r="I95" s="462">
        <f t="shared" si="277"/>
        <v>3255692</v>
      </c>
      <c r="J95" s="457">
        <v>2385658</v>
      </c>
      <c r="K95" s="457">
        <f t="shared" si="278"/>
        <v>806352</v>
      </c>
      <c r="L95" s="457">
        <f t="shared" si="279"/>
        <v>23857</v>
      </c>
      <c r="M95" s="457">
        <v>39825</v>
      </c>
      <c r="N95" s="748">
        <f t="shared" si="280"/>
        <v>4.3190999999999997</v>
      </c>
      <c r="O95" s="749">
        <v>3.2726999999999999</v>
      </c>
      <c r="P95" s="750">
        <v>1.0464</v>
      </c>
      <c r="Q95" s="469">
        <f t="shared" si="281"/>
        <v>-11375</v>
      </c>
      <c r="R95" s="460">
        <v>0</v>
      </c>
      <c r="S95" s="673">
        <v>0</v>
      </c>
      <c r="T95" s="460">
        <v>0</v>
      </c>
      <c r="U95" s="460">
        <v>0</v>
      </c>
      <c r="V95" s="460">
        <f t="shared" si="282"/>
        <v>-11375</v>
      </c>
      <c r="W95" s="460">
        <v>11375</v>
      </c>
      <c r="X95" s="460">
        <v>49520</v>
      </c>
      <c r="Y95" s="460">
        <v>21321</v>
      </c>
      <c r="Z95" s="460">
        <f t="shared" si="283"/>
        <v>82216</v>
      </c>
      <c r="AA95" s="460">
        <f t="shared" si="284"/>
        <v>70841</v>
      </c>
      <c r="AB95" s="69">
        <f t="shared" si="285"/>
        <v>16738</v>
      </c>
      <c r="AC95" s="69">
        <f t="shared" si="286"/>
        <v>-114</v>
      </c>
      <c r="AD95" s="460">
        <v>0</v>
      </c>
      <c r="AE95" s="460">
        <v>0</v>
      </c>
      <c r="AF95" s="460">
        <f t="shared" si="287"/>
        <v>0</v>
      </c>
      <c r="AG95" s="460">
        <f t="shared" si="288"/>
        <v>87465</v>
      </c>
      <c r="AH95" s="461">
        <v>-0.02</v>
      </c>
      <c r="AI95" s="461">
        <v>0</v>
      </c>
      <c r="AJ95" s="461">
        <v>0</v>
      </c>
      <c r="AK95" s="461">
        <v>0</v>
      </c>
      <c r="AL95" s="674">
        <v>0</v>
      </c>
      <c r="AM95" s="461">
        <v>0</v>
      </c>
      <c r="AN95" s="461">
        <v>0</v>
      </c>
      <c r="AO95" s="461">
        <v>0</v>
      </c>
      <c r="AP95" s="461">
        <f t="shared" si="289"/>
        <v>-0.02</v>
      </c>
      <c r="AQ95" s="461">
        <f t="shared" si="290"/>
        <v>0</v>
      </c>
      <c r="AR95" s="463">
        <f t="shared" si="291"/>
        <v>-0.02</v>
      </c>
      <c r="AS95" s="469">
        <f t="shared" si="292"/>
        <v>3343157</v>
      </c>
      <c r="AT95" s="460">
        <f t="shared" si="293"/>
        <v>2374283</v>
      </c>
      <c r="AU95" s="460">
        <f t="shared" si="294"/>
        <v>82216</v>
      </c>
      <c r="AV95" s="460">
        <f t="shared" si="295"/>
        <v>823090</v>
      </c>
      <c r="AW95" s="460">
        <f t="shared" si="295"/>
        <v>23743</v>
      </c>
      <c r="AX95" s="460">
        <f t="shared" si="296"/>
        <v>39825</v>
      </c>
      <c r="AY95" s="461">
        <f t="shared" si="297"/>
        <v>4.2991000000000001</v>
      </c>
      <c r="AZ95" s="461">
        <f t="shared" si="298"/>
        <v>3.2526999999999999</v>
      </c>
      <c r="BA95" s="463">
        <f t="shared" si="298"/>
        <v>1.0464</v>
      </c>
    </row>
    <row r="96" spans="1:53" ht="12.95" customHeight="1" x14ac:dyDescent="0.25">
      <c r="A96" s="299">
        <v>17</v>
      </c>
      <c r="B96" s="300">
        <v>4488</v>
      </c>
      <c r="C96" s="300">
        <v>600074803</v>
      </c>
      <c r="D96" s="300">
        <v>72742089</v>
      </c>
      <c r="E96" s="302" t="s">
        <v>357</v>
      </c>
      <c r="F96" s="300">
        <v>3117</v>
      </c>
      <c r="G96" s="303" t="s">
        <v>315</v>
      </c>
      <c r="H96" s="303" t="s">
        <v>278</v>
      </c>
      <c r="I96" s="462">
        <f t="shared" si="277"/>
        <v>0</v>
      </c>
      <c r="J96" s="457">
        <v>0</v>
      </c>
      <c r="K96" s="457">
        <f t="shared" si="278"/>
        <v>0</v>
      </c>
      <c r="L96" s="457">
        <f t="shared" si="279"/>
        <v>0</v>
      </c>
      <c r="M96" s="457">
        <v>0</v>
      </c>
      <c r="N96" s="748">
        <f t="shared" si="280"/>
        <v>0</v>
      </c>
      <c r="O96" s="749">
        <v>0</v>
      </c>
      <c r="P96" s="750">
        <v>0</v>
      </c>
      <c r="Q96" s="469">
        <f t="shared" si="281"/>
        <v>0</v>
      </c>
      <c r="R96" s="460">
        <v>386857</v>
      </c>
      <c r="S96" s="673">
        <v>0</v>
      </c>
      <c r="T96" s="460">
        <v>0</v>
      </c>
      <c r="U96" s="460">
        <v>0</v>
      </c>
      <c r="V96" s="460">
        <f t="shared" si="282"/>
        <v>386857</v>
      </c>
      <c r="W96" s="460">
        <v>0</v>
      </c>
      <c r="X96" s="460">
        <v>0</v>
      </c>
      <c r="Y96" s="460">
        <v>0</v>
      </c>
      <c r="Z96" s="460">
        <f t="shared" si="283"/>
        <v>0</v>
      </c>
      <c r="AA96" s="460">
        <f t="shared" si="284"/>
        <v>386857</v>
      </c>
      <c r="AB96" s="69">
        <f t="shared" si="285"/>
        <v>130758</v>
      </c>
      <c r="AC96" s="69">
        <f t="shared" si="286"/>
        <v>3869</v>
      </c>
      <c r="AD96" s="460">
        <v>0</v>
      </c>
      <c r="AE96" s="460">
        <v>0</v>
      </c>
      <c r="AF96" s="460">
        <f t="shared" si="287"/>
        <v>0</v>
      </c>
      <c r="AG96" s="460">
        <f t="shared" si="288"/>
        <v>521484</v>
      </c>
      <c r="AH96" s="461">
        <v>0</v>
      </c>
      <c r="AI96" s="461">
        <v>0</v>
      </c>
      <c r="AJ96" s="461">
        <v>1.25</v>
      </c>
      <c r="AK96" s="461">
        <v>0</v>
      </c>
      <c r="AL96" s="674">
        <v>0</v>
      </c>
      <c r="AM96" s="461">
        <v>0</v>
      </c>
      <c r="AN96" s="461">
        <v>0</v>
      </c>
      <c r="AO96" s="461">
        <v>0</v>
      </c>
      <c r="AP96" s="461">
        <f t="shared" si="289"/>
        <v>1.25</v>
      </c>
      <c r="AQ96" s="461">
        <f t="shared" si="290"/>
        <v>0</v>
      </c>
      <c r="AR96" s="463">
        <f t="shared" si="291"/>
        <v>1.25</v>
      </c>
      <c r="AS96" s="469">
        <f t="shared" si="292"/>
        <v>521484</v>
      </c>
      <c r="AT96" s="460">
        <f t="shared" si="293"/>
        <v>386857</v>
      </c>
      <c r="AU96" s="460">
        <f t="shared" si="294"/>
        <v>0</v>
      </c>
      <c r="AV96" s="460">
        <f t="shared" si="295"/>
        <v>130758</v>
      </c>
      <c r="AW96" s="460">
        <f t="shared" si="295"/>
        <v>3869</v>
      </c>
      <c r="AX96" s="460">
        <f t="shared" si="296"/>
        <v>0</v>
      </c>
      <c r="AY96" s="461">
        <f t="shared" si="297"/>
        <v>1.25</v>
      </c>
      <c r="AZ96" s="461">
        <f t="shared" si="298"/>
        <v>1.25</v>
      </c>
      <c r="BA96" s="463">
        <f t="shared" si="298"/>
        <v>0</v>
      </c>
    </row>
    <row r="97" spans="1:53" ht="12.95" customHeight="1" x14ac:dyDescent="0.25">
      <c r="A97" s="299">
        <v>17</v>
      </c>
      <c r="B97" s="300">
        <v>4488</v>
      </c>
      <c r="C97" s="300">
        <v>600074803</v>
      </c>
      <c r="D97" s="300">
        <v>72742089</v>
      </c>
      <c r="E97" s="302" t="s">
        <v>357</v>
      </c>
      <c r="F97" s="300">
        <v>3141</v>
      </c>
      <c r="G97" s="303" t="s">
        <v>311</v>
      </c>
      <c r="H97" s="303" t="s">
        <v>278</v>
      </c>
      <c r="I97" s="462">
        <f t="shared" si="277"/>
        <v>266492</v>
      </c>
      <c r="J97" s="457">
        <v>196458</v>
      </c>
      <c r="K97" s="457">
        <f t="shared" si="278"/>
        <v>66403</v>
      </c>
      <c r="L97" s="457">
        <f t="shared" si="279"/>
        <v>1965</v>
      </c>
      <c r="M97" s="457">
        <v>1666</v>
      </c>
      <c r="N97" s="748">
        <f t="shared" si="280"/>
        <v>0.63</v>
      </c>
      <c r="O97" s="749">
        <v>0</v>
      </c>
      <c r="P97" s="750">
        <v>0.63</v>
      </c>
      <c r="Q97" s="469">
        <f t="shared" si="281"/>
        <v>0</v>
      </c>
      <c r="R97" s="460">
        <v>0</v>
      </c>
      <c r="S97" s="673">
        <v>0</v>
      </c>
      <c r="T97" s="460">
        <v>0</v>
      </c>
      <c r="U97" s="460">
        <v>0</v>
      </c>
      <c r="V97" s="460">
        <f t="shared" si="282"/>
        <v>0</v>
      </c>
      <c r="W97" s="460">
        <v>0</v>
      </c>
      <c r="X97" s="460">
        <v>0</v>
      </c>
      <c r="Y97" s="460">
        <v>0</v>
      </c>
      <c r="Z97" s="460">
        <f t="shared" si="283"/>
        <v>0</v>
      </c>
      <c r="AA97" s="460">
        <f t="shared" si="284"/>
        <v>0</v>
      </c>
      <c r="AB97" s="69">
        <f t="shared" si="285"/>
        <v>0</v>
      </c>
      <c r="AC97" s="69">
        <f t="shared" si="286"/>
        <v>0</v>
      </c>
      <c r="AD97" s="460">
        <v>0</v>
      </c>
      <c r="AE97" s="460">
        <v>0</v>
      </c>
      <c r="AF97" s="460">
        <f t="shared" si="287"/>
        <v>0</v>
      </c>
      <c r="AG97" s="460">
        <f t="shared" si="288"/>
        <v>0</v>
      </c>
      <c r="AH97" s="461">
        <v>0</v>
      </c>
      <c r="AI97" s="461">
        <v>0</v>
      </c>
      <c r="AJ97" s="461">
        <v>0</v>
      </c>
      <c r="AK97" s="461">
        <v>0</v>
      </c>
      <c r="AL97" s="674">
        <v>0</v>
      </c>
      <c r="AM97" s="461">
        <v>0</v>
      </c>
      <c r="AN97" s="461">
        <v>0</v>
      </c>
      <c r="AO97" s="461">
        <v>0</v>
      </c>
      <c r="AP97" s="461">
        <f t="shared" si="289"/>
        <v>0</v>
      </c>
      <c r="AQ97" s="461">
        <f t="shared" si="290"/>
        <v>0</v>
      </c>
      <c r="AR97" s="463">
        <f t="shared" si="291"/>
        <v>0</v>
      </c>
      <c r="AS97" s="469">
        <f t="shared" si="292"/>
        <v>266492</v>
      </c>
      <c r="AT97" s="460">
        <f t="shared" si="293"/>
        <v>196458</v>
      </c>
      <c r="AU97" s="460">
        <f t="shared" si="294"/>
        <v>0</v>
      </c>
      <c r="AV97" s="460">
        <f t="shared" si="295"/>
        <v>66403</v>
      </c>
      <c r="AW97" s="460">
        <f t="shared" si="295"/>
        <v>1965</v>
      </c>
      <c r="AX97" s="460">
        <f t="shared" si="296"/>
        <v>1666</v>
      </c>
      <c r="AY97" s="461">
        <f t="shared" si="297"/>
        <v>0.63</v>
      </c>
      <c r="AZ97" s="461">
        <f t="shared" si="298"/>
        <v>0</v>
      </c>
      <c r="BA97" s="463">
        <f t="shared" si="298"/>
        <v>0.63</v>
      </c>
    </row>
    <row r="98" spans="1:53" ht="12.95" customHeight="1" x14ac:dyDescent="0.25">
      <c r="A98" s="299">
        <v>17</v>
      </c>
      <c r="B98" s="300">
        <v>4488</v>
      </c>
      <c r="C98" s="300">
        <v>600074803</v>
      </c>
      <c r="D98" s="300">
        <v>72742089</v>
      </c>
      <c r="E98" s="302" t="s">
        <v>357</v>
      </c>
      <c r="F98" s="300">
        <v>3143</v>
      </c>
      <c r="G98" s="303" t="s">
        <v>616</v>
      </c>
      <c r="H98" s="303" t="s">
        <v>277</v>
      </c>
      <c r="I98" s="462">
        <f t="shared" si="277"/>
        <v>567284</v>
      </c>
      <c r="J98" s="457">
        <v>420834</v>
      </c>
      <c r="K98" s="457">
        <f t="shared" si="278"/>
        <v>142242</v>
      </c>
      <c r="L98" s="457">
        <f t="shared" si="279"/>
        <v>4208</v>
      </c>
      <c r="M98" s="457">
        <v>0</v>
      </c>
      <c r="N98" s="748">
        <f t="shared" si="280"/>
        <v>0.86209999999999998</v>
      </c>
      <c r="O98" s="749">
        <v>0.86209999999999998</v>
      </c>
      <c r="P98" s="750">
        <v>0</v>
      </c>
      <c r="Q98" s="469">
        <f t="shared" si="281"/>
        <v>0</v>
      </c>
      <c r="R98" s="460">
        <v>0</v>
      </c>
      <c r="S98" s="673">
        <v>0</v>
      </c>
      <c r="T98" s="460">
        <v>0</v>
      </c>
      <c r="U98" s="460">
        <v>0</v>
      </c>
      <c r="V98" s="460">
        <f t="shared" si="282"/>
        <v>0</v>
      </c>
      <c r="W98" s="460">
        <v>0</v>
      </c>
      <c r="X98" s="460">
        <v>0</v>
      </c>
      <c r="Y98" s="460">
        <v>0</v>
      </c>
      <c r="Z98" s="460">
        <f t="shared" si="283"/>
        <v>0</v>
      </c>
      <c r="AA98" s="460">
        <f t="shared" si="284"/>
        <v>0</v>
      </c>
      <c r="AB98" s="69">
        <f t="shared" si="285"/>
        <v>0</v>
      </c>
      <c r="AC98" s="69">
        <f t="shared" si="286"/>
        <v>0</v>
      </c>
      <c r="AD98" s="460">
        <v>0</v>
      </c>
      <c r="AE98" s="460">
        <v>0</v>
      </c>
      <c r="AF98" s="460">
        <f t="shared" si="287"/>
        <v>0</v>
      </c>
      <c r="AG98" s="460">
        <f t="shared" si="288"/>
        <v>0</v>
      </c>
      <c r="AH98" s="461">
        <v>0</v>
      </c>
      <c r="AI98" s="461">
        <v>0</v>
      </c>
      <c r="AJ98" s="461">
        <v>0</v>
      </c>
      <c r="AK98" s="461">
        <v>0</v>
      </c>
      <c r="AL98" s="674">
        <v>0</v>
      </c>
      <c r="AM98" s="461">
        <v>0</v>
      </c>
      <c r="AN98" s="461">
        <v>0</v>
      </c>
      <c r="AO98" s="461">
        <v>0</v>
      </c>
      <c r="AP98" s="461">
        <f t="shared" si="289"/>
        <v>0</v>
      </c>
      <c r="AQ98" s="461">
        <f t="shared" si="290"/>
        <v>0</v>
      </c>
      <c r="AR98" s="463">
        <f t="shared" si="291"/>
        <v>0</v>
      </c>
      <c r="AS98" s="469">
        <f t="shared" si="292"/>
        <v>567284</v>
      </c>
      <c r="AT98" s="460">
        <f t="shared" si="293"/>
        <v>420834</v>
      </c>
      <c r="AU98" s="460">
        <f t="shared" si="294"/>
        <v>0</v>
      </c>
      <c r="AV98" s="460">
        <f t="shared" si="295"/>
        <v>142242</v>
      </c>
      <c r="AW98" s="460">
        <f t="shared" si="295"/>
        <v>4208</v>
      </c>
      <c r="AX98" s="460">
        <f t="shared" si="296"/>
        <v>0</v>
      </c>
      <c r="AY98" s="461">
        <f t="shared" si="297"/>
        <v>0.86209999999999998</v>
      </c>
      <c r="AZ98" s="461">
        <f t="shared" si="298"/>
        <v>0.86209999999999998</v>
      </c>
      <c r="BA98" s="463">
        <f t="shared" si="298"/>
        <v>0</v>
      </c>
    </row>
    <row r="99" spans="1:53" ht="12.95" customHeight="1" x14ac:dyDescent="0.25">
      <c r="A99" s="299">
        <v>17</v>
      </c>
      <c r="B99" s="300">
        <v>4488</v>
      </c>
      <c r="C99" s="300">
        <v>600074803</v>
      </c>
      <c r="D99" s="300">
        <v>72742089</v>
      </c>
      <c r="E99" s="302" t="s">
        <v>357</v>
      </c>
      <c r="F99" s="300">
        <v>3143</v>
      </c>
      <c r="G99" s="303" t="s">
        <v>617</v>
      </c>
      <c r="H99" s="303" t="s">
        <v>278</v>
      </c>
      <c r="I99" s="462">
        <f t="shared" si="277"/>
        <v>16859</v>
      </c>
      <c r="J99" s="457">
        <v>12046</v>
      </c>
      <c r="K99" s="457">
        <f t="shared" si="278"/>
        <v>4072</v>
      </c>
      <c r="L99" s="457">
        <f t="shared" si="279"/>
        <v>120</v>
      </c>
      <c r="M99" s="457">
        <v>621</v>
      </c>
      <c r="N99" s="748">
        <f t="shared" si="280"/>
        <v>0.05</v>
      </c>
      <c r="O99" s="749">
        <v>0</v>
      </c>
      <c r="P99" s="750">
        <v>0.05</v>
      </c>
      <c r="Q99" s="469">
        <f t="shared" si="281"/>
        <v>0</v>
      </c>
      <c r="R99" s="460">
        <v>0</v>
      </c>
      <c r="S99" s="673">
        <v>0</v>
      </c>
      <c r="T99" s="460">
        <v>0</v>
      </c>
      <c r="U99" s="460">
        <v>0</v>
      </c>
      <c r="V99" s="460">
        <f t="shared" si="282"/>
        <v>0</v>
      </c>
      <c r="W99" s="460">
        <v>0</v>
      </c>
      <c r="X99" s="460">
        <v>0</v>
      </c>
      <c r="Y99" s="460">
        <v>0</v>
      </c>
      <c r="Z99" s="460">
        <f t="shared" si="283"/>
        <v>0</v>
      </c>
      <c r="AA99" s="460">
        <f t="shared" si="284"/>
        <v>0</v>
      </c>
      <c r="AB99" s="69">
        <f t="shared" si="285"/>
        <v>0</v>
      </c>
      <c r="AC99" s="69">
        <f t="shared" si="286"/>
        <v>0</v>
      </c>
      <c r="AD99" s="460">
        <v>0</v>
      </c>
      <c r="AE99" s="460">
        <v>0</v>
      </c>
      <c r="AF99" s="460">
        <f t="shared" si="287"/>
        <v>0</v>
      </c>
      <c r="AG99" s="460">
        <f t="shared" si="288"/>
        <v>0</v>
      </c>
      <c r="AH99" s="461">
        <v>0</v>
      </c>
      <c r="AI99" s="461">
        <v>0</v>
      </c>
      <c r="AJ99" s="461">
        <v>0</v>
      </c>
      <c r="AK99" s="461">
        <v>0</v>
      </c>
      <c r="AL99" s="674">
        <v>0</v>
      </c>
      <c r="AM99" s="461">
        <v>0</v>
      </c>
      <c r="AN99" s="461">
        <v>0</v>
      </c>
      <c r="AO99" s="461">
        <v>0</v>
      </c>
      <c r="AP99" s="461">
        <f t="shared" si="289"/>
        <v>0</v>
      </c>
      <c r="AQ99" s="461">
        <f t="shared" si="290"/>
        <v>0</v>
      </c>
      <c r="AR99" s="463">
        <f t="shared" si="291"/>
        <v>0</v>
      </c>
      <c r="AS99" s="469">
        <f t="shared" si="292"/>
        <v>16859</v>
      </c>
      <c r="AT99" s="460">
        <f t="shared" si="293"/>
        <v>12046</v>
      </c>
      <c r="AU99" s="460">
        <f t="shared" si="294"/>
        <v>0</v>
      </c>
      <c r="AV99" s="460">
        <f t="shared" si="295"/>
        <v>4072</v>
      </c>
      <c r="AW99" s="460">
        <f t="shared" si="295"/>
        <v>120</v>
      </c>
      <c r="AX99" s="460">
        <f t="shared" si="296"/>
        <v>621</v>
      </c>
      <c r="AY99" s="461">
        <f t="shared" si="297"/>
        <v>0.05</v>
      </c>
      <c r="AZ99" s="461">
        <f t="shared" si="298"/>
        <v>0</v>
      </c>
      <c r="BA99" s="463">
        <f t="shared" si="298"/>
        <v>0.05</v>
      </c>
    </row>
    <row r="100" spans="1:53" ht="12.95" customHeight="1" x14ac:dyDescent="0.25">
      <c r="A100" s="292">
        <v>17</v>
      </c>
      <c r="B100" s="294">
        <v>4488</v>
      </c>
      <c r="C100" s="294">
        <v>600074803</v>
      </c>
      <c r="D100" s="294">
        <v>72742089</v>
      </c>
      <c r="E100" s="307" t="s">
        <v>358</v>
      </c>
      <c r="F100" s="310"/>
      <c r="G100" s="311"/>
      <c r="H100" s="311"/>
      <c r="I100" s="537">
        <f t="shared" ref="I100:BA100" si="299">SUM(I94:I99)</f>
        <v>5658873</v>
      </c>
      <c r="J100" s="534">
        <f t="shared" si="299"/>
        <v>4160505</v>
      </c>
      <c r="K100" s="534">
        <f t="shared" si="299"/>
        <v>1406251</v>
      </c>
      <c r="L100" s="534">
        <f t="shared" si="299"/>
        <v>41605</v>
      </c>
      <c r="M100" s="534">
        <f t="shared" si="299"/>
        <v>50512</v>
      </c>
      <c r="N100" s="757">
        <f t="shared" si="299"/>
        <v>8.2612000000000005</v>
      </c>
      <c r="O100" s="757">
        <f t="shared" si="299"/>
        <v>6.1348000000000003</v>
      </c>
      <c r="P100" s="759">
        <f t="shared" si="299"/>
        <v>2.1263999999999998</v>
      </c>
      <c r="Q100" s="539">
        <f t="shared" si="299"/>
        <v>-31720</v>
      </c>
      <c r="R100" s="534">
        <f t="shared" si="299"/>
        <v>386857</v>
      </c>
      <c r="S100" s="534">
        <f t="shared" si="299"/>
        <v>0</v>
      </c>
      <c r="T100" s="534">
        <f t="shared" si="299"/>
        <v>0</v>
      </c>
      <c r="U100" s="534">
        <f t="shared" si="299"/>
        <v>0</v>
      </c>
      <c r="V100" s="534">
        <f t="shared" si="299"/>
        <v>355137</v>
      </c>
      <c r="W100" s="534">
        <f t="shared" si="299"/>
        <v>31720</v>
      </c>
      <c r="X100" s="534">
        <f t="shared" si="299"/>
        <v>49520</v>
      </c>
      <c r="Y100" s="534">
        <f t="shared" si="299"/>
        <v>21321</v>
      </c>
      <c r="Z100" s="534">
        <f t="shared" si="299"/>
        <v>102561</v>
      </c>
      <c r="AA100" s="534">
        <f t="shared" si="299"/>
        <v>457698</v>
      </c>
      <c r="AB100" s="534">
        <f t="shared" si="299"/>
        <v>147496</v>
      </c>
      <c r="AC100" s="534">
        <f t="shared" si="299"/>
        <v>3552</v>
      </c>
      <c r="AD100" s="534">
        <f t="shared" si="299"/>
        <v>0</v>
      </c>
      <c r="AE100" s="534">
        <f t="shared" si="299"/>
        <v>0</v>
      </c>
      <c r="AF100" s="534">
        <f t="shared" si="299"/>
        <v>0</v>
      </c>
      <c r="AG100" s="534">
        <f t="shared" si="299"/>
        <v>608746</v>
      </c>
      <c r="AH100" s="535">
        <f t="shared" si="299"/>
        <v>-0.02</v>
      </c>
      <c r="AI100" s="535">
        <f t="shared" si="299"/>
        <v>0</v>
      </c>
      <c r="AJ100" s="535">
        <f t="shared" si="299"/>
        <v>1.25</v>
      </c>
      <c r="AK100" s="535">
        <f t="shared" si="299"/>
        <v>0</v>
      </c>
      <c r="AL100" s="535">
        <f t="shared" si="299"/>
        <v>0</v>
      </c>
      <c r="AM100" s="535">
        <f t="shared" si="299"/>
        <v>0</v>
      </c>
      <c r="AN100" s="535">
        <f t="shared" si="299"/>
        <v>0</v>
      </c>
      <c r="AO100" s="535">
        <f t="shared" si="299"/>
        <v>0</v>
      </c>
      <c r="AP100" s="535">
        <f t="shared" si="299"/>
        <v>1.23</v>
      </c>
      <c r="AQ100" s="535">
        <f t="shared" si="299"/>
        <v>0</v>
      </c>
      <c r="AR100" s="309">
        <f t="shared" si="299"/>
        <v>1.23</v>
      </c>
      <c r="AS100" s="539">
        <f t="shared" si="299"/>
        <v>6267619</v>
      </c>
      <c r="AT100" s="534">
        <f t="shared" si="299"/>
        <v>4515642</v>
      </c>
      <c r="AU100" s="534">
        <f t="shared" si="299"/>
        <v>102561</v>
      </c>
      <c r="AV100" s="534">
        <f t="shared" si="299"/>
        <v>1553747</v>
      </c>
      <c r="AW100" s="534">
        <f t="shared" si="299"/>
        <v>45157</v>
      </c>
      <c r="AX100" s="534">
        <f t="shared" si="299"/>
        <v>50512</v>
      </c>
      <c r="AY100" s="535">
        <f t="shared" si="299"/>
        <v>9.491200000000001</v>
      </c>
      <c r="AZ100" s="535">
        <f t="shared" si="299"/>
        <v>7.3647999999999998</v>
      </c>
      <c r="BA100" s="309">
        <f t="shared" si="299"/>
        <v>2.1263999999999998</v>
      </c>
    </row>
    <row r="101" spans="1:53" ht="12.95" customHeight="1" x14ac:dyDescent="0.25">
      <c r="A101" s="299">
        <v>18</v>
      </c>
      <c r="B101" s="300">
        <v>4434</v>
      </c>
      <c r="C101" s="300">
        <v>650025768</v>
      </c>
      <c r="D101" s="300">
        <v>72744481</v>
      </c>
      <c r="E101" s="302" t="s">
        <v>359</v>
      </c>
      <c r="F101" s="300">
        <v>3111</v>
      </c>
      <c r="G101" s="303" t="s">
        <v>321</v>
      </c>
      <c r="H101" s="303" t="s">
        <v>277</v>
      </c>
      <c r="I101" s="462">
        <f t="shared" ref="I101:I106" si="300">SUM(J101:M101)</f>
        <v>3343403</v>
      </c>
      <c r="J101" s="457">
        <v>2466323</v>
      </c>
      <c r="K101" s="457">
        <f t="shared" ref="K101:K106" si="301">ROUND(J101*33.8%,0)</f>
        <v>833617</v>
      </c>
      <c r="L101" s="457">
        <f t="shared" ref="L101:L106" si="302">ROUND(J101*1%,0)</f>
        <v>24663</v>
      </c>
      <c r="M101" s="457">
        <v>18800</v>
      </c>
      <c r="N101" s="748">
        <f t="shared" ref="N101:N106" si="303">O101+P101</f>
        <v>4.8</v>
      </c>
      <c r="O101" s="749">
        <v>4</v>
      </c>
      <c r="P101" s="750">
        <v>0.8</v>
      </c>
      <c r="Q101" s="469">
        <f t="shared" ref="Q101:Q106" si="304">W101*-1</f>
        <v>-9750</v>
      </c>
      <c r="R101" s="460">
        <v>0</v>
      </c>
      <c r="S101" s="673">
        <v>0</v>
      </c>
      <c r="T101" s="460">
        <v>0</v>
      </c>
      <c r="U101" s="460">
        <v>0</v>
      </c>
      <c r="V101" s="460">
        <f t="shared" ref="V101:V106" si="305">SUM(Q101:U101)</f>
        <v>-9750</v>
      </c>
      <c r="W101" s="460">
        <v>9750</v>
      </c>
      <c r="X101" s="460">
        <v>0</v>
      </c>
      <c r="Y101" s="460">
        <v>0</v>
      </c>
      <c r="Z101" s="460">
        <f t="shared" ref="Z101:Z106" si="306">SUM(W101:Y101)</f>
        <v>9750</v>
      </c>
      <c r="AA101" s="460">
        <f t="shared" ref="AA101:AA106" si="307">V101+Z101</f>
        <v>0</v>
      </c>
      <c r="AB101" s="69">
        <f t="shared" ref="AB101:AB106" si="308">ROUND((V101+W101+X101)*33.8%,0)</f>
        <v>0</v>
      </c>
      <c r="AC101" s="69">
        <f t="shared" ref="AC101:AC106" si="309">ROUND(V101*1%,0)</f>
        <v>-98</v>
      </c>
      <c r="AD101" s="460">
        <v>0</v>
      </c>
      <c r="AE101" s="460">
        <v>0</v>
      </c>
      <c r="AF101" s="460">
        <f t="shared" ref="AF101:AF106" si="310">SUM(AD101:AE101)</f>
        <v>0</v>
      </c>
      <c r="AG101" s="460">
        <f t="shared" ref="AG101:AG106" si="311">AA101+AB101+AC101+AF101</f>
        <v>-98</v>
      </c>
      <c r="AH101" s="461">
        <v>0</v>
      </c>
      <c r="AI101" s="461">
        <v>0</v>
      </c>
      <c r="AJ101" s="461">
        <v>0</v>
      </c>
      <c r="AK101" s="461">
        <v>0</v>
      </c>
      <c r="AL101" s="674">
        <v>0</v>
      </c>
      <c r="AM101" s="461">
        <v>0</v>
      </c>
      <c r="AN101" s="461">
        <v>0</v>
      </c>
      <c r="AO101" s="461">
        <v>0</v>
      </c>
      <c r="AP101" s="461">
        <f t="shared" ref="AP101:AP106" si="312">AH101+AJ101+AK101+AM101+AN101</f>
        <v>0</v>
      </c>
      <c r="AQ101" s="461">
        <f t="shared" ref="AQ101:AQ106" si="313">AI101+AL101+AO101</f>
        <v>0</v>
      </c>
      <c r="AR101" s="463">
        <f t="shared" ref="AR101:AR106" si="314">SUM(AP101:AQ101)</f>
        <v>0</v>
      </c>
      <c r="AS101" s="469">
        <f t="shared" ref="AS101:AS106" si="315">I101+AG101</f>
        <v>3343305</v>
      </c>
      <c r="AT101" s="460">
        <f t="shared" ref="AT101:AT106" si="316">J101+V101</f>
        <v>2456573</v>
      </c>
      <c r="AU101" s="460">
        <f t="shared" ref="AU101:AU106" si="317">Z101</f>
        <v>9750</v>
      </c>
      <c r="AV101" s="460">
        <f t="shared" ref="AV101:AW106" si="318">K101+AB101</f>
        <v>833617</v>
      </c>
      <c r="AW101" s="460">
        <f t="shared" si="318"/>
        <v>24565</v>
      </c>
      <c r="AX101" s="460">
        <f t="shared" ref="AX101:AX106" si="319">M101+AF101</f>
        <v>18800</v>
      </c>
      <c r="AY101" s="461">
        <f t="shared" ref="AY101:AY106" si="320">N101+AR101</f>
        <v>4.8</v>
      </c>
      <c r="AZ101" s="461">
        <f t="shared" ref="AZ101:BA106" si="321">O101+AP101</f>
        <v>4</v>
      </c>
      <c r="BA101" s="463">
        <f t="shared" si="321"/>
        <v>0.8</v>
      </c>
    </row>
    <row r="102" spans="1:53" ht="12.95" customHeight="1" x14ac:dyDescent="0.25">
      <c r="A102" s="299">
        <v>18</v>
      </c>
      <c r="B102" s="300">
        <v>4434</v>
      </c>
      <c r="C102" s="300">
        <v>650025768</v>
      </c>
      <c r="D102" s="300">
        <v>72744481</v>
      </c>
      <c r="E102" s="302" t="s">
        <v>359</v>
      </c>
      <c r="F102" s="300">
        <v>3113</v>
      </c>
      <c r="G102" s="303" t="s">
        <v>325</v>
      </c>
      <c r="H102" s="303" t="s">
        <v>277</v>
      </c>
      <c r="I102" s="462">
        <f t="shared" si="300"/>
        <v>12904488</v>
      </c>
      <c r="J102" s="457">
        <v>9409264</v>
      </c>
      <c r="K102" s="457">
        <f t="shared" si="301"/>
        <v>3180331</v>
      </c>
      <c r="L102" s="457">
        <f t="shared" si="302"/>
        <v>94093</v>
      </c>
      <c r="M102" s="457">
        <v>220800</v>
      </c>
      <c r="N102" s="748">
        <f t="shared" si="303"/>
        <v>16.987299999999998</v>
      </c>
      <c r="O102" s="749">
        <v>12.7273</v>
      </c>
      <c r="P102" s="750">
        <v>4.26</v>
      </c>
      <c r="Q102" s="469">
        <f t="shared" si="304"/>
        <v>-100100</v>
      </c>
      <c r="R102" s="460">
        <v>0</v>
      </c>
      <c r="S102" s="673">
        <v>0</v>
      </c>
      <c r="T102" s="460">
        <v>0</v>
      </c>
      <c r="U102" s="460">
        <v>0</v>
      </c>
      <c r="V102" s="460">
        <f t="shared" si="305"/>
        <v>-100100</v>
      </c>
      <c r="W102" s="460">
        <v>100100</v>
      </c>
      <c r="X102" s="460">
        <v>0</v>
      </c>
      <c r="Y102" s="460">
        <v>0</v>
      </c>
      <c r="Z102" s="460">
        <f t="shared" si="306"/>
        <v>100100</v>
      </c>
      <c r="AA102" s="460">
        <f t="shared" si="307"/>
        <v>0</v>
      </c>
      <c r="AB102" s="69">
        <f t="shared" si="308"/>
        <v>0</v>
      </c>
      <c r="AC102" s="69">
        <f t="shared" si="309"/>
        <v>-1001</v>
      </c>
      <c r="AD102" s="460">
        <v>0</v>
      </c>
      <c r="AE102" s="460">
        <v>0</v>
      </c>
      <c r="AF102" s="460">
        <f t="shared" si="310"/>
        <v>0</v>
      </c>
      <c r="AG102" s="460">
        <f t="shared" si="311"/>
        <v>-1001</v>
      </c>
      <c r="AH102" s="461">
        <v>-0.04</v>
      </c>
      <c r="AI102" s="461">
        <v>-0.15</v>
      </c>
      <c r="AJ102" s="461">
        <v>0</v>
      </c>
      <c r="AK102" s="461">
        <v>0</v>
      </c>
      <c r="AL102" s="674">
        <v>0</v>
      </c>
      <c r="AM102" s="461">
        <v>0</v>
      </c>
      <c r="AN102" s="461">
        <v>0</v>
      </c>
      <c r="AO102" s="461">
        <v>0</v>
      </c>
      <c r="AP102" s="461">
        <f t="shared" si="312"/>
        <v>-0.04</v>
      </c>
      <c r="AQ102" s="461">
        <f t="shared" si="313"/>
        <v>-0.15</v>
      </c>
      <c r="AR102" s="463">
        <f t="shared" si="314"/>
        <v>-0.19</v>
      </c>
      <c r="AS102" s="469">
        <f t="shared" si="315"/>
        <v>12903487</v>
      </c>
      <c r="AT102" s="460">
        <f t="shared" si="316"/>
        <v>9309164</v>
      </c>
      <c r="AU102" s="460">
        <f t="shared" si="317"/>
        <v>100100</v>
      </c>
      <c r="AV102" s="460">
        <f t="shared" si="318"/>
        <v>3180331</v>
      </c>
      <c r="AW102" s="460">
        <f t="shared" si="318"/>
        <v>93092</v>
      </c>
      <c r="AX102" s="460">
        <f t="shared" si="319"/>
        <v>220800</v>
      </c>
      <c r="AY102" s="461">
        <f t="shared" si="320"/>
        <v>16.797299999999996</v>
      </c>
      <c r="AZ102" s="461">
        <f t="shared" si="321"/>
        <v>12.6873</v>
      </c>
      <c r="BA102" s="463">
        <f t="shared" si="321"/>
        <v>4.1099999999999994</v>
      </c>
    </row>
    <row r="103" spans="1:53" ht="12.95" customHeight="1" x14ac:dyDescent="0.25">
      <c r="A103" s="299">
        <v>18</v>
      </c>
      <c r="B103" s="300">
        <v>4434</v>
      </c>
      <c r="C103" s="300">
        <v>650025768</v>
      </c>
      <c r="D103" s="300">
        <v>72744481</v>
      </c>
      <c r="E103" s="302" t="s">
        <v>359</v>
      </c>
      <c r="F103" s="300">
        <v>3113</v>
      </c>
      <c r="G103" s="303" t="s">
        <v>315</v>
      </c>
      <c r="H103" s="303" t="s">
        <v>278</v>
      </c>
      <c r="I103" s="462">
        <f t="shared" si="300"/>
        <v>0</v>
      </c>
      <c r="J103" s="457">
        <v>0</v>
      </c>
      <c r="K103" s="457">
        <f t="shared" si="301"/>
        <v>0</v>
      </c>
      <c r="L103" s="457">
        <f t="shared" si="302"/>
        <v>0</v>
      </c>
      <c r="M103" s="457">
        <v>0</v>
      </c>
      <c r="N103" s="748">
        <f t="shared" si="303"/>
        <v>0</v>
      </c>
      <c r="O103" s="749">
        <v>0</v>
      </c>
      <c r="P103" s="750">
        <v>0</v>
      </c>
      <c r="Q103" s="469">
        <f t="shared" si="304"/>
        <v>0</v>
      </c>
      <c r="R103" s="460">
        <v>1215425</v>
      </c>
      <c r="S103" s="673">
        <v>0</v>
      </c>
      <c r="T103" s="460">
        <v>0</v>
      </c>
      <c r="U103" s="460">
        <v>0</v>
      </c>
      <c r="V103" s="460">
        <f t="shared" si="305"/>
        <v>1215425</v>
      </c>
      <c r="W103" s="460">
        <v>0</v>
      </c>
      <c r="X103" s="460">
        <v>0</v>
      </c>
      <c r="Y103" s="460">
        <v>0</v>
      </c>
      <c r="Z103" s="460">
        <f t="shared" si="306"/>
        <v>0</v>
      </c>
      <c r="AA103" s="460">
        <f t="shared" si="307"/>
        <v>1215425</v>
      </c>
      <c r="AB103" s="69">
        <f t="shared" si="308"/>
        <v>410814</v>
      </c>
      <c r="AC103" s="69">
        <f t="shared" si="309"/>
        <v>12154</v>
      </c>
      <c r="AD103" s="460">
        <v>0</v>
      </c>
      <c r="AE103" s="460">
        <v>0</v>
      </c>
      <c r="AF103" s="460">
        <f t="shared" si="310"/>
        <v>0</v>
      </c>
      <c r="AG103" s="460">
        <f t="shared" si="311"/>
        <v>1638393</v>
      </c>
      <c r="AH103" s="461">
        <v>0</v>
      </c>
      <c r="AI103" s="461">
        <v>0</v>
      </c>
      <c r="AJ103" s="461">
        <v>3.64</v>
      </c>
      <c r="AK103" s="461">
        <v>0</v>
      </c>
      <c r="AL103" s="674">
        <v>0</v>
      </c>
      <c r="AM103" s="461">
        <v>0</v>
      </c>
      <c r="AN103" s="461">
        <v>0</v>
      </c>
      <c r="AO103" s="461">
        <v>0</v>
      </c>
      <c r="AP103" s="461">
        <f t="shared" si="312"/>
        <v>3.64</v>
      </c>
      <c r="AQ103" s="461">
        <f t="shared" si="313"/>
        <v>0</v>
      </c>
      <c r="AR103" s="463">
        <f t="shared" si="314"/>
        <v>3.64</v>
      </c>
      <c r="AS103" s="469">
        <f t="shared" si="315"/>
        <v>1638393</v>
      </c>
      <c r="AT103" s="460">
        <f t="shared" si="316"/>
        <v>1215425</v>
      </c>
      <c r="AU103" s="460">
        <f t="shared" si="317"/>
        <v>0</v>
      </c>
      <c r="AV103" s="460">
        <f t="shared" si="318"/>
        <v>410814</v>
      </c>
      <c r="AW103" s="460">
        <f t="shared" si="318"/>
        <v>12154</v>
      </c>
      <c r="AX103" s="460">
        <f t="shared" si="319"/>
        <v>0</v>
      </c>
      <c r="AY103" s="461">
        <f t="shared" si="320"/>
        <v>3.64</v>
      </c>
      <c r="AZ103" s="461">
        <f t="shared" si="321"/>
        <v>3.64</v>
      </c>
      <c r="BA103" s="463">
        <f t="shared" si="321"/>
        <v>0</v>
      </c>
    </row>
    <row r="104" spans="1:53" ht="12.95" customHeight="1" x14ac:dyDescent="0.25">
      <c r="A104" s="299">
        <v>18</v>
      </c>
      <c r="B104" s="300">
        <v>4434</v>
      </c>
      <c r="C104" s="300">
        <v>650025768</v>
      </c>
      <c r="D104" s="300">
        <v>72744481</v>
      </c>
      <c r="E104" s="302" t="s">
        <v>359</v>
      </c>
      <c r="F104" s="300">
        <v>3141</v>
      </c>
      <c r="G104" s="303" t="s">
        <v>311</v>
      </c>
      <c r="H104" s="303" t="s">
        <v>278</v>
      </c>
      <c r="I104" s="462">
        <f t="shared" si="300"/>
        <v>1636789</v>
      </c>
      <c r="J104" s="457">
        <f>747531+459915</f>
        <v>1207446</v>
      </c>
      <c r="K104" s="457">
        <f t="shared" si="301"/>
        <v>408117</v>
      </c>
      <c r="L104" s="457">
        <f t="shared" si="302"/>
        <v>12074</v>
      </c>
      <c r="M104" s="457">
        <f>6708+2444</f>
        <v>9152</v>
      </c>
      <c r="N104" s="748">
        <f t="shared" si="303"/>
        <v>3.88</v>
      </c>
      <c r="O104" s="749">
        <v>0</v>
      </c>
      <c r="P104" s="750">
        <f>2.4+1.48</f>
        <v>3.88</v>
      </c>
      <c r="Q104" s="469">
        <f t="shared" si="304"/>
        <v>-16250</v>
      </c>
      <c r="R104" s="460">
        <v>0</v>
      </c>
      <c r="S104" s="673">
        <v>0</v>
      </c>
      <c r="T104" s="460">
        <v>0</v>
      </c>
      <c r="U104" s="460">
        <v>0</v>
      </c>
      <c r="V104" s="460">
        <f t="shared" si="305"/>
        <v>-16250</v>
      </c>
      <c r="W104" s="460">
        <v>16250</v>
      </c>
      <c r="X104" s="460">
        <v>0</v>
      </c>
      <c r="Y104" s="460">
        <v>0</v>
      </c>
      <c r="Z104" s="460">
        <f t="shared" si="306"/>
        <v>16250</v>
      </c>
      <c r="AA104" s="460">
        <f t="shared" si="307"/>
        <v>0</v>
      </c>
      <c r="AB104" s="69">
        <f t="shared" si="308"/>
        <v>0</v>
      </c>
      <c r="AC104" s="69">
        <f t="shared" si="309"/>
        <v>-163</v>
      </c>
      <c r="AD104" s="460">
        <v>0</v>
      </c>
      <c r="AE104" s="460">
        <v>0</v>
      </c>
      <c r="AF104" s="460">
        <f t="shared" si="310"/>
        <v>0</v>
      </c>
      <c r="AG104" s="460">
        <f t="shared" si="311"/>
        <v>-163</v>
      </c>
      <c r="AH104" s="461">
        <v>0</v>
      </c>
      <c r="AI104" s="461">
        <v>0</v>
      </c>
      <c r="AJ104" s="461">
        <v>0</v>
      </c>
      <c r="AK104" s="461">
        <v>0</v>
      </c>
      <c r="AL104" s="674">
        <v>0</v>
      </c>
      <c r="AM104" s="461">
        <v>0</v>
      </c>
      <c r="AN104" s="461">
        <v>0</v>
      </c>
      <c r="AO104" s="461">
        <v>0</v>
      </c>
      <c r="AP104" s="461">
        <f t="shared" si="312"/>
        <v>0</v>
      </c>
      <c r="AQ104" s="461">
        <f t="shared" si="313"/>
        <v>0</v>
      </c>
      <c r="AR104" s="463">
        <f t="shared" si="314"/>
        <v>0</v>
      </c>
      <c r="AS104" s="469">
        <f t="shared" si="315"/>
        <v>1636626</v>
      </c>
      <c r="AT104" s="460">
        <f t="shared" si="316"/>
        <v>1191196</v>
      </c>
      <c r="AU104" s="460">
        <f t="shared" si="317"/>
        <v>16250</v>
      </c>
      <c r="AV104" s="460">
        <f t="shared" si="318"/>
        <v>408117</v>
      </c>
      <c r="AW104" s="460">
        <f t="shared" si="318"/>
        <v>11911</v>
      </c>
      <c r="AX104" s="460">
        <f t="shared" si="319"/>
        <v>9152</v>
      </c>
      <c r="AY104" s="461">
        <f t="shared" si="320"/>
        <v>3.88</v>
      </c>
      <c r="AZ104" s="461">
        <f t="shared" si="321"/>
        <v>0</v>
      </c>
      <c r="BA104" s="463">
        <f t="shared" si="321"/>
        <v>3.88</v>
      </c>
    </row>
    <row r="105" spans="1:53" ht="12.95" customHeight="1" x14ac:dyDescent="0.25">
      <c r="A105" s="299">
        <v>18</v>
      </c>
      <c r="B105" s="300">
        <v>4434</v>
      </c>
      <c r="C105" s="300">
        <v>650025768</v>
      </c>
      <c r="D105" s="300">
        <v>72744481</v>
      </c>
      <c r="E105" s="302" t="s">
        <v>359</v>
      </c>
      <c r="F105" s="300">
        <v>3143</v>
      </c>
      <c r="G105" s="303" t="s">
        <v>616</v>
      </c>
      <c r="H105" s="303" t="s">
        <v>277</v>
      </c>
      <c r="I105" s="462">
        <f t="shared" si="300"/>
        <v>1331668</v>
      </c>
      <c r="J105" s="457">
        <v>987884</v>
      </c>
      <c r="K105" s="457">
        <f t="shared" si="301"/>
        <v>333905</v>
      </c>
      <c r="L105" s="457">
        <f t="shared" si="302"/>
        <v>9879</v>
      </c>
      <c r="M105" s="457">
        <v>0</v>
      </c>
      <c r="N105" s="748">
        <f t="shared" si="303"/>
        <v>2</v>
      </c>
      <c r="O105" s="749">
        <v>2</v>
      </c>
      <c r="P105" s="750">
        <v>0</v>
      </c>
      <c r="Q105" s="469">
        <f t="shared" si="304"/>
        <v>-16250</v>
      </c>
      <c r="R105" s="460">
        <v>0</v>
      </c>
      <c r="S105" s="673">
        <v>0</v>
      </c>
      <c r="T105" s="460">
        <v>0</v>
      </c>
      <c r="U105" s="460">
        <v>0</v>
      </c>
      <c r="V105" s="460">
        <f t="shared" si="305"/>
        <v>-16250</v>
      </c>
      <c r="W105" s="460">
        <v>16250</v>
      </c>
      <c r="X105" s="460">
        <v>0</v>
      </c>
      <c r="Y105" s="460">
        <v>0</v>
      </c>
      <c r="Z105" s="460">
        <f t="shared" si="306"/>
        <v>16250</v>
      </c>
      <c r="AA105" s="460">
        <f t="shared" si="307"/>
        <v>0</v>
      </c>
      <c r="AB105" s="69">
        <f t="shared" si="308"/>
        <v>0</v>
      </c>
      <c r="AC105" s="69">
        <f t="shared" si="309"/>
        <v>-163</v>
      </c>
      <c r="AD105" s="460">
        <v>0</v>
      </c>
      <c r="AE105" s="460">
        <v>0</v>
      </c>
      <c r="AF105" s="460">
        <f t="shared" si="310"/>
        <v>0</v>
      </c>
      <c r="AG105" s="460">
        <f t="shared" si="311"/>
        <v>-163</v>
      </c>
      <c r="AH105" s="461">
        <v>0</v>
      </c>
      <c r="AI105" s="461">
        <v>0</v>
      </c>
      <c r="AJ105" s="461">
        <v>0</v>
      </c>
      <c r="AK105" s="461">
        <v>0</v>
      </c>
      <c r="AL105" s="674">
        <v>0</v>
      </c>
      <c r="AM105" s="461">
        <v>0</v>
      </c>
      <c r="AN105" s="461">
        <v>0</v>
      </c>
      <c r="AO105" s="461">
        <v>0</v>
      </c>
      <c r="AP105" s="461">
        <f t="shared" si="312"/>
        <v>0</v>
      </c>
      <c r="AQ105" s="461">
        <f t="shared" si="313"/>
        <v>0</v>
      </c>
      <c r="AR105" s="463">
        <f t="shared" si="314"/>
        <v>0</v>
      </c>
      <c r="AS105" s="469">
        <f t="shared" si="315"/>
        <v>1331505</v>
      </c>
      <c r="AT105" s="460">
        <f t="shared" si="316"/>
        <v>971634</v>
      </c>
      <c r="AU105" s="460">
        <f t="shared" si="317"/>
        <v>16250</v>
      </c>
      <c r="AV105" s="460">
        <f t="shared" si="318"/>
        <v>333905</v>
      </c>
      <c r="AW105" s="460">
        <f t="shared" si="318"/>
        <v>9716</v>
      </c>
      <c r="AX105" s="460">
        <f t="shared" si="319"/>
        <v>0</v>
      </c>
      <c r="AY105" s="461">
        <f t="shared" si="320"/>
        <v>2</v>
      </c>
      <c r="AZ105" s="461">
        <f t="shared" si="321"/>
        <v>2</v>
      </c>
      <c r="BA105" s="463">
        <f t="shared" si="321"/>
        <v>0</v>
      </c>
    </row>
    <row r="106" spans="1:53" ht="12.95" customHeight="1" x14ac:dyDescent="0.25">
      <c r="A106" s="299">
        <v>18</v>
      </c>
      <c r="B106" s="300">
        <v>4434</v>
      </c>
      <c r="C106" s="300">
        <v>650025768</v>
      </c>
      <c r="D106" s="300">
        <v>72744481</v>
      </c>
      <c r="E106" s="302" t="s">
        <v>359</v>
      </c>
      <c r="F106" s="300">
        <v>3143</v>
      </c>
      <c r="G106" s="303" t="s">
        <v>617</v>
      </c>
      <c r="H106" s="303" t="s">
        <v>278</v>
      </c>
      <c r="I106" s="462">
        <f t="shared" si="300"/>
        <v>32252</v>
      </c>
      <c r="J106" s="457">
        <v>23045</v>
      </c>
      <c r="K106" s="457">
        <f t="shared" si="301"/>
        <v>7789</v>
      </c>
      <c r="L106" s="457">
        <f t="shared" si="302"/>
        <v>230</v>
      </c>
      <c r="M106" s="457">
        <v>1188</v>
      </c>
      <c r="N106" s="748">
        <f t="shared" si="303"/>
        <v>0.09</v>
      </c>
      <c r="O106" s="749">
        <v>0</v>
      </c>
      <c r="P106" s="750">
        <v>0.09</v>
      </c>
      <c r="Q106" s="469">
        <f t="shared" si="304"/>
        <v>0</v>
      </c>
      <c r="R106" s="460">
        <v>0</v>
      </c>
      <c r="S106" s="673">
        <v>0</v>
      </c>
      <c r="T106" s="460">
        <v>0</v>
      </c>
      <c r="U106" s="460">
        <v>0</v>
      </c>
      <c r="V106" s="460">
        <f t="shared" si="305"/>
        <v>0</v>
      </c>
      <c r="W106" s="460">
        <v>0</v>
      </c>
      <c r="X106" s="460">
        <v>0</v>
      </c>
      <c r="Y106" s="460">
        <v>0</v>
      </c>
      <c r="Z106" s="460">
        <f t="shared" si="306"/>
        <v>0</v>
      </c>
      <c r="AA106" s="460">
        <f t="shared" si="307"/>
        <v>0</v>
      </c>
      <c r="AB106" s="69">
        <f t="shared" si="308"/>
        <v>0</v>
      </c>
      <c r="AC106" s="69">
        <f t="shared" si="309"/>
        <v>0</v>
      </c>
      <c r="AD106" s="460">
        <v>0</v>
      </c>
      <c r="AE106" s="460">
        <v>0</v>
      </c>
      <c r="AF106" s="460">
        <f t="shared" si="310"/>
        <v>0</v>
      </c>
      <c r="AG106" s="460">
        <f t="shared" si="311"/>
        <v>0</v>
      </c>
      <c r="AH106" s="461">
        <v>0</v>
      </c>
      <c r="AI106" s="461">
        <v>0</v>
      </c>
      <c r="AJ106" s="461">
        <v>0</v>
      </c>
      <c r="AK106" s="461">
        <v>0</v>
      </c>
      <c r="AL106" s="674">
        <v>0</v>
      </c>
      <c r="AM106" s="461">
        <v>0</v>
      </c>
      <c r="AN106" s="461">
        <v>0</v>
      </c>
      <c r="AO106" s="461">
        <v>0</v>
      </c>
      <c r="AP106" s="461">
        <f t="shared" si="312"/>
        <v>0</v>
      </c>
      <c r="AQ106" s="461">
        <f t="shared" si="313"/>
        <v>0</v>
      </c>
      <c r="AR106" s="463">
        <f t="shared" si="314"/>
        <v>0</v>
      </c>
      <c r="AS106" s="469">
        <f t="shared" si="315"/>
        <v>32252</v>
      </c>
      <c r="AT106" s="460">
        <f t="shared" si="316"/>
        <v>23045</v>
      </c>
      <c r="AU106" s="460">
        <f t="shared" si="317"/>
        <v>0</v>
      </c>
      <c r="AV106" s="460">
        <f t="shared" si="318"/>
        <v>7789</v>
      </c>
      <c r="AW106" s="460">
        <f t="shared" si="318"/>
        <v>230</v>
      </c>
      <c r="AX106" s="460">
        <f t="shared" si="319"/>
        <v>1188</v>
      </c>
      <c r="AY106" s="461">
        <f t="shared" si="320"/>
        <v>0.09</v>
      </c>
      <c r="AZ106" s="461">
        <f t="shared" si="321"/>
        <v>0</v>
      </c>
      <c r="BA106" s="463">
        <f t="shared" si="321"/>
        <v>0.09</v>
      </c>
    </row>
    <row r="107" spans="1:53" ht="12.95" customHeight="1" x14ac:dyDescent="0.25">
      <c r="A107" s="292">
        <v>18</v>
      </c>
      <c r="B107" s="294">
        <v>4434</v>
      </c>
      <c r="C107" s="294">
        <v>650025768</v>
      </c>
      <c r="D107" s="294">
        <v>72744481</v>
      </c>
      <c r="E107" s="313" t="s">
        <v>360</v>
      </c>
      <c r="F107" s="314"/>
      <c r="G107" s="315"/>
      <c r="H107" s="315"/>
      <c r="I107" s="537">
        <f t="shared" ref="I107:P107" si="322">SUM(I101:I106)</f>
        <v>19248600</v>
      </c>
      <c r="J107" s="534">
        <f t="shared" si="322"/>
        <v>14093962</v>
      </c>
      <c r="K107" s="534">
        <f t="shared" si="322"/>
        <v>4763759</v>
      </c>
      <c r="L107" s="534">
        <f t="shared" si="322"/>
        <v>140939</v>
      </c>
      <c r="M107" s="534">
        <f t="shared" si="322"/>
        <v>249940</v>
      </c>
      <c r="N107" s="757">
        <f t="shared" si="322"/>
        <v>27.757299999999997</v>
      </c>
      <c r="O107" s="757">
        <f t="shared" si="322"/>
        <v>18.7273</v>
      </c>
      <c r="P107" s="759">
        <f t="shared" si="322"/>
        <v>9.0299999999999994</v>
      </c>
      <c r="Q107" s="539">
        <f t="shared" ref="Q107:BA107" si="323">SUM(Q101:Q106)</f>
        <v>-142350</v>
      </c>
      <c r="R107" s="534">
        <f t="shared" si="323"/>
        <v>1215425</v>
      </c>
      <c r="S107" s="534">
        <f t="shared" si="323"/>
        <v>0</v>
      </c>
      <c r="T107" s="534">
        <f t="shared" si="323"/>
        <v>0</v>
      </c>
      <c r="U107" s="534">
        <f t="shared" si="323"/>
        <v>0</v>
      </c>
      <c r="V107" s="534">
        <f t="shared" si="323"/>
        <v>1073075</v>
      </c>
      <c r="W107" s="534">
        <f t="shared" si="323"/>
        <v>142350</v>
      </c>
      <c r="X107" s="534">
        <f t="shared" si="323"/>
        <v>0</v>
      </c>
      <c r="Y107" s="534">
        <f t="shared" si="323"/>
        <v>0</v>
      </c>
      <c r="Z107" s="534">
        <f t="shared" si="323"/>
        <v>142350</v>
      </c>
      <c r="AA107" s="534">
        <f t="shared" si="323"/>
        <v>1215425</v>
      </c>
      <c r="AB107" s="534">
        <f t="shared" si="323"/>
        <v>410814</v>
      </c>
      <c r="AC107" s="534">
        <f t="shared" si="323"/>
        <v>10729</v>
      </c>
      <c r="AD107" s="534">
        <f t="shared" si="323"/>
        <v>0</v>
      </c>
      <c r="AE107" s="534">
        <f t="shared" si="323"/>
        <v>0</v>
      </c>
      <c r="AF107" s="534">
        <f t="shared" si="323"/>
        <v>0</v>
      </c>
      <c r="AG107" s="534">
        <f t="shared" si="323"/>
        <v>1636968</v>
      </c>
      <c r="AH107" s="535">
        <f t="shared" si="323"/>
        <v>-0.04</v>
      </c>
      <c r="AI107" s="535">
        <f t="shared" si="323"/>
        <v>-0.15</v>
      </c>
      <c r="AJ107" s="535">
        <f t="shared" si="323"/>
        <v>3.64</v>
      </c>
      <c r="AK107" s="535">
        <f t="shared" si="323"/>
        <v>0</v>
      </c>
      <c r="AL107" s="535">
        <f t="shared" si="323"/>
        <v>0</v>
      </c>
      <c r="AM107" s="535">
        <f t="shared" si="323"/>
        <v>0</v>
      </c>
      <c r="AN107" s="535">
        <f t="shared" si="323"/>
        <v>0</v>
      </c>
      <c r="AO107" s="535">
        <f t="shared" si="323"/>
        <v>0</v>
      </c>
      <c r="AP107" s="535">
        <f t="shared" si="323"/>
        <v>3.6</v>
      </c>
      <c r="AQ107" s="535">
        <f t="shared" si="323"/>
        <v>-0.15</v>
      </c>
      <c r="AR107" s="309">
        <f t="shared" si="323"/>
        <v>3.45</v>
      </c>
      <c r="AS107" s="539">
        <f t="shared" si="323"/>
        <v>20885568</v>
      </c>
      <c r="AT107" s="534">
        <f t="shared" si="323"/>
        <v>15167037</v>
      </c>
      <c r="AU107" s="534">
        <f t="shared" si="323"/>
        <v>142350</v>
      </c>
      <c r="AV107" s="534">
        <f t="shared" si="323"/>
        <v>5174573</v>
      </c>
      <c r="AW107" s="534">
        <f t="shared" si="323"/>
        <v>151668</v>
      </c>
      <c r="AX107" s="534">
        <f t="shared" si="323"/>
        <v>249940</v>
      </c>
      <c r="AY107" s="535">
        <f t="shared" si="323"/>
        <v>31.207299999999996</v>
      </c>
      <c r="AZ107" s="535">
        <f t="shared" si="323"/>
        <v>22.327300000000001</v>
      </c>
      <c r="BA107" s="309">
        <f t="shared" si="323"/>
        <v>8.879999999999999</v>
      </c>
    </row>
    <row r="108" spans="1:53" ht="12.95" customHeight="1" x14ac:dyDescent="0.25">
      <c r="A108" s="299">
        <v>19</v>
      </c>
      <c r="B108" s="300">
        <v>4441</v>
      </c>
      <c r="C108" s="300">
        <v>600074668</v>
      </c>
      <c r="D108" s="300">
        <v>46750495</v>
      </c>
      <c r="E108" s="316" t="s">
        <v>361</v>
      </c>
      <c r="F108" s="317">
        <v>3111</v>
      </c>
      <c r="G108" s="303" t="s">
        <v>321</v>
      </c>
      <c r="H108" s="303" t="s">
        <v>277</v>
      </c>
      <c r="I108" s="462">
        <f t="shared" ref="I108:I113" si="324">SUM(J108:M108)</f>
        <v>4150809</v>
      </c>
      <c r="J108" s="457">
        <v>3059873</v>
      </c>
      <c r="K108" s="457">
        <f t="shared" ref="K108:K113" si="325">ROUND(J108*33.8%,0)</f>
        <v>1034237</v>
      </c>
      <c r="L108" s="457">
        <f t="shared" ref="L108:L113" si="326">ROUND(J108*1%,0)</f>
        <v>30599</v>
      </c>
      <c r="M108" s="457">
        <v>26100</v>
      </c>
      <c r="N108" s="748">
        <f t="shared" ref="N108:N113" si="327">O108+P108</f>
        <v>6.5639000000000003</v>
      </c>
      <c r="O108" s="749">
        <v>5.4839000000000002</v>
      </c>
      <c r="P108" s="750">
        <v>1.08</v>
      </c>
      <c r="Q108" s="469">
        <f t="shared" ref="Q108:Q113" si="328">W108*-1</f>
        <v>0</v>
      </c>
      <c r="R108" s="460">
        <v>0</v>
      </c>
      <c r="S108" s="673">
        <v>0</v>
      </c>
      <c r="T108" s="460">
        <v>0</v>
      </c>
      <c r="U108" s="460">
        <v>0</v>
      </c>
      <c r="V108" s="460">
        <f t="shared" ref="V108:V113" si="329">SUM(Q108:U108)</f>
        <v>0</v>
      </c>
      <c r="W108" s="460">
        <v>0</v>
      </c>
      <c r="X108" s="460">
        <v>0</v>
      </c>
      <c r="Y108" s="460">
        <v>0</v>
      </c>
      <c r="Z108" s="460">
        <f t="shared" ref="Z108:Z113" si="330">SUM(W108:Y108)</f>
        <v>0</v>
      </c>
      <c r="AA108" s="460">
        <f t="shared" ref="AA108:AA113" si="331">V108+Z108</f>
        <v>0</v>
      </c>
      <c r="AB108" s="69">
        <f t="shared" ref="AB108:AB113" si="332">ROUND((V108+W108+X108)*33.8%,0)</f>
        <v>0</v>
      </c>
      <c r="AC108" s="69">
        <f t="shared" ref="AC108:AC113" si="333">ROUND(V108*1%,0)</f>
        <v>0</v>
      </c>
      <c r="AD108" s="460">
        <v>0</v>
      </c>
      <c r="AE108" s="460">
        <v>0</v>
      </c>
      <c r="AF108" s="460">
        <f t="shared" ref="AF108:AF113" si="334">SUM(AD108:AE108)</f>
        <v>0</v>
      </c>
      <c r="AG108" s="460">
        <f t="shared" ref="AG108:AG113" si="335">AA108+AB108+AC108+AF108</f>
        <v>0</v>
      </c>
      <c r="AH108" s="461">
        <v>0</v>
      </c>
      <c r="AI108" s="461">
        <v>0</v>
      </c>
      <c r="AJ108" s="461">
        <v>0</v>
      </c>
      <c r="AK108" s="461">
        <v>0</v>
      </c>
      <c r="AL108" s="674">
        <v>0</v>
      </c>
      <c r="AM108" s="461">
        <v>0</v>
      </c>
      <c r="AN108" s="461">
        <v>0</v>
      </c>
      <c r="AO108" s="461">
        <v>0</v>
      </c>
      <c r="AP108" s="461">
        <f t="shared" ref="AP108:AP113" si="336">AH108+AJ108+AK108+AM108+AN108</f>
        <v>0</v>
      </c>
      <c r="AQ108" s="461">
        <f t="shared" ref="AQ108:AQ113" si="337">AI108+AL108+AO108</f>
        <v>0</v>
      </c>
      <c r="AR108" s="463">
        <f t="shared" ref="AR108:AR113" si="338">SUM(AP108:AQ108)</f>
        <v>0</v>
      </c>
      <c r="AS108" s="469">
        <f t="shared" ref="AS108:AS113" si="339">I108+AG108</f>
        <v>4150809</v>
      </c>
      <c r="AT108" s="460">
        <f t="shared" ref="AT108:AT113" si="340">J108+V108</f>
        <v>3059873</v>
      </c>
      <c r="AU108" s="460">
        <f t="shared" ref="AU108:AU113" si="341">Z108</f>
        <v>0</v>
      </c>
      <c r="AV108" s="460">
        <f t="shared" ref="AV108:AW113" si="342">K108+AB108</f>
        <v>1034237</v>
      </c>
      <c r="AW108" s="460">
        <f t="shared" si="342"/>
        <v>30599</v>
      </c>
      <c r="AX108" s="460">
        <f t="shared" ref="AX108:AX113" si="343">M108+AF108</f>
        <v>26100</v>
      </c>
      <c r="AY108" s="461">
        <f t="shared" ref="AY108:AY113" si="344">N108+AR108</f>
        <v>6.5639000000000003</v>
      </c>
      <c r="AZ108" s="461">
        <f t="shared" ref="AZ108:BA113" si="345">O108+AP108</f>
        <v>5.4839000000000002</v>
      </c>
      <c r="BA108" s="463">
        <f t="shared" si="345"/>
        <v>1.08</v>
      </c>
    </row>
    <row r="109" spans="1:53" ht="12.95" customHeight="1" x14ac:dyDescent="0.25">
      <c r="A109" s="299">
        <v>19</v>
      </c>
      <c r="B109" s="300">
        <v>4441</v>
      </c>
      <c r="C109" s="300">
        <v>600074668</v>
      </c>
      <c r="D109" s="300">
        <v>46750495</v>
      </c>
      <c r="E109" s="316" t="s">
        <v>361</v>
      </c>
      <c r="F109" s="317">
        <v>3117</v>
      </c>
      <c r="G109" s="303" t="s">
        <v>325</v>
      </c>
      <c r="H109" s="303" t="s">
        <v>277</v>
      </c>
      <c r="I109" s="462">
        <f t="shared" si="324"/>
        <v>4171027</v>
      </c>
      <c r="J109" s="457">
        <v>3031808</v>
      </c>
      <c r="K109" s="457">
        <f t="shared" si="325"/>
        <v>1024751</v>
      </c>
      <c r="L109" s="457">
        <f t="shared" si="326"/>
        <v>30318</v>
      </c>
      <c r="M109" s="457">
        <v>84150</v>
      </c>
      <c r="N109" s="748">
        <f t="shared" si="327"/>
        <v>5.7898999999999994</v>
      </c>
      <c r="O109" s="749">
        <v>3.9998999999999998</v>
      </c>
      <c r="P109" s="750">
        <v>1.79</v>
      </c>
      <c r="Q109" s="469">
        <f t="shared" si="328"/>
        <v>-64772</v>
      </c>
      <c r="R109" s="460">
        <v>0</v>
      </c>
      <c r="S109" s="673">
        <v>0</v>
      </c>
      <c r="T109" s="460">
        <v>0</v>
      </c>
      <c r="U109" s="460">
        <v>0</v>
      </c>
      <c r="V109" s="460">
        <f t="shared" si="329"/>
        <v>-64772</v>
      </c>
      <c r="W109" s="460">
        <v>64772</v>
      </c>
      <c r="X109" s="460">
        <v>0</v>
      </c>
      <c r="Y109" s="460">
        <v>0</v>
      </c>
      <c r="Z109" s="460">
        <f t="shared" si="330"/>
        <v>64772</v>
      </c>
      <c r="AA109" s="460">
        <f t="shared" si="331"/>
        <v>0</v>
      </c>
      <c r="AB109" s="69">
        <f t="shared" si="332"/>
        <v>0</v>
      </c>
      <c r="AC109" s="69">
        <f t="shared" si="333"/>
        <v>-648</v>
      </c>
      <c r="AD109" s="460">
        <v>0</v>
      </c>
      <c r="AE109" s="460">
        <v>0</v>
      </c>
      <c r="AF109" s="460">
        <f t="shared" si="334"/>
        <v>0</v>
      </c>
      <c r="AG109" s="460">
        <f t="shared" si="335"/>
        <v>-648</v>
      </c>
      <c r="AH109" s="461">
        <v>-0.03</v>
      </c>
      <c r="AI109" s="461">
        <v>-0.04</v>
      </c>
      <c r="AJ109" s="461">
        <v>0</v>
      </c>
      <c r="AK109" s="461">
        <v>0</v>
      </c>
      <c r="AL109" s="674">
        <v>0</v>
      </c>
      <c r="AM109" s="461">
        <v>0</v>
      </c>
      <c r="AN109" s="461">
        <v>0</v>
      </c>
      <c r="AO109" s="461">
        <v>0</v>
      </c>
      <c r="AP109" s="461">
        <f t="shared" si="336"/>
        <v>-0.03</v>
      </c>
      <c r="AQ109" s="461">
        <f t="shared" si="337"/>
        <v>-0.04</v>
      </c>
      <c r="AR109" s="463">
        <f t="shared" si="338"/>
        <v>-7.0000000000000007E-2</v>
      </c>
      <c r="AS109" s="469">
        <f t="shared" si="339"/>
        <v>4170379</v>
      </c>
      <c r="AT109" s="460">
        <f t="shared" si="340"/>
        <v>2967036</v>
      </c>
      <c r="AU109" s="460">
        <f t="shared" si="341"/>
        <v>64772</v>
      </c>
      <c r="AV109" s="460">
        <f t="shared" si="342"/>
        <v>1024751</v>
      </c>
      <c r="AW109" s="460">
        <f t="shared" si="342"/>
        <v>29670</v>
      </c>
      <c r="AX109" s="460">
        <f t="shared" si="343"/>
        <v>84150</v>
      </c>
      <c r="AY109" s="461">
        <f t="shared" si="344"/>
        <v>5.7198999999999991</v>
      </c>
      <c r="AZ109" s="461">
        <f t="shared" si="345"/>
        <v>3.9699</v>
      </c>
      <c r="BA109" s="463">
        <f t="shared" si="345"/>
        <v>1.75</v>
      </c>
    </row>
    <row r="110" spans="1:53" ht="12.95" customHeight="1" x14ac:dyDescent="0.25">
      <c r="A110" s="299">
        <v>19</v>
      </c>
      <c r="B110" s="300">
        <v>4441</v>
      </c>
      <c r="C110" s="300">
        <v>600074668</v>
      </c>
      <c r="D110" s="300">
        <v>46750495</v>
      </c>
      <c r="E110" s="316" t="s">
        <v>361</v>
      </c>
      <c r="F110" s="317">
        <v>3117</v>
      </c>
      <c r="G110" s="303" t="s">
        <v>315</v>
      </c>
      <c r="H110" s="303" t="s">
        <v>278</v>
      </c>
      <c r="I110" s="462">
        <f t="shared" si="324"/>
        <v>0</v>
      </c>
      <c r="J110" s="457">
        <v>0</v>
      </c>
      <c r="K110" s="457">
        <f t="shared" si="325"/>
        <v>0</v>
      </c>
      <c r="L110" s="457">
        <f t="shared" si="326"/>
        <v>0</v>
      </c>
      <c r="M110" s="457">
        <v>0</v>
      </c>
      <c r="N110" s="748">
        <f t="shared" si="327"/>
        <v>0</v>
      </c>
      <c r="O110" s="749">
        <v>0</v>
      </c>
      <c r="P110" s="750">
        <v>0</v>
      </c>
      <c r="Q110" s="469">
        <f t="shared" si="328"/>
        <v>0</v>
      </c>
      <c r="R110" s="460">
        <f>442690-184454</f>
        <v>258236</v>
      </c>
      <c r="S110" s="673">
        <v>0</v>
      </c>
      <c r="T110" s="460">
        <v>0</v>
      </c>
      <c r="U110" s="460">
        <v>0</v>
      </c>
      <c r="V110" s="460">
        <f t="shared" si="329"/>
        <v>258236</v>
      </c>
      <c r="W110" s="460">
        <v>0</v>
      </c>
      <c r="X110" s="460">
        <v>0</v>
      </c>
      <c r="Y110" s="460">
        <v>0</v>
      </c>
      <c r="Z110" s="460">
        <f t="shared" si="330"/>
        <v>0</v>
      </c>
      <c r="AA110" s="460">
        <f t="shared" si="331"/>
        <v>258236</v>
      </c>
      <c r="AB110" s="69">
        <f t="shared" si="332"/>
        <v>87284</v>
      </c>
      <c r="AC110" s="69">
        <f t="shared" si="333"/>
        <v>2582</v>
      </c>
      <c r="AD110" s="460">
        <v>0</v>
      </c>
      <c r="AE110" s="460">
        <v>0</v>
      </c>
      <c r="AF110" s="460">
        <f t="shared" si="334"/>
        <v>0</v>
      </c>
      <c r="AG110" s="460">
        <f t="shared" si="335"/>
        <v>348102</v>
      </c>
      <c r="AH110" s="461">
        <v>0</v>
      </c>
      <c r="AI110" s="461">
        <v>0</v>
      </c>
      <c r="AJ110" s="461">
        <f>1.28-0.53</f>
        <v>0.75</v>
      </c>
      <c r="AK110" s="461">
        <v>0</v>
      </c>
      <c r="AL110" s="674">
        <v>0</v>
      </c>
      <c r="AM110" s="461">
        <v>0</v>
      </c>
      <c r="AN110" s="461">
        <v>0</v>
      </c>
      <c r="AO110" s="461">
        <v>0</v>
      </c>
      <c r="AP110" s="461">
        <f t="shared" si="336"/>
        <v>0.75</v>
      </c>
      <c r="AQ110" s="461">
        <f t="shared" si="337"/>
        <v>0</v>
      </c>
      <c r="AR110" s="463">
        <f t="shared" si="338"/>
        <v>0.75</v>
      </c>
      <c r="AS110" s="469">
        <f t="shared" si="339"/>
        <v>348102</v>
      </c>
      <c r="AT110" s="460">
        <f t="shared" si="340"/>
        <v>258236</v>
      </c>
      <c r="AU110" s="460">
        <f t="shared" si="341"/>
        <v>0</v>
      </c>
      <c r="AV110" s="460">
        <f t="shared" si="342"/>
        <v>87284</v>
      </c>
      <c r="AW110" s="460">
        <f t="shared" si="342"/>
        <v>2582</v>
      </c>
      <c r="AX110" s="460">
        <f t="shared" si="343"/>
        <v>0</v>
      </c>
      <c r="AY110" s="461">
        <f t="shared" si="344"/>
        <v>0.75</v>
      </c>
      <c r="AZ110" s="461">
        <f t="shared" si="345"/>
        <v>0.75</v>
      </c>
      <c r="BA110" s="463">
        <f t="shared" si="345"/>
        <v>0</v>
      </c>
    </row>
    <row r="111" spans="1:53" ht="12.95" customHeight="1" x14ac:dyDescent="0.25">
      <c r="A111" s="299">
        <v>19</v>
      </c>
      <c r="B111" s="300">
        <v>4441</v>
      </c>
      <c r="C111" s="300">
        <v>600074668</v>
      </c>
      <c r="D111" s="300">
        <v>46750495</v>
      </c>
      <c r="E111" s="316" t="s">
        <v>361</v>
      </c>
      <c r="F111" s="317">
        <v>3141</v>
      </c>
      <c r="G111" s="303" t="s">
        <v>311</v>
      </c>
      <c r="H111" s="303" t="s">
        <v>278</v>
      </c>
      <c r="I111" s="462">
        <f t="shared" si="324"/>
        <v>1195565</v>
      </c>
      <c r="J111" s="457">
        <v>882829</v>
      </c>
      <c r="K111" s="457">
        <f t="shared" si="325"/>
        <v>298396</v>
      </c>
      <c r="L111" s="457">
        <f t="shared" si="326"/>
        <v>8828</v>
      </c>
      <c r="M111" s="457">
        <v>5512</v>
      </c>
      <c r="N111" s="748">
        <f t="shared" si="327"/>
        <v>2.84</v>
      </c>
      <c r="O111" s="749">
        <v>0</v>
      </c>
      <c r="P111" s="750">
        <v>2.84</v>
      </c>
      <c r="Q111" s="469">
        <f t="shared" si="328"/>
        <v>0</v>
      </c>
      <c r="R111" s="460">
        <v>0</v>
      </c>
      <c r="S111" s="673">
        <v>0</v>
      </c>
      <c r="T111" s="460">
        <v>0</v>
      </c>
      <c r="U111" s="460">
        <v>0</v>
      </c>
      <c r="V111" s="460">
        <f t="shared" si="329"/>
        <v>0</v>
      </c>
      <c r="W111" s="460">
        <v>0</v>
      </c>
      <c r="X111" s="460">
        <v>0</v>
      </c>
      <c r="Y111" s="460">
        <v>0</v>
      </c>
      <c r="Z111" s="460">
        <f t="shared" si="330"/>
        <v>0</v>
      </c>
      <c r="AA111" s="460">
        <f t="shared" si="331"/>
        <v>0</v>
      </c>
      <c r="AB111" s="69">
        <f t="shared" si="332"/>
        <v>0</v>
      </c>
      <c r="AC111" s="69">
        <f t="shared" si="333"/>
        <v>0</v>
      </c>
      <c r="AD111" s="460">
        <v>0</v>
      </c>
      <c r="AE111" s="460">
        <v>0</v>
      </c>
      <c r="AF111" s="460">
        <f t="shared" si="334"/>
        <v>0</v>
      </c>
      <c r="AG111" s="460">
        <f t="shared" si="335"/>
        <v>0</v>
      </c>
      <c r="AH111" s="461">
        <v>0</v>
      </c>
      <c r="AI111" s="461">
        <v>0</v>
      </c>
      <c r="AJ111" s="461">
        <v>0</v>
      </c>
      <c r="AK111" s="461">
        <v>0</v>
      </c>
      <c r="AL111" s="674">
        <v>0</v>
      </c>
      <c r="AM111" s="461">
        <v>0</v>
      </c>
      <c r="AN111" s="461">
        <v>0</v>
      </c>
      <c r="AO111" s="461">
        <v>0</v>
      </c>
      <c r="AP111" s="461">
        <f t="shared" si="336"/>
        <v>0</v>
      </c>
      <c r="AQ111" s="461">
        <f t="shared" si="337"/>
        <v>0</v>
      </c>
      <c r="AR111" s="463">
        <f t="shared" si="338"/>
        <v>0</v>
      </c>
      <c r="AS111" s="469">
        <f t="shared" si="339"/>
        <v>1195565</v>
      </c>
      <c r="AT111" s="460">
        <f t="shared" si="340"/>
        <v>882829</v>
      </c>
      <c r="AU111" s="460">
        <f t="shared" si="341"/>
        <v>0</v>
      </c>
      <c r="AV111" s="460">
        <f t="shared" si="342"/>
        <v>298396</v>
      </c>
      <c r="AW111" s="460">
        <f t="shared" si="342"/>
        <v>8828</v>
      </c>
      <c r="AX111" s="460">
        <f t="shared" si="343"/>
        <v>5512</v>
      </c>
      <c r="AY111" s="461">
        <f t="shared" si="344"/>
        <v>2.84</v>
      </c>
      <c r="AZ111" s="461">
        <f t="shared" si="345"/>
        <v>0</v>
      </c>
      <c r="BA111" s="463">
        <f t="shared" si="345"/>
        <v>2.84</v>
      </c>
    </row>
    <row r="112" spans="1:53" ht="12.95" customHeight="1" x14ac:dyDescent="0.25">
      <c r="A112" s="299">
        <v>19</v>
      </c>
      <c r="B112" s="300">
        <v>4441</v>
      </c>
      <c r="C112" s="300">
        <v>600074668</v>
      </c>
      <c r="D112" s="300">
        <v>46750495</v>
      </c>
      <c r="E112" s="316" t="s">
        <v>361</v>
      </c>
      <c r="F112" s="317">
        <v>3143</v>
      </c>
      <c r="G112" s="303" t="s">
        <v>616</v>
      </c>
      <c r="H112" s="303" t="s">
        <v>277</v>
      </c>
      <c r="I112" s="462">
        <f t="shared" si="324"/>
        <v>699520</v>
      </c>
      <c r="J112" s="457">
        <v>518932</v>
      </c>
      <c r="K112" s="457">
        <f t="shared" si="325"/>
        <v>175399</v>
      </c>
      <c r="L112" s="457">
        <f t="shared" si="326"/>
        <v>5189</v>
      </c>
      <c r="M112" s="457">
        <v>0</v>
      </c>
      <c r="N112" s="748">
        <f t="shared" si="327"/>
        <v>1.0357000000000001</v>
      </c>
      <c r="O112" s="749">
        <v>1.0357000000000001</v>
      </c>
      <c r="P112" s="750">
        <v>0</v>
      </c>
      <c r="Q112" s="469">
        <f t="shared" si="328"/>
        <v>0</v>
      </c>
      <c r="R112" s="460">
        <v>0</v>
      </c>
      <c r="S112" s="673">
        <v>0</v>
      </c>
      <c r="T112" s="460">
        <v>0</v>
      </c>
      <c r="U112" s="460">
        <v>0</v>
      </c>
      <c r="V112" s="460">
        <f t="shared" si="329"/>
        <v>0</v>
      </c>
      <c r="W112" s="460">
        <v>0</v>
      </c>
      <c r="X112" s="460">
        <v>0</v>
      </c>
      <c r="Y112" s="460">
        <v>0</v>
      </c>
      <c r="Z112" s="460">
        <f t="shared" si="330"/>
        <v>0</v>
      </c>
      <c r="AA112" s="460">
        <f t="shared" si="331"/>
        <v>0</v>
      </c>
      <c r="AB112" s="69">
        <f t="shared" si="332"/>
        <v>0</v>
      </c>
      <c r="AC112" s="69">
        <f t="shared" si="333"/>
        <v>0</v>
      </c>
      <c r="AD112" s="460">
        <v>0</v>
      </c>
      <c r="AE112" s="460">
        <v>0</v>
      </c>
      <c r="AF112" s="460">
        <f t="shared" si="334"/>
        <v>0</v>
      </c>
      <c r="AG112" s="460">
        <f t="shared" si="335"/>
        <v>0</v>
      </c>
      <c r="AH112" s="461">
        <v>0</v>
      </c>
      <c r="AI112" s="461">
        <v>0</v>
      </c>
      <c r="AJ112" s="461">
        <v>0</v>
      </c>
      <c r="AK112" s="461">
        <v>0</v>
      </c>
      <c r="AL112" s="674">
        <v>0</v>
      </c>
      <c r="AM112" s="461">
        <v>0</v>
      </c>
      <c r="AN112" s="461">
        <v>0</v>
      </c>
      <c r="AO112" s="461">
        <v>0</v>
      </c>
      <c r="AP112" s="461">
        <f t="shared" si="336"/>
        <v>0</v>
      </c>
      <c r="AQ112" s="461">
        <f t="shared" si="337"/>
        <v>0</v>
      </c>
      <c r="AR112" s="463">
        <f t="shared" si="338"/>
        <v>0</v>
      </c>
      <c r="AS112" s="469">
        <f t="shared" si="339"/>
        <v>699520</v>
      </c>
      <c r="AT112" s="460">
        <f t="shared" si="340"/>
        <v>518932</v>
      </c>
      <c r="AU112" s="460">
        <f t="shared" si="341"/>
        <v>0</v>
      </c>
      <c r="AV112" s="460">
        <f t="shared" si="342"/>
        <v>175399</v>
      </c>
      <c r="AW112" s="460">
        <f t="shared" si="342"/>
        <v>5189</v>
      </c>
      <c r="AX112" s="460">
        <f t="shared" si="343"/>
        <v>0</v>
      </c>
      <c r="AY112" s="461">
        <f t="shared" si="344"/>
        <v>1.0357000000000001</v>
      </c>
      <c r="AZ112" s="461">
        <f t="shared" si="345"/>
        <v>1.0357000000000001</v>
      </c>
      <c r="BA112" s="463">
        <f t="shared" si="345"/>
        <v>0</v>
      </c>
    </row>
    <row r="113" spans="1:53" ht="12.95" customHeight="1" x14ac:dyDescent="0.25">
      <c r="A113" s="299">
        <v>19</v>
      </c>
      <c r="B113" s="300">
        <v>4441</v>
      </c>
      <c r="C113" s="300">
        <v>600074668</v>
      </c>
      <c r="D113" s="300">
        <v>46750495</v>
      </c>
      <c r="E113" s="316" t="s">
        <v>361</v>
      </c>
      <c r="F113" s="317">
        <v>3143</v>
      </c>
      <c r="G113" s="303" t="s">
        <v>617</v>
      </c>
      <c r="H113" s="303" t="s">
        <v>278</v>
      </c>
      <c r="I113" s="462">
        <f t="shared" si="324"/>
        <v>21990</v>
      </c>
      <c r="J113" s="457">
        <v>15712</v>
      </c>
      <c r="K113" s="457">
        <f t="shared" si="325"/>
        <v>5311</v>
      </c>
      <c r="L113" s="457">
        <f t="shared" si="326"/>
        <v>157</v>
      </c>
      <c r="M113" s="457">
        <v>810</v>
      </c>
      <c r="N113" s="748">
        <f t="shared" si="327"/>
        <v>0.06</v>
      </c>
      <c r="O113" s="749">
        <v>0</v>
      </c>
      <c r="P113" s="750">
        <v>0.06</v>
      </c>
      <c r="Q113" s="469">
        <f t="shared" si="328"/>
        <v>0</v>
      </c>
      <c r="R113" s="460">
        <v>0</v>
      </c>
      <c r="S113" s="673">
        <v>0</v>
      </c>
      <c r="T113" s="460">
        <v>0</v>
      </c>
      <c r="U113" s="460">
        <v>0</v>
      </c>
      <c r="V113" s="460">
        <f t="shared" si="329"/>
        <v>0</v>
      </c>
      <c r="W113" s="460">
        <v>0</v>
      </c>
      <c r="X113" s="460">
        <v>0</v>
      </c>
      <c r="Y113" s="460">
        <v>0</v>
      </c>
      <c r="Z113" s="460">
        <f t="shared" si="330"/>
        <v>0</v>
      </c>
      <c r="AA113" s="460">
        <f t="shared" si="331"/>
        <v>0</v>
      </c>
      <c r="AB113" s="69">
        <f t="shared" si="332"/>
        <v>0</v>
      </c>
      <c r="AC113" s="69">
        <f t="shared" si="333"/>
        <v>0</v>
      </c>
      <c r="AD113" s="460">
        <v>0</v>
      </c>
      <c r="AE113" s="460">
        <v>0</v>
      </c>
      <c r="AF113" s="460">
        <f t="shared" si="334"/>
        <v>0</v>
      </c>
      <c r="AG113" s="460">
        <f t="shared" si="335"/>
        <v>0</v>
      </c>
      <c r="AH113" s="461">
        <v>0</v>
      </c>
      <c r="AI113" s="461">
        <v>0</v>
      </c>
      <c r="AJ113" s="461">
        <v>0</v>
      </c>
      <c r="AK113" s="461">
        <v>0</v>
      </c>
      <c r="AL113" s="674">
        <v>0</v>
      </c>
      <c r="AM113" s="461">
        <v>0</v>
      </c>
      <c r="AN113" s="461">
        <v>0</v>
      </c>
      <c r="AO113" s="461">
        <v>0</v>
      </c>
      <c r="AP113" s="461">
        <f t="shared" si="336"/>
        <v>0</v>
      </c>
      <c r="AQ113" s="461">
        <f t="shared" si="337"/>
        <v>0</v>
      </c>
      <c r="AR113" s="463">
        <f t="shared" si="338"/>
        <v>0</v>
      </c>
      <c r="AS113" s="469">
        <f t="shared" si="339"/>
        <v>21990</v>
      </c>
      <c r="AT113" s="460">
        <f t="shared" si="340"/>
        <v>15712</v>
      </c>
      <c r="AU113" s="460">
        <f t="shared" si="341"/>
        <v>0</v>
      </c>
      <c r="AV113" s="460">
        <f t="shared" si="342"/>
        <v>5311</v>
      </c>
      <c r="AW113" s="460">
        <f t="shared" si="342"/>
        <v>157</v>
      </c>
      <c r="AX113" s="460">
        <f t="shared" si="343"/>
        <v>810</v>
      </c>
      <c r="AY113" s="461">
        <f t="shared" si="344"/>
        <v>0.06</v>
      </c>
      <c r="AZ113" s="461">
        <f t="shared" si="345"/>
        <v>0</v>
      </c>
      <c r="BA113" s="463">
        <f t="shared" si="345"/>
        <v>0.06</v>
      </c>
    </row>
    <row r="114" spans="1:53" ht="12.95" customHeight="1" x14ac:dyDescent="0.25">
      <c r="A114" s="292">
        <v>19</v>
      </c>
      <c r="B114" s="294">
        <v>4441</v>
      </c>
      <c r="C114" s="294">
        <v>600074668</v>
      </c>
      <c r="D114" s="294">
        <v>46750495</v>
      </c>
      <c r="E114" s="313" t="s">
        <v>362</v>
      </c>
      <c r="F114" s="314"/>
      <c r="G114" s="315"/>
      <c r="H114" s="315"/>
      <c r="I114" s="537">
        <f t="shared" ref="I114:P114" si="346">SUM(I108:I113)</f>
        <v>10238911</v>
      </c>
      <c r="J114" s="534">
        <f t="shared" si="346"/>
        <v>7509154</v>
      </c>
      <c r="K114" s="534">
        <f t="shared" si="346"/>
        <v>2538094</v>
      </c>
      <c r="L114" s="534">
        <f t="shared" si="346"/>
        <v>75091</v>
      </c>
      <c r="M114" s="534">
        <f t="shared" si="346"/>
        <v>116572</v>
      </c>
      <c r="N114" s="757">
        <f t="shared" si="346"/>
        <v>16.289499999999997</v>
      </c>
      <c r="O114" s="757">
        <f t="shared" si="346"/>
        <v>10.519500000000001</v>
      </c>
      <c r="P114" s="759">
        <f t="shared" si="346"/>
        <v>5.77</v>
      </c>
      <c r="Q114" s="539">
        <f t="shared" ref="Q114:BA114" si="347">SUM(Q108:Q113)</f>
        <v>-64772</v>
      </c>
      <c r="R114" s="534">
        <f t="shared" si="347"/>
        <v>258236</v>
      </c>
      <c r="S114" s="534">
        <f t="shared" si="347"/>
        <v>0</v>
      </c>
      <c r="T114" s="534">
        <f t="shared" si="347"/>
        <v>0</v>
      </c>
      <c r="U114" s="534">
        <f t="shared" si="347"/>
        <v>0</v>
      </c>
      <c r="V114" s="534">
        <f t="shared" si="347"/>
        <v>193464</v>
      </c>
      <c r="W114" s="534">
        <f t="shared" si="347"/>
        <v>64772</v>
      </c>
      <c r="X114" s="534">
        <f t="shared" si="347"/>
        <v>0</v>
      </c>
      <c r="Y114" s="534">
        <f t="shared" si="347"/>
        <v>0</v>
      </c>
      <c r="Z114" s="534">
        <f t="shared" si="347"/>
        <v>64772</v>
      </c>
      <c r="AA114" s="534">
        <f t="shared" si="347"/>
        <v>258236</v>
      </c>
      <c r="AB114" s="534">
        <f t="shared" si="347"/>
        <v>87284</v>
      </c>
      <c r="AC114" s="534">
        <f t="shared" si="347"/>
        <v>1934</v>
      </c>
      <c r="AD114" s="534">
        <f t="shared" si="347"/>
        <v>0</v>
      </c>
      <c r="AE114" s="534">
        <f t="shared" si="347"/>
        <v>0</v>
      </c>
      <c r="AF114" s="534">
        <f t="shared" si="347"/>
        <v>0</v>
      </c>
      <c r="AG114" s="534">
        <f t="shared" si="347"/>
        <v>347454</v>
      </c>
      <c r="AH114" s="535">
        <f t="shared" si="347"/>
        <v>-0.03</v>
      </c>
      <c r="AI114" s="535">
        <f t="shared" si="347"/>
        <v>-0.04</v>
      </c>
      <c r="AJ114" s="535">
        <f t="shared" si="347"/>
        <v>0.75</v>
      </c>
      <c r="AK114" s="535">
        <f t="shared" si="347"/>
        <v>0</v>
      </c>
      <c r="AL114" s="535">
        <f t="shared" si="347"/>
        <v>0</v>
      </c>
      <c r="AM114" s="535">
        <f t="shared" si="347"/>
        <v>0</v>
      </c>
      <c r="AN114" s="535">
        <f t="shared" si="347"/>
        <v>0</v>
      </c>
      <c r="AO114" s="535">
        <f t="shared" si="347"/>
        <v>0</v>
      </c>
      <c r="AP114" s="535">
        <f t="shared" si="347"/>
        <v>0.72</v>
      </c>
      <c r="AQ114" s="535">
        <f t="shared" si="347"/>
        <v>-0.04</v>
      </c>
      <c r="AR114" s="309">
        <f t="shared" si="347"/>
        <v>0.67999999999999994</v>
      </c>
      <c r="AS114" s="539">
        <f t="shared" si="347"/>
        <v>10586365</v>
      </c>
      <c r="AT114" s="534">
        <f t="shared" si="347"/>
        <v>7702618</v>
      </c>
      <c r="AU114" s="534">
        <f t="shared" si="347"/>
        <v>64772</v>
      </c>
      <c r="AV114" s="534">
        <f t="shared" si="347"/>
        <v>2625378</v>
      </c>
      <c r="AW114" s="534">
        <f t="shared" si="347"/>
        <v>77025</v>
      </c>
      <c r="AX114" s="534">
        <f t="shared" si="347"/>
        <v>116572</v>
      </c>
      <c r="AY114" s="535">
        <f t="shared" si="347"/>
        <v>16.969499999999996</v>
      </c>
      <c r="AZ114" s="535">
        <f t="shared" si="347"/>
        <v>11.239500000000001</v>
      </c>
      <c r="BA114" s="309">
        <f t="shared" si="347"/>
        <v>5.7299999999999995</v>
      </c>
    </row>
    <row r="115" spans="1:53" ht="12.95" customHeight="1" x14ac:dyDescent="0.25">
      <c r="A115" s="299">
        <v>20</v>
      </c>
      <c r="B115" s="300">
        <v>4428</v>
      </c>
      <c r="C115" s="300">
        <v>600074242</v>
      </c>
      <c r="D115" s="300">
        <v>71010513</v>
      </c>
      <c r="E115" s="316" t="s">
        <v>363</v>
      </c>
      <c r="F115" s="317">
        <v>3111</v>
      </c>
      <c r="G115" s="303" t="s">
        <v>321</v>
      </c>
      <c r="H115" s="303" t="s">
        <v>277</v>
      </c>
      <c r="I115" s="462">
        <f t="shared" ref="I115:I117" si="348">SUM(J115:M115)</f>
        <v>1663349</v>
      </c>
      <c r="J115" s="457">
        <v>1227707</v>
      </c>
      <c r="K115" s="457">
        <f t="shared" ref="K115:K117" si="349">ROUND(J115*33.8%,0)</f>
        <v>414965</v>
      </c>
      <c r="L115" s="457">
        <f t="shared" ref="L115:L117" si="350">ROUND(J115*1%,0)</f>
        <v>12277</v>
      </c>
      <c r="M115" s="457">
        <v>8400</v>
      </c>
      <c r="N115" s="748">
        <f t="shared" ref="N115:N117" si="351">O115+P115</f>
        <v>2.6</v>
      </c>
      <c r="O115" s="749">
        <v>2</v>
      </c>
      <c r="P115" s="750">
        <v>0.60000000000000009</v>
      </c>
      <c r="Q115" s="469">
        <f t="shared" ref="Q115:Q117" si="352">W115*-1</f>
        <v>0</v>
      </c>
      <c r="R115" s="460">
        <v>0</v>
      </c>
      <c r="S115" s="673">
        <v>0</v>
      </c>
      <c r="T115" s="460">
        <v>0</v>
      </c>
      <c r="U115" s="460">
        <v>0</v>
      </c>
      <c r="V115" s="460">
        <f>SUM(Q115:U115)</f>
        <v>0</v>
      </c>
      <c r="W115" s="460">
        <v>0</v>
      </c>
      <c r="X115" s="460">
        <v>0</v>
      </c>
      <c r="Y115" s="460">
        <v>0</v>
      </c>
      <c r="Z115" s="460">
        <f t="shared" ref="Z115:Z117" si="353">SUM(W115:Y115)</f>
        <v>0</v>
      </c>
      <c r="AA115" s="460">
        <f t="shared" ref="AA115:AA117" si="354">V115+Z115</f>
        <v>0</v>
      </c>
      <c r="AB115" s="69">
        <f t="shared" ref="AB115:AB117" si="355">ROUND((V115+W115+X115)*33.8%,0)</f>
        <v>0</v>
      </c>
      <c r="AC115" s="69">
        <f t="shared" ref="AC115:AC117" si="356">ROUND(V115*1%,0)</f>
        <v>0</v>
      </c>
      <c r="AD115" s="460">
        <v>0</v>
      </c>
      <c r="AE115" s="460">
        <v>0</v>
      </c>
      <c r="AF115" s="460">
        <f t="shared" ref="AF115:AF117" si="357">SUM(AD115:AE115)</f>
        <v>0</v>
      </c>
      <c r="AG115" s="460">
        <f t="shared" ref="AG115:AG117" si="358">AA115+AB115+AC115+AF115</f>
        <v>0</v>
      </c>
      <c r="AH115" s="461">
        <v>0</v>
      </c>
      <c r="AI115" s="461">
        <v>0</v>
      </c>
      <c r="AJ115" s="461">
        <v>0</v>
      </c>
      <c r="AK115" s="461">
        <v>0</v>
      </c>
      <c r="AL115" s="674">
        <v>0</v>
      </c>
      <c r="AM115" s="461">
        <v>0</v>
      </c>
      <c r="AN115" s="461">
        <v>0</v>
      </c>
      <c r="AO115" s="461">
        <v>0</v>
      </c>
      <c r="AP115" s="461">
        <f>AH115+AJ115+AK115+AM115+AN115</f>
        <v>0</v>
      </c>
      <c r="AQ115" s="461">
        <f>AI115+AL115+AO115</f>
        <v>0</v>
      </c>
      <c r="AR115" s="463">
        <f t="shared" ref="AR115:AR117" si="359">SUM(AP115:AQ115)</f>
        <v>0</v>
      </c>
      <c r="AS115" s="469">
        <f>I115+AG115</f>
        <v>1663349</v>
      </c>
      <c r="AT115" s="460">
        <f>J115+V115</f>
        <v>1227707</v>
      </c>
      <c r="AU115" s="460">
        <f t="shared" ref="AU115:AU117" si="360">Z115</f>
        <v>0</v>
      </c>
      <c r="AV115" s="460">
        <f t="shared" ref="AV115:AW117" si="361">K115+AB115</f>
        <v>414965</v>
      </c>
      <c r="AW115" s="460">
        <f t="shared" si="361"/>
        <v>12277</v>
      </c>
      <c r="AX115" s="460">
        <f>M115+AF115</f>
        <v>8400</v>
      </c>
      <c r="AY115" s="461">
        <f>N115+AR115</f>
        <v>2.6</v>
      </c>
      <c r="AZ115" s="461">
        <f t="shared" ref="AZ115:BA117" si="362">O115+AP115</f>
        <v>2</v>
      </c>
      <c r="BA115" s="463">
        <f t="shared" si="362"/>
        <v>0.60000000000000009</v>
      </c>
    </row>
    <row r="116" spans="1:53" ht="12.95" customHeight="1" x14ac:dyDescent="0.25">
      <c r="A116" s="299">
        <v>20</v>
      </c>
      <c r="B116" s="300">
        <v>4428</v>
      </c>
      <c r="C116" s="300">
        <v>600074242</v>
      </c>
      <c r="D116" s="300">
        <v>71010513</v>
      </c>
      <c r="E116" s="316" t="s">
        <v>363</v>
      </c>
      <c r="F116" s="317">
        <v>3111</v>
      </c>
      <c r="G116" s="318" t="s">
        <v>315</v>
      </c>
      <c r="H116" s="303" t="s">
        <v>278</v>
      </c>
      <c r="I116" s="462">
        <f t="shared" ref="I116" si="363">SUM(J116:M116)</f>
        <v>0</v>
      </c>
      <c r="J116" s="457">
        <v>0</v>
      </c>
      <c r="K116" s="457">
        <f t="shared" si="349"/>
        <v>0</v>
      </c>
      <c r="L116" s="457">
        <f t="shared" si="350"/>
        <v>0</v>
      </c>
      <c r="M116" s="457">
        <v>0</v>
      </c>
      <c r="N116" s="748">
        <f t="shared" si="351"/>
        <v>0</v>
      </c>
      <c r="O116" s="749">
        <v>0</v>
      </c>
      <c r="P116" s="750">
        <v>0</v>
      </c>
      <c r="Q116" s="469">
        <f t="shared" si="352"/>
        <v>0</v>
      </c>
      <c r="R116" s="460">
        <v>174655</v>
      </c>
      <c r="S116" s="673">
        <v>0</v>
      </c>
      <c r="T116" s="460">
        <v>0</v>
      </c>
      <c r="U116" s="460">
        <v>0</v>
      </c>
      <c r="V116" s="460">
        <f>SUM(Q116:U116)</f>
        <v>174655</v>
      </c>
      <c r="W116" s="460">
        <v>0</v>
      </c>
      <c r="X116" s="460">
        <v>0</v>
      </c>
      <c r="Y116" s="460">
        <v>0</v>
      </c>
      <c r="Z116" s="460">
        <f t="shared" si="353"/>
        <v>0</v>
      </c>
      <c r="AA116" s="460">
        <f t="shared" si="354"/>
        <v>174655</v>
      </c>
      <c r="AB116" s="69">
        <f t="shared" si="355"/>
        <v>59033</v>
      </c>
      <c r="AC116" s="69">
        <f t="shared" si="356"/>
        <v>1747</v>
      </c>
      <c r="AD116" s="460">
        <v>0</v>
      </c>
      <c r="AE116" s="460">
        <v>0</v>
      </c>
      <c r="AF116" s="460">
        <f t="shared" si="357"/>
        <v>0</v>
      </c>
      <c r="AG116" s="460">
        <f t="shared" si="358"/>
        <v>235435</v>
      </c>
      <c r="AH116" s="461">
        <v>0</v>
      </c>
      <c r="AI116" s="461">
        <v>0</v>
      </c>
      <c r="AJ116" s="461">
        <v>0.75</v>
      </c>
      <c r="AK116" s="461">
        <v>0</v>
      </c>
      <c r="AL116" s="674">
        <v>0</v>
      </c>
      <c r="AM116" s="461">
        <v>0</v>
      </c>
      <c r="AN116" s="461">
        <v>0</v>
      </c>
      <c r="AO116" s="461">
        <v>0</v>
      </c>
      <c r="AP116" s="461">
        <f>AH116+AJ116+AK116+AM116+AN116</f>
        <v>0.75</v>
      </c>
      <c r="AQ116" s="461">
        <f>AI116+AL116+AO116</f>
        <v>0</v>
      </c>
      <c r="AR116" s="463">
        <f t="shared" ref="AR116" si="364">SUM(AP116:AQ116)</f>
        <v>0.75</v>
      </c>
      <c r="AS116" s="469">
        <f>I116+AG116</f>
        <v>235435</v>
      </c>
      <c r="AT116" s="460">
        <f>J116+V116</f>
        <v>174655</v>
      </c>
      <c r="AU116" s="460">
        <f t="shared" si="360"/>
        <v>0</v>
      </c>
      <c r="AV116" s="460">
        <f t="shared" si="361"/>
        <v>59033</v>
      </c>
      <c r="AW116" s="460">
        <f t="shared" si="361"/>
        <v>1747</v>
      </c>
      <c r="AX116" s="460">
        <f>M116+AF116</f>
        <v>0</v>
      </c>
      <c r="AY116" s="461">
        <f>N116+AR116</f>
        <v>0.75</v>
      </c>
      <c r="AZ116" s="461">
        <f t="shared" si="362"/>
        <v>0.75</v>
      </c>
      <c r="BA116" s="463">
        <f t="shared" si="362"/>
        <v>0</v>
      </c>
    </row>
    <row r="117" spans="1:53" ht="12.95" customHeight="1" x14ac:dyDescent="0.25">
      <c r="A117" s="299">
        <v>20</v>
      </c>
      <c r="B117" s="300">
        <v>4428</v>
      </c>
      <c r="C117" s="300">
        <v>600074242</v>
      </c>
      <c r="D117" s="300">
        <v>71010513</v>
      </c>
      <c r="E117" s="316" t="s">
        <v>363</v>
      </c>
      <c r="F117" s="317">
        <v>3141</v>
      </c>
      <c r="G117" s="318" t="s">
        <v>311</v>
      </c>
      <c r="H117" s="303" t="s">
        <v>278</v>
      </c>
      <c r="I117" s="462">
        <f t="shared" si="348"/>
        <v>641747</v>
      </c>
      <c r="J117" s="457">
        <v>474260</v>
      </c>
      <c r="K117" s="457">
        <f t="shared" si="349"/>
        <v>160300</v>
      </c>
      <c r="L117" s="457">
        <f t="shared" si="350"/>
        <v>4743</v>
      </c>
      <c r="M117" s="457">
        <v>2444</v>
      </c>
      <c r="N117" s="748">
        <f t="shared" si="351"/>
        <v>1.52</v>
      </c>
      <c r="O117" s="749">
        <v>0</v>
      </c>
      <c r="P117" s="750">
        <v>1.52</v>
      </c>
      <c r="Q117" s="469">
        <f t="shared" si="352"/>
        <v>0</v>
      </c>
      <c r="R117" s="460">
        <v>0</v>
      </c>
      <c r="S117" s="673">
        <v>0</v>
      </c>
      <c r="T117" s="460">
        <v>0</v>
      </c>
      <c r="U117" s="460">
        <v>0</v>
      </c>
      <c r="V117" s="460">
        <f>SUM(Q117:U117)</f>
        <v>0</v>
      </c>
      <c r="W117" s="460">
        <v>0</v>
      </c>
      <c r="X117" s="460">
        <v>0</v>
      </c>
      <c r="Y117" s="460">
        <v>0</v>
      </c>
      <c r="Z117" s="460">
        <f t="shared" si="353"/>
        <v>0</v>
      </c>
      <c r="AA117" s="460">
        <f t="shared" si="354"/>
        <v>0</v>
      </c>
      <c r="AB117" s="69">
        <f t="shared" si="355"/>
        <v>0</v>
      </c>
      <c r="AC117" s="69">
        <f t="shared" si="356"/>
        <v>0</v>
      </c>
      <c r="AD117" s="460">
        <v>0</v>
      </c>
      <c r="AE117" s="460">
        <v>0</v>
      </c>
      <c r="AF117" s="460">
        <f t="shared" si="357"/>
        <v>0</v>
      </c>
      <c r="AG117" s="460">
        <f t="shared" si="358"/>
        <v>0</v>
      </c>
      <c r="AH117" s="461">
        <v>0</v>
      </c>
      <c r="AI117" s="461">
        <v>0</v>
      </c>
      <c r="AJ117" s="461">
        <v>0</v>
      </c>
      <c r="AK117" s="461">
        <v>0</v>
      </c>
      <c r="AL117" s="674">
        <v>0</v>
      </c>
      <c r="AM117" s="461">
        <v>0</v>
      </c>
      <c r="AN117" s="461">
        <v>0</v>
      </c>
      <c r="AO117" s="461">
        <v>0</v>
      </c>
      <c r="AP117" s="461">
        <f>AH117+AJ117+AK117+AM117+AN117</f>
        <v>0</v>
      </c>
      <c r="AQ117" s="461">
        <f>AI117+AL117+AO117</f>
        <v>0</v>
      </c>
      <c r="AR117" s="463">
        <f t="shared" si="359"/>
        <v>0</v>
      </c>
      <c r="AS117" s="469">
        <f>I117+AG117</f>
        <v>641747</v>
      </c>
      <c r="AT117" s="460">
        <f>J117+V117</f>
        <v>474260</v>
      </c>
      <c r="AU117" s="460">
        <f t="shared" si="360"/>
        <v>0</v>
      </c>
      <c r="AV117" s="460">
        <f t="shared" si="361"/>
        <v>160300</v>
      </c>
      <c r="AW117" s="460">
        <f t="shared" si="361"/>
        <v>4743</v>
      </c>
      <c r="AX117" s="460">
        <f>M117+AF117</f>
        <v>2444</v>
      </c>
      <c r="AY117" s="461">
        <f>N117+AR117</f>
        <v>1.52</v>
      </c>
      <c r="AZ117" s="461">
        <f t="shared" si="362"/>
        <v>0</v>
      </c>
      <c r="BA117" s="463">
        <f t="shared" si="362"/>
        <v>1.52</v>
      </c>
    </row>
    <row r="118" spans="1:53" ht="12.95" customHeight="1" x14ac:dyDescent="0.25">
      <c r="A118" s="292">
        <v>20</v>
      </c>
      <c r="B118" s="294">
        <v>4428</v>
      </c>
      <c r="C118" s="294">
        <v>600074242</v>
      </c>
      <c r="D118" s="294">
        <v>71010513</v>
      </c>
      <c r="E118" s="313" t="s">
        <v>364</v>
      </c>
      <c r="F118" s="314"/>
      <c r="G118" s="315"/>
      <c r="H118" s="315"/>
      <c r="I118" s="537">
        <f t="shared" ref="I118:P118" si="365">SUM(I115:I117)</f>
        <v>2305096</v>
      </c>
      <c r="J118" s="534">
        <f t="shared" si="365"/>
        <v>1701967</v>
      </c>
      <c r="K118" s="534">
        <f t="shared" si="365"/>
        <v>575265</v>
      </c>
      <c r="L118" s="534">
        <f t="shared" si="365"/>
        <v>17020</v>
      </c>
      <c r="M118" s="534">
        <f t="shared" si="365"/>
        <v>10844</v>
      </c>
      <c r="N118" s="757">
        <f t="shared" si="365"/>
        <v>4.12</v>
      </c>
      <c r="O118" s="757">
        <f t="shared" si="365"/>
        <v>2</v>
      </c>
      <c r="P118" s="759">
        <f t="shared" si="365"/>
        <v>2.12</v>
      </c>
      <c r="Q118" s="539">
        <f t="shared" ref="Q118:BA118" si="366">SUM(Q115:Q117)</f>
        <v>0</v>
      </c>
      <c r="R118" s="534">
        <f t="shared" si="366"/>
        <v>174655</v>
      </c>
      <c r="S118" s="534">
        <f t="shared" si="366"/>
        <v>0</v>
      </c>
      <c r="T118" s="534">
        <f t="shared" si="366"/>
        <v>0</v>
      </c>
      <c r="U118" s="534">
        <f t="shared" si="366"/>
        <v>0</v>
      </c>
      <c r="V118" s="534">
        <f t="shared" si="366"/>
        <v>174655</v>
      </c>
      <c r="W118" s="534">
        <f t="shared" si="366"/>
        <v>0</v>
      </c>
      <c r="X118" s="534">
        <f t="shared" si="366"/>
        <v>0</v>
      </c>
      <c r="Y118" s="534">
        <f t="shared" si="366"/>
        <v>0</v>
      </c>
      <c r="Z118" s="534">
        <f t="shared" si="366"/>
        <v>0</v>
      </c>
      <c r="AA118" s="534">
        <f t="shared" si="366"/>
        <v>174655</v>
      </c>
      <c r="AB118" s="534">
        <f t="shared" si="366"/>
        <v>59033</v>
      </c>
      <c r="AC118" s="534">
        <f t="shared" si="366"/>
        <v>1747</v>
      </c>
      <c r="AD118" s="534">
        <f t="shared" si="366"/>
        <v>0</v>
      </c>
      <c r="AE118" s="534">
        <f t="shared" si="366"/>
        <v>0</v>
      </c>
      <c r="AF118" s="534">
        <f t="shared" si="366"/>
        <v>0</v>
      </c>
      <c r="AG118" s="534">
        <f t="shared" si="366"/>
        <v>235435</v>
      </c>
      <c r="AH118" s="535">
        <f t="shared" si="366"/>
        <v>0</v>
      </c>
      <c r="AI118" s="535">
        <f t="shared" si="366"/>
        <v>0</v>
      </c>
      <c r="AJ118" s="535">
        <f t="shared" si="366"/>
        <v>0.75</v>
      </c>
      <c r="AK118" s="535">
        <f t="shared" si="366"/>
        <v>0</v>
      </c>
      <c r="AL118" s="535">
        <f t="shared" si="366"/>
        <v>0</v>
      </c>
      <c r="AM118" s="535">
        <f t="shared" si="366"/>
        <v>0</v>
      </c>
      <c r="AN118" s="535">
        <f t="shared" si="366"/>
        <v>0</v>
      </c>
      <c r="AO118" s="535">
        <f t="shared" si="366"/>
        <v>0</v>
      </c>
      <c r="AP118" s="535">
        <f t="shared" si="366"/>
        <v>0.75</v>
      </c>
      <c r="AQ118" s="535">
        <f t="shared" si="366"/>
        <v>0</v>
      </c>
      <c r="AR118" s="309">
        <f t="shared" si="366"/>
        <v>0.75</v>
      </c>
      <c r="AS118" s="539">
        <f t="shared" si="366"/>
        <v>2540531</v>
      </c>
      <c r="AT118" s="534">
        <f t="shared" si="366"/>
        <v>1876622</v>
      </c>
      <c r="AU118" s="534">
        <f t="shared" si="366"/>
        <v>0</v>
      </c>
      <c r="AV118" s="534">
        <f t="shared" si="366"/>
        <v>634298</v>
      </c>
      <c r="AW118" s="534">
        <f t="shared" si="366"/>
        <v>18767</v>
      </c>
      <c r="AX118" s="534">
        <f t="shared" si="366"/>
        <v>10844</v>
      </c>
      <c r="AY118" s="535">
        <f t="shared" si="366"/>
        <v>4.87</v>
      </c>
      <c r="AZ118" s="535">
        <f t="shared" si="366"/>
        <v>2.75</v>
      </c>
      <c r="BA118" s="309">
        <f t="shared" si="366"/>
        <v>2.12</v>
      </c>
    </row>
    <row r="119" spans="1:53" ht="12.95" customHeight="1" x14ac:dyDescent="0.25">
      <c r="A119" s="299">
        <v>21</v>
      </c>
      <c r="B119" s="300">
        <v>4463</v>
      </c>
      <c r="C119" s="300">
        <v>600074684</v>
      </c>
      <c r="D119" s="300">
        <v>71010467</v>
      </c>
      <c r="E119" s="316" t="s">
        <v>365</v>
      </c>
      <c r="F119" s="317">
        <v>3117</v>
      </c>
      <c r="G119" s="318" t="s">
        <v>325</v>
      </c>
      <c r="H119" s="303" t="s">
        <v>277</v>
      </c>
      <c r="I119" s="462">
        <f t="shared" ref="I119:I122" si="367">SUM(J119:M119)</f>
        <v>2672619</v>
      </c>
      <c r="J119" s="457">
        <v>1955300</v>
      </c>
      <c r="K119" s="457">
        <f t="shared" ref="K119:K122" si="368">ROUND(J119*33.8%,0)</f>
        <v>660891</v>
      </c>
      <c r="L119" s="457">
        <f t="shared" ref="L119:L122" si="369">ROUND(J119*1%,0)</f>
        <v>19553</v>
      </c>
      <c r="M119" s="457">
        <v>36875</v>
      </c>
      <c r="N119" s="748">
        <f t="shared" ref="N119:N122" si="370">O119+P119</f>
        <v>3.2364000000000002</v>
      </c>
      <c r="O119" s="749">
        <v>2.6364000000000001</v>
      </c>
      <c r="P119" s="750">
        <v>0.6</v>
      </c>
      <c r="Q119" s="469">
        <f t="shared" ref="Q119:Q122" si="371">W119*-1</f>
        <v>0</v>
      </c>
      <c r="R119" s="460">
        <v>0</v>
      </c>
      <c r="S119" s="673">
        <v>0</v>
      </c>
      <c r="T119" s="460">
        <v>0</v>
      </c>
      <c r="U119" s="460">
        <v>0</v>
      </c>
      <c r="V119" s="460">
        <f>SUM(Q119:U119)</f>
        <v>0</v>
      </c>
      <c r="W119" s="460">
        <v>0</v>
      </c>
      <c r="X119" s="460">
        <v>0</v>
      </c>
      <c r="Y119" s="460">
        <v>0</v>
      </c>
      <c r="Z119" s="460">
        <f t="shared" ref="Z119:Z122" si="372">SUM(W119:Y119)</f>
        <v>0</v>
      </c>
      <c r="AA119" s="460">
        <f t="shared" ref="AA119:AA122" si="373">V119+Z119</f>
        <v>0</v>
      </c>
      <c r="AB119" s="69">
        <f t="shared" ref="AB119:AB122" si="374">ROUND((V119+W119+X119)*33.8%,0)</f>
        <v>0</v>
      </c>
      <c r="AC119" s="69">
        <f t="shared" ref="AC119:AC122" si="375">ROUND(V119*1%,0)</f>
        <v>0</v>
      </c>
      <c r="AD119" s="460">
        <v>0</v>
      </c>
      <c r="AE119" s="460">
        <v>0</v>
      </c>
      <c r="AF119" s="460">
        <f t="shared" ref="AF119:AF122" si="376">SUM(AD119:AE119)</f>
        <v>0</v>
      </c>
      <c r="AG119" s="460">
        <f t="shared" ref="AG119:AG122" si="377">AA119+AB119+AC119+AF119</f>
        <v>0</v>
      </c>
      <c r="AH119" s="461">
        <v>0</v>
      </c>
      <c r="AI119" s="461">
        <v>0</v>
      </c>
      <c r="AJ119" s="461">
        <v>0</v>
      </c>
      <c r="AK119" s="461">
        <v>0</v>
      </c>
      <c r="AL119" s="674">
        <v>0</v>
      </c>
      <c r="AM119" s="461">
        <v>0</v>
      </c>
      <c r="AN119" s="461">
        <v>0</v>
      </c>
      <c r="AO119" s="461">
        <v>0</v>
      </c>
      <c r="AP119" s="461">
        <f>AH119+AJ119+AK119+AM119+AN119</f>
        <v>0</v>
      </c>
      <c r="AQ119" s="461">
        <f>AI119+AL119+AO119</f>
        <v>0</v>
      </c>
      <c r="AR119" s="463">
        <f t="shared" ref="AR119:AR122" si="378">SUM(AP119:AQ119)</f>
        <v>0</v>
      </c>
      <c r="AS119" s="469">
        <f>I119+AG119</f>
        <v>2672619</v>
      </c>
      <c r="AT119" s="460">
        <f>J119+V119</f>
        <v>1955300</v>
      </c>
      <c r="AU119" s="460">
        <f t="shared" ref="AU119:AU122" si="379">Z119</f>
        <v>0</v>
      </c>
      <c r="AV119" s="460">
        <f t="shared" ref="AV119:AW122" si="380">K119+AB119</f>
        <v>660891</v>
      </c>
      <c r="AW119" s="460">
        <f t="shared" si="380"/>
        <v>19553</v>
      </c>
      <c r="AX119" s="460">
        <f>M119+AF119</f>
        <v>36875</v>
      </c>
      <c r="AY119" s="461">
        <f>N119+AR119</f>
        <v>3.2364000000000002</v>
      </c>
      <c r="AZ119" s="461">
        <f t="shared" ref="AZ119:BA122" si="381">O119+AP119</f>
        <v>2.6364000000000001</v>
      </c>
      <c r="BA119" s="463">
        <f t="shared" si="381"/>
        <v>0.6</v>
      </c>
    </row>
    <row r="120" spans="1:53" ht="12.95" customHeight="1" x14ac:dyDescent="0.25">
      <c r="A120" s="299">
        <v>21</v>
      </c>
      <c r="B120" s="300">
        <v>4463</v>
      </c>
      <c r="C120" s="300">
        <v>600074684</v>
      </c>
      <c r="D120" s="300">
        <v>71010467</v>
      </c>
      <c r="E120" s="316" t="s">
        <v>365</v>
      </c>
      <c r="F120" s="317">
        <v>3117</v>
      </c>
      <c r="G120" s="303" t="s">
        <v>315</v>
      </c>
      <c r="H120" s="303" t="s">
        <v>278</v>
      </c>
      <c r="I120" s="462">
        <f t="shared" si="367"/>
        <v>0</v>
      </c>
      <c r="J120" s="457">
        <v>0</v>
      </c>
      <c r="K120" s="457">
        <f t="shared" si="368"/>
        <v>0</v>
      </c>
      <c r="L120" s="457">
        <f t="shared" si="369"/>
        <v>0</v>
      </c>
      <c r="M120" s="457">
        <v>0</v>
      </c>
      <c r="N120" s="748">
        <f t="shared" si="370"/>
        <v>0</v>
      </c>
      <c r="O120" s="749">
        <v>0</v>
      </c>
      <c r="P120" s="750">
        <v>0</v>
      </c>
      <c r="Q120" s="469">
        <f t="shared" si="371"/>
        <v>0</v>
      </c>
      <c r="R120" s="460">
        <v>0</v>
      </c>
      <c r="S120" s="673">
        <v>0</v>
      </c>
      <c r="T120" s="460">
        <v>0</v>
      </c>
      <c r="U120" s="460">
        <v>0</v>
      </c>
      <c r="V120" s="460">
        <f>SUM(Q120:U120)</f>
        <v>0</v>
      </c>
      <c r="W120" s="460">
        <v>0</v>
      </c>
      <c r="X120" s="460">
        <v>0</v>
      </c>
      <c r="Y120" s="460">
        <v>0</v>
      </c>
      <c r="Z120" s="460">
        <f t="shared" si="372"/>
        <v>0</v>
      </c>
      <c r="AA120" s="460">
        <f t="shared" si="373"/>
        <v>0</v>
      </c>
      <c r="AB120" s="69">
        <f t="shared" si="374"/>
        <v>0</v>
      </c>
      <c r="AC120" s="69">
        <f t="shared" si="375"/>
        <v>0</v>
      </c>
      <c r="AD120" s="460">
        <v>0</v>
      </c>
      <c r="AE120" s="460">
        <v>0</v>
      </c>
      <c r="AF120" s="460">
        <f t="shared" si="376"/>
        <v>0</v>
      </c>
      <c r="AG120" s="460">
        <f t="shared" si="377"/>
        <v>0</v>
      </c>
      <c r="AH120" s="461">
        <v>0</v>
      </c>
      <c r="AI120" s="461">
        <v>0</v>
      </c>
      <c r="AJ120" s="461">
        <v>0</v>
      </c>
      <c r="AK120" s="461">
        <v>0</v>
      </c>
      <c r="AL120" s="674">
        <v>0</v>
      </c>
      <c r="AM120" s="461">
        <v>0</v>
      </c>
      <c r="AN120" s="461">
        <v>0</v>
      </c>
      <c r="AO120" s="461">
        <v>0</v>
      </c>
      <c r="AP120" s="461">
        <f>AH120+AJ120+AK120+AM120+AN120</f>
        <v>0</v>
      </c>
      <c r="AQ120" s="461">
        <f>AI120+AL120+AO120</f>
        <v>0</v>
      </c>
      <c r="AR120" s="463">
        <f t="shared" si="378"/>
        <v>0</v>
      </c>
      <c r="AS120" s="469">
        <f>I120+AG120</f>
        <v>0</v>
      </c>
      <c r="AT120" s="460">
        <f>J120+V120</f>
        <v>0</v>
      </c>
      <c r="AU120" s="460">
        <f t="shared" si="379"/>
        <v>0</v>
      </c>
      <c r="AV120" s="460">
        <f t="shared" si="380"/>
        <v>0</v>
      </c>
      <c r="AW120" s="460">
        <f t="shared" si="380"/>
        <v>0</v>
      </c>
      <c r="AX120" s="460">
        <f>M120+AF120</f>
        <v>0</v>
      </c>
      <c r="AY120" s="461">
        <f>N120+AR120</f>
        <v>0</v>
      </c>
      <c r="AZ120" s="461">
        <f t="shared" si="381"/>
        <v>0</v>
      </c>
      <c r="BA120" s="463">
        <f t="shared" si="381"/>
        <v>0</v>
      </c>
    </row>
    <row r="121" spans="1:53" ht="12.95" customHeight="1" x14ac:dyDescent="0.25">
      <c r="A121" s="299">
        <v>21</v>
      </c>
      <c r="B121" s="300">
        <v>4463</v>
      </c>
      <c r="C121" s="300">
        <v>600074684</v>
      </c>
      <c r="D121" s="300">
        <v>71010467</v>
      </c>
      <c r="E121" s="316" t="s">
        <v>365</v>
      </c>
      <c r="F121" s="317">
        <v>3143</v>
      </c>
      <c r="G121" s="303" t="s">
        <v>616</v>
      </c>
      <c r="H121" s="303" t="s">
        <v>277</v>
      </c>
      <c r="I121" s="462">
        <f t="shared" si="367"/>
        <v>584470</v>
      </c>
      <c r="J121" s="457">
        <v>433583</v>
      </c>
      <c r="K121" s="457">
        <f t="shared" si="368"/>
        <v>146551</v>
      </c>
      <c r="L121" s="457">
        <f t="shared" si="369"/>
        <v>4336</v>
      </c>
      <c r="M121" s="457">
        <v>0</v>
      </c>
      <c r="N121" s="748">
        <f t="shared" si="370"/>
        <v>0.85709999999999997</v>
      </c>
      <c r="O121" s="749">
        <v>0.85709999999999997</v>
      </c>
      <c r="P121" s="750">
        <v>0</v>
      </c>
      <c r="Q121" s="469">
        <f t="shared" si="371"/>
        <v>0</v>
      </c>
      <c r="R121" s="460">
        <v>0</v>
      </c>
      <c r="S121" s="673">
        <v>0</v>
      </c>
      <c r="T121" s="460">
        <v>0</v>
      </c>
      <c r="U121" s="460">
        <v>0</v>
      </c>
      <c r="V121" s="460">
        <f>SUM(Q121:U121)</f>
        <v>0</v>
      </c>
      <c r="W121" s="460">
        <v>0</v>
      </c>
      <c r="X121" s="460">
        <v>0</v>
      </c>
      <c r="Y121" s="460">
        <v>0</v>
      </c>
      <c r="Z121" s="460">
        <f t="shared" si="372"/>
        <v>0</v>
      </c>
      <c r="AA121" s="460">
        <f t="shared" si="373"/>
        <v>0</v>
      </c>
      <c r="AB121" s="69">
        <f t="shared" si="374"/>
        <v>0</v>
      </c>
      <c r="AC121" s="69">
        <f t="shared" si="375"/>
        <v>0</v>
      </c>
      <c r="AD121" s="460">
        <v>0</v>
      </c>
      <c r="AE121" s="460">
        <v>0</v>
      </c>
      <c r="AF121" s="460">
        <f t="shared" si="376"/>
        <v>0</v>
      </c>
      <c r="AG121" s="460">
        <f t="shared" si="377"/>
        <v>0</v>
      </c>
      <c r="AH121" s="461">
        <v>0</v>
      </c>
      <c r="AI121" s="461">
        <v>0</v>
      </c>
      <c r="AJ121" s="461">
        <v>0</v>
      </c>
      <c r="AK121" s="461">
        <v>0</v>
      </c>
      <c r="AL121" s="674">
        <v>0</v>
      </c>
      <c r="AM121" s="461">
        <v>0</v>
      </c>
      <c r="AN121" s="461">
        <v>0</v>
      </c>
      <c r="AO121" s="461">
        <v>0</v>
      </c>
      <c r="AP121" s="461">
        <f>AH121+AJ121+AK121+AM121+AN121</f>
        <v>0</v>
      </c>
      <c r="AQ121" s="461">
        <f>AI121+AL121+AO121</f>
        <v>0</v>
      </c>
      <c r="AR121" s="463">
        <f t="shared" si="378"/>
        <v>0</v>
      </c>
      <c r="AS121" s="469">
        <f>I121+AG121</f>
        <v>584470</v>
      </c>
      <c r="AT121" s="460">
        <f>J121+V121</f>
        <v>433583</v>
      </c>
      <c r="AU121" s="460">
        <f t="shared" si="379"/>
        <v>0</v>
      </c>
      <c r="AV121" s="460">
        <f t="shared" si="380"/>
        <v>146551</v>
      </c>
      <c r="AW121" s="460">
        <f t="shared" si="380"/>
        <v>4336</v>
      </c>
      <c r="AX121" s="460">
        <f>M121+AF121</f>
        <v>0</v>
      </c>
      <c r="AY121" s="461">
        <f>N121+AR121</f>
        <v>0.85709999999999997</v>
      </c>
      <c r="AZ121" s="461">
        <f t="shared" si="381"/>
        <v>0.85709999999999997</v>
      </c>
      <c r="BA121" s="463">
        <f t="shared" si="381"/>
        <v>0</v>
      </c>
    </row>
    <row r="122" spans="1:53" ht="12.95" customHeight="1" x14ac:dyDescent="0.25">
      <c r="A122" s="299">
        <v>21</v>
      </c>
      <c r="B122" s="300">
        <v>4463</v>
      </c>
      <c r="C122" s="300">
        <v>600074684</v>
      </c>
      <c r="D122" s="300">
        <v>71010467</v>
      </c>
      <c r="E122" s="316" t="s">
        <v>365</v>
      </c>
      <c r="F122" s="317">
        <v>3143</v>
      </c>
      <c r="G122" s="303" t="s">
        <v>617</v>
      </c>
      <c r="H122" s="303" t="s">
        <v>278</v>
      </c>
      <c r="I122" s="462">
        <f t="shared" si="367"/>
        <v>18324</v>
      </c>
      <c r="J122" s="457">
        <v>13093</v>
      </c>
      <c r="K122" s="457">
        <f t="shared" si="368"/>
        <v>4425</v>
      </c>
      <c r="L122" s="457">
        <f t="shared" si="369"/>
        <v>131</v>
      </c>
      <c r="M122" s="457">
        <v>675</v>
      </c>
      <c r="N122" s="748">
        <f t="shared" si="370"/>
        <v>0.05</v>
      </c>
      <c r="O122" s="749">
        <v>0</v>
      </c>
      <c r="P122" s="750">
        <v>0.05</v>
      </c>
      <c r="Q122" s="469">
        <f t="shared" si="371"/>
        <v>0</v>
      </c>
      <c r="R122" s="460">
        <v>0</v>
      </c>
      <c r="S122" s="673">
        <v>0</v>
      </c>
      <c r="T122" s="460">
        <v>0</v>
      </c>
      <c r="U122" s="460">
        <v>0</v>
      </c>
      <c r="V122" s="460">
        <f>SUM(Q122:U122)</f>
        <v>0</v>
      </c>
      <c r="W122" s="460">
        <v>0</v>
      </c>
      <c r="X122" s="460">
        <v>0</v>
      </c>
      <c r="Y122" s="460">
        <v>0</v>
      </c>
      <c r="Z122" s="460">
        <f t="shared" si="372"/>
        <v>0</v>
      </c>
      <c r="AA122" s="460">
        <f t="shared" si="373"/>
        <v>0</v>
      </c>
      <c r="AB122" s="69">
        <f t="shared" si="374"/>
        <v>0</v>
      </c>
      <c r="AC122" s="69">
        <f t="shared" si="375"/>
        <v>0</v>
      </c>
      <c r="AD122" s="460">
        <v>0</v>
      </c>
      <c r="AE122" s="460">
        <v>0</v>
      </c>
      <c r="AF122" s="460">
        <f t="shared" si="376"/>
        <v>0</v>
      </c>
      <c r="AG122" s="460">
        <f t="shared" si="377"/>
        <v>0</v>
      </c>
      <c r="AH122" s="461">
        <v>0</v>
      </c>
      <c r="AI122" s="461">
        <v>0</v>
      </c>
      <c r="AJ122" s="461">
        <v>0</v>
      </c>
      <c r="AK122" s="461">
        <v>0</v>
      </c>
      <c r="AL122" s="674">
        <v>0</v>
      </c>
      <c r="AM122" s="461">
        <v>0</v>
      </c>
      <c r="AN122" s="461">
        <v>0</v>
      </c>
      <c r="AO122" s="461">
        <v>0</v>
      </c>
      <c r="AP122" s="461">
        <f>AH122+AJ122+AK122+AM122+AN122</f>
        <v>0</v>
      </c>
      <c r="AQ122" s="461">
        <f>AI122+AL122+AO122</f>
        <v>0</v>
      </c>
      <c r="AR122" s="463">
        <f t="shared" si="378"/>
        <v>0</v>
      </c>
      <c r="AS122" s="469">
        <f>I122+AG122</f>
        <v>18324</v>
      </c>
      <c r="AT122" s="460">
        <f>J122+V122</f>
        <v>13093</v>
      </c>
      <c r="AU122" s="460">
        <f t="shared" si="379"/>
        <v>0</v>
      </c>
      <c r="AV122" s="460">
        <f t="shared" si="380"/>
        <v>4425</v>
      </c>
      <c r="AW122" s="460">
        <f t="shared" si="380"/>
        <v>131</v>
      </c>
      <c r="AX122" s="460">
        <f>M122+AF122</f>
        <v>675</v>
      </c>
      <c r="AY122" s="461">
        <f>N122+AR122</f>
        <v>0.05</v>
      </c>
      <c r="AZ122" s="461">
        <f t="shared" si="381"/>
        <v>0</v>
      </c>
      <c r="BA122" s="463">
        <f t="shared" si="381"/>
        <v>0.05</v>
      </c>
    </row>
    <row r="123" spans="1:53" ht="12.95" customHeight="1" thickBot="1" x14ac:dyDescent="0.3">
      <c r="A123" s="319">
        <v>21</v>
      </c>
      <c r="B123" s="320">
        <v>4463</v>
      </c>
      <c r="C123" s="320">
        <v>600074684</v>
      </c>
      <c r="D123" s="320">
        <v>71010467</v>
      </c>
      <c r="E123" s="313" t="s">
        <v>366</v>
      </c>
      <c r="F123" s="314"/>
      <c r="G123" s="315"/>
      <c r="H123" s="315"/>
      <c r="I123" s="602">
        <f t="shared" ref="I123:P123" si="382">SUM(I119:I122)</f>
        <v>3275413</v>
      </c>
      <c r="J123" s="603">
        <f t="shared" si="382"/>
        <v>2401976</v>
      </c>
      <c r="K123" s="603">
        <f t="shared" si="382"/>
        <v>811867</v>
      </c>
      <c r="L123" s="603">
        <f t="shared" si="382"/>
        <v>24020</v>
      </c>
      <c r="M123" s="603">
        <f t="shared" si="382"/>
        <v>37550</v>
      </c>
      <c r="N123" s="760">
        <f t="shared" si="382"/>
        <v>4.1435000000000004</v>
      </c>
      <c r="O123" s="760">
        <f t="shared" si="382"/>
        <v>3.4935</v>
      </c>
      <c r="P123" s="761">
        <f t="shared" si="382"/>
        <v>0.65</v>
      </c>
      <c r="Q123" s="755">
        <f t="shared" ref="Q123:BA123" si="383">SUM(Q119:Q122)</f>
        <v>0</v>
      </c>
      <c r="R123" s="603">
        <f t="shared" si="383"/>
        <v>0</v>
      </c>
      <c r="S123" s="603">
        <f t="shared" si="383"/>
        <v>0</v>
      </c>
      <c r="T123" s="603">
        <f t="shared" si="383"/>
        <v>0</v>
      </c>
      <c r="U123" s="603">
        <f t="shared" si="383"/>
        <v>0</v>
      </c>
      <c r="V123" s="603">
        <f t="shared" si="383"/>
        <v>0</v>
      </c>
      <c r="W123" s="603">
        <f t="shared" si="383"/>
        <v>0</v>
      </c>
      <c r="X123" s="603">
        <f t="shared" si="383"/>
        <v>0</v>
      </c>
      <c r="Y123" s="603">
        <f t="shared" si="383"/>
        <v>0</v>
      </c>
      <c r="Z123" s="603">
        <f t="shared" si="383"/>
        <v>0</v>
      </c>
      <c r="AA123" s="603">
        <f t="shared" si="383"/>
        <v>0</v>
      </c>
      <c r="AB123" s="603">
        <f t="shared" si="383"/>
        <v>0</v>
      </c>
      <c r="AC123" s="603">
        <f t="shared" si="383"/>
        <v>0</v>
      </c>
      <c r="AD123" s="603">
        <f t="shared" si="383"/>
        <v>0</v>
      </c>
      <c r="AE123" s="603">
        <f t="shared" si="383"/>
        <v>0</v>
      </c>
      <c r="AF123" s="603">
        <f t="shared" si="383"/>
        <v>0</v>
      </c>
      <c r="AG123" s="603">
        <f t="shared" si="383"/>
        <v>0</v>
      </c>
      <c r="AH123" s="604">
        <f t="shared" si="383"/>
        <v>0</v>
      </c>
      <c r="AI123" s="604">
        <f t="shared" si="383"/>
        <v>0</v>
      </c>
      <c r="AJ123" s="604">
        <f t="shared" si="383"/>
        <v>0</v>
      </c>
      <c r="AK123" s="604">
        <f t="shared" si="383"/>
        <v>0</v>
      </c>
      <c r="AL123" s="604">
        <f t="shared" si="383"/>
        <v>0</v>
      </c>
      <c r="AM123" s="604">
        <f t="shared" si="383"/>
        <v>0</v>
      </c>
      <c r="AN123" s="604">
        <f t="shared" si="383"/>
        <v>0</v>
      </c>
      <c r="AO123" s="604">
        <f t="shared" si="383"/>
        <v>0</v>
      </c>
      <c r="AP123" s="604">
        <f t="shared" si="383"/>
        <v>0</v>
      </c>
      <c r="AQ123" s="604">
        <f t="shared" si="383"/>
        <v>0</v>
      </c>
      <c r="AR123" s="664">
        <f t="shared" si="383"/>
        <v>0</v>
      </c>
      <c r="AS123" s="543">
        <f t="shared" si="383"/>
        <v>3275413</v>
      </c>
      <c r="AT123" s="540">
        <f t="shared" si="383"/>
        <v>2401976</v>
      </c>
      <c r="AU123" s="540">
        <f t="shared" si="383"/>
        <v>0</v>
      </c>
      <c r="AV123" s="540">
        <f t="shared" si="383"/>
        <v>811867</v>
      </c>
      <c r="AW123" s="540">
        <f t="shared" si="383"/>
        <v>24020</v>
      </c>
      <c r="AX123" s="540">
        <f t="shared" si="383"/>
        <v>37550</v>
      </c>
      <c r="AY123" s="541">
        <f t="shared" si="383"/>
        <v>4.1435000000000004</v>
      </c>
      <c r="AZ123" s="541">
        <f t="shared" si="383"/>
        <v>3.4935</v>
      </c>
      <c r="BA123" s="542">
        <f t="shared" si="383"/>
        <v>0.65</v>
      </c>
    </row>
    <row r="124" spans="1:53" ht="14.25" customHeight="1" thickBot="1" x14ac:dyDescent="0.3">
      <c r="A124" s="321"/>
      <c r="B124" s="322"/>
      <c r="C124" s="323"/>
      <c r="D124" s="322"/>
      <c r="E124" s="324" t="s">
        <v>779</v>
      </c>
      <c r="F124" s="323"/>
      <c r="G124" s="325"/>
      <c r="H124" s="326"/>
      <c r="I124" s="598">
        <f t="shared" ref="I124:BA124" si="384">I123+I118+I114+I107+I100+I93+I86+I79+I72+I65+I58+I56+I50+I46+I44+I42+I36+I30+I24+I18+I13</f>
        <v>314533828</v>
      </c>
      <c r="J124" s="599">
        <f t="shared" si="384"/>
        <v>230537503</v>
      </c>
      <c r="K124" s="599">
        <f t="shared" si="384"/>
        <v>77921674</v>
      </c>
      <c r="L124" s="599">
        <f t="shared" si="384"/>
        <v>2305378</v>
      </c>
      <c r="M124" s="599">
        <f t="shared" si="384"/>
        <v>3769273</v>
      </c>
      <c r="N124" s="600">
        <f t="shared" si="384"/>
        <v>446.88990000000007</v>
      </c>
      <c r="O124" s="600">
        <f t="shared" si="384"/>
        <v>313.75870000000003</v>
      </c>
      <c r="P124" s="663">
        <f t="shared" si="384"/>
        <v>133.13120000000001</v>
      </c>
      <c r="Q124" s="598">
        <f t="shared" si="384"/>
        <v>-1115952</v>
      </c>
      <c r="R124" s="599">
        <f t="shared" si="384"/>
        <v>14398302</v>
      </c>
      <c r="S124" s="599">
        <f t="shared" si="384"/>
        <v>0</v>
      </c>
      <c r="T124" s="599">
        <f t="shared" si="384"/>
        <v>0</v>
      </c>
      <c r="U124" s="599">
        <f t="shared" si="384"/>
        <v>0</v>
      </c>
      <c r="V124" s="599">
        <f t="shared" si="384"/>
        <v>13282350</v>
      </c>
      <c r="W124" s="599">
        <f t="shared" si="384"/>
        <v>1115952</v>
      </c>
      <c r="X124" s="599">
        <f t="shared" si="384"/>
        <v>49520</v>
      </c>
      <c r="Y124" s="599">
        <f t="shared" si="384"/>
        <v>21321</v>
      </c>
      <c r="Z124" s="599">
        <f t="shared" si="384"/>
        <v>1186793</v>
      </c>
      <c r="AA124" s="599">
        <f t="shared" si="384"/>
        <v>14469143</v>
      </c>
      <c r="AB124" s="599">
        <f t="shared" si="384"/>
        <v>4883365</v>
      </c>
      <c r="AC124" s="599">
        <f t="shared" si="384"/>
        <v>132819</v>
      </c>
      <c r="AD124" s="599">
        <f t="shared" si="384"/>
        <v>4750</v>
      </c>
      <c r="AE124" s="599">
        <f t="shared" si="384"/>
        <v>0</v>
      </c>
      <c r="AF124" s="599">
        <f t="shared" si="384"/>
        <v>4750</v>
      </c>
      <c r="AG124" s="599">
        <f t="shared" si="384"/>
        <v>19490077</v>
      </c>
      <c r="AH124" s="600">
        <f t="shared" si="384"/>
        <v>-0.78</v>
      </c>
      <c r="AI124" s="600">
        <f t="shared" si="384"/>
        <v>-0.81</v>
      </c>
      <c r="AJ124" s="600">
        <f t="shared" si="384"/>
        <v>43.47</v>
      </c>
      <c r="AK124" s="600">
        <f t="shared" si="384"/>
        <v>0</v>
      </c>
      <c r="AL124" s="600">
        <f t="shared" si="384"/>
        <v>0</v>
      </c>
      <c r="AM124" s="600">
        <f t="shared" si="384"/>
        <v>0</v>
      </c>
      <c r="AN124" s="600">
        <f t="shared" si="384"/>
        <v>0</v>
      </c>
      <c r="AO124" s="600">
        <f t="shared" si="384"/>
        <v>0</v>
      </c>
      <c r="AP124" s="600">
        <f t="shared" si="384"/>
        <v>42.69</v>
      </c>
      <c r="AQ124" s="600">
        <f t="shared" si="384"/>
        <v>-0.81</v>
      </c>
      <c r="AR124" s="663">
        <f t="shared" si="384"/>
        <v>41.879999999999995</v>
      </c>
      <c r="AS124" s="547">
        <f t="shared" si="384"/>
        <v>334023905</v>
      </c>
      <c r="AT124" s="544">
        <f t="shared" si="384"/>
        <v>243819853</v>
      </c>
      <c r="AU124" s="544">
        <f t="shared" si="384"/>
        <v>1186793</v>
      </c>
      <c r="AV124" s="544">
        <f t="shared" si="384"/>
        <v>82805039</v>
      </c>
      <c r="AW124" s="544">
        <f t="shared" si="384"/>
        <v>2438197</v>
      </c>
      <c r="AX124" s="544">
        <f t="shared" si="384"/>
        <v>3774023</v>
      </c>
      <c r="AY124" s="545">
        <f t="shared" si="384"/>
        <v>488.76989999999995</v>
      </c>
      <c r="AZ124" s="545">
        <f t="shared" si="384"/>
        <v>356.44869999999992</v>
      </c>
      <c r="BA124" s="546">
        <f t="shared" si="384"/>
        <v>132.3212</v>
      </c>
    </row>
    <row r="125" spans="1:53" ht="12.75" customHeight="1" x14ac:dyDescent="0.25">
      <c r="B125" s="328"/>
      <c r="D125" s="328"/>
      <c r="E125" s="329"/>
      <c r="I125" s="474">
        <f>SUM(J124:M124)</f>
        <v>314533828</v>
      </c>
      <c r="J125" s="474"/>
      <c r="K125" s="474"/>
      <c r="L125" s="474"/>
      <c r="M125" s="474"/>
      <c r="N125" s="475">
        <f>SUM(O124:P124)</f>
        <v>446.88990000000001</v>
      </c>
      <c r="O125" s="475"/>
      <c r="P125" s="475"/>
      <c r="Q125" s="474">
        <f>W124</f>
        <v>1115952</v>
      </c>
      <c r="R125" s="475"/>
      <c r="S125" s="475"/>
      <c r="T125" s="475"/>
      <c r="U125" s="475"/>
      <c r="V125" s="481">
        <f>SUM(Q124:U124)</f>
        <v>13282350</v>
      </c>
      <c r="W125" s="481">
        <f>Q124</f>
        <v>-1115952</v>
      </c>
      <c r="X125" s="482"/>
      <c r="Y125" s="482"/>
      <c r="Z125" s="481">
        <f>SUM(W124:Y124)</f>
        <v>1186793</v>
      </c>
      <c r="AA125" s="481">
        <f>V124+Z124</f>
        <v>14469143</v>
      </c>
      <c r="AB125" s="483"/>
      <c r="AC125" s="483"/>
      <c r="AD125" s="482"/>
      <c r="AE125" s="482"/>
      <c r="AF125" s="481">
        <f>SUM(AD124:AE124)</f>
        <v>4750</v>
      </c>
      <c r="AG125" s="481">
        <f>AA124+AB124+AC124+AF124</f>
        <v>19490077</v>
      </c>
      <c r="AH125" s="484"/>
      <c r="AI125" s="484"/>
      <c r="AJ125" s="484"/>
      <c r="AK125" s="484"/>
      <c r="AL125" s="484"/>
      <c r="AM125" s="484"/>
      <c r="AN125" s="484"/>
      <c r="AO125" s="484"/>
      <c r="AP125" s="636">
        <f>AH124+AJ124+AK124+AM124+AN124</f>
        <v>42.69</v>
      </c>
      <c r="AQ125" s="636">
        <f>AI124+AL124+AO124</f>
        <v>-0.81</v>
      </c>
      <c r="AR125" s="636">
        <f>SUM(AP124:AQ124)</f>
        <v>41.879999999999995</v>
      </c>
      <c r="AS125" s="474">
        <f>SUM(AT124:AX124)</f>
        <v>334023905</v>
      </c>
      <c r="AT125" s="54"/>
      <c r="AU125" s="54"/>
      <c r="AV125" s="54"/>
      <c r="AW125" s="54"/>
      <c r="AX125" s="54"/>
      <c r="AY125" s="475">
        <f>SUM(AZ124:BA124)</f>
        <v>488.76989999999989</v>
      </c>
      <c r="AZ125" s="89"/>
      <c r="BA125" s="89"/>
    </row>
    <row r="126" spans="1:53" ht="12.75" customHeight="1" thickBot="1" x14ac:dyDescent="0.3">
      <c r="B126" s="328"/>
      <c r="D126" s="328"/>
      <c r="E126" s="269"/>
      <c r="I126" s="87">
        <f>SUM(J127:M127)</f>
        <v>314533828</v>
      </c>
      <c r="J126" s="52"/>
      <c r="K126" s="480"/>
      <c r="L126" s="480"/>
      <c r="M126" s="52"/>
      <c r="N126" s="88">
        <f>SUM(O127:P127)</f>
        <v>446.88990000000001</v>
      </c>
      <c r="O126" s="179"/>
      <c r="P126" s="179"/>
      <c r="Q126" s="475"/>
      <c r="R126" s="475"/>
      <c r="S126" s="475"/>
      <c r="T126" s="475"/>
      <c r="U126" s="475"/>
      <c r="V126" s="481">
        <f>SUM(Q127:U127)</f>
        <v>13282350</v>
      </c>
      <c r="W126" s="482"/>
      <c r="X126" s="482"/>
      <c r="Y126" s="482"/>
      <c r="Z126" s="481">
        <f>SUM(W127:Y127)</f>
        <v>1186793</v>
      </c>
      <c r="AA126" s="481">
        <f>V127+Z127</f>
        <v>14469143</v>
      </c>
      <c r="AB126" s="483"/>
      <c r="AC126" s="483"/>
      <c r="AD126" s="482"/>
      <c r="AE126" s="482"/>
      <c r="AF126" s="481">
        <f>SUM(AD127:AE127)</f>
        <v>4750</v>
      </c>
      <c r="AG126" s="481">
        <f>AA127+AB127+AC127+AF127</f>
        <v>19490077</v>
      </c>
      <c r="AH126" s="484"/>
      <c r="AI126" s="484"/>
      <c r="AJ126" s="484"/>
      <c r="AK126" s="484"/>
      <c r="AL126" s="484"/>
      <c r="AM126" s="484"/>
      <c r="AN126" s="484"/>
      <c r="AO126" s="484"/>
      <c r="AP126" s="606">
        <f>AH127+AJ127+AK127+AM127+AN127</f>
        <v>42.69</v>
      </c>
      <c r="AQ126" s="606">
        <f>AI127+AL127+AO127</f>
        <v>-0.81</v>
      </c>
      <c r="AR126" s="606">
        <f>SUM(AP127:AQ127)</f>
        <v>41.88</v>
      </c>
      <c r="AS126" s="474">
        <f>SUM(AT127:AX127)</f>
        <v>334023905</v>
      </c>
      <c r="AT126" s="54"/>
      <c r="AU126" s="54"/>
      <c r="AV126" s="54"/>
      <c r="AW126" s="54"/>
      <c r="AX126" s="54"/>
      <c r="AY126" s="475">
        <f>SUM(AZ127:BA127)</f>
        <v>488.76990000000001</v>
      </c>
      <c r="AZ126" s="89"/>
      <c r="BA126" s="89"/>
    </row>
    <row r="127" spans="1:53" s="91" customFormat="1" ht="12.95" customHeight="1" thickBot="1" x14ac:dyDescent="0.3">
      <c r="D127" s="330"/>
      <c r="E127" s="331"/>
      <c r="F127" s="330"/>
      <c r="G127" s="332"/>
      <c r="H127" s="493" t="s">
        <v>0</v>
      </c>
      <c r="I127" s="142">
        <f t="shared" ref="I127:BA127" si="385">SUM(I128:I137)</f>
        <v>314533828</v>
      </c>
      <c r="J127" s="34">
        <f t="shared" si="385"/>
        <v>230537503</v>
      </c>
      <c r="K127" s="34">
        <f t="shared" si="385"/>
        <v>77921674</v>
      </c>
      <c r="L127" s="34">
        <f t="shared" si="385"/>
        <v>2305378</v>
      </c>
      <c r="M127" s="34">
        <f t="shared" si="385"/>
        <v>3769273</v>
      </c>
      <c r="N127" s="35">
        <f t="shared" si="385"/>
        <v>446.88990000000001</v>
      </c>
      <c r="O127" s="35">
        <f t="shared" si="385"/>
        <v>313.75870000000003</v>
      </c>
      <c r="P127" s="151">
        <f t="shared" si="385"/>
        <v>133.13120000000001</v>
      </c>
      <c r="Q127" s="142">
        <f t="shared" si="385"/>
        <v>-1115952</v>
      </c>
      <c r="R127" s="34">
        <f t="shared" si="385"/>
        <v>14398302</v>
      </c>
      <c r="S127" s="34">
        <f t="shared" si="385"/>
        <v>0</v>
      </c>
      <c r="T127" s="34">
        <f t="shared" si="385"/>
        <v>0</v>
      </c>
      <c r="U127" s="34">
        <f t="shared" si="385"/>
        <v>0</v>
      </c>
      <c r="V127" s="34">
        <f t="shared" si="385"/>
        <v>13282350</v>
      </c>
      <c r="W127" s="34">
        <f t="shared" si="385"/>
        <v>1115952</v>
      </c>
      <c r="X127" s="34">
        <f t="shared" si="385"/>
        <v>49520</v>
      </c>
      <c r="Y127" s="34">
        <f t="shared" si="385"/>
        <v>21321</v>
      </c>
      <c r="Z127" s="34">
        <f t="shared" si="385"/>
        <v>1186793</v>
      </c>
      <c r="AA127" s="34">
        <f t="shared" si="385"/>
        <v>14469143</v>
      </c>
      <c r="AB127" s="34">
        <f t="shared" si="385"/>
        <v>4883365</v>
      </c>
      <c r="AC127" s="34">
        <f t="shared" si="385"/>
        <v>132819</v>
      </c>
      <c r="AD127" s="34">
        <f t="shared" si="385"/>
        <v>4750</v>
      </c>
      <c r="AE127" s="34">
        <f t="shared" si="385"/>
        <v>0</v>
      </c>
      <c r="AF127" s="34">
        <f t="shared" si="385"/>
        <v>4750</v>
      </c>
      <c r="AG127" s="34">
        <f t="shared" si="385"/>
        <v>19490077</v>
      </c>
      <c r="AH127" s="35">
        <f t="shared" si="385"/>
        <v>-0.78</v>
      </c>
      <c r="AI127" s="35">
        <f t="shared" si="385"/>
        <v>-0.81</v>
      </c>
      <c r="AJ127" s="35">
        <f t="shared" si="385"/>
        <v>43.47</v>
      </c>
      <c r="AK127" s="35">
        <f t="shared" si="385"/>
        <v>0</v>
      </c>
      <c r="AL127" s="35">
        <f t="shared" si="385"/>
        <v>0</v>
      </c>
      <c r="AM127" s="35">
        <f t="shared" si="385"/>
        <v>0</v>
      </c>
      <c r="AN127" s="35">
        <f t="shared" si="385"/>
        <v>0</v>
      </c>
      <c r="AO127" s="35">
        <f t="shared" si="385"/>
        <v>0</v>
      </c>
      <c r="AP127" s="35">
        <f t="shared" si="385"/>
        <v>42.690000000000005</v>
      </c>
      <c r="AQ127" s="35">
        <f t="shared" si="385"/>
        <v>-0.81</v>
      </c>
      <c r="AR127" s="36">
        <f t="shared" si="385"/>
        <v>41.879999999999995</v>
      </c>
      <c r="AS127" s="152">
        <f t="shared" si="385"/>
        <v>334023905</v>
      </c>
      <c r="AT127" s="34">
        <f t="shared" si="385"/>
        <v>243819853</v>
      </c>
      <c r="AU127" s="34">
        <f t="shared" si="385"/>
        <v>1186793</v>
      </c>
      <c r="AV127" s="34">
        <f t="shared" si="385"/>
        <v>82805039</v>
      </c>
      <c r="AW127" s="34">
        <f t="shared" si="385"/>
        <v>2438197</v>
      </c>
      <c r="AX127" s="34">
        <f t="shared" si="385"/>
        <v>3774023</v>
      </c>
      <c r="AY127" s="35">
        <f t="shared" si="385"/>
        <v>488.76990000000001</v>
      </c>
      <c r="AZ127" s="35">
        <f t="shared" si="385"/>
        <v>356.44869999999997</v>
      </c>
      <c r="BA127" s="36">
        <f t="shared" si="385"/>
        <v>132.3212</v>
      </c>
    </row>
    <row r="128" spans="1:53" s="91" customFormat="1" ht="12.95" customHeight="1" x14ac:dyDescent="0.25">
      <c r="D128" s="330"/>
      <c r="E128" s="331"/>
      <c r="F128" s="330"/>
      <c r="G128" s="332"/>
      <c r="H128" s="494">
        <v>3111</v>
      </c>
      <c r="I128" s="580">
        <f t="shared" ref="I128:BA128" si="386">SUMIF($F$12:$F$464,"=3111",I$12:I$464)</f>
        <v>63013353</v>
      </c>
      <c r="J128" s="581">
        <f t="shared" si="386"/>
        <v>46509134</v>
      </c>
      <c r="K128" s="581">
        <f t="shared" si="386"/>
        <v>15720088</v>
      </c>
      <c r="L128" s="581">
        <f t="shared" si="386"/>
        <v>465091</v>
      </c>
      <c r="M128" s="581">
        <f t="shared" si="386"/>
        <v>319040</v>
      </c>
      <c r="N128" s="584">
        <f t="shared" si="386"/>
        <v>97.6691</v>
      </c>
      <c r="O128" s="584">
        <f t="shared" si="386"/>
        <v>77.399100000000004</v>
      </c>
      <c r="P128" s="585">
        <f t="shared" si="386"/>
        <v>20.269999999999996</v>
      </c>
      <c r="Q128" s="580">
        <f t="shared" si="386"/>
        <v>-117845</v>
      </c>
      <c r="R128" s="581">
        <f t="shared" si="386"/>
        <v>1366038</v>
      </c>
      <c r="S128" s="581">
        <f t="shared" si="386"/>
        <v>0</v>
      </c>
      <c r="T128" s="581">
        <f t="shared" si="386"/>
        <v>0</v>
      </c>
      <c r="U128" s="581">
        <f t="shared" si="386"/>
        <v>0</v>
      </c>
      <c r="V128" s="581">
        <f t="shared" si="386"/>
        <v>1248193</v>
      </c>
      <c r="W128" s="581">
        <f t="shared" si="386"/>
        <v>117845</v>
      </c>
      <c r="X128" s="581">
        <f t="shared" si="386"/>
        <v>0</v>
      </c>
      <c r="Y128" s="581">
        <f t="shared" si="386"/>
        <v>0</v>
      </c>
      <c r="Z128" s="581">
        <f t="shared" si="386"/>
        <v>117845</v>
      </c>
      <c r="AA128" s="581">
        <f t="shared" si="386"/>
        <v>1366038</v>
      </c>
      <c r="AB128" s="581">
        <f t="shared" si="386"/>
        <v>461721</v>
      </c>
      <c r="AC128" s="581">
        <f t="shared" si="386"/>
        <v>12482</v>
      </c>
      <c r="AD128" s="581">
        <f t="shared" si="386"/>
        <v>0</v>
      </c>
      <c r="AE128" s="581">
        <f t="shared" si="386"/>
        <v>0</v>
      </c>
      <c r="AF128" s="581">
        <f t="shared" si="386"/>
        <v>0</v>
      </c>
      <c r="AG128" s="581">
        <f t="shared" si="386"/>
        <v>1840241</v>
      </c>
      <c r="AH128" s="584">
        <f t="shared" si="386"/>
        <v>-0.05</v>
      </c>
      <c r="AI128" s="584">
        <f t="shared" si="386"/>
        <v>0</v>
      </c>
      <c r="AJ128" s="584">
        <f t="shared" si="386"/>
        <v>4.3899999999999997</v>
      </c>
      <c r="AK128" s="584">
        <f t="shared" si="386"/>
        <v>0</v>
      </c>
      <c r="AL128" s="584">
        <f t="shared" si="386"/>
        <v>0</v>
      </c>
      <c r="AM128" s="584">
        <f t="shared" si="386"/>
        <v>0</v>
      </c>
      <c r="AN128" s="584">
        <f t="shared" si="386"/>
        <v>0</v>
      </c>
      <c r="AO128" s="584">
        <f t="shared" si="386"/>
        <v>0</v>
      </c>
      <c r="AP128" s="584">
        <f t="shared" si="386"/>
        <v>4.34</v>
      </c>
      <c r="AQ128" s="584">
        <f t="shared" si="386"/>
        <v>0</v>
      </c>
      <c r="AR128" s="587">
        <f t="shared" si="386"/>
        <v>4.34</v>
      </c>
      <c r="AS128" s="582">
        <f t="shared" si="386"/>
        <v>64853594</v>
      </c>
      <c r="AT128" s="581">
        <f t="shared" si="386"/>
        <v>47757327</v>
      </c>
      <c r="AU128" s="581">
        <f t="shared" si="386"/>
        <v>117845</v>
      </c>
      <c r="AV128" s="581">
        <f t="shared" si="386"/>
        <v>16181809</v>
      </c>
      <c r="AW128" s="581">
        <f t="shared" si="386"/>
        <v>477573</v>
      </c>
      <c r="AX128" s="581">
        <f t="shared" si="386"/>
        <v>319040</v>
      </c>
      <c r="AY128" s="584">
        <f t="shared" si="386"/>
        <v>102.0091</v>
      </c>
      <c r="AZ128" s="584">
        <f t="shared" si="386"/>
        <v>81.739100000000008</v>
      </c>
      <c r="BA128" s="587">
        <f t="shared" si="386"/>
        <v>20.269999999999996</v>
      </c>
    </row>
    <row r="129" spans="4:53" s="91" customFormat="1" ht="12.95" customHeight="1" x14ac:dyDescent="0.25">
      <c r="D129" s="330"/>
      <c r="E129" s="331"/>
      <c r="F129" s="330"/>
      <c r="G129" s="332"/>
      <c r="H129" s="2">
        <v>3113</v>
      </c>
      <c r="I129" s="170">
        <f t="shared" ref="I129:BA129" si="387">SUMIF($F$12:$F$464,"=3113",I$12:I$464)</f>
        <v>149789299</v>
      </c>
      <c r="J129" s="16">
        <f t="shared" si="387"/>
        <v>109119777</v>
      </c>
      <c r="K129" s="16">
        <f t="shared" si="387"/>
        <v>36882484</v>
      </c>
      <c r="L129" s="16">
        <f t="shared" si="387"/>
        <v>1091198</v>
      </c>
      <c r="M129" s="16">
        <f t="shared" si="387"/>
        <v>2695840</v>
      </c>
      <c r="N129" s="13">
        <f t="shared" si="387"/>
        <v>182.8999</v>
      </c>
      <c r="O129" s="13">
        <f t="shared" si="387"/>
        <v>146.7269</v>
      </c>
      <c r="P129" s="172">
        <f t="shared" si="387"/>
        <v>36.173000000000002</v>
      </c>
      <c r="Q129" s="170">
        <f t="shared" si="387"/>
        <v>-296660</v>
      </c>
      <c r="R129" s="16">
        <f t="shared" si="387"/>
        <v>10323847</v>
      </c>
      <c r="S129" s="16">
        <f t="shared" si="387"/>
        <v>0</v>
      </c>
      <c r="T129" s="16">
        <f t="shared" si="387"/>
        <v>0</v>
      </c>
      <c r="U129" s="16">
        <f t="shared" si="387"/>
        <v>0</v>
      </c>
      <c r="V129" s="16">
        <f t="shared" si="387"/>
        <v>10027187</v>
      </c>
      <c r="W129" s="16">
        <f t="shared" si="387"/>
        <v>296660</v>
      </c>
      <c r="X129" s="16">
        <f t="shared" si="387"/>
        <v>0</v>
      </c>
      <c r="Y129" s="16">
        <f t="shared" si="387"/>
        <v>0</v>
      </c>
      <c r="Z129" s="16">
        <f t="shared" si="387"/>
        <v>296660</v>
      </c>
      <c r="AA129" s="16">
        <f t="shared" si="387"/>
        <v>10323847</v>
      </c>
      <c r="AB129" s="16">
        <f t="shared" si="387"/>
        <v>3489461</v>
      </c>
      <c r="AC129" s="16">
        <f t="shared" si="387"/>
        <v>100271</v>
      </c>
      <c r="AD129" s="16">
        <f t="shared" si="387"/>
        <v>4750</v>
      </c>
      <c r="AE129" s="16">
        <f t="shared" si="387"/>
        <v>0</v>
      </c>
      <c r="AF129" s="16">
        <f t="shared" si="387"/>
        <v>4750</v>
      </c>
      <c r="AG129" s="16">
        <f t="shared" si="387"/>
        <v>13918329</v>
      </c>
      <c r="AH129" s="13">
        <f t="shared" si="387"/>
        <v>-0.14000000000000001</v>
      </c>
      <c r="AI129" s="13">
        <f t="shared" si="387"/>
        <v>-0.33999999999999997</v>
      </c>
      <c r="AJ129" s="13">
        <f t="shared" si="387"/>
        <v>31.14</v>
      </c>
      <c r="AK129" s="13">
        <f t="shared" si="387"/>
        <v>0</v>
      </c>
      <c r="AL129" s="13">
        <f t="shared" si="387"/>
        <v>0</v>
      </c>
      <c r="AM129" s="13">
        <f t="shared" si="387"/>
        <v>0</v>
      </c>
      <c r="AN129" s="13">
        <f t="shared" si="387"/>
        <v>0</v>
      </c>
      <c r="AO129" s="13">
        <f t="shared" si="387"/>
        <v>0</v>
      </c>
      <c r="AP129" s="13">
        <f t="shared" si="387"/>
        <v>31</v>
      </c>
      <c r="AQ129" s="13">
        <f t="shared" si="387"/>
        <v>-0.33999999999999997</v>
      </c>
      <c r="AR129" s="17">
        <f t="shared" si="387"/>
        <v>30.659999999999997</v>
      </c>
      <c r="AS129" s="171">
        <f t="shared" si="387"/>
        <v>163707628</v>
      </c>
      <c r="AT129" s="16">
        <f t="shared" si="387"/>
        <v>119146964</v>
      </c>
      <c r="AU129" s="16">
        <f t="shared" si="387"/>
        <v>296660</v>
      </c>
      <c r="AV129" s="16">
        <f t="shared" si="387"/>
        <v>40371945</v>
      </c>
      <c r="AW129" s="16">
        <f t="shared" si="387"/>
        <v>1191469</v>
      </c>
      <c r="AX129" s="16">
        <f t="shared" si="387"/>
        <v>2700590</v>
      </c>
      <c r="AY129" s="13">
        <f t="shared" si="387"/>
        <v>213.55989999999997</v>
      </c>
      <c r="AZ129" s="13">
        <f t="shared" si="387"/>
        <v>177.72689999999994</v>
      </c>
      <c r="BA129" s="17">
        <f t="shared" si="387"/>
        <v>35.832999999999998</v>
      </c>
    </row>
    <row r="130" spans="4:53" s="91" customFormat="1" ht="12.95" customHeight="1" x14ac:dyDescent="0.25">
      <c r="D130" s="330"/>
      <c r="E130" s="331"/>
      <c r="F130" s="330"/>
      <c r="G130" s="332"/>
      <c r="H130" s="2">
        <v>3114</v>
      </c>
      <c r="I130" s="170">
        <f t="shared" ref="I130:BA130" si="388">SUMIF($F$12:$F$464,"=3114",I$12:I$464)</f>
        <v>9897367</v>
      </c>
      <c r="J130" s="16">
        <f t="shared" si="388"/>
        <v>7267635</v>
      </c>
      <c r="K130" s="16">
        <f t="shared" si="388"/>
        <v>2456461</v>
      </c>
      <c r="L130" s="16">
        <f t="shared" si="388"/>
        <v>72676</v>
      </c>
      <c r="M130" s="16">
        <f t="shared" si="388"/>
        <v>100595</v>
      </c>
      <c r="N130" s="13">
        <f t="shared" si="388"/>
        <v>12.175799999999999</v>
      </c>
      <c r="O130" s="13">
        <f t="shared" si="388"/>
        <v>9.5957999999999988</v>
      </c>
      <c r="P130" s="172">
        <f t="shared" si="388"/>
        <v>2.58</v>
      </c>
      <c r="Q130" s="170">
        <f t="shared" si="388"/>
        <v>-26000</v>
      </c>
      <c r="R130" s="16">
        <f t="shared" si="388"/>
        <v>0</v>
      </c>
      <c r="S130" s="16">
        <f t="shared" si="388"/>
        <v>0</v>
      </c>
      <c r="T130" s="16">
        <f t="shared" si="388"/>
        <v>0</v>
      </c>
      <c r="U130" s="16">
        <f t="shared" si="388"/>
        <v>0</v>
      </c>
      <c r="V130" s="16">
        <f t="shared" si="388"/>
        <v>-26000</v>
      </c>
      <c r="W130" s="16">
        <f t="shared" si="388"/>
        <v>26000</v>
      </c>
      <c r="X130" s="16">
        <f t="shared" si="388"/>
        <v>0</v>
      </c>
      <c r="Y130" s="16">
        <f t="shared" si="388"/>
        <v>0</v>
      </c>
      <c r="Z130" s="16">
        <f t="shared" si="388"/>
        <v>26000</v>
      </c>
      <c r="AA130" s="16">
        <f t="shared" si="388"/>
        <v>0</v>
      </c>
      <c r="AB130" s="16">
        <f t="shared" si="388"/>
        <v>0</v>
      </c>
      <c r="AC130" s="16">
        <f t="shared" si="388"/>
        <v>-260</v>
      </c>
      <c r="AD130" s="16">
        <f t="shared" si="388"/>
        <v>0</v>
      </c>
      <c r="AE130" s="16">
        <f t="shared" si="388"/>
        <v>0</v>
      </c>
      <c r="AF130" s="16">
        <f t="shared" si="388"/>
        <v>0</v>
      </c>
      <c r="AG130" s="16">
        <f t="shared" si="388"/>
        <v>-260</v>
      </c>
      <c r="AH130" s="13">
        <f t="shared" si="388"/>
        <v>0</v>
      </c>
      <c r="AI130" s="13">
        <f t="shared" si="388"/>
        <v>0</v>
      </c>
      <c r="AJ130" s="13">
        <f t="shared" si="388"/>
        <v>0</v>
      </c>
      <c r="AK130" s="13">
        <f t="shared" si="388"/>
        <v>0</v>
      </c>
      <c r="AL130" s="13">
        <f t="shared" si="388"/>
        <v>0</v>
      </c>
      <c r="AM130" s="13">
        <f t="shared" si="388"/>
        <v>0</v>
      </c>
      <c r="AN130" s="13">
        <f t="shared" si="388"/>
        <v>0</v>
      </c>
      <c r="AO130" s="13">
        <f t="shared" si="388"/>
        <v>0</v>
      </c>
      <c r="AP130" s="13">
        <f t="shared" si="388"/>
        <v>0</v>
      </c>
      <c r="AQ130" s="13">
        <f t="shared" si="388"/>
        <v>0</v>
      </c>
      <c r="AR130" s="17">
        <f t="shared" si="388"/>
        <v>0</v>
      </c>
      <c r="AS130" s="171">
        <f t="shared" si="388"/>
        <v>9897107</v>
      </c>
      <c r="AT130" s="16">
        <f t="shared" si="388"/>
        <v>7241635</v>
      </c>
      <c r="AU130" s="16">
        <f t="shared" si="388"/>
        <v>26000</v>
      </c>
      <c r="AV130" s="16">
        <f t="shared" si="388"/>
        <v>2456461</v>
      </c>
      <c r="AW130" s="16">
        <f t="shared" si="388"/>
        <v>72416</v>
      </c>
      <c r="AX130" s="16">
        <f t="shared" si="388"/>
        <v>100595</v>
      </c>
      <c r="AY130" s="13">
        <f t="shared" si="388"/>
        <v>12.175799999999999</v>
      </c>
      <c r="AZ130" s="13">
        <f t="shared" si="388"/>
        <v>9.5957999999999988</v>
      </c>
      <c r="BA130" s="17">
        <f t="shared" si="388"/>
        <v>2.58</v>
      </c>
    </row>
    <row r="131" spans="4:53" s="91" customFormat="1" ht="12.95" customHeight="1" x14ac:dyDescent="0.25">
      <c r="D131" s="330"/>
      <c r="E131" s="331"/>
      <c r="F131" s="330"/>
      <c r="G131" s="332"/>
      <c r="H131" s="2">
        <v>3117</v>
      </c>
      <c r="I131" s="170">
        <f t="shared" ref="I131:BA131" si="389">SUMIF($F$12:$F$464,"=3117",I$12:I$464)</f>
        <v>28028128</v>
      </c>
      <c r="J131" s="16">
        <f t="shared" si="389"/>
        <v>20464060</v>
      </c>
      <c r="K131" s="16">
        <f t="shared" si="389"/>
        <v>6916851</v>
      </c>
      <c r="L131" s="16">
        <f t="shared" si="389"/>
        <v>204642</v>
      </c>
      <c r="M131" s="16">
        <f t="shared" si="389"/>
        <v>442575</v>
      </c>
      <c r="N131" s="13">
        <f t="shared" si="389"/>
        <v>37.562200000000004</v>
      </c>
      <c r="O131" s="13">
        <f t="shared" si="389"/>
        <v>28.587900000000005</v>
      </c>
      <c r="P131" s="172">
        <f t="shared" si="389"/>
        <v>8.9742999999999995</v>
      </c>
      <c r="Q131" s="170">
        <f t="shared" si="389"/>
        <v>-228897</v>
      </c>
      <c r="R131" s="16">
        <f t="shared" si="389"/>
        <v>2708417</v>
      </c>
      <c r="S131" s="16">
        <f t="shared" si="389"/>
        <v>0</v>
      </c>
      <c r="T131" s="16">
        <f t="shared" si="389"/>
        <v>0</v>
      </c>
      <c r="U131" s="16">
        <f t="shared" si="389"/>
        <v>0</v>
      </c>
      <c r="V131" s="16">
        <f t="shared" si="389"/>
        <v>2479520</v>
      </c>
      <c r="W131" s="16">
        <f t="shared" si="389"/>
        <v>228897</v>
      </c>
      <c r="X131" s="16">
        <f t="shared" si="389"/>
        <v>49520</v>
      </c>
      <c r="Y131" s="16">
        <f t="shared" si="389"/>
        <v>21321</v>
      </c>
      <c r="Z131" s="16">
        <f t="shared" si="389"/>
        <v>299738</v>
      </c>
      <c r="AA131" s="16">
        <f t="shared" si="389"/>
        <v>2779258</v>
      </c>
      <c r="AB131" s="16">
        <f t="shared" si="389"/>
        <v>932183</v>
      </c>
      <c r="AC131" s="16">
        <f t="shared" si="389"/>
        <v>24794</v>
      </c>
      <c r="AD131" s="16">
        <f t="shared" si="389"/>
        <v>0</v>
      </c>
      <c r="AE131" s="16">
        <f t="shared" si="389"/>
        <v>0</v>
      </c>
      <c r="AF131" s="16">
        <f t="shared" si="389"/>
        <v>0</v>
      </c>
      <c r="AG131" s="16">
        <f t="shared" si="389"/>
        <v>3736235</v>
      </c>
      <c r="AH131" s="13">
        <f t="shared" si="389"/>
        <v>-0.05</v>
      </c>
      <c r="AI131" s="13">
        <f t="shared" si="389"/>
        <v>-0.37999999999999995</v>
      </c>
      <c r="AJ131" s="13">
        <f t="shared" si="389"/>
        <v>7.9399999999999995</v>
      </c>
      <c r="AK131" s="13">
        <f t="shared" si="389"/>
        <v>0</v>
      </c>
      <c r="AL131" s="13">
        <f t="shared" si="389"/>
        <v>0</v>
      </c>
      <c r="AM131" s="13">
        <f t="shared" si="389"/>
        <v>0</v>
      </c>
      <c r="AN131" s="13">
        <f t="shared" si="389"/>
        <v>0</v>
      </c>
      <c r="AO131" s="13">
        <f t="shared" si="389"/>
        <v>0</v>
      </c>
      <c r="AP131" s="13">
        <f t="shared" si="389"/>
        <v>7.89</v>
      </c>
      <c r="AQ131" s="13">
        <f t="shared" si="389"/>
        <v>-0.37999999999999995</v>
      </c>
      <c r="AR131" s="17">
        <f t="shared" si="389"/>
        <v>7.51</v>
      </c>
      <c r="AS131" s="171">
        <f t="shared" si="389"/>
        <v>31764363</v>
      </c>
      <c r="AT131" s="16">
        <f t="shared" si="389"/>
        <v>22943580</v>
      </c>
      <c r="AU131" s="16">
        <f t="shared" si="389"/>
        <v>299738</v>
      </c>
      <c r="AV131" s="16">
        <f t="shared" si="389"/>
        <v>7849034</v>
      </c>
      <c r="AW131" s="16">
        <f t="shared" si="389"/>
        <v>229436</v>
      </c>
      <c r="AX131" s="16">
        <f t="shared" si="389"/>
        <v>442575</v>
      </c>
      <c r="AY131" s="13">
        <f t="shared" si="389"/>
        <v>45.072200000000009</v>
      </c>
      <c r="AZ131" s="13">
        <f t="shared" si="389"/>
        <v>36.477900000000005</v>
      </c>
      <c r="BA131" s="17">
        <f t="shared" si="389"/>
        <v>8.5943000000000005</v>
      </c>
    </row>
    <row r="132" spans="4:53" s="91" customFormat="1" ht="12.95" customHeight="1" x14ac:dyDescent="0.25">
      <c r="D132" s="330"/>
      <c r="E132" s="331"/>
      <c r="F132" s="330"/>
      <c r="G132" s="332"/>
      <c r="H132" s="2">
        <v>3122</v>
      </c>
      <c r="I132" s="170">
        <f t="shared" ref="I132:BA132" si="390">SUMIF($F$12:$F$464,"=3122",I$12:I$464)</f>
        <v>0</v>
      </c>
      <c r="J132" s="16">
        <f t="shared" si="390"/>
        <v>0</v>
      </c>
      <c r="K132" s="16">
        <f t="shared" si="390"/>
        <v>0</v>
      </c>
      <c r="L132" s="16">
        <f t="shared" si="390"/>
        <v>0</v>
      </c>
      <c r="M132" s="16">
        <f t="shared" si="390"/>
        <v>0</v>
      </c>
      <c r="N132" s="13">
        <f t="shared" si="390"/>
        <v>0</v>
      </c>
      <c r="O132" s="13">
        <f t="shared" si="390"/>
        <v>0</v>
      </c>
      <c r="P132" s="172">
        <f t="shared" si="390"/>
        <v>0</v>
      </c>
      <c r="Q132" s="170">
        <f t="shared" si="390"/>
        <v>0</v>
      </c>
      <c r="R132" s="16">
        <f t="shared" si="390"/>
        <v>0</v>
      </c>
      <c r="S132" s="16">
        <f t="shared" si="390"/>
        <v>0</v>
      </c>
      <c r="T132" s="16">
        <f t="shared" si="390"/>
        <v>0</v>
      </c>
      <c r="U132" s="16">
        <f t="shared" si="390"/>
        <v>0</v>
      </c>
      <c r="V132" s="16">
        <f t="shared" si="390"/>
        <v>0</v>
      </c>
      <c r="W132" s="16">
        <f t="shared" si="390"/>
        <v>0</v>
      </c>
      <c r="X132" s="16">
        <f t="shared" si="390"/>
        <v>0</v>
      </c>
      <c r="Y132" s="16">
        <f t="shared" si="390"/>
        <v>0</v>
      </c>
      <c r="Z132" s="16">
        <f t="shared" si="390"/>
        <v>0</v>
      </c>
      <c r="AA132" s="16">
        <f t="shared" si="390"/>
        <v>0</v>
      </c>
      <c r="AB132" s="16">
        <f t="shared" si="390"/>
        <v>0</v>
      </c>
      <c r="AC132" s="16">
        <f t="shared" si="390"/>
        <v>0</v>
      </c>
      <c r="AD132" s="16">
        <f t="shared" si="390"/>
        <v>0</v>
      </c>
      <c r="AE132" s="16">
        <f t="shared" si="390"/>
        <v>0</v>
      </c>
      <c r="AF132" s="16">
        <f t="shared" si="390"/>
        <v>0</v>
      </c>
      <c r="AG132" s="16">
        <f t="shared" si="390"/>
        <v>0</v>
      </c>
      <c r="AH132" s="13">
        <f t="shared" si="390"/>
        <v>0</v>
      </c>
      <c r="AI132" s="13">
        <f t="shared" si="390"/>
        <v>0</v>
      </c>
      <c r="AJ132" s="13">
        <f t="shared" si="390"/>
        <v>0</v>
      </c>
      <c r="AK132" s="13">
        <f t="shared" si="390"/>
        <v>0</v>
      </c>
      <c r="AL132" s="13">
        <f t="shared" si="390"/>
        <v>0</v>
      </c>
      <c r="AM132" s="13">
        <f t="shared" si="390"/>
        <v>0</v>
      </c>
      <c r="AN132" s="13">
        <f t="shared" si="390"/>
        <v>0</v>
      </c>
      <c r="AO132" s="13">
        <f t="shared" si="390"/>
        <v>0</v>
      </c>
      <c r="AP132" s="13">
        <f t="shared" si="390"/>
        <v>0</v>
      </c>
      <c r="AQ132" s="13">
        <f t="shared" si="390"/>
        <v>0</v>
      </c>
      <c r="AR132" s="17">
        <f t="shared" si="390"/>
        <v>0</v>
      </c>
      <c r="AS132" s="171">
        <f t="shared" si="390"/>
        <v>0</v>
      </c>
      <c r="AT132" s="16">
        <f t="shared" si="390"/>
        <v>0</v>
      </c>
      <c r="AU132" s="16">
        <f t="shared" si="390"/>
        <v>0</v>
      </c>
      <c r="AV132" s="16">
        <f t="shared" si="390"/>
        <v>0</v>
      </c>
      <c r="AW132" s="16">
        <f t="shared" si="390"/>
        <v>0</v>
      </c>
      <c r="AX132" s="16">
        <f t="shared" si="390"/>
        <v>0</v>
      </c>
      <c r="AY132" s="13">
        <f t="shared" si="390"/>
        <v>0</v>
      </c>
      <c r="AZ132" s="13">
        <f t="shared" si="390"/>
        <v>0</v>
      </c>
      <c r="BA132" s="17">
        <f t="shared" si="390"/>
        <v>0</v>
      </c>
    </row>
    <row r="133" spans="4:53" s="91" customFormat="1" ht="12.95" customHeight="1" x14ac:dyDescent="0.25">
      <c r="D133" s="330"/>
      <c r="E133" s="331"/>
      <c r="F133" s="330"/>
      <c r="G133" s="332"/>
      <c r="H133" s="2">
        <v>3124</v>
      </c>
      <c r="I133" s="170">
        <f t="shared" ref="I133:BA133" si="391">SUMIF($F$12:$F$464,"=3124",I$12:I$464)</f>
        <v>0</v>
      </c>
      <c r="J133" s="16">
        <f t="shared" si="391"/>
        <v>0</v>
      </c>
      <c r="K133" s="16">
        <f t="shared" si="391"/>
        <v>0</v>
      </c>
      <c r="L133" s="16">
        <f t="shared" si="391"/>
        <v>0</v>
      </c>
      <c r="M133" s="16">
        <f t="shared" si="391"/>
        <v>0</v>
      </c>
      <c r="N133" s="13">
        <f t="shared" si="391"/>
        <v>0</v>
      </c>
      <c r="O133" s="13">
        <f t="shared" si="391"/>
        <v>0</v>
      </c>
      <c r="P133" s="172">
        <f t="shared" si="391"/>
        <v>0</v>
      </c>
      <c r="Q133" s="170">
        <f t="shared" si="391"/>
        <v>0</v>
      </c>
      <c r="R133" s="16">
        <f t="shared" si="391"/>
        <v>0</v>
      </c>
      <c r="S133" s="16">
        <f t="shared" si="391"/>
        <v>0</v>
      </c>
      <c r="T133" s="16">
        <f t="shared" si="391"/>
        <v>0</v>
      </c>
      <c r="U133" s="16">
        <f t="shared" si="391"/>
        <v>0</v>
      </c>
      <c r="V133" s="16">
        <f t="shared" si="391"/>
        <v>0</v>
      </c>
      <c r="W133" s="16">
        <f t="shared" si="391"/>
        <v>0</v>
      </c>
      <c r="X133" s="16">
        <f t="shared" si="391"/>
        <v>0</v>
      </c>
      <c r="Y133" s="16">
        <f t="shared" si="391"/>
        <v>0</v>
      </c>
      <c r="Z133" s="16">
        <f t="shared" si="391"/>
        <v>0</v>
      </c>
      <c r="AA133" s="16">
        <f t="shared" si="391"/>
        <v>0</v>
      </c>
      <c r="AB133" s="16">
        <f t="shared" si="391"/>
        <v>0</v>
      </c>
      <c r="AC133" s="16">
        <f t="shared" si="391"/>
        <v>0</v>
      </c>
      <c r="AD133" s="16">
        <f t="shared" si="391"/>
        <v>0</v>
      </c>
      <c r="AE133" s="16">
        <f t="shared" si="391"/>
        <v>0</v>
      </c>
      <c r="AF133" s="16">
        <f t="shared" si="391"/>
        <v>0</v>
      </c>
      <c r="AG133" s="16">
        <f t="shared" si="391"/>
        <v>0</v>
      </c>
      <c r="AH133" s="13">
        <f t="shared" si="391"/>
        <v>0</v>
      </c>
      <c r="AI133" s="13">
        <f t="shared" si="391"/>
        <v>0</v>
      </c>
      <c r="AJ133" s="13">
        <f t="shared" si="391"/>
        <v>0</v>
      </c>
      <c r="AK133" s="13">
        <f t="shared" si="391"/>
        <v>0</v>
      </c>
      <c r="AL133" s="13">
        <f t="shared" si="391"/>
        <v>0</v>
      </c>
      <c r="AM133" s="13">
        <f t="shared" si="391"/>
        <v>0</v>
      </c>
      <c r="AN133" s="13">
        <f t="shared" si="391"/>
        <v>0</v>
      </c>
      <c r="AO133" s="13">
        <f t="shared" si="391"/>
        <v>0</v>
      </c>
      <c r="AP133" s="13">
        <f t="shared" si="391"/>
        <v>0</v>
      </c>
      <c r="AQ133" s="13">
        <f t="shared" si="391"/>
        <v>0</v>
      </c>
      <c r="AR133" s="17">
        <f t="shared" si="391"/>
        <v>0</v>
      </c>
      <c r="AS133" s="171">
        <f t="shared" si="391"/>
        <v>0</v>
      </c>
      <c r="AT133" s="16">
        <f t="shared" si="391"/>
        <v>0</v>
      </c>
      <c r="AU133" s="16">
        <f t="shared" si="391"/>
        <v>0</v>
      </c>
      <c r="AV133" s="16">
        <f t="shared" si="391"/>
        <v>0</v>
      </c>
      <c r="AW133" s="16">
        <f t="shared" si="391"/>
        <v>0</v>
      </c>
      <c r="AX133" s="16">
        <f t="shared" si="391"/>
        <v>0</v>
      </c>
      <c r="AY133" s="13">
        <f t="shared" si="391"/>
        <v>0</v>
      </c>
      <c r="AZ133" s="13">
        <f t="shared" si="391"/>
        <v>0</v>
      </c>
      <c r="BA133" s="17">
        <f t="shared" si="391"/>
        <v>0</v>
      </c>
    </row>
    <row r="134" spans="4:53" s="91" customFormat="1" ht="12.95" customHeight="1" x14ac:dyDescent="0.25">
      <c r="D134" s="330"/>
      <c r="E134" s="331"/>
      <c r="F134" s="330"/>
      <c r="G134" s="332"/>
      <c r="H134" s="2">
        <v>3141</v>
      </c>
      <c r="I134" s="170">
        <f t="shared" ref="I134:BA134" si="392">SUMIF($F$12:$F$464,"=3141",I$12:I$464)</f>
        <v>24158351</v>
      </c>
      <c r="J134" s="16">
        <f t="shared" si="392"/>
        <v>17808702</v>
      </c>
      <c r="K134" s="16">
        <f t="shared" si="392"/>
        <v>6019341</v>
      </c>
      <c r="L134" s="16">
        <f t="shared" si="392"/>
        <v>178088</v>
      </c>
      <c r="M134" s="16">
        <f t="shared" si="392"/>
        <v>152220</v>
      </c>
      <c r="N134" s="13">
        <f t="shared" si="392"/>
        <v>57.230000000000011</v>
      </c>
      <c r="O134" s="13">
        <f t="shared" si="392"/>
        <v>0</v>
      </c>
      <c r="P134" s="172">
        <f t="shared" si="392"/>
        <v>57.230000000000011</v>
      </c>
      <c r="Q134" s="170">
        <f t="shared" si="392"/>
        <v>-73450</v>
      </c>
      <c r="R134" s="16">
        <f t="shared" si="392"/>
        <v>0</v>
      </c>
      <c r="S134" s="16">
        <f t="shared" si="392"/>
        <v>0</v>
      </c>
      <c r="T134" s="16">
        <f t="shared" si="392"/>
        <v>0</v>
      </c>
      <c r="U134" s="16">
        <f t="shared" si="392"/>
        <v>0</v>
      </c>
      <c r="V134" s="16">
        <f t="shared" si="392"/>
        <v>-73450</v>
      </c>
      <c r="W134" s="16">
        <f t="shared" si="392"/>
        <v>73450</v>
      </c>
      <c r="X134" s="16">
        <f t="shared" si="392"/>
        <v>0</v>
      </c>
      <c r="Y134" s="16">
        <f t="shared" si="392"/>
        <v>0</v>
      </c>
      <c r="Z134" s="16">
        <f t="shared" si="392"/>
        <v>73450</v>
      </c>
      <c r="AA134" s="16">
        <f t="shared" si="392"/>
        <v>0</v>
      </c>
      <c r="AB134" s="16">
        <f t="shared" si="392"/>
        <v>0</v>
      </c>
      <c r="AC134" s="16">
        <f t="shared" si="392"/>
        <v>-736</v>
      </c>
      <c r="AD134" s="16">
        <f t="shared" si="392"/>
        <v>0</v>
      </c>
      <c r="AE134" s="16">
        <f t="shared" si="392"/>
        <v>0</v>
      </c>
      <c r="AF134" s="16">
        <f t="shared" si="392"/>
        <v>0</v>
      </c>
      <c r="AG134" s="16">
        <f t="shared" si="392"/>
        <v>-736</v>
      </c>
      <c r="AH134" s="13">
        <f t="shared" si="392"/>
        <v>-0.05</v>
      </c>
      <c r="AI134" s="13">
        <f t="shared" si="392"/>
        <v>-0.04</v>
      </c>
      <c r="AJ134" s="13">
        <f t="shared" si="392"/>
        <v>0</v>
      </c>
      <c r="AK134" s="13">
        <f t="shared" si="392"/>
        <v>0</v>
      </c>
      <c r="AL134" s="13">
        <f t="shared" si="392"/>
        <v>0</v>
      </c>
      <c r="AM134" s="13">
        <f t="shared" si="392"/>
        <v>0</v>
      </c>
      <c r="AN134" s="13">
        <f t="shared" si="392"/>
        <v>0</v>
      </c>
      <c r="AO134" s="13">
        <f t="shared" si="392"/>
        <v>0</v>
      </c>
      <c r="AP134" s="13">
        <f t="shared" si="392"/>
        <v>-0.05</v>
      </c>
      <c r="AQ134" s="13">
        <f t="shared" si="392"/>
        <v>-0.04</v>
      </c>
      <c r="AR134" s="17">
        <f t="shared" si="392"/>
        <v>-0.09</v>
      </c>
      <c r="AS134" s="171">
        <f t="shared" si="392"/>
        <v>24157615</v>
      </c>
      <c r="AT134" s="16">
        <f t="shared" si="392"/>
        <v>17735252</v>
      </c>
      <c r="AU134" s="16">
        <f t="shared" si="392"/>
        <v>73450</v>
      </c>
      <c r="AV134" s="16">
        <f t="shared" si="392"/>
        <v>6019341</v>
      </c>
      <c r="AW134" s="16">
        <f t="shared" si="392"/>
        <v>177352</v>
      </c>
      <c r="AX134" s="16">
        <f t="shared" si="392"/>
        <v>152220</v>
      </c>
      <c r="AY134" s="13">
        <f t="shared" si="392"/>
        <v>57.140000000000022</v>
      </c>
      <c r="AZ134" s="13">
        <f t="shared" si="392"/>
        <v>-0.05</v>
      </c>
      <c r="BA134" s="17">
        <f t="shared" si="392"/>
        <v>57.190000000000019</v>
      </c>
    </row>
    <row r="135" spans="4:53" s="91" customFormat="1" ht="12.95" customHeight="1" x14ac:dyDescent="0.25">
      <c r="D135" s="330"/>
      <c r="E135" s="331"/>
      <c r="F135" s="330"/>
      <c r="G135" s="332"/>
      <c r="H135" s="2">
        <v>3143</v>
      </c>
      <c r="I135" s="170">
        <f t="shared" ref="I135:BA135" si="393">SUMIF($F$12:$F$464,"=3143",I$12:I$464)</f>
        <v>18161240</v>
      </c>
      <c r="J135" s="16">
        <f t="shared" si="393"/>
        <v>13457427</v>
      </c>
      <c r="K135" s="16">
        <f t="shared" si="393"/>
        <v>4548611</v>
      </c>
      <c r="L135" s="16">
        <f t="shared" si="393"/>
        <v>134574</v>
      </c>
      <c r="M135" s="16">
        <f t="shared" si="393"/>
        <v>20628</v>
      </c>
      <c r="N135" s="13">
        <f t="shared" si="393"/>
        <v>28.537099999999999</v>
      </c>
      <c r="O135" s="13">
        <f t="shared" si="393"/>
        <v>26.957100000000001</v>
      </c>
      <c r="P135" s="172">
        <f t="shared" si="393"/>
        <v>1.5800000000000005</v>
      </c>
      <c r="Q135" s="170">
        <f t="shared" si="393"/>
        <v>-90350</v>
      </c>
      <c r="R135" s="16">
        <f t="shared" si="393"/>
        <v>0</v>
      </c>
      <c r="S135" s="16">
        <f t="shared" si="393"/>
        <v>0</v>
      </c>
      <c r="T135" s="16">
        <f t="shared" si="393"/>
        <v>0</v>
      </c>
      <c r="U135" s="16">
        <f t="shared" si="393"/>
        <v>0</v>
      </c>
      <c r="V135" s="16">
        <f t="shared" si="393"/>
        <v>-90350</v>
      </c>
      <c r="W135" s="16">
        <f t="shared" si="393"/>
        <v>90350</v>
      </c>
      <c r="X135" s="16">
        <f t="shared" si="393"/>
        <v>0</v>
      </c>
      <c r="Y135" s="16">
        <f t="shared" si="393"/>
        <v>0</v>
      </c>
      <c r="Z135" s="16">
        <f t="shared" si="393"/>
        <v>90350</v>
      </c>
      <c r="AA135" s="16">
        <f t="shared" si="393"/>
        <v>0</v>
      </c>
      <c r="AB135" s="16">
        <f t="shared" si="393"/>
        <v>0</v>
      </c>
      <c r="AC135" s="16">
        <f t="shared" si="393"/>
        <v>-904</v>
      </c>
      <c r="AD135" s="16">
        <f t="shared" si="393"/>
        <v>0</v>
      </c>
      <c r="AE135" s="16">
        <f t="shared" si="393"/>
        <v>0</v>
      </c>
      <c r="AF135" s="16">
        <f t="shared" si="393"/>
        <v>0</v>
      </c>
      <c r="AG135" s="16">
        <f t="shared" si="393"/>
        <v>-904</v>
      </c>
      <c r="AH135" s="13">
        <f t="shared" si="393"/>
        <v>0</v>
      </c>
      <c r="AI135" s="13">
        <f t="shared" si="393"/>
        <v>0</v>
      </c>
      <c r="AJ135" s="13">
        <f t="shared" si="393"/>
        <v>0</v>
      </c>
      <c r="AK135" s="13">
        <f t="shared" si="393"/>
        <v>0</v>
      </c>
      <c r="AL135" s="13">
        <f t="shared" si="393"/>
        <v>0</v>
      </c>
      <c r="AM135" s="13">
        <f t="shared" si="393"/>
        <v>0</v>
      </c>
      <c r="AN135" s="13">
        <f t="shared" si="393"/>
        <v>0</v>
      </c>
      <c r="AO135" s="13">
        <f t="shared" si="393"/>
        <v>0</v>
      </c>
      <c r="AP135" s="13">
        <f t="shared" si="393"/>
        <v>0</v>
      </c>
      <c r="AQ135" s="13">
        <f t="shared" si="393"/>
        <v>0</v>
      </c>
      <c r="AR135" s="17">
        <f t="shared" si="393"/>
        <v>0</v>
      </c>
      <c r="AS135" s="171">
        <f t="shared" si="393"/>
        <v>18160336</v>
      </c>
      <c r="AT135" s="16">
        <f t="shared" si="393"/>
        <v>13367077</v>
      </c>
      <c r="AU135" s="16">
        <f t="shared" si="393"/>
        <v>90350</v>
      </c>
      <c r="AV135" s="16">
        <f t="shared" si="393"/>
        <v>4548611</v>
      </c>
      <c r="AW135" s="16">
        <f t="shared" si="393"/>
        <v>133670</v>
      </c>
      <c r="AX135" s="16">
        <f t="shared" si="393"/>
        <v>20628</v>
      </c>
      <c r="AY135" s="13">
        <f t="shared" si="393"/>
        <v>28.537099999999999</v>
      </c>
      <c r="AZ135" s="13">
        <f t="shared" si="393"/>
        <v>26.957100000000001</v>
      </c>
      <c r="BA135" s="17">
        <f t="shared" si="393"/>
        <v>1.5800000000000005</v>
      </c>
    </row>
    <row r="136" spans="4:53" s="91" customFormat="1" ht="12.95" customHeight="1" x14ac:dyDescent="0.25">
      <c r="D136" s="330"/>
      <c r="E136" s="331"/>
      <c r="F136" s="330"/>
      <c r="G136" s="332"/>
      <c r="H136" s="2">
        <v>3231</v>
      </c>
      <c r="I136" s="170">
        <f t="shared" ref="I136:BA136" si="394">SUMIF($F$12:$F$464,"=3231",I$12:I$464)</f>
        <v>14148591</v>
      </c>
      <c r="J136" s="16">
        <f t="shared" si="394"/>
        <v>10474820</v>
      </c>
      <c r="K136" s="16">
        <f t="shared" si="394"/>
        <v>3540489</v>
      </c>
      <c r="L136" s="16">
        <f t="shared" si="394"/>
        <v>104749</v>
      </c>
      <c r="M136" s="16">
        <f t="shared" si="394"/>
        <v>28533</v>
      </c>
      <c r="N136" s="13">
        <f t="shared" si="394"/>
        <v>18.4758</v>
      </c>
      <c r="O136" s="13">
        <f t="shared" si="394"/>
        <v>16.7119</v>
      </c>
      <c r="P136" s="172">
        <f t="shared" si="394"/>
        <v>1.7639</v>
      </c>
      <c r="Q136" s="170">
        <f t="shared" si="394"/>
        <v>-22750</v>
      </c>
      <c r="R136" s="16">
        <f t="shared" si="394"/>
        <v>0</v>
      </c>
      <c r="S136" s="16">
        <f t="shared" si="394"/>
        <v>0</v>
      </c>
      <c r="T136" s="16">
        <f t="shared" si="394"/>
        <v>0</v>
      </c>
      <c r="U136" s="16">
        <f t="shared" si="394"/>
        <v>0</v>
      </c>
      <c r="V136" s="16">
        <f t="shared" si="394"/>
        <v>-22750</v>
      </c>
      <c r="W136" s="16">
        <f t="shared" si="394"/>
        <v>22750</v>
      </c>
      <c r="X136" s="16">
        <f t="shared" si="394"/>
        <v>0</v>
      </c>
      <c r="Y136" s="16">
        <f t="shared" si="394"/>
        <v>0</v>
      </c>
      <c r="Z136" s="16">
        <f t="shared" si="394"/>
        <v>22750</v>
      </c>
      <c r="AA136" s="16">
        <f t="shared" si="394"/>
        <v>0</v>
      </c>
      <c r="AB136" s="16">
        <f t="shared" si="394"/>
        <v>0</v>
      </c>
      <c r="AC136" s="16">
        <f t="shared" si="394"/>
        <v>-228</v>
      </c>
      <c r="AD136" s="16">
        <f t="shared" si="394"/>
        <v>0</v>
      </c>
      <c r="AE136" s="16">
        <f t="shared" si="394"/>
        <v>0</v>
      </c>
      <c r="AF136" s="16">
        <f t="shared" si="394"/>
        <v>0</v>
      </c>
      <c r="AG136" s="16">
        <f t="shared" si="394"/>
        <v>-228</v>
      </c>
      <c r="AH136" s="13">
        <f t="shared" si="394"/>
        <v>0</v>
      </c>
      <c r="AI136" s="13">
        <f t="shared" si="394"/>
        <v>-0.05</v>
      </c>
      <c r="AJ136" s="13">
        <f t="shared" si="394"/>
        <v>0</v>
      </c>
      <c r="AK136" s="13">
        <f t="shared" si="394"/>
        <v>0</v>
      </c>
      <c r="AL136" s="13">
        <f t="shared" si="394"/>
        <v>0</v>
      </c>
      <c r="AM136" s="13">
        <f t="shared" si="394"/>
        <v>0</v>
      </c>
      <c r="AN136" s="13">
        <f t="shared" si="394"/>
        <v>0</v>
      </c>
      <c r="AO136" s="13">
        <f t="shared" si="394"/>
        <v>0</v>
      </c>
      <c r="AP136" s="13">
        <f t="shared" si="394"/>
        <v>0</v>
      </c>
      <c r="AQ136" s="13">
        <f t="shared" si="394"/>
        <v>-0.05</v>
      </c>
      <c r="AR136" s="17">
        <f t="shared" si="394"/>
        <v>-0.05</v>
      </c>
      <c r="AS136" s="171">
        <f t="shared" si="394"/>
        <v>14148363</v>
      </c>
      <c r="AT136" s="16">
        <f t="shared" si="394"/>
        <v>10452070</v>
      </c>
      <c r="AU136" s="16">
        <f t="shared" si="394"/>
        <v>22750</v>
      </c>
      <c r="AV136" s="16">
        <f t="shared" si="394"/>
        <v>3540489</v>
      </c>
      <c r="AW136" s="16">
        <f t="shared" si="394"/>
        <v>104521</v>
      </c>
      <c r="AX136" s="16">
        <f t="shared" si="394"/>
        <v>28533</v>
      </c>
      <c r="AY136" s="13">
        <f t="shared" si="394"/>
        <v>18.425799999999999</v>
      </c>
      <c r="AZ136" s="13">
        <f t="shared" si="394"/>
        <v>16.7119</v>
      </c>
      <c r="BA136" s="17">
        <f t="shared" si="394"/>
        <v>1.7139</v>
      </c>
    </row>
    <row r="137" spans="4:53" s="91" customFormat="1" ht="12.95" customHeight="1" thickBot="1" x14ac:dyDescent="0.3">
      <c r="D137" s="330"/>
      <c r="E137" s="331"/>
      <c r="F137" s="330"/>
      <c r="G137" s="332"/>
      <c r="H137" s="154">
        <v>3233</v>
      </c>
      <c r="I137" s="173">
        <f t="shared" ref="I137:BA137" si="395">SUMIF($F$12:$F$464,"=3233",I$12:I$464)</f>
        <v>7337499</v>
      </c>
      <c r="J137" s="174">
        <f t="shared" si="395"/>
        <v>5435948</v>
      </c>
      <c r="K137" s="174">
        <f t="shared" si="395"/>
        <v>1837349</v>
      </c>
      <c r="L137" s="174">
        <f t="shared" si="395"/>
        <v>54360</v>
      </c>
      <c r="M137" s="174">
        <f t="shared" si="395"/>
        <v>9842</v>
      </c>
      <c r="N137" s="175">
        <f t="shared" si="395"/>
        <v>12.34</v>
      </c>
      <c r="O137" s="175">
        <f t="shared" si="395"/>
        <v>7.78</v>
      </c>
      <c r="P137" s="178">
        <f t="shared" si="395"/>
        <v>4.5600000000000005</v>
      </c>
      <c r="Q137" s="173">
        <f t="shared" si="395"/>
        <v>-260000</v>
      </c>
      <c r="R137" s="174">
        <f t="shared" si="395"/>
        <v>0</v>
      </c>
      <c r="S137" s="174">
        <f t="shared" si="395"/>
        <v>0</v>
      </c>
      <c r="T137" s="174">
        <f t="shared" si="395"/>
        <v>0</v>
      </c>
      <c r="U137" s="174">
        <f t="shared" si="395"/>
        <v>0</v>
      </c>
      <c r="V137" s="174">
        <f t="shared" si="395"/>
        <v>-260000</v>
      </c>
      <c r="W137" s="174">
        <f t="shared" si="395"/>
        <v>260000</v>
      </c>
      <c r="X137" s="174">
        <f t="shared" si="395"/>
        <v>0</v>
      </c>
      <c r="Y137" s="174">
        <f t="shared" si="395"/>
        <v>0</v>
      </c>
      <c r="Z137" s="174">
        <f t="shared" si="395"/>
        <v>260000</v>
      </c>
      <c r="AA137" s="174">
        <f t="shared" si="395"/>
        <v>0</v>
      </c>
      <c r="AB137" s="174">
        <f t="shared" si="395"/>
        <v>0</v>
      </c>
      <c r="AC137" s="174">
        <f t="shared" si="395"/>
        <v>-2600</v>
      </c>
      <c r="AD137" s="174">
        <f t="shared" si="395"/>
        <v>0</v>
      </c>
      <c r="AE137" s="174">
        <f t="shared" si="395"/>
        <v>0</v>
      </c>
      <c r="AF137" s="174">
        <f t="shared" si="395"/>
        <v>0</v>
      </c>
      <c r="AG137" s="174">
        <f t="shared" si="395"/>
        <v>-2600</v>
      </c>
      <c r="AH137" s="175">
        <f t="shared" si="395"/>
        <v>-0.49</v>
      </c>
      <c r="AI137" s="175">
        <f t="shared" si="395"/>
        <v>0</v>
      </c>
      <c r="AJ137" s="175">
        <f t="shared" si="395"/>
        <v>0</v>
      </c>
      <c r="AK137" s="175">
        <f t="shared" si="395"/>
        <v>0</v>
      </c>
      <c r="AL137" s="175">
        <f t="shared" si="395"/>
        <v>0</v>
      </c>
      <c r="AM137" s="175">
        <f t="shared" si="395"/>
        <v>0</v>
      </c>
      <c r="AN137" s="175">
        <f t="shared" si="395"/>
        <v>0</v>
      </c>
      <c r="AO137" s="175">
        <f t="shared" si="395"/>
        <v>0</v>
      </c>
      <c r="AP137" s="175">
        <f t="shared" si="395"/>
        <v>-0.49</v>
      </c>
      <c r="AQ137" s="175">
        <f t="shared" si="395"/>
        <v>0</v>
      </c>
      <c r="AR137" s="176">
        <f t="shared" si="395"/>
        <v>-0.49</v>
      </c>
      <c r="AS137" s="177">
        <f t="shared" si="395"/>
        <v>7334899</v>
      </c>
      <c r="AT137" s="174">
        <f t="shared" si="395"/>
        <v>5175948</v>
      </c>
      <c r="AU137" s="174">
        <f t="shared" si="395"/>
        <v>260000</v>
      </c>
      <c r="AV137" s="174">
        <f t="shared" si="395"/>
        <v>1837349</v>
      </c>
      <c r="AW137" s="174">
        <f t="shared" si="395"/>
        <v>51760</v>
      </c>
      <c r="AX137" s="174">
        <f t="shared" si="395"/>
        <v>9842</v>
      </c>
      <c r="AY137" s="175">
        <f t="shared" si="395"/>
        <v>11.85</v>
      </c>
      <c r="AZ137" s="175">
        <f t="shared" si="395"/>
        <v>7.29</v>
      </c>
      <c r="BA137" s="176">
        <f t="shared" si="395"/>
        <v>4.5600000000000005</v>
      </c>
    </row>
    <row r="138" spans="4:53" ht="12.95" customHeight="1" x14ac:dyDescent="0.25">
      <c r="E138" s="269"/>
    </row>
    <row r="139" spans="4:53" ht="12.95" customHeight="1" x14ac:dyDescent="0.25">
      <c r="E139" s="269"/>
    </row>
    <row r="140" spans="4:53" ht="12.95" customHeight="1" x14ac:dyDescent="0.25">
      <c r="E140" s="269"/>
    </row>
    <row r="143" spans="4:53" x14ac:dyDescent="0.25">
      <c r="N143" s="333"/>
    </row>
    <row r="155" spans="66:68" x14ac:dyDescent="0.25">
      <c r="BN155" s="457"/>
      <c r="BO155" s="457"/>
      <c r="BP155" s="646"/>
    </row>
  </sheetData>
  <mergeCells count="26">
    <mergeCell ref="AS6:BA7"/>
    <mergeCell ref="AS8:AS10"/>
    <mergeCell ref="AT8:AX9"/>
    <mergeCell ref="AY8:AY10"/>
    <mergeCell ref="AB7:AB10"/>
    <mergeCell ref="AD7:AF9"/>
    <mergeCell ref="AG7:AG10"/>
    <mergeCell ref="AJ8:AJ9"/>
    <mergeCell ref="AH8:AI9"/>
    <mergeCell ref="AZ8:BA9"/>
    <mergeCell ref="AC7:AC10"/>
    <mergeCell ref="AK8:AL8"/>
    <mergeCell ref="AM8:AM9"/>
    <mergeCell ref="A3:E3"/>
    <mergeCell ref="I6:P7"/>
    <mergeCell ref="Q7:V9"/>
    <mergeCell ref="W7:Z9"/>
    <mergeCell ref="AA7:AA10"/>
    <mergeCell ref="I8:I10"/>
    <mergeCell ref="J8:M9"/>
    <mergeCell ref="N8:N10"/>
    <mergeCell ref="O8:P9"/>
    <mergeCell ref="Q6:AR6"/>
    <mergeCell ref="AH7:AR7"/>
    <mergeCell ref="AN8:AO9"/>
    <mergeCell ref="AP8:AR9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9"/>
  <dimension ref="A1:BA183"/>
  <sheetViews>
    <sheetView zoomScaleNormal="100" workbookViewId="0">
      <pane xSplit="8" ySplit="11" topLeftCell="AN153" activePane="bottomRight" state="frozen"/>
      <selection activeCell="AQ11" sqref="AQ11"/>
      <selection pane="topRight" activeCell="AQ11" sqref="AQ11"/>
      <selection pane="bottomLeft" activeCell="AQ11" sqref="AQ11"/>
      <selection pane="bottomRight" activeCell="AS6" sqref="AS6:BA7"/>
    </sheetView>
  </sheetViews>
  <sheetFormatPr defaultColWidth="9.140625" defaultRowHeight="15" x14ac:dyDescent="0.25"/>
  <cols>
    <col min="1" max="1" width="5" style="327" customWidth="1"/>
    <col min="2" max="2" width="7.140625" style="269" bestFit="1" customWidth="1"/>
    <col min="3" max="3" width="9.28515625" style="361" customWidth="1"/>
    <col min="4" max="4" width="7.85546875" style="269" bestFit="1" customWidth="1"/>
    <col min="5" max="5" width="39.42578125" style="269" customWidth="1"/>
    <col min="6" max="6" width="4.42578125" style="269" bestFit="1" customWidth="1"/>
    <col min="7" max="7" width="10.28515625" style="269" bestFit="1" customWidth="1"/>
    <col min="8" max="8" width="8" style="269" bestFit="1" customWidth="1"/>
    <col min="9" max="9" width="10.85546875" style="333" customWidth="1"/>
    <col min="10" max="10" width="14.5703125" style="333" customWidth="1"/>
    <col min="11" max="13" width="10.42578125" style="333" customWidth="1"/>
    <col min="14" max="14" width="11.42578125" style="334" customWidth="1"/>
    <col min="15" max="16" width="10.42578125" style="334" customWidth="1"/>
    <col min="17" max="17" width="9.140625" style="333" customWidth="1"/>
    <col min="18" max="18" width="9.7109375" style="333" customWidth="1"/>
    <col min="19" max="20" width="9.140625" style="333" customWidth="1"/>
    <col min="21" max="21" width="9.7109375" style="333" customWidth="1"/>
    <col min="22" max="22" width="9.85546875" style="333" customWidth="1"/>
    <col min="23" max="23" width="8.85546875" style="333" customWidth="1"/>
    <col min="24" max="24" width="8.7109375" style="333" customWidth="1"/>
    <col min="25" max="25" width="8.5703125" style="333" customWidth="1"/>
    <col min="26" max="26" width="9.140625" style="333" customWidth="1"/>
    <col min="27" max="27" width="10.140625" style="333" customWidth="1"/>
    <col min="28" max="33" width="9.140625" style="333" customWidth="1"/>
    <col min="34" max="44" width="9.140625" style="334" customWidth="1"/>
    <col min="45" max="45" width="10.85546875" style="333" customWidth="1"/>
    <col min="46" max="46" width="11.28515625" style="333" customWidth="1"/>
    <col min="47" max="47" width="10.42578125" style="333" customWidth="1"/>
    <col min="48" max="48" width="11.7109375" style="333" customWidth="1"/>
    <col min="49" max="49" width="10.7109375" style="333" customWidth="1"/>
    <col min="50" max="50" width="11.5703125" style="333" customWidth="1"/>
    <col min="51" max="51" width="11.42578125" style="334" customWidth="1"/>
    <col min="52" max="53" width="9.28515625" style="334" customWidth="1"/>
    <col min="54" max="54" width="15.5703125" style="269" customWidth="1"/>
    <col min="55" max="16384" width="9.140625" style="269"/>
  </cols>
  <sheetData>
    <row r="1" spans="1:53" ht="12" customHeight="1" x14ac:dyDescent="0.25">
      <c r="A1" s="424" t="s">
        <v>2</v>
      </c>
      <c r="B1" s="424"/>
      <c r="C1" s="267"/>
      <c r="D1" s="424"/>
      <c r="E1" s="424"/>
      <c r="F1" s="268"/>
      <c r="G1" s="268"/>
      <c r="H1" s="268"/>
      <c r="Q1" s="54"/>
      <c r="R1" s="54"/>
      <c r="S1" s="54"/>
      <c r="T1" s="54"/>
      <c r="U1" s="54"/>
      <c r="V1" s="54"/>
      <c r="W1" s="54"/>
      <c r="X1" s="54"/>
      <c r="Y1" s="54"/>
      <c r="Z1" s="54"/>
      <c r="AA1" s="54"/>
      <c r="AB1" s="54"/>
      <c r="AC1" s="54"/>
      <c r="AD1" s="54"/>
      <c r="AE1" s="54"/>
      <c r="AF1" s="54"/>
      <c r="AG1" s="54"/>
      <c r="AH1" s="54"/>
      <c r="AI1" s="54"/>
      <c r="AJ1" s="89"/>
      <c r="AK1" s="89"/>
      <c r="AL1" s="89"/>
      <c r="AM1" s="89"/>
      <c r="AN1" s="89"/>
      <c r="AO1" s="89"/>
      <c r="AP1" s="89"/>
      <c r="AQ1" s="89"/>
      <c r="AR1" s="89"/>
    </row>
    <row r="2" spans="1:53" ht="12" customHeight="1" x14ac:dyDescent="0.25">
      <c r="A2" s="424" t="s">
        <v>3</v>
      </c>
      <c r="B2" s="424"/>
      <c r="C2" s="267"/>
      <c r="D2" s="424"/>
      <c r="E2" s="424"/>
      <c r="F2" s="268"/>
      <c r="G2" s="268"/>
      <c r="H2" s="268"/>
    </row>
    <row r="3" spans="1:53" ht="12" customHeight="1" x14ac:dyDescent="0.25">
      <c r="A3" s="839" t="s">
        <v>4</v>
      </c>
      <c r="B3" s="839"/>
      <c r="C3" s="839"/>
      <c r="D3" s="839"/>
      <c r="E3" s="839"/>
      <c r="F3" s="268"/>
      <c r="G3" s="268"/>
      <c r="H3" s="268"/>
      <c r="R3" s="631"/>
      <c r="S3" s="631"/>
      <c r="T3" s="631"/>
    </row>
    <row r="4" spans="1:53" ht="12" customHeight="1" x14ac:dyDescent="0.25">
      <c r="A4" s="270"/>
      <c r="B4" s="424"/>
      <c r="C4" s="424"/>
      <c r="D4" s="424"/>
      <c r="E4" s="424"/>
      <c r="F4" s="268"/>
      <c r="G4" s="268"/>
      <c r="H4" s="268"/>
      <c r="R4" s="712" t="s">
        <v>839</v>
      </c>
      <c r="S4" s="630"/>
      <c r="T4" s="630"/>
    </row>
    <row r="5" spans="1:53" ht="23.25" customHeight="1" thickBot="1" x14ac:dyDescent="0.3">
      <c r="A5" s="185" t="s">
        <v>827</v>
      </c>
      <c r="B5" s="52"/>
      <c r="C5" s="52"/>
      <c r="D5" s="52"/>
      <c r="E5" s="53"/>
      <c r="F5" s="271"/>
      <c r="G5" s="271"/>
      <c r="H5" s="271"/>
      <c r="R5" s="713" t="s">
        <v>840</v>
      </c>
      <c r="S5" s="630"/>
      <c r="T5" s="630"/>
    </row>
    <row r="6" spans="1:53" x14ac:dyDescent="0.25">
      <c r="A6" s="766" t="s">
        <v>859</v>
      </c>
      <c r="B6" s="767"/>
      <c r="C6" s="768"/>
      <c r="D6" s="768"/>
      <c r="E6" s="767"/>
      <c r="F6" s="767"/>
      <c r="G6" s="53"/>
      <c r="H6" s="268"/>
      <c r="I6" s="803" t="s">
        <v>828</v>
      </c>
      <c r="J6" s="804"/>
      <c r="K6" s="804"/>
      <c r="L6" s="804"/>
      <c r="M6" s="804"/>
      <c r="N6" s="804"/>
      <c r="O6" s="804"/>
      <c r="P6" s="805"/>
      <c r="Q6" s="809" t="s">
        <v>841</v>
      </c>
      <c r="R6" s="809"/>
      <c r="S6" s="809"/>
      <c r="T6" s="809"/>
      <c r="U6" s="809"/>
      <c r="V6" s="809"/>
      <c r="W6" s="809"/>
      <c r="X6" s="809"/>
      <c r="Y6" s="809"/>
      <c r="Z6" s="809"/>
      <c r="AA6" s="809"/>
      <c r="AB6" s="809"/>
      <c r="AC6" s="809"/>
      <c r="AD6" s="809"/>
      <c r="AE6" s="809"/>
      <c r="AF6" s="809"/>
      <c r="AG6" s="809"/>
      <c r="AH6" s="809"/>
      <c r="AI6" s="809"/>
      <c r="AJ6" s="809"/>
      <c r="AK6" s="809"/>
      <c r="AL6" s="809"/>
      <c r="AM6" s="809"/>
      <c r="AN6" s="809"/>
      <c r="AO6" s="809"/>
      <c r="AP6" s="809"/>
      <c r="AQ6" s="809"/>
      <c r="AR6" s="810"/>
      <c r="AS6" s="811" t="s">
        <v>865</v>
      </c>
      <c r="AT6" s="812"/>
      <c r="AU6" s="812"/>
      <c r="AV6" s="812"/>
      <c r="AW6" s="812"/>
      <c r="AX6" s="812"/>
      <c r="AY6" s="812"/>
      <c r="AZ6" s="812"/>
      <c r="BA6" s="813"/>
    </row>
    <row r="7" spans="1:53" ht="16.5" customHeight="1" thickBot="1" x14ac:dyDescent="0.3">
      <c r="A7" s="270"/>
      <c r="B7" s="272"/>
      <c r="C7" s="91"/>
      <c r="D7" s="273"/>
      <c r="E7" s="272"/>
      <c r="F7" s="268"/>
      <c r="G7" s="268"/>
      <c r="H7" s="268"/>
      <c r="I7" s="806"/>
      <c r="J7" s="807"/>
      <c r="K7" s="807"/>
      <c r="L7" s="807"/>
      <c r="M7" s="807"/>
      <c r="N7" s="807"/>
      <c r="O7" s="807"/>
      <c r="P7" s="808"/>
      <c r="Q7" s="817" t="s">
        <v>282</v>
      </c>
      <c r="R7" s="817"/>
      <c r="S7" s="817"/>
      <c r="T7" s="817"/>
      <c r="U7" s="817"/>
      <c r="V7" s="818"/>
      <c r="W7" s="823" t="s">
        <v>283</v>
      </c>
      <c r="X7" s="817"/>
      <c r="Y7" s="817"/>
      <c r="Z7" s="818"/>
      <c r="AA7" s="785" t="s">
        <v>284</v>
      </c>
      <c r="AB7" s="785" t="s">
        <v>5</v>
      </c>
      <c r="AC7" s="785" t="s">
        <v>285</v>
      </c>
      <c r="AD7" s="826"/>
      <c r="AE7" s="826"/>
      <c r="AF7" s="827"/>
      <c r="AG7" s="785" t="s">
        <v>305</v>
      </c>
      <c r="AH7" s="832" t="s">
        <v>850</v>
      </c>
      <c r="AI7" s="833"/>
      <c r="AJ7" s="833"/>
      <c r="AK7" s="833"/>
      <c r="AL7" s="833"/>
      <c r="AM7" s="833"/>
      <c r="AN7" s="833"/>
      <c r="AO7" s="833"/>
      <c r="AP7" s="833"/>
      <c r="AQ7" s="833"/>
      <c r="AR7" s="834"/>
      <c r="AS7" s="814"/>
      <c r="AT7" s="815"/>
      <c r="AU7" s="815"/>
      <c r="AV7" s="815"/>
      <c r="AW7" s="815"/>
      <c r="AX7" s="815"/>
      <c r="AY7" s="815"/>
      <c r="AZ7" s="815"/>
      <c r="BA7" s="816"/>
    </row>
    <row r="8" spans="1:53" ht="15" customHeight="1" x14ac:dyDescent="0.25">
      <c r="A8" s="274"/>
      <c r="B8" s="275"/>
      <c r="C8" s="275"/>
      <c r="D8" s="275"/>
      <c r="E8" s="275"/>
      <c r="F8" s="275"/>
      <c r="G8" s="275"/>
      <c r="H8" s="275"/>
      <c r="I8" s="794" t="s">
        <v>6</v>
      </c>
      <c r="J8" s="797" t="s">
        <v>802</v>
      </c>
      <c r="K8" s="798"/>
      <c r="L8" s="798"/>
      <c r="M8" s="799"/>
      <c r="N8" s="773" t="s">
        <v>849</v>
      </c>
      <c r="O8" s="776" t="s">
        <v>803</v>
      </c>
      <c r="P8" s="777"/>
      <c r="Q8" s="819"/>
      <c r="R8" s="819"/>
      <c r="S8" s="819"/>
      <c r="T8" s="819"/>
      <c r="U8" s="819"/>
      <c r="V8" s="820"/>
      <c r="W8" s="824"/>
      <c r="X8" s="819"/>
      <c r="Y8" s="819"/>
      <c r="Z8" s="820"/>
      <c r="AA8" s="786"/>
      <c r="AB8" s="786"/>
      <c r="AC8" s="786"/>
      <c r="AD8" s="828"/>
      <c r="AE8" s="828"/>
      <c r="AF8" s="829"/>
      <c r="AG8" s="786"/>
      <c r="AH8" s="780" t="s">
        <v>286</v>
      </c>
      <c r="AI8" s="781"/>
      <c r="AJ8" s="837" t="s">
        <v>287</v>
      </c>
      <c r="AK8" s="835" t="s">
        <v>842</v>
      </c>
      <c r="AL8" s="836"/>
      <c r="AM8" s="837" t="s">
        <v>820</v>
      </c>
      <c r="AN8" s="780" t="s">
        <v>288</v>
      </c>
      <c r="AO8" s="781"/>
      <c r="AP8" s="788" t="s">
        <v>851</v>
      </c>
      <c r="AQ8" s="789"/>
      <c r="AR8" s="790"/>
      <c r="AS8" s="794" t="s">
        <v>6</v>
      </c>
      <c r="AT8" s="797" t="s">
        <v>802</v>
      </c>
      <c r="AU8" s="798"/>
      <c r="AV8" s="798"/>
      <c r="AW8" s="798"/>
      <c r="AX8" s="799"/>
      <c r="AY8" s="773" t="s">
        <v>849</v>
      </c>
      <c r="AZ8" s="776" t="s">
        <v>804</v>
      </c>
      <c r="BA8" s="777"/>
    </row>
    <row r="9" spans="1:53" ht="15.75" customHeight="1" thickBot="1" x14ac:dyDescent="0.3">
      <c r="A9" s="276" t="s">
        <v>798</v>
      </c>
      <c r="B9" s="91"/>
      <c r="C9" s="91"/>
      <c r="D9" s="277"/>
      <c r="E9" s="91"/>
      <c r="F9" s="278"/>
      <c r="G9" s="279"/>
      <c r="H9" s="279"/>
      <c r="I9" s="795"/>
      <c r="J9" s="800"/>
      <c r="K9" s="801"/>
      <c r="L9" s="801"/>
      <c r="M9" s="802"/>
      <c r="N9" s="774"/>
      <c r="O9" s="778"/>
      <c r="P9" s="779"/>
      <c r="Q9" s="821"/>
      <c r="R9" s="821"/>
      <c r="S9" s="821"/>
      <c r="T9" s="821"/>
      <c r="U9" s="821"/>
      <c r="V9" s="822"/>
      <c r="W9" s="825"/>
      <c r="X9" s="821"/>
      <c r="Y9" s="821"/>
      <c r="Z9" s="822"/>
      <c r="AA9" s="786"/>
      <c r="AB9" s="786"/>
      <c r="AC9" s="786"/>
      <c r="AD9" s="830"/>
      <c r="AE9" s="830"/>
      <c r="AF9" s="831"/>
      <c r="AG9" s="786"/>
      <c r="AH9" s="782"/>
      <c r="AI9" s="783"/>
      <c r="AJ9" s="838"/>
      <c r="AK9" s="634" t="s">
        <v>817</v>
      </c>
      <c r="AL9" s="634" t="s">
        <v>818</v>
      </c>
      <c r="AM9" s="838"/>
      <c r="AN9" s="782"/>
      <c r="AO9" s="783"/>
      <c r="AP9" s="791"/>
      <c r="AQ9" s="792"/>
      <c r="AR9" s="793"/>
      <c r="AS9" s="795"/>
      <c r="AT9" s="800"/>
      <c r="AU9" s="801"/>
      <c r="AV9" s="801"/>
      <c r="AW9" s="801"/>
      <c r="AX9" s="802"/>
      <c r="AY9" s="774"/>
      <c r="AZ9" s="778"/>
      <c r="BA9" s="779"/>
    </row>
    <row r="10" spans="1:53" ht="34.5" thickBot="1" x14ac:dyDescent="0.3">
      <c r="A10" s="280" t="s">
        <v>776</v>
      </c>
      <c r="B10" s="281" t="s">
        <v>547</v>
      </c>
      <c r="C10" s="281" t="s">
        <v>548</v>
      </c>
      <c r="D10" s="281" t="s">
        <v>264</v>
      </c>
      <c r="E10" s="166" t="s">
        <v>778</v>
      </c>
      <c r="F10" s="281" t="s">
        <v>0</v>
      </c>
      <c r="G10" s="282" t="s">
        <v>265</v>
      </c>
      <c r="H10" s="37" t="s">
        <v>276</v>
      </c>
      <c r="I10" s="796"/>
      <c r="J10" s="439" t="s">
        <v>274</v>
      </c>
      <c r="K10" s="431" t="s">
        <v>5</v>
      </c>
      <c r="L10" s="431" t="s">
        <v>1</v>
      </c>
      <c r="M10" s="431" t="s">
        <v>7</v>
      </c>
      <c r="N10" s="775"/>
      <c r="O10" s="434" t="s">
        <v>280</v>
      </c>
      <c r="P10" s="435" t="s">
        <v>281</v>
      </c>
      <c r="Q10" s="642" t="s">
        <v>289</v>
      </c>
      <c r="R10" s="433" t="s">
        <v>287</v>
      </c>
      <c r="S10" s="433" t="s">
        <v>819</v>
      </c>
      <c r="T10" s="433" t="s">
        <v>820</v>
      </c>
      <c r="U10" s="433" t="s">
        <v>288</v>
      </c>
      <c r="V10" s="433" t="s">
        <v>821</v>
      </c>
      <c r="W10" s="432" t="s">
        <v>290</v>
      </c>
      <c r="X10" s="433" t="s">
        <v>801</v>
      </c>
      <c r="Y10" s="432" t="s">
        <v>291</v>
      </c>
      <c r="Z10" s="433" t="s">
        <v>768</v>
      </c>
      <c r="AA10" s="787"/>
      <c r="AB10" s="787"/>
      <c r="AC10" s="787"/>
      <c r="AD10" s="433" t="s">
        <v>287</v>
      </c>
      <c r="AE10" s="433" t="s">
        <v>292</v>
      </c>
      <c r="AF10" s="433" t="s">
        <v>769</v>
      </c>
      <c r="AG10" s="787"/>
      <c r="AH10" s="436" t="s">
        <v>280</v>
      </c>
      <c r="AI10" s="437" t="s">
        <v>281</v>
      </c>
      <c r="AJ10" s="436" t="s">
        <v>280</v>
      </c>
      <c r="AK10" s="436" t="s">
        <v>280</v>
      </c>
      <c r="AL10" s="437" t="s">
        <v>281</v>
      </c>
      <c r="AM10" s="436" t="s">
        <v>280</v>
      </c>
      <c r="AN10" s="436" t="s">
        <v>280</v>
      </c>
      <c r="AO10" s="437" t="s">
        <v>281</v>
      </c>
      <c r="AP10" s="436" t="s">
        <v>280</v>
      </c>
      <c r="AQ10" s="437" t="s">
        <v>281</v>
      </c>
      <c r="AR10" s="438" t="s">
        <v>301</v>
      </c>
      <c r="AS10" s="796"/>
      <c r="AT10" s="38" t="s">
        <v>274</v>
      </c>
      <c r="AU10" s="439" t="s">
        <v>283</v>
      </c>
      <c r="AV10" s="431" t="s">
        <v>5</v>
      </c>
      <c r="AW10" s="431" t="s">
        <v>1</v>
      </c>
      <c r="AX10" s="431" t="s">
        <v>7</v>
      </c>
      <c r="AY10" s="775"/>
      <c r="AZ10" s="434" t="s">
        <v>280</v>
      </c>
      <c r="BA10" s="435" t="s">
        <v>281</v>
      </c>
    </row>
    <row r="11" spans="1:53" s="286" customFormat="1" ht="11.25" customHeight="1" thickBot="1" x14ac:dyDescent="0.25">
      <c r="A11" s="283" t="s">
        <v>549</v>
      </c>
      <c r="B11" s="284" t="s">
        <v>550</v>
      </c>
      <c r="C11" s="284" t="s">
        <v>266</v>
      </c>
      <c r="D11" s="284" t="s">
        <v>267</v>
      </c>
      <c r="E11" s="284" t="s">
        <v>551</v>
      </c>
      <c r="F11" s="284" t="s">
        <v>0</v>
      </c>
      <c r="G11" s="284" t="s">
        <v>552</v>
      </c>
      <c r="H11" s="285" t="s">
        <v>772</v>
      </c>
      <c r="I11" s="139" t="s">
        <v>268</v>
      </c>
      <c r="J11" s="140" t="s">
        <v>269</v>
      </c>
      <c r="K11" s="140" t="s">
        <v>270</v>
      </c>
      <c r="L11" s="140" t="s">
        <v>271</v>
      </c>
      <c r="M11" s="140" t="s">
        <v>272</v>
      </c>
      <c r="N11" s="607" t="s">
        <v>273</v>
      </c>
      <c r="O11" s="193" t="s">
        <v>553</v>
      </c>
      <c r="P11" s="194" t="s">
        <v>554</v>
      </c>
      <c r="Q11" s="139" t="s">
        <v>293</v>
      </c>
      <c r="R11" s="140" t="s">
        <v>293</v>
      </c>
      <c r="S11" s="140" t="s">
        <v>293</v>
      </c>
      <c r="T11" s="140" t="s">
        <v>293</v>
      </c>
      <c r="U11" s="140" t="s">
        <v>293</v>
      </c>
      <c r="V11" s="140" t="s">
        <v>293</v>
      </c>
      <c r="W11" s="140" t="s">
        <v>294</v>
      </c>
      <c r="X11" s="140" t="s">
        <v>294</v>
      </c>
      <c r="Y11" s="140" t="s">
        <v>295</v>
      </c>
      <c r="Z11" s="140" t="s">
        <v>294</v>
      </c>
      <c r="AA11" s="140" t="s">
        <v>296</v>
      </c>
      <c r="AB11" s="140" t="s">
        <v>297</v>
      </c>
      <c r="AC11" s="140" t="s">
        <v>298</v>
      </c>
      <c r="AD11" s="140" t="s">
        <v>300</v>
      </c>
      <c r="AE11" s="140" t="s">
        <v>299</v>
      </c>
      <c r="AF11" s="140" t="s">
        <v>299</v>
      </c>
      <c r="AG11" s="140" t="s">
        <v>306</v>
      </c>
      <c r="AH11" s="193" t="s">
        <v>302</v>
      </c>
      <c r="AI11" s="193" t="s">
        <v>303</v>
      </c>
      <c r="AJ11" s="193" t="s">
        <v>302</v>
      </c>
      <c r="AK11" s="193" t="s">
        <v>302</v>
      </c>
      <c r="AL11" s="193" t="s">
        <v>303</v>
      </c>
      <c r="AM11" s="193" t="s">
        <v>302</v>
      </c>
      <c r="AN11" s="193" t="s">
        <v>302</v>
      </c>
      <c r="AO11" s="193" t="s">
        <v>303</v>
      </c>
      <c r="AP11" s="193" t="s">
        <v>302</v>
      </c>
      <c r="AQ11" s="193" t="s">
        <v>303</v>
      </c>
      <c r="AR11" s="194" t="s">
        <v>304</v>
      </c>
      <c r="AS11" s="139" t="s">
        <v>268</v>
      </c>
      <c r="AT11" s="140" t="s">
        <v>269</v>
      </c>
      <c r="AU11" s="140" t="s">
        <v>275</v>
      </c>
      <c r="AV11" s="140" t="s">
        <v>270</v>
      </c>
      <c r="AW11" s="140" t="s">
        <v>271</v>
      </c>
      <c r="AX11" s="140" t="s">
        <v>272</v>
      </c>
      <c r="AY11" s="193" t="s">
        <v>273</v>
      </c>
      <c r="AZ11" s="193" t="s">
        <v>553</v>
      </c>
      <c r="BA11" s="194" t="s">
        <v>554</v>
      </c>
    </row>
    <row r="12" spans="1:53" ht="13.5" customHeight="1" x14ac:dyDescent="0.25">
      <c r="A12" s="287">
        <v>1</v>
      </c>
      <c r="B12" s="336">
        <v>5489</v>
      </c>
      <c r="C12" s="337">
        <v>600099482</v>
      </c>
      <c r="D12" s="289">
        <v>71166289</v>
      </c>
      <c r="E12" s="338" t="s">
        <v>367</v>
      </c>
      <c r="F12" s="289">
        <v>3111</v>
      </c>
      <c r="G12" s="338" t="s">
        <v>321</v>
      </c>
      <c r="H12" s="339" t="s">
        <v>277</v>
      </c>
      <c r="I12" s="440">
        <f>SUM(J12:M12)</f>
        <v>3479795</v>
      </c>
      <c r="J12" s="441">
        <v>2568394</v>
      </c>
      <c r="K12" s="441">
        <f t="shared" ref="K12:K14" si="0">ROUND(J12*33.8%,0)</f>
        <v>868117</v>
      </c>
      <c r="L12" s="441">
        <f>ROUND(J12*1%,0)</f>
        <v>25684</v>
      </c>
      <c r="M12" s="441">
        <v>17600</v>
      </c>
      <c r="N12" s="442">
        <f>O12+P12</f>
        <v>5.2645</v>
      </c>
      <c r="O12" s="443">
        <v>4.0644999999999998</v>
      </c>
      <c r="P12" s="586">
        <v>1.2000000000000002</v>
      </c>
      <c r="Q12" s="444">
        <f t="shared" ref="Q12:Q14" si="1">W12*-1</f>
        <v>-5200</v>
      </c>
      <c r="R12" s="445">
        <v>0</v>
      </c>
      <c r="S12" s="675">
        <v>0</v>
      </c>
      <c r="T12" s="445">
        <v>0</v>
      </c>
      <c r="U12" s="445">
        <v>0</v>
      </c>
      <c r="V12" s="445">
        <f>SUM(Q12:U12)</f>
        <v>-5200</v>
      </c>
      <c r="W12" s="445">
        <v>5200</v>
      </c>
      <c r="X12" s="445">
        <v>0</v>
      </c>
      <c r="Y12" s="445">
        <v>0</v>
      </c>
      <c r="Z12" s="445">
        <f t="shared" ref="Z12:Z14" si="2">SUM(W12:Y12)</f>
        <v>5200</v>
      </c>
      <c r="AA12" s="445">
        <f t="shared" ref="AA12:AA14" si="3">V12+Z12</f>
        <v>0</v>
      </c>
      <c r="AB12" s="147">
        <f t="shared" ref="AB12:AB14" si="4">ROUND((V12+W12+X12)*33.8%,0)</f>
        <v>0</v>
      </c>
      <c r="AC12" s="147">
        <f>ROUND(V12*1%,0)</f>
        <v>-52</v>
      </c>
      <c r="AD12" s="445">
        <v>0</v>
      </c>
      <c r="AE12" s="445">
        <v>0</v>
      </c>
      <c r="AF12" s="445">
        <f t="shared" ref="AF12:AF14" si="5">SUM(AD12:AE12)</f>
        <v>0</v>
      </c>
      <c r="AG12" s="445">
        <f t="shared" ref="AG12:AG14" si="6">AA12+AB12+AC12+AF12</f>
        <v>-52</v>
      </c>
      <c r="AH12" s="446">
        <v>0</v>
      </c>
      <c r="AI12" s="446">
        <v>-0.02</v>
      </c>
      <c r="AJ12" s="446">
        <v>0</v>
      </c>
      <c r="AK12" s="446">
        <v>0</v>
      </c>
      <c r="AL12" s="676">
        <v>0</v>
      </c>
      <c r="AM12" s="446">
        <v>0</v>
      </c>
      <c r="AN12" s="446">
        <v>0</v>
      </c>
      <c r="AO12" s="446">
        <v>0</v>
      </c>
      <c r="AP12" s="446">
        <f>AH12+AJ12+AK12+AM12+AN12</f>
        <v>0</v>
      </c>
      <c r="AQ12" s="446">
        <f>AI12+AL12+AO12</f>
        <v>-0.02</v>
      </c>
      <c r="AR12" s="448">
        <f t="shared" ref="AR12:AR14" si="7">SUM(AP12:AQ12)</f>
        <v>-0.02</v>
      </c>
      <c r="AS12" s="444">
        <f>I12+AG12</f>
        <v>3479743</v>
      </c>
      <c r="AT12" s="445">
        <f>J12+V12</f>
        <v>2563194</v>
      </c>
      <c r="AU12" s="445">
        <f>Z12</f>
        <v>5200</v>
      </c>
      <c r="AV12" s="445">
        <f t="shared" ref="AV12:AW14" si="8">K12+AB12</f>
        <v>868117</v>
      </c>
      <c r="AW12" s="445">
        <f t="shared" si="8"/>
        <v>25632</v>
      </c>
      <c r="AX12" s="445">
        <f>M12+AF12</f>
        <v>17600</v>
      </c>
      <c r="AY12" s="446">
        <f>N12+AR12</f>
        <v>5.2445000000000004</v>
      </c>
      <c r="AZ12" s="446">
        <f t="shared" ref="AZ12:BA14" si="9">O12+AP12</f>
        <v>4.0644999999999998</v>
      </c>
      <c r="BA12" s="448">
        <f t="shared" si="9"/>
        <v>1.1800000000000002</v>
      </c>
    </row>
    <row r="13" spans="1:53" ht="12.95" customHeight="1" x14ac:dyDescent="0.25">
      <c r="A13" s="299">
        <v>1</v>
      </c>
      <c r="B13" s="340">
        <v>5489</v>
      </c>
      <c r="C13" s="341">
        <v>600099482</v>
      </c>
      <c r="D13" s="300">
        <v>71166289</v>
      </c>
      <c r="E13" s="342" t="s">
        <v>367</v>
      </c>
      <c r="F13" s="300">
        <v>3111</v>
      </c>
      <c r="G13" s="342" t="s">
        <v>315</v>
      </c>
      <c r="H13" s="303" t="s">
        <v>278</v>
      </c>
      <c r="I13" s="462">
        <f t="shared" ref="I13" si="10">SUM(J13:M13)</f>
        <v>0</v>
      </c>
      <c r="J13" s="457">
        <v>0</v>
      </c>
      <c r="K13" s="457">
        <f t="shared" si="0"/>
        <v>0</v>
      </c>
      <c r="L13" s="457">
        <f>ROUND(J13*1%,0)</f>
        <v>0</v>
      </c>
      <c r="M13" s="457">
        <v>0</v>
      </c>
      <c r="N13" s="458">
        <f t="shared" ref="N13:N14" si="11">O13+P13</f>
        <v>0</v>
      </c>
      <c r="O13" s="459">
        <v>0</v>
      </c>
      <c r="P13" s="646">
        <v>0</v>
      </c>
      <c r="Q13" s="469">
        <f t="shared" si="1"/>
        <v>0</v>
      </c>
      <c r="R13" s="460">
        <v>0</v>
      </c>
      <c r="S13" s="673">
        <v>0</v>
      </c>
      <c r="T13" s="460">
        <v>0</v>
      </c>
      <c r="U13" s="460">
        <v>0</v>
      </c>
      <c r="V13" s="460">
        <f>SUM(Q13:U13)</f>
        <v>0</v>
      </c>
      <c r="W13" s="460">
        <v>0</v>
      </c>
      <c r="X13" s="460">
        <v>0</v>
      </c>
      <c r="Y13" s="460">
        <v>0</v>
      </c>
      <c r="Z13" s="460">
        <f t="shared" si="2"/>
        <v>0</v>
      </c>
      <c r="AA13" s="460">
        <f t="shared" si="3"/>
        <v>0</v>
      </c>
      <c r="AB13" s="69">
        <f t="shared" si="4"/>
        <v>0</v>
      </c>
      <c r="AC13" s="69">
        <f>ROUND(V13*1%,0)</f>
        <v>0</v>
      </c>
      <c r="AD13" s="460">
        <v>0</v>
      </c>
      <c r="AE13" s="460">
        <v>0</v>
      </c>
      <c r="AF13" s="460">
        <f t="shared" si="5"/>
        <v>0</v>
      </c>
      <c r="AG13" s="460">
        <f t="shared" si="6"/>
        <v>0</v>
      </c>
      <c r="AH13" s="461">
        <v>0</v>
      </c>
      <c r="AI13" s="461">
        <v>0</v>
      </c>
      <c r="AJ13" s="461">
        <v>0</v>
      </c>
      <c r="AK13" s="461">
        <v>0</v>
      </c>
      <c r="AL13" s="674">
        <v>0</v>
      </c>
      <c r="AM13" s="461">
        <v>0</v>
      </c>
      <c r="AN13" s="461">
        <v>0</v>
      </c>
      <c r="AO13" s="461">
        <v>0</v>
      </c>
      <c r="AP13" s="461">
        <f>AH13+AJ13+AK13+AM13+AN13</f>
        <v>0</v>
      </c>
      <c r="AQ13" s="461">
        <f>AI13+AL13+AO13</f>
        <v>0</v>
      </c>
      <c r="AR13" s="463">
        <f t="shared" si="7"/>
        <v>0</v>
      </c>
      <c r="AS13" s="469">
        <f>I13+AG13</f>
        <v>0</v>
      </c>
      <c r="AT13" s="460">
        <f>J13+V13</f>
        <v>0</v>
      </c>
      <c r="AU13" s="460">
        <f>Z13</f>
        <v>0</v>
      </c>
      <c r="AV13" s="460">
        <f t="shared" si="8"/>
        <v>0</v>
      </c>
      <c r="AW13" s="460">
        <f t="shared" si="8"/>
        <v>0</v>
      </c>
      <c r="AX13" s="460">
        <f>M13+AF13</f>
        <v>0</v>
      </c>
      <c r="AY13" s="461">
        <f>N13+AR13</f>
        <v>0</v>
      </c>
      <c r="AZ13" s="461">
        <f t="shared" si="9"/>
        <v>0</v>
      </c>
      <c r="BA13" s="463">
        <f t="shared" si="9"/>
        <v>0</v>
      </c>
    </row>
    <row r="14" spans="1:53" ht="12.95" customHeight="1" x14ac:dyDescent="0.25">
      <c r="A14" s="299">
        <v>1</v>
      </c>
      <c r="B14" s="340">
        <v>5489</v>
      </c>
      <c r="C14" s="341">
        <v>600099482</v>
      </c>
      <c r="D14" s="300">
        <v>71166289</v>
      </c>
      <c r="E14" s="342" t="s">
        <v>367</v>
      </c>
      <c r="F14" s="300">
        <v>3141</v>
      </c>
      <c r="G14" s="342" t="s">
        <v>311</v>
      </c>
      <c r="H14" s="303" t="s">
        <v>278</v>
      </c>
      <c r="I14" s="462">
        <f t="shared" ref="I14" si="12">SUM(J14:M14)</f>
        <v>594683</v>
      </c>
      <c r="J14" s="457">
        <f>439462</f>
        <v>439462</v>
      </c>
      <c r="K14" s="457">
        <f t="shared" si="0"/>
        <v>148538</v>
      </c>
      <c r="L14" s="457">
        <f>ROUND(J14*1%,0)</f>
        <v>4395</v>
      </c>
      <c r="M14" s="457">
        <v>2288</v>
      </c>
      <c r="N14" s="458">
        <f t="shared" si="11"/>
        <v>1.41</v>
      </c>
      <c r="O14" s="459">
        <v>0</v>
      </c>
      <c r="P14" s="646">
        <v>1.41</v>
      </c>
      <c r="Q14" s="469">
        <f t="shared" si="1"/>
        <v>0</v>
      </c>
      <c r="R14" s="460">
        <v>0</v>
      </c>
      <c r="S14" s="673">
        <v>0</v>
      </c>
      <c r="T14" s="460">
        <v>0</v>
      </c>
      <c r="U14" s="460">
        <v>0</v>
      </c>
      <c r="V14" s="460">
        <f>SUM(Q14:U14)</f>
        <v>0</v>
      </c>
      <c r="W14" s="460">
        <v>0</v>
      </c>
      <c r="X14" s="460">
        <v>0</v>
      </c>
      <c r="Y14" s="460">
        <v>0</v>
      </c>
      <c r="Z14" s="460">
        <f t="shared" si="2"/>
        <v>0</v>
      </c>
      <c r="AA14" s="460">
        <f t="shared" si="3"/>
        <v>0</v>
      </c>
      <c r="AB14" s="69">
        <f t="shared" si="4"/>
        <v>0</v>
      </c>
      <c r="AC14" s="69">
        <f>ROUND(V14*1%,0)</f>
        <v>0</v>
      </c>
      <c r="AD14" s="460">
        <v>0</v>
      </c>
      <c r="AE14" s="460">
        <v>0</v>
      </c>
      <c r="AF14" s="460">
        <f t="shared" si="5"/>
        <v>0</v>
      </c>
      <c r="AG14" s="460">
        <f t="shared" si="6"/>
        <v>0</v>
      </c>
      <c r="AH14" s="461">
        <v>0</v>
      </c>
      <c r="AI14" s="461">
        <v>0</v>
      </c>
      <c r="AJ14" s="461">
        <v>0</v>
      </c>
      <c r="AK14" s="461">
        <v>0</v>
      </c>
      <c r="AL14" s="674">
        <v>0</v>
      </c>
      <c r="AM14" s="461">
        <v>0</v>
      </c>
      <c r="AN14" s="461">
        <v>0</v>
      </c>
      <c r="AO14" s="461">
        <v>0</v>
      </c>
      <c r="AP14" s="461">
        <f>AH14+AJ14+AK14+AM14+AN14</f>
        <v>0</v>
      </c>
      <c r="AQ14" s="461">
        <f>AI14+AL14+AO14</f>
        <v>0</v>
      </c>
      <c r="AR14" s="463">
        <f t="shared" si="7"/>
        <v>0</v>
      </c>
      <c r="AS14" s="469">
        <f>I14+AG14</f>
        <v>594683</v>
      </c>
      <c r="AT14" s="460">
        <f>J14+V14</f>
        <v>439462</v>
      </c>
      <c r="AU14" s="460">
        <f>Z14</f>
        <v>0</v>
      </c>
      <c r="AV14" s="460">
        <f t="shared" si="8"/>
        <v>148538</v>
      </c>
      <c r="AW14" s="460">
        <f t="shared" si="8"/>
        <v>4395</v>
      </c>
      <c r="AX14" s="460">
        <f>M14+AF14</f>
        <v>2288</v>
      </c>
      <c r="AY14" s="461">
        <f>N14+AR14</f>
        <v>1.41</v>
      </c>
      <c r="AZ14" s="461">
        <f t="shared" si="9"/>
        <v>0</v>
      </c>
      <c r="BA14" s="463">
        <f t="shared" si="9"/>
        <v>1.41</v>
      </c>
    </row>
    <row r="15" spans="1:53" ht="12.95" customHeight="1" x14ac:dyDescent="0.25">
      <c r="A15" s="343">
        <v>1</v>
      </c>
      <c r="B15" s="344">
        <v>5489</v>
      </c>
      <c r="C15" s="345">
        <v>600099482</v>
      </c>
      <c r="D15" s="344">
        <v>71166289</v>
      </c>
      <c r="E15" s="346" t="s">
        <v>368</v>
      </c>
      <c r="F15" s="294"/>
      <c r="G15" s="346"/>
      <c r="H15" s="308"/>
      <c r="I15" s="552">
        <f t="shared" ref="I15:BA15" si="13">SUM(I12:I14)</f>
        <v>4074478</v>
      </c>
      <c r="J15" s="548">
        <f t="shared" si="13"/>
        <v>3007856</v>
      </c>
      <c r="K15" s="548">
        <f t="shared" si="13"/>
        <v>1016655</v>
      </c>
      <c r="L15" s="548">
        <f t="shared" si="13"/>
        <v>30079</v>
      </c>
      <c r="M15" s="548">
        <f t="shared" si="13"/>
        <v>19888</v>
      </c>
      <c r="N15" s="549">
        <f t="shared" si="13"/>
        <v>6.6745000000000001</v>
      </c>
      <c r="O15" s="549">
        <f t="shared" si="13"/>
        <v>4.0644999999999998</v>
      </c>
      <c r="P15" s="347">
        <f t="shared" si="13"/>
        <v>2.6100000000000003</v>
      </c>
      <c r="Q15" s="762">
        <f t="shared" si="13"/>
        <v>-5200</v>
      </c>
      <c r="R15" s="549">
        <f t="shared" si="13"/>
        <v>0</v>
      </c>
      <c r="S15" s="549">
        <f t="shared" si="13"/>
        <v>0</v>
      </c>
      <c r="T15" s="549">
        <f t="shared" si="13"/>
        <v>0</v>
      </c>
      <c r="U15" s="549">
        <f t="shared" si="13"/>
        <v>0</v>
      </c>
      <c r="V15" s="549">
        <f t="shared" si="13"/>
        <v>-5200</v>
      </c>
      <c r="W15" s="549">
        <f t="shared" si="13"/>
        <v>5200</v>
      </c>
      <c r="X15" s="549">
        <f t="shared" si="13"/>
        <v>0</v>
      </c>
      <c r="Y15" s="549">
        <f t="shared" si="13"/>
        <v>0</v>
      </c>
      <c r="Z15" s="549">
        <f t="shared" si="13"/>
        <v>5200</v>
      </c>
      <c r="AA15" s="549">
        <f t="shared" si="13"/>
        <v>0</v>
      </c>
      <c r="AB15" s="549">
        <f t="shared" si="13"/>
        <v>0</v>
      </c>
      <c r="AC15" s="549">
        <f t="shared" si="13"/>
        <v>-52</v>
      </c>
      <c r="AD15" s="549">
        <f t="shared" si="13"/>
        <v>0</v>
      </c>
      <c r="AE15" s="549">
        <f t="shared" si="13"/>
        <v>0</v>
      </c>
      <c r="AF15" s="549">
        <f t="shared" si="13"/>
        <v>0</v>
      </c>
      <c r="AG15" s="549">
        <f t="shared" si="13"/>
        <v>-52</v>
      </c>
      <c r="AH15" s="549">
        <f t="shared" si="13"/>
        <v>0</v>
      </c>
      <c r="AI15" s="549">
        <f t="shared" si="13"/>
        <v>-0.02</v>
      </c>
      <c r="AJ15" s="549">
        <f t="shared" si="13"/>
        <v>0</v>
      </c>
      <c r="AK15" s="549">
        <f t="shared" si="13"/>
        <v>0</v>
      </c>
      <c r="AL15" s="549">
        <f t="shared" si="13"/>
        <v>0</v>
      </c>
      <c r="AM15" s="549">
        <f t="shared" si="13"/>
        <v>0</v>
      </c>
      <c r="AN15" s="549">
        <f t="shared" si="13"/>
        <v>0</v>
      </c>
      <c r="AO15" s="549">
        <f t="shared" si="13"/>
        <v>0</v>
      </c>
      <c r="AP15" s="549">
        <f t="shared" si="13"/>
        <v>0</v>
      </c>
      <c r="AQ15" s="549">
        <f t="shared" si="13"/>
        <v>-0.02</v>
      </c>
      <c r="AR15" s="549">
        <f t="shared" si="13"/>
        <v>-0.02</v>
      </c>
      <c r="AS15" s="549">
        <f t="shared" si="13"/>
        <v>4074426</v>
      </c>
      <c r="AT15" s="549">
        <f t="shared" si="13"/>
        <v>3002656</v>
      </c>
      <c r="AU15" s="549">
        <f t="shared" si="13"/>
        <v>5200</v>
      </c>
      <c r="AV15" s="549">
        <f t="shared" si="13"/>
        <v>1016655</v>
      </c>
      <c r="AW15" s="549">
        <f t="shared" si="13"/>
        <v>30027</v>
      </c>
      <c r="AX15" s="549">
        <f t="shared" si="13"/>
        <v>19888</v>
      </c>
      <c r="AY15" s="549">
        <f t="shared" si="13"/>
        <v>6.6545000000000005</v>
      </c>
      <c r="AZ15" s="549">
        <f t="shared" si="13"/>
        <v>4.0644999999999998</v>
      </c>
      <c r="BA15" s="549">
        <f t="shared" si="13"/>
        <v>2.59</v>
      </c>
    </row>
    <row r="16" spans="1:53" ht="12.95" customHeight="1" x14ac:dyDescent="0.25">
      <c r="A16" s="299">
        <v>2</v>
      </c>
      <c r="B16" s="340">
        <v>5451</v>
      </c>
      <c r="C16" s="341">
        <v>600098893</v>
      </c>
      <c r="D16" s="300">
        <v>70939331</v>
      </c>
      <c r="E16" s="342" t="s">
        <v>369</v>
      </c>
      <c r="F16" s="300">
        <v>3111</v>
      </c>
      <c r="G16" s="342" t="s">
        <v>321</v>
      </c>
      <c r="H16" s="303" t="s">
        <v>277</v>
      </c>
      <c r="I16" s="462">
        <f t="shared" ref="I16:I18" si="14">SUM(J16:M16)</f>
        <v>10505954</v>
      </c>
      <c r="J16" s="457">
        <v>7751998</v>
      </c>
      <c r="K16" s="457">
        <f>ROUND(J16*33.8%,0)+1</f>
        <v>2620176</v>
      </c>
      <c r="L16" s="457">
        <f t="shared" ref="L16:L18" si="15">ROUND(J16*1%,0)</f>
        <v>77520</v>
      </c>
      <c r="M16" s="457">
        <v>56260</v>
      </c>
      <c r="N16" s="458">
        <f t="shared" ref="N16:N18" si="16">O16+P16</f>
        <v>16.235799999999998</v>
      </c>
      <c r="O16" s="459">
        <v>12.2258</v>
      </c>
      <c r="P16" s="717">
        <v>4.01</v>
      </c>
      <c r="Q16" s="469">
        <f t="shared" ref="Q16:Q18" si="17">W16*-1</f>
        <v>-10400</v>
      </c>
      <c r="R16" s="460">
        <v>0</v>
      </c>
      <c r="S16" s="673">
        <v>0</v>
      </c>
      <c r="T16" s="460">
        <v>0</v>
      </c>
      <c r="U16" s="460">
        <v>0</v>
      </c>
      <c r="V16" s="460">
        <f>SUM(Q16:U16)</f>
        <v>-10400</v>
      </c>
      <c r="W16" s="460">
        <v>10400</v>
      </c>
      <c r="X16" s="460">
        <v>0</v>
      </c>
      <c r="Y16" s="460">
        <v>0</v>
      </c>
      <c r="Z16" s="460">
        <f t="shared" ref="Z16:Z18" si="18">SUM(W16:Y16)</f>
        <v>10400</v>
      </c>
      <c r="AA16" s="460">
        <f t="shared" ref="AA16:AA18" si="19">V16+Z16</f>
        <v>0</v>
      </c>
      <c r="AB16" s="69">
        <f t="shared" ref="AB16:AB18" si="20">ROUND((V16+W16+X16)*33.8%,0)</f>
        <v>0</v>
      </c>
      <c r="AC16" s="69">
        <f t="shared" ref="AC16:AC18" si="21">ROUND(V16*1%,0)</f>
        <v>-104</v>
      </c>
      <c r="AD16" s="460">
        <v>0</v>
      </c>
      <c r="AE16" s="460">
        <v>0</v>
      </c>
      <c r="AF16" s="460">
        <f t="shared" ref="AF16:AF18" si="22">SUM(AD16:AE16)</f>
        <v>0</v>
      </c>
      <c r="AG16" s="460">
        <f t="shared" ref="AG16:AG18" si="23">AA16+AB16+AC16+AF16</f>
        <v>-104</v>
      </c>
      <c r="AH16" s="461">
        <v>0</v>
      </c>
      <c r="AI16" s="461">
        <v>-0.04</v>
      </c>
      <c r="AJ16" s="461">
        <v>0</v>
      </c>
      <c r="AK16" s="461">
        <v>0</v>
      </c>
      <c r="AL16" s="674">
        <v>0</v>
      </c>
      <c r="AM16" s="461">
        <v>0</v>
      </c>
      <c r="AN16" s="461">
        <v>0</v>
      </c>
      <c r="AO16" s="461">
        <v>0</v>
      </c>
      <c r="AP16" s="461">
        <f>AH16+AJ16+AK16+AM16+AN16</f>
        <v>0</v>
      </c>
      <c r="AQ16" s="461">
        <f>AI16+AL16+AO16</f>
        <v>-0.04</v>
      </c>
      <c r="AR16" s="463">
        <f t="shared" ref="AR16:AR18" si="24">SUM(AP16:AQ16)</f>
        <v>-0.04</v>
      </c>
      <c r="AS16" s="469">
        <f>I16+AG16</f>
        <v>10505850</v>
      </c>
      <c r="AT16" s="460">
        <f>J16+V16</f>
        <v>7741598</v>
      </c>
      <c r="AU16" s="460">
        <f t="shared" ref="AU16:AU18" si="25">Z16</f>
        <v>10400</v>
      </c>
      <c r="AV16" s="460">
        <f t="shared" ref="AV16:AW18" si="26">K16+AB16</f>
        <v>2620176</v>
      </c>
      <c r="AW16" s="460">
        <f t="shared" si="26"/>
        <v>77416</v>
      </c>
      <c r="AX16" s="460">
        <f>M16+AF16</f>
        <v>56260</v>
      </c>
      <c r="AY16" s="461">
        <f>N16+AR16</f>
        <v>16.195799999999998</v>
      </c>
      <c r="AZ16" s="461">
        <f t="shared" ref="AZ16:BA18" si="27">O16+AP16</f>
        <v>12.2258</v>
      </c>
      <c r="BA16" s="463">
        <f t="shared" si="27"/>
        <v>3.9699999999999998</v>
      </c>
    </row>
    <row r="17" spans="1:53" ht="12.95" customHeight="1" x14ac:dyDescent="0.25">
      <c r="A17" s="299">
        <v>2</v>
      </c>
      <c r="B17" s="340">
        <v>5451</v>
      </c>
      <c r="C17" s="341">
        <v>600098893</v>
      </c>
      <c r="D17" s="300">
        <v>70939331</v>
      </c>
      <c r="E17" s="342" t="s">
        <v>369</v>
      </c>
      <c r="F17" s="300">
        <v>3111</v>
      </c>
      <c r="G17" s="342" t="s">
        <v>309</v>
      </c>
      <c r="H17" s="303" t="s">
        <v>277</v>
      </c>
      <c r="I17" s="462">
        <f t="shared" si="14"/>
        <v>498981</v>
      </c>
      <c r="J17" s="457">
        <v>370164</v>
      </c>
      <c r="K17" s="457">
        <f t="shared" ref="K17:K18" si="28">ROUND(J17*33.8%,0)</f>
        <v>125115</v>
      </c>
      <c r="L17" s="457">
        <f t="shared" si="15"/>
        <v>3702</v>
      </c>
      <c r="M17" s="457">
        <v>0</v>
      </c>
      <c r="N17" s="458">
        <f t="shared" si="16"/>
        <v>1</v>
      </c>
      <c r="O17" s="459">
        <v>1</v>
      </c>
      <c r="P17" s="646">
        <v>0</v>
      </c>
      <c r="Q17" s="469">
        <f t="shared" si="17"/>
        <v>0</v>
      </c>
      <c r="R17" s="460">
        <v>0</v>
      </c>
      <c r="S17" s="673">
        <v>0</v>
      </c>
      <c r="T17" s="460">
        <v>0</v>
      </c>
      <c r="U17" s="460">
        <v>0</v>
      </c>
      <c r="V17" s="460">
        <f>SUM(Q17:U17)</f>
        <v>0</v>
      </c>
      <c r="W17" s="460">
        <v>0</v>
      </c>
      <c r="X17" s="460">
        <v>0</v>
      </c>
      <c r="Y17" s="460">
        <v>0</v>
      </c>
      <c r="Z17" s="460">
        <f t="shared" si="18"/>
        <v>0</v>
      </c>
      <c r="AA17" s="460">
        <f t="shared" si="19"/>
        <v>0</v>
      </c>
      <c r="AB17" s="69">
        <f t="shared" si="20"/>
        <v>0</v>
      </c>
      <c r="AC17" s="69">
        <f t="shared" si="21"/>
        <v>0</v>
      </c>
      <c r="AD17" s="460">
        <v>0</v>
      </c>
      <c r="AE17" s="460">
        <v>0</v>
      </c>
      <c r="AF17" s="460">
        <f t="shared" si="22"/>
        <v>0</v>
      </c>
      <c r="AG17" s="460">
        <f t="shared" si="23"/>
        <v>0</v>
      </c>
      <c r="AH17" s="461">
        <v>0</v>
      </c>
      <c r="AI17" s="461">
        <v>0</v>
      </c>
      <c r="AJ17" s="461">
        <v>0</v>
      </c>
      <c r="AK17" s="461">
        <v>0</v>
      </c>
      <c r="AL17" s="674">
        <v>0</v>
      </c>
      <c r="AM17" s="461">
        <v>0</v>
      </c>
      <c r="AN17" s="461">
        <v>0</v>
      </c>
      <c r="AO17" s="461">
        <v>0</v>
      </c>
      <c r="AP17" s="461">
        <f>AH17+AJ17+AK17+AM17+AN17</f>
        <v>0</v>
      </c>
      <c r="AQ17" s="461">
        <f>AI17+AL17+AO17</f>
        <v>0</v>
      </c>
      <c r="AR17" s="463">
        <f t="shared" si="24"/>
        <v>0</v>
      </c>
      <c r="AS17" s="469">
        <f>I17+AG17</f>
        <v>498981</v>
      </c>
      <c r="AT17" s="460">
        <f>J17+V17</f>
        <v>370164</v>
      </c>
      <c r="AU17" s="460">
        <f t="shared" si="25"/>
        <v>0</v>
      </c>
      <c r="AV17" s="460">
        <f t="shared" si="26"/>
        <v>125115</v>
      </c>
      <c r="AW17" s="460">
        <f t="shared" si="26"/>
        <v>3702</v>
      </c>
      <c r="AX17" s="460">
        <f>M17+AF17</f>
        <v>0</v>
      </c>
      <c r="AY17" s="461">
        <f>N17+AR17</f>
        <v>1</v>
      </c>
      <c r="AZ17" s="461">
        <f t="shared" si="27"/>
        <v>1</v>
      </c>
      <c r="BA17" s="463">
        <f t="shared" si="27"/>
        <v>0</v>
      </c>
    </row>
    <row r="18" spans="1:53" ht="12.95" customHeight="1" x14ac:dyDescent="0.25">
      <c r="A18" s="299">
        <v>2</v>
      </c>
      <c r="B18" s="340">
        <v>5451</v>
      </c>
      <c r="C18" s="341">
        <v>600098893</v>
      </c>
      <c r="D18" s="300">
        <v>70939331</v>
      </c>
      <c r="E18" s="342" t="s">
        <v>369</v>
      </c>
      <c r="F18" s="300">
        <v>3141</v>
      </c>
      <c r="G18" s="342" t="s">
        <v>311</v>
      </c>
      <c r="H18" s="303" t="s">
        <v>278</v>
      </c>
      <c r="I18" s="462">
        <f t="shared" si="14"/>
        <v>1406782</v>
      </c>
      <c r="J18" s="457">
        <f>929233+109395</f>
        <v>1038628</v>
      </c>
      <c r="K18" s="457">
        <f t="shared" si="28"/>
        <v>351056</v>
      </c>
      <c r="L18" s="457">
        <f t="shared" si="15"/>
        <v>10386</v>
      </c>
      <c r="M18" s="457">
        <f>5930+782</f>
        <v>6712</v>
      </c>
      <c r="N18" s="458">
        <f t="shared" si="16"/>
        <v>3.3400000000000003</v>
      </c>
      <c r="O18" s="459">
        <v>0</v>
      </c>
      <c r="P18" s="646">
        <f>2.99+0.35</f>
        <v>3.3400000000000003</v>
      </c>
      <c r="Q18" s="469">
        <f t="shared" si="17"/>
        <v>0</v>
      </c>
      <c r="R18" s="460">
        <v>0</v>
      </c>
      <c r="S18" s="673">
        <v>0</v>
      </c>
      <c r="T18" s="460">
        <v>0</v>
      </c>
      <c r="U18" s="460">
        <v>0</v>
      </c>
      <c r="V18" s="460">
        <f>SUM(Q18:U18)</f>
        <v>0</v>
      </c>
      <c r="W18" s="460">
        <v>0</v>
      </c>
      <c r="X18" s="460">
        <v>0</v>
      </c>
      <c r="Y18" s="460">
        <v>0</v>
      </c>
      <c r="Z18" s="460">
        <f t="shared" si="18"/>
        <v>0</v>
      </c>
      <c r="AA18" s="460">
        <f t="shared" si="19"/>
        <v>0</v>
      </c>
      <c r="AB18" s="69">
        <f t="shared" si="20"/>
        <v>0</v>
      </c>
      <c r="AC18" s="69">
        <f t="shared" si="21"/>
        <v>0</v>
      </c>
      <c r="AD18" s="460">
        <v>0</v>
      </c>
      <c r="AE18" s="460">
        <v>0</v>
      </c>
      <c r="AF18" s="460">
        <f t="shared" si="22"/>
        <v>0</v>
      </c>
      <c r="AG18" s="460">
        <f t="shared" si="23"/>
        <v>0</v>
      </c>
      <c r="AH18" s="461">
        <v>0</v>
      </c>
      <c r="AI18" s="461">
        <v>0</v>
      </c>
      <c r="AJ18" s="461">
        <v>0</v>
      </c>
      <c r="AK18" s="461">
        <v>0</v>
      </c>
      <c r="AL18" s="674">
        <v>0</v>
      </c>
      <c r="AM18" s="461">
        <v>0</v>
      </c>
      <c r="AN18" s="461">
        <v>0</v>
      </c>
      <c r="AO18" s="461">
        <v>0</v>
      </c>
      <c r="AP18" s="461">
        <f>AH18+AJ18+AK18+AM18+AN18</f>
        <v>0</v>
      </c>
      <c r="AQ18" s="461">
        <f>AI18+AL18+AO18</f>
        <v>0</v>
      </c>
      <c r="AR18" s="463">
        <f t="shared" si="24"/>
        <v>0</v>
      </c>
      <c r="AS18" s="469">
        <f>I18+AG18</f>
        <v>1406782</v>
      </c>
      <c r="AT18" s="460">
        <f>J18+V18</f>
        <v>1038628</v>
      </c>
      <c r="AU18" s="460">
        <f t="shared" si="25"/>
        <v>0</v>
      </c>
      <c r="AV18" s="460">
        <f t="shared" si="26"/>
        <v>351056</v>
      </c>
      <c r="AW18" s="460">
        <f t="shared" si="26"/>
        <v>10386</v>
      </c>
      <c r="AX18" s="460">
        <f>M18+AF18</f>
        <v>6712</v>
      </c>
      <c r="AY18" s="461">
        <f>N18+AR18</f>
        <v>3.3400000000000003</v>
      </c>
      <c r="AZ18" s="461">
        <f t="shared" si="27"/>
        <v>0</v>
      </c>
      <c r="BA18" s="463">
        <f t="shared" si="27"/>
        <v>3.3400000000000003</v>
      </c>
    </row>
    <row r="19" spans="1:53" ht="12.95" customHeight="1" x14ac:dyDescent="0.25">
      <c r="A19" s="343">
        <v>2</v>
      </c>
      <c r="B19" s="344">
        <v>5451</v>
      </c>
      <c r="C19" s="345">
        <v>600098893</v>
      </c>
      <c r="D19" s="344">
        <v>70939331</v>
      </c>
      <c r="E19" s="346" t="s">
        <v>370</v>
      </c>
      <c r="F19" s="294"/>
      <c r="G19" s="346"/>
      <c r="H19" s="308"/>
      <c r="I19" s="552">
        <f t="shared" ref="I19:P19" si="29">SUM(I16:I18)</f>
        <v>12411717</v>
      </c>
      <c r="J19" s="548">
        <f t="shared" si="29"/>
        <v>9160790</v>
      </c>
      <c r="K19" s="548">
        <f t="shared" si="29"/>
        <v>3096347</v>
      </c>
      <c r="L19" s="548">
        <f t="shared" si="29"/>
        <v>91608</v>
      </c>
      <c r="M19" s="548">
        <f t="shared" si="29"/>
        <v>62972</v>
      </c>
      <c r="N19" s="549">
        <f t="shared" si="29"/>
        <v>20.575799999999997</v>
      </c>
      <c r="O19" s="549">
        <f t="shared" si="29"/>
        <v>13.2258</v>
      </c>
      <c r="P19" s="347">
        <f t="shared" si="29"/>
        <v>7.35</v>
      </c>
      <c r="Q19" s="554">
        <f t="shared" ref="Q19:BA19" si="30">SUM(Q16:Q18)</f>
        <v>-10400</v>
      </c>
      <c r="R19" s="548">
        <f t="shared" si="30"/>
        <v>0</v>
      </c>
      <c r="S19" s="548">
        <f t="shared" si="30"/>
        <v>0</v>
      </c>
      <c r="T19" s="548">
        <f t="shared" si="30"/>
        <v>0</v>
      </c>
      <c r="U19" s="548">
        <f t="shared" si="30"/>
        <v>0</v>
      </c>
      <c r="V19" s="548">
        <f t="shared" si="30"/>
        <v>-10400</v>
      </c>
      <c r="W19" s="548">
        <f t="shared" si="30"/>
        <v>10400</v>
      </c>
      <c r="X19" s="548">
        <f t="shared" si="30"/>
        <v>0</v>
      </c>
      <c r="Y19" s="548">
        <f t="shared" si="30"/>
        <v>0</v>
      </c>
      <c r="Z19" s="548">
        <f t="shared" si="30"/>
        <v>10400</v>
      </c>
      <c r="AA19" s="548">
        <f t="shared" si="30"/>
        <v>0</v>
      </c>
      <c r="AB19" s="548">
        <f t="shared" si="30"/>
        <v>0</v>
      </c>
      <c r="AC19" s="548">
        <f t="shared" si="30"/>
        <v>-104</v>
      </c>
      <c r="AD19" s="548">
        <f t="shared" si="30"/>
        <v>0</v>
      </c>
      <c r="AE19" s="548">
        <f t="shared" si="30"/>
        <v>0</v>
      </c>
      <c r="AF19" s="548">
        <f t="shared" si="30"/>
        <v>0</v>
      </c>
      <c r="AG19" s="548">
        <f t="shared" si="30"/>
        <v>-104</v>
      </c>
      <c r="AH19" s="549">
        <f t="shared" si="30"/>
        <v>0</v>
      </c>
      <c r="AI19" s="549">
        <f t="shared" si="30"/>
        <v>-0.04</v>
      </c>
      <c r="AJ19" s="549">
        <f t="shared" si="30"/>
        <v>0</v>
      </c>
      <c r="AK19" s="549">
        <f t="shared" si="30"/>
        <v>0</v>
      </c>
      <c r="AL19" s="549">
        <f t="shared" si="30"/>
        <v>0</v>
      </c>
      <c r="AM19" s="549">
        <f t="shared" si="30"/>
        <v>0</v>
      </c>
      <c r="AN19" s="549">
        <f t="shared" si="30"/>
        <v>0</v>
      </c>
      <c r="AO19" s="549">
        <f t="shared" si="30"/>
        <v>0</v>
      </c>
      <c r="AP19" s="549">
        <f t="shared" si="30"/>
        <v>0</v>
      </c>
      <c r="AQ19" s="549">
        <f t="shared" si="30"/>
        <v>-0.04</v>
      </c>
      <c r="AR19" s="347">
        <f t="shared" si="30"/>
        <v>-0.04</v>
      </c>
      <c r="AS19" s="554">
        <f t="shared" si="30"/>
        <v>12411613</v>
      </c>
      <c r="AT19" s="548">
        <f t="shared" si="30"/>
        <v>9150390</v>
      </c>
      <c r="AU19" s="548">
        <f t="shared" si="30"/>
        <v>10400</v>
      </c>
      <c r="AV19" s="548">
        <f t="shared" si="30"/>
        <v>3096347</v>
      </c>
      <c r="AW19" s="548">
        <f t="shared" si="30"/>
        <v>91504</v>
      </c>
      <c r="AX19" s="548">
        <f t="shared" si="30"/>
        <v>62972</v>
      </c>
      <c r="AY19" s="549">
        <f t="shared" si="30"/>
        <v>20.535799999999998</v>
      </c>
      <c r="AZ19" s="549">
        <f t="shared" si="30"/>
        <v>13.2258</v>
      </c>
      <c r="BA19" s="347">
        <f t="shared" si="30"/>
        <v>7.3100000000000005</v>
      </c>
    </row>
    <row r="20" spans="1:53" ht="12.95" customHeight="1" x14ac:dyDescent="0.25">
      <c r="A20" s="299">
        <v>3</v>
      </c>
      <c r="B20" s="340">
        <v>5450</v>
      </c>
      <c r="C20" s="341">
        <v>600098834</v>
      </c>
      <c r="D20" s="300">
        <v>70939322</v>
      </c>
      <c r="E20" s="342" t="s">
        <v>814</v>
      </c>
      <c r="F20" s="300">
        <v>3111</v>
      </c>
      <c r="G20" s="342" t="s">
        <v>321</v>
      </c>
      <c r="H20" s="303" t="s">
        <v>277</v>
      </c>
      <c r="I20" s="462">
        <f t="shared" ref="I20:I22" si="31">SUM(J20:M20)</f>
        <v>6963685</v>
      </c>
      <c r="J20" s="457">
        <v>5130998</v>
      </c>
      <c r="K20" s="457">
        <f t="shared" ref="K20:K22" si="32">ROUND(J20*33.8%,0)</f>
        <v>1734277</v>
      </c>
      <c r="L20" s="457">
        <f t="shared" ref="L20:L22" si="33">ROUND(J20*1%,0)</f>
        <v>51310</v>
      </c>
      <c r="M20" s="457">
        <v>47100</v>
      </c>
      <c r="N20" s="458">
        <f t="shared" ref="N20:N22" si="34">O20+P20</f>
        <v>10.690100000000001</v>
      </c>
      <c r="O20" s="459">
        <v>8.2901000000000007</v>
      </c>
      <c r="P20" s="646">
        <v>2.4000000000000004</v>
      </c>
      <c r="Q20" s="469">
        <f t="shared" ref="Q20:Q22" si="35">W20*-1</f>
        <v>-26000</v>
      </c>
      <c r="R20" s="460">
        <v>0</v>
      </c>
      <c r="S20" s="673">
        <v>0</v>
      </c>
      <c r="T20" s="460">
        <v>0</v>
      </c>
      <c r="U20" s="460">
        <v>0</v>
      </c>
      <c r="V20" s="460">
        <f>SUM(Q20:U20)</f>
        <v>-26000</v>
      </c>
      <c r="W20" s="460">
        <v>26000</v>
      </c>
      <c r="X20" s="460">
        <v>0</v>
      </c>
      <c r="Y20" s="460">
        <v>0</v>
      </c>
      <c r="Z20" s="460">
        <f t="shared" ref="Z20:Z22" si="36">SUM(W20:Y20)</f>
        <v>26000</v>
      </c>
      <c r="AA20" s="460">
        <f t="shared" ref="AA20:AA22" si="37">V20+Z20</f>
        <v>0</v>
      </c>
      <c r="AB20" s="69">
        <f t="shared" ref="AB20:AB22" si="38">ROUND((V20+W20+X20)*33.8%,0)</f>
        <v>0</v>
      </c>
      <c r="AC20" s="69">
        <f t="shared" ref="AC20:AC22" si="39">ROUND(V20*1%,0)</f>
        <v>-260</v>
      </c>
      <c r="AD20" s="460">
        <v>0</v>
      </c>
      <c r="AE20" s="460">
        <v>0</v>
      </c>
      <c r="AF20" s="460">
        <f t="shared" ref="AF20:AF22" si="40">SUM(AD20:AE20)</f>
        <v>0</v>
      </c>
      <c r="AG20" s="460">
        <f t="shared" ref="AG20:AG22" si="41">AA20+AB20+AC20+AF20</f>
        <v>-260</v>
      </c>
      <c r="AH20" s="461">
        <v>-0.03</v>
      </c>
      <c r="AI20" s="461">
        <v>0</v>
      </c>
      <c r="AJ20" s="461">
        <v>0</v>
      </c>
      <c r="AK20" s="461">
        <v>0</v>
      </c>
      <c r="AL20" s="674">
        <v>0</v>
      </c>
      <c r="AM20" s="461">
        <v>0</v>
      </c>
      <c r="AN20" s="461">
        <v>0</v>
      </c>
      <c r="AO20" s="461">
        <v>0</v>
      </c>
      <c r="AP20" s="461">
        <f>AH20+AJ20+AK20+AM20+AN20</f>
        <v>-0.03</v>
      </c>
      <c r="AQ20" s="461">
        <f>AI20+AL20+AO20</f>
        <v>0</v>
      </c>
      <c r="AR20" s="463">
        <f t="shared" ref="AR20:AR22" si="42">SUM(AP20:AQ20)</f>
        <v>-0.03</v>
      </c>
      <c r="AS20" s="469">
        <f>I20+AG20</f>
        <v>6963425</v>
      </c>
      <c r="AT20" s="460">
        <f>J20+V20</f>
        <v>5104998</v>
      </c>
      <c r="AU20" s="460">
        <f t="shared" ref="AU20:AU22" si="43">Z20</f>
        <v>26000</v>
      </c>
      <c r="AV20" s="460">
        <f t="shared" ref="AV20:AW22" si="44">K20+AB20</f>
        <v>1734277</v>
      </c>
      <c r="AW20" s="460">
        <f t="shared" si="44"/>
        <v>51050</v>
      </c>
      <c r="AX20" s="460">
        <f>M20+AF20</f>
        <v>47100</v>
      </c>
      <c r="AY20" s="461">
        <f>N20+AR20</f>
        <v>10.660100000000002</v>
      </c>
      <c r="AZ20" s="461">
        <f t="shared" ref="AZ20:BA22" si="45">O20+AP20</f>
        <v>8.2601000000000013</v>
      </c>
      <c r="BA20" s="463">
        <f t="shared" si="45"/>
        <v>2.4000000000000004</v>
      </c>
    </row>
    <row r="21" spans="1:53" ht="12.95" customHeight="1" x14ac:dyDescent="0.25">
      <c r="A21" s="299">
        <v>3</v>
      </c>
      <c r="B21" s="340">
        <v>5450</v>
      </c>
      <c r="C21" s="341">
        <v>600098834</v>
      </c>
      <c r="D21" s="300">
        <v>70939322</v>
      </c>
      <c r="E21" s="342" t="s">
        <v>814</v>
      </c>
      <c r="F21" s="300">
        <v>3111</v>
      </c>
      <c r="G21" s="342" t="s">
        <v>315</v>
      </c>
      <c r="H21" s="303" t="s">
        <v>278</v>
      </c>
      <c r="I21" s="462">
        <f t="shared" si="31"/>
        <v>0</v>
      </c>
      <c r="J21" s="457">
        <v>0</v>
      </c>
      <c r="K21" s="457">
        <f t="shared" si="32"/>
        <v>0</v>
      </c>
      <c r="L21" s="457">
        <f t="shared" si="33"/>
        <v>0</v>
      </c>
      <c r="M21" s="457">
        <v>0</v>
      </c>
      <c r="N21" s="458">
        <f t="shared" si="34"/>
        <v>0</v>
      </c>
      <c r="O21" s="459">
        <v>0</v>
      </c>
      <c r="P21" s="646">
        <v>0</v>
      </c>
      <c r="Q21" s="469">
        <f t="shared" si="35"/>
        <v>0</v>
      </c>
      <c r="R21" s="460">
        <v>134733</v>
      </c>
      <c r="S21" s="673">
        <v>0</v>
      </c>
      <c r="T21" s="460">
        <v>0</v>
      </c>
      <c r="U21" s="460">
        <v>0</v>
      </c>
      <c r="V21" s="460">
        <f>SUM(Q21:U21)</f>
        <v>134733</v>
      </c>
      <c r="W21" s="460">
        <v>0</v>
      </c>
      <c r="X21" s="460">
        <v>0</v>
      </c>
      <c r="Y21" s="460">
        <v>0</v>
      </c>
      <c r="Z21" s="460">
        <f t="shared" si="36"/>
        <v>0</v>
      </c>
      <c r="AA21" s="460">
        <f t="shared" si="37"/>
        <v>134733</v>
      </c>
      <c r="AB21" s="69">
        <f t="shared" si="38"/>
        <v>45540</v>
      </c>
      <c r="AC21" s="69">
        <f t="shared" si="39"/>
        <v>1347</v>
      </c>
      <c r="AD21" s="460">
        <v>0</v>
      </c>
      <c r="AE21" s="460">
        <v>0</v>
      </c>
      <c r="AF21" s="460">
        <f t="shared" si="40"/>
        <v>0</v>
      </c>
      <c r="AG21" s="460">
        <f t="shared" si="41"/>
        <v>181620</v>
      </c>
      <c r="AH21" s="461">
        <v>0</v>
      </c>
      <c r="AI21" s="461">
        <v>0</v>
      </c>
      <c r="AJ21" s="461">
        <v>0.39</v>
      </c>
      <c r="AK21" s="461">
        <v>0</v>
      </c>
      <c r="AL21" s="674">
        <v>0</v>
      </c>
      <c r="AM21" s="461">
        <v>0</v>
      </c>
      <c r="AN21" s="461">
        <v>0</v>
      </c>
      <c r="AO21" s="461">
        <v>0</v>
      </c>
      <c r="AP21" s="461">
        <f>AH21+AJ21+AK21+AM21+AN21</f>
        <v>0.39</v>
      </c>
      <c r="AQ21" s="461">
        <f>AI21+AL21+AO21</f>
        <v>0</v>
      </c>
      <c r="AR21" s="463">
        <f t="shared" si="42"/>
        <v>0.39</v>
      </c>
      <c r="AS21" s="469">
        <f>I21+AG21</f>
        <v>181620</v>
      </c>
      <c r="AT21" s="460">
        <f>J21+V21</f>
        <v>134733</v>
      </c>
      <c r="AU21" s="460">
        <f t="shared" si="43"/>
        <v>0</v>
      </c>
      <c r="AV21" s="460">
        <f t="shared" si="44"/>
        <v>45540</v>
      </c>
      <c r="AW21" s="460">
        <f t="shared" si="44"/>
        <v>1347</v>
      </c>
      <c r="AX21" s="460">
        <f>M21+AF21</f>
        <v>0</v>
      </c>
      <c r="AY21" s="461">
        <f>N21+AR21</f>
        <v>0.39</v>
      </c>
      <c r="AZ21" s="461">
        <f t="shared" si="45"/>
        <v>0.39</v>
      </c>
      <c r="BA21" s="463">
        <f t="shared" si="45"/>
        <v>0</v>
      </c>
    </row>
    <row r="22" spans="1:53" ht="12.95" customHeight="1" x14ac:dyDescent="0.25">
      <c r="A22" s="299">
        <v>3</v>
      </c>
      <c r="B22" s="340">
        <v>5450</v>
      </c>
      <c r="C22" s="341">
        <v>600098834</v>
      </c>
      <c r="D22" s="300">
        <v>70939322</v>
      </c>
      <c r="E22" s="342" t="s">
        <v>814</v>
      </c>
      <c r="F22" s="300">
        <v>3141</v>
      </c>
      <c r="G22" s="342" t="s">
        <v>311</v>
      </c>
      <c r="H22" s="303" t="s">
        <v>278</v>
      </c>
      <c r="I22" s="462">
        <f t="shared" si="31"/>
        <v>930822</v>
      </c>
      <c r="J22" s="457">
        <f>687242</f>
        <v>687242</v>
      </c>
      <c r="K22" s="457">
        <f t="shared" si="32"/>
        <v>232288</v>
      </c>
      <c r="L22" s="457">
        <f t="shared" si="33"/>
        <v>6872</v>
      </c>
      <c r="M22" s="457">
        <v>4420</v>
      </c>
      <c r="N22" s="458">
        <f t="shared" si="34"/>
        <v>2.21</v>
      </c>
      <c r="O22" s="459">
        <v>0</v>
      </c>
      <c r="P22" s="646">
        <v>2.21</v>
      </c>
      <c r="Q22" s="469">
        <f t="shared" si="35"/>
        <v>-6500</v>
      </c>
      <c r="R22" s="460">
        <v>0</v>
      </c>
      <c r="S22" s="673">
        <v>0</v>
      </c>
      <c r="T22" s="460">
        <v>0</v>
      </c>
      <c r="U22" s="460">
        <v>0</v>
      </c>
      <c r="V22" s="460">
        <f>SUM(Q22:U22)</f>
        <v>-6500</v>
      </c>
      <c r="W22" s="460">
        <v>6500</v>
      </c>
      <c r="X22" s="460">
        <v>0</v>
      </c>
      <c r="Y22" s="460">
        <v>0</v>
      </c>
      <c r="Z22" s="460">
        <f t="shared" si="36"/>
        <v>6500</v>
      </c>
      <c r="AA22" s="460">
        <f t="shared" si="37"/>
        <v>0</v>
      </c>
      <c r="AB22" s="69">
        <f t="shared" si="38"/>
        <v>0</v>
      </c>
      <c r="AC22" s="69">
        <f t="shared" si="39"/>
        <v>-65</v>
      </c>
      <c r="AD22" s="460">
        <v>0</v>
      </c>
      <c r="AE22" s="460">
        <v>0</v>
      </c>
      <c r="AF22" s="460">
        <f t="shared" si="40"/>
        <v>0</v>
      </c>
      <c r="AG22" s="460">
        <f t="shared" si="41"/>
        <v>-65</v>
      </c>
      <c r="AH22" s="461">
        <v>0</v>
      </c>
      <c r="AI22" s="461">
        <v>0</v>
      </c>
      <c r="AJ22" s="461">
        <v>0</v>
      </c>
      <c r="AK22" s="461">
        <v>0</v>
      </c>
      <c r="AL22" s="674">
        <v>0</v>
      </c>
      <c r="AM22" s="461">
        <v>0</v>
      </c>
      <c r="AN22" s="461">
        <v>0</v>
      </c>
      <c r="AO22" s="461">
        <v>0</v>
      </c>
      <c r="AP22" s="461">
        <f>AH22+AJ22+AK22+AM22+AN22</f>
        <v>0</v>
      </c>
      <c r="AQ22" s="461">
        <f>AI22+AL22+AO22</f>
        <v>0</v>
      </c>
      <c r="AR22" s="463">
        <f t="shared" si="42"/>
        <v>0</v>
      </c>
      <c r="AS22" s="469">
        <f>I22+AG22</f>
        <v>930757</v>
      </c>
      <c r="AT22" s="460">
        <f>J22+V22</f>
        <v>680742</v>
      </c>
      <c r="AU22" s="460">
        <f t="shared" si="43"/>
        <v>6500</v>
      </c>
      <c r="AV22" s="460">
        <f t="shared" si="44"/>
        <v>232288</v>
      </c>
      <c r="AW22" s="460">
        <f t="shared" si="44"/>
        <v>6807</v>
      </c>
      <c r="AX22" s="460">
        <f>M22+AF22</f>
        <v>4420</v>
      </c>
      <c r="AY22" s="461">
        <f>N22+AR22</f>
        <v>2.21</v>
      </c>
      <c r="AZ22" s="461">
        <f t="shared" si="45"/>
        <v>0</v>
      </c>
      <c r="BA22" s="463">
        <f t="shared" si="45"/>
        <v>2.21</v>
      </c>
    </row>
    <row r="23" spans="1:53" ht="12.95" customHeight="1" x14ac:dyDescent="0.25">
      <c r="A23" s="343">
        <v>3</v>
      </c>
      <c r="B23" s="344">
        <v>5450</v>
      </c>
      <c r="C23" s="345">
        <v>600098834</v>
      </c>
      <c r="D23" s="344">
        <v>70939322</v>
      </c>
      <c r="E23" s="346" t="s">
        <v>371</v>
      </c>
      <c r="F23" s="310"/>
      <c r="G23" s="348"/>
      <c r="H23" s="311"/>
      <c r="I23" s="552">
        <f t="shared" ref="I23:P23" si="46">SUM(I20:I22)</f>
        <v>7894507</v>
      </c>
      <c r="J23" s="548">
        <f t="shared" si="46"/>
        <v>5818240</v>
      </c>
      <c r="K23" s="548">
        <f t="shared" si="46"/>
        <v>1966565</v>
      </c>
      <c r="L23" s="548">
        <f t="shared" si="46"/>
        <v>58182</v>
      </c>
      <c r="M23" s="548">
        <f t="shared" si="46"/>
        <v>51520</v>
      </c>
      <c r="N23" s="549">
        <f t="shared" si="46"/>
        <v>12.900100000000002</v>
      </c>
      <c r="O23" s="549">
        <f t="shared" si="46"/>
        <v>8.2901000000000007</v>
      </c>
      <c r="P23" s="347">
        <f t="shared" si="46"/>
        <v>4.6100000000000003</v>
      </c>
      <c r="Q23" s="554">
        <f t="shared" ref="Q23:BA23" si="47">SUM(Q20:Q22)</f>
        <v>-32500</v>
      </c>
      <c r="R23" s="548">
        <f t="shared" si="47"/>
        <v>134733</v>
      </c>
      <c r="S23" s="548">
        <f t="shared" si="47"/>
        <v>0</v>
      </c>
      <c r="T23" s="548">
        <f t="shared" si="47"/>
        <v>0</v>
      </c>
      <c r="U23" s="548">
        <f t="shared" si="47"/>
        <v>0</v>
      </c>
      <c r="V23" s="548">
        <f t="shared" si="47"/>
        <v>102233</v>
      </c>
      <c r="W23" s="548">
        <f t="shared" si="47"/>
        <v>32500</v>
      </c>
      <c r="X23" s="548">
        <f t="shared" si="47"/>
        <v>0</v>
      </c>
      <c r="Y23" s="548">
        <f t="shared" si="47"/>
        <v>0</v>
      </c>
      <c r="Z23" s="548">
        <f t="shared" si="47"/>
        <v>32500</v>
      </c>
      <c r="AA23" s="548">
        <f t="shared" si="47"/>
        <v>134733</v>
      </c>
      <c r="AB23" s="548">
        <f t="shared" si="47"/>
        <v>45540</v>
      </c>
      <c r="AC23" s="548">
        <f t="shared" si="47"/>
        <v>1022</v>
      </c>
      <c r="AD23" s="548">
        <f t="shared" si="47"/>
        <v>0</v>
      </c>
      <c r="AE23" s="548">
        <f t="shared" si="47"/>
        <v>0</v>
      </c>
      <c r="AF23" s="548">
        <f t="shared" si="47"/>
        <v>0</v>
      </c>
      <c r="AG23" s="548">
        <f t="shared" si="47"/>
        <v>181295</v>
      </c>
      <c r="AH23" s="549">
        <f t="shared" si="47"/>
        <v>-0.03</v>
      </c>
      <c r="AI23" s="549">
        <f t="shared" si="47"/>
        <v>0</v>
      </c>
      <c r="AJ23" s="549">
        <f t="shared" si="47"/>
        <v>0.39</v>
      </c>
      <c r="AK23" s="549">
        <f t="shared" si="47"/>
        <v>0</v>
      </c>
      <c r="AL23" s="549">
        <f t="shared" si="47"/>
        <v>0</v>
      </c>
      <c r="AM23" s="549">
        <f t="shared" si="47"/>
        <v>0</v>
      </c>
      <c r="AN23" s="549">
        <f t="shared" si="47"/>
        <v>0</v>
      </c>
      <c r="AO23" s="549">
        <f t="shared" si="47"/>
        <v>0</v>
      </c>
      <c r="AP23" s="549">
        <f t="shared" si="47"/>
        <v>0.36</v>
      </c>
      <c r="AQ23" s="549">
        <f t="shared" si="47"/>
        <v>0</v>
      </c>
      <c r="AR23" s="347">
        <f t="shared" si="47"/>
        <v>0.36</v>
      </c>
      <c r="AS23" s="554">
        <f t="shared" si="47"/>
        <v>8075802</v>
      </c>
      <c r="AT23" s="548">
        <f t="shared" si="47"/>
        <v>5920473</v>
      </c>
      <c r="AU23" s="548">
        <f t="shared" si="47"/>
        <v>32500</v>
      </c>
      <c r="AV23" s="548">
        <f t="shared" si="47"/>
        <v>2012105</v>
      </c>
      <c r="AW23" s="548">
        <f t="shared" si="47"/>
        <v>59204</v>
      </c>
      <c r="AX23" s="548">
        <f t="shared" si="47"/>
        <v>51520</v>
      </c>
      <c r="AY23" s="549">
        <f t="shared" si="47"/>
        <v>13.260100000000001</v>
      </c>
      <c r="AZ23" s="549">
        <f t="shared" si="47"/>
        <v>8.6501000000000019</v>
      </c>
      <c r="BA23" s="347">
        <f t="shared" si="47"/>
        <v>4.6100000000000003</v>
      </c>
    </row>
    <row r="24" spans="1:53" ht="12.95" customHeight="1" x14ac:dyDescent="0.25">
      <c r="A24" s="299">
        <v>4</v>
      </c>
      <c r="B24" s="340">
        <v>5447</v>
      </c>
      <c r="C24" s="349">
        <v>600099512</v>
      </c>
      <c r="D24" s="300">
        <v>854816</v>
      </c>
      <c r="E24" s="342" t="s">
        <v>372</v>
      </c>
      <c r="F24" s="300">
        <v>3233</v>
      </c>
      <c r="G24" s="342" t="s">
        <v>314</v>
      </c>
      <c r="H24" s="303" t="s">
        <v>278</v>
      </c>
      <c r="I24" s="462">
        <f t="shared" ref="I24" si="48">SUM(J24:M24)</f>
        <v>2805952</v>
      </c>
      <c r="J24" s="457">
        <v>2078846</v>
      </c>
      <c r="K24" s="457">
        <f t="shared" ref="K24" si="49">ROUND(J24*33.8%,0)</f>
        <v>702650</v>
      </c>
      <c r="L24" s="457">
        <f>ROUND(J24*1%,0)</f>
        <v>20788</v>
      </c>
      <c r="M24" s="457">
        <v>3668</v>
      </c>
      <c r="N24" s="458">
        <f t="shared" ref="N24" si="50">O24+P24</f>
        <v>4.7300000000000004</v>
      </c>
      <c r="O24" s="459">
        <v>2.95</v>
      </c>
      <c r="P24" s="646">
        <v>1.78</v>
      </c>
      <c r="Q24" s="469">
        <f t="shared" ref="Q24" si="51">W24*-1</f>
        <v>-13000</v>
      </c>
      <c r="R24" s="460">
        <v>0</v>
      </c>
      <c r="S24" s="673">
        <v>0</v>
      </c>
      <c r="T24" s="460">
        <v>0</v>
      </c>
      <c r="U24" s="460">
        <v>0</v>
      </c>
      <c r="V24" s="460">
        <f>SUM(Q24:U24)</f>
        <v>-13000</v>
      </c>
      <c r="W24" s="460">
        <v>13000</v>
      </c>
      <c r="X24" s="460">
        <v>0</v>
      </c>
      <c r="Y24" s="460">
        <v>0</v>
      </c>
      <c r="Z24" s="460">
        <f t="shared" ref="Z24" si="52">SUM(W24:Y24)</f>
        <v>13000</v>
      </c>
      <c r="AA24" s="460">
        <f t="shared" ref="AA24" si="53">V24+Z24</f>
        <v>0</v>
      </c>
      <c r="AB24" s="69">
        <f t="shared" ref="AB24" si="54">ROUND((V24+W24+X24)*33.8%,0)</f>
        <v>0</v>
      </c>
      <c r="AC24" s="69">
        <f>ROUND(V24*1%,0)</f>
        <v>-130</v>
      </c>
      <c r="AD24" s="460">
        <v>0</v>
      </c>
      <c r="AE24" s="460">
        <v>0</v>
      </c>
      <c r="AF24" s="460">
        <f t="shared" ref="AF24" si="55">SUM(AD24:AE24)</f>
        <v>0</v>
      </c>
      <c r="AG24" s="460">
        <f t="shared" ref="AG24" si="56">AA24+AB24+AC24+AF24</f>
        <v>-130</v>
      </c>
      <c r="AH24" s="461">
        <v>-0.02</v>
      </c>
      <c r="AI24" s="461">
        <v>-0.01</v>
      </c>
      <c r="AJ24" s="461">
        <v>0</v>
      </c>
      <c r="AK24" s="461">
        <v>0</v>
      </c>
      <c r="AL24" s="674">
        <v>0</v>
      </c>
      <c r="AM24" s="461">
        <v>0</v>
      </c>
      <c r="AN24" s="461">
        <v>0</v>
      </c>
      <c r="AO24" s="461">
        <v>0</v>
      </c>
      <c r="AP24" s="461">
        <f>AH24+AJ24+AK24+AM24+AN24</f>
        <v>-0.02</v>
      </c>
      <c r="AQ24" s="461">
        <f>AI24+AL24+AO24</f>
        <v>-0.01</v>
      </c>
      <c r="AR24" s="463">
        <f t="shared" ref="AR24" si="57">SUM(AP24:AQ24)</f>
        <v>-0.03</v>
      </c>
      <c r="AS24" s="469">
        <f>I24+AG24</f>
        <v>2805822</v>
      </c>
      <c r="AT24" s="460">
        <f>J24+V24</f>
        <v>2065846</v>
      </c>
      <c r="AU24" s="460">
        <f>Z24</f>
        <v>13000</v>
      </c>
      <c r="AV24" s="460">
        <f>K24+AB24</f>
        <v>702650</v>
      </c>
      <c r="AW24" s="460">
        <f>L24+AC24</f>
        <v>20658</v>
      </c>
      <c r="AX24" s="460">
        <f>M24+AF24</f>
        <v>3668</v>
      </c>
      <c r="AY24" s="461">
        <f>N24+AR24</f>
        <v>4.7</v>
      </c>
      <c r="AZ24" s="461">
        <f>O24+AP24</f>
        <v>2.93</v>
      </c>
      <c r="BA24" s="463">
        <f>P24+AQ24</f>
        <v>1.77</v>
      </c>
    </row>
    <row r="25" spans="1:53" ht="12.95" customHeight="1" x14ac:dyDescent="0.25">
      <c r="A25" s="343">
        <v>4</v>
      </c>
      <c r="B25" s="344">
        <v>5447</v>
      </c>
      <c r="C25" s="345">
        <v>600099512</v>
      </c>
      <c r="D25" s="344">
        <v>854816</v>
      </c>
      <c r="E25" s="346" t="s">
        <v>373</v>
      </c>
      <c r="F25" s="310"/>
      <c r="G25" s="348"/>
      <c r="H25" s="311"/>
      <c r="I25" s="552">
        <f t="shared" ref="I25:BA25" si="58">SUM(I24)</f>
        <v>2805952</v>
      </c>
      <c r="J25" s="548">
        <f t="shared" si="58"/>
        <v>2078846</v>
      </c>
      <c r="K25" s="548">
        <f t="shared" si="58"/>
        <v>702650</v>
      </c>
      <c r="L25" s="548">
        <f t="shared" si="58"/>
        <v>20788</v>
      </c>
      <c r="M25" s="548">
        <f t="shared" si="58"/>
        <v>3668</v>
      </c>
      <c r="N25" s="549">
        <f t="shared" si="58"/>
        <v>4.7300000000000004</v>
      </c>
      <c r="O25" s="549">
        <f t="shared" si="58"/>
        <v>2.95</v>
      </c>
      <c r="P25" s="347">
        <f t="shared" si="58"/>
        <v>1.78</v>
      </c>
      <c r="Q25" s="554">
        <f t="shared" si="58"/>
        <v>-13000</v>
      </c>
      <c r="R25" s="548">
        <f t="shared" si="58"/>
        <v>0</v>
      </c>
      <c r="S25" s="548">
        <f t="shared" si="58"/>
        <v>0</v>
      </c>
      <c r="T25" s="548">
        <f t="shared" si="58"/>
        <v>0</v>
      </c>
      <c r="U25" s="548">
        <f t="shared" si="58"/>
        <v>0</v>
      </c>
      <c r="V25" s="548">
        <f t="shared" si="58"/>
        <v>-13000</v>
      </c>
      <c r="W25" s="548">
        <f t="shared" si="58"/>
        <v>13000</v>
      </c>
      <c r="X25" s="548">
        <f t="shared" si="58"/>
        <v>0</v>
      </c>
      <c r="Y25" s="548">
        <f t="shared" si="58"/>
        <v>0</v>
      </c>
      <c r="Z25" s="548">
        <f t="shared" si="58"/>
        <v>13000</v>
      </c>
      <c r="AA25" s="548">
        <f t="shared" si="58"/>
        <v>0</v>
      </c>
      <c r="AB25" s="548">
        <f t="shared" si="58"/>
        <v>0</v>
      </c>
      <c r="AC25" s="548">
        <f t="shared" si="58"/>
        <v>-130</v>
      </c>
      <c r="AD25" s="548">
        <f t="shared" si="58"/>
        <v>0</v>
      </c>
      <c r="AE25" s="548">
        <f t="shared" si="58"/>
        <v>0</v>
      </c>
      <c r="AF25" s="548">
        <f t="shared" si="58"/>
        <v>0</v>
      </c>
      <c r="AG25" s="548">
        <f t="shared" si="58"/>
        <v>-130</v>
      </c>
      <c r="AH25" s="549">
        <f t="shared" si="58"/>
        <v>-0.02</v>
      </c>
      <c r="AI25" s="549">
        <f t="shared" si="58"/>
        <v>-0.01</v>
      </c>
      <c r="AJ25" s="549">
        <f t="shared" si="58"/>
        <v>0</v>
      </c>
      <c r="AK25" s="549">
        <f t="shared" si="58"/>
        <v>0</v>
      </c>
      <c r="AL25" s="549">
        <f t="shared" si="58"/>
        <v>0</v>
      </c>
      <c r="AM25" s="549">
        <f t="shared" si="58"/>
        <v>0</v>
      </c>
      <c r="AN25" s="549">
        <f t="shared" si="58"/>
        <v>0</v>
      </c>
      <c r="AO25" s="549">
        <f t="shared" si="58"/>
        <v>0</v>
      </c>
      <c r="AP25" s="549">
        <f t="shared" si="58"/>
        <v>-0.02</v>
      </c>
      <c r="AQ25" s="549">
        <f t="shared" si="58"/>
        <v>-0.01</v>
      </c>
      <c r="AR25" s="347">
        <f t="shared" si="58"/>
        <v>-0.03</v>
      </c>
      <c r="AS25" s="554">
        <f t="shared" si="58"/>
        <v>2805822</v>
      </c>
      <c r="AT25" s="548">
        <f t="shared" si="58"/>
        <v>2065846</v>
      </c>
      <c r="AU25" s="548">
        <f t="shared" si="58"/>
        <v>13000</v>
      </c>
      <c r="AV25" s="548">
        <f t="shared" si="58"/>
        <v>702650</v>
      </c>
      <c r="AW25" s="548">
        <f t="shared" si="58"/>
        <v>20658</v>
      </c>
      <c r="AX25" s="548">
        <f t="shared" si="58"/>
        <v>3668</v>
      </c>
      <c r="AY25" s="549">
        <f t="shared" si="58"/>
        <v>4.7</v>
      </c>
      <c r="AZ25" s="549">
        <f t="shared" si="58"/>
        <v>2.93</v>
      </c>
      <c r="BA25" s="347">
        <f t="shared" si="58"/>
        <v>1.77</v>
      </c>
    </row>
    <row r="26" spans="1:53" ht="12.95" customHeight="1" x14ac:dyDescent="0.25">
      <c r="A26" s="299">
        <v>5</v>
      </c>
      <c r="B26" s="340">
        <v>5444</v>
      </c>
      <c r="C26" s="341">
        <v>600099296</v>
      </c>
      <c r="D26" s="300">
        <v>854824</v>
      </c>
      <c r="E26" s="342" t="s">
        <v>374</v>
      </c>
      <c r="F26" s="300">
        <v>3113</v>
      </c>
      <c r="G26" s="342" t="s">
        <v>325</v>
      </c>
      <c r="H26" s="303" t="s">
        <v>277</v>
      </c>
      <c r="I26" s="462">
        <f t="shared" ref="I26:I31" si="59">SUM(J26:M26)</f>
        <v>16150358</v>
      </c>
      <c r="J26" s="457">
        <v>11752135</v>
      </c>
      <c r="K26" s="457">
        <f t="shared" ref="K26:K31" si="60">ROUND(J26*33.8%,0)</f>
        <v>3972222</v>
      </c>
      <c r="L26" s="457">
        <f t="shared" ref="L26:L31" si="61">ROUND(J26*1%,0)</f>
        <v>117521</v>
      </c>
      <c r="M26" s="457">
        <v>308480</v>
      </c>
      <c r="N26" s="458">
        <f t="shared" ref="N26:N31" si="62">O26+P26</f>
        <v>20.598099999999999</v>
      </c>
      <c r="O26" s="459">
        <v>15.238099999999999</v>
      </c>
      <c r="P26" s="646">
        <v>5.3599999999999994</v>
      </c>
      <c r="Q26" s="469">
        <f t="shared" ref="Q26:Q31" si="63">W26*-1</f>
        <v>-84500</v>
      </c>
      <c r="R26" s="460">
        <v>0</v>
      </c>
      <c r="S26" s="673">
        <v>0</v>
      </c>
      <c r="T26" s="460">
        <v>0</v>
      </c>
      <c r="U26" s="460">
        <v>0</v>
      </c>
      <c r="V26" s="460">
        <f t="shared" ref="V26:V31" si="64">SUM(Q26:U26)</f>
        <v>-84500</v>
      </c>
      <c r="W26" s="460">
        <v>84500</v>
      </c>
      <c r="X26" s="460">
        <v>0</v>
      </c>
      <c r="Y26" s="460">
        <v>0</v>
      </c>
      <c r="Z26" s="460">
        <f t="shared" ref="Z26:Z31" si="65">SUM(W26:Y26)</f>
        <v>84500</v>
      </c>
      <c r="AA26" s="460">
        <f t="shared" ref="AA26:AA31" si="66">V26+Z26</f>
        <v>0</v>
      </c>
      <c r="AB26" s="69">
        <f t="shared" ref="AB26:AB31" si="67">ROUND((V26+W26+X26)*33.8%,0)</f>
        <v>0</v>
      </c>
      <c r="AC26" s="69">
        <f t="shared" ref="AC26:AC31" si="68">ROUND(V26*1%,0)</f>
        <v>-845</v>
      </c>
      <c r="AD26" s="460">
        <v>0</v>
      </c>
      <c r="AE26" s="460">
        <v>0</v>
      </c>
      <c r="AF26" s="460">
        <f t="shared" ref="AF26:AF31" si="69">SUM(AD26:AE26)</f>
        <v>0</v>
      </c>
      <c r="AG26" s="460">
        <f t="shared" ref="AG26:AG31" si="70">AA26+AB26+AC26+AF26</f>
        <v>-845</v>
      </c>
      <c r="AH26" s="461">
        <v>-0.05</v>
      </c>
      <c r="AI26" s="461">
        <v>-0.06</v>
      </c>
      <c r="AJ26" s="461">
        <v>0</v>
      </c>
      <c r="AK26" s="461">
        <v>0</v>
      </c>
      <c r="AL26" s="674">
        <v>0</v>
      </c>
      <c r="AM26" s="461">
        <v>0</v>
      </c>
      <c r="AN26" s="461">
        <v>0</v>
      </c>
      <c r="AO26" s="461">
        <v>0</v>
      </c>
      <c r="AP26" s="461">
        <f t="shared" ref="AP26:AP31" si="71">AH26+AJ26+AK26+AM26+AN26</f>
        <v>-0.05</v>
      </c>
      <c r="AQ26" s="461">
        <f t="shared" ref="AQ26:AQ31" si="72">AI26+AL26+AO26</f>
        <v>-0.06</v>
      </c>
      <c r="AR26" s="463">
        <f t="shared" ref="AR26:AR31" si="73">SUM(AP26:AQ26)</f>
        <v>-0.11</v>
      </c>
      <c r="AS26" s="469">
        <f t="shared" ref="AS26:AS31" si="74">I26+AG26</f>
        <v>16149513</v>
      </c>
      <c r="AT26" s="460">
        <f t="shared" ref="AT26:AT31" si="75">J26+V26</f>
        <v>11667635</v>
      </c>
      <c r="AU26" s="460">
        <f t="shared" ref="AU26:AU31" si="76">Z26</f>
        <v>84500</v>
      </c>
      <c r="AV26" s="460">
        <f t="shared" ref="AV26:AW31" si="77">K26+AB26</f>
        <v>3972222</v>
      </c>
      <c r="AW26" s="460">
        <f t="shared" si="77"/>
        <v>116676</v>
      </c>
      <c r="AX26" s="460">
        <f t="shared" ref="AX26:AX31" si="78">M26+AF26</f>
        <v>308480</v>
      </c>
      <c r="AY26" s="461">
        <f t="shared" ref="AY26:AY31" si="79">N26+AR26</f>
        <v>20.488099999999999</v>
      </c>
      <c r="AZ26" s="461">
        <f t="shared" ref="AZ26:BA31" si="80">O26+AP26</f>
        <v>15.188099999999999</v>
      </c>
      <c r="BA26" s="463">
        <f t="shared" si="80"/>
        <v>5.3</v>
      </c>
    </row>
    <row r="27" spans="1:53" ht="12.95" customHeight="1" x14ac:dyDescent="0.25">
      <c r="A27" s="299">
        <v>5</v>
      </c>
      <c r="B27" s="340">
        <v>5444</v>
      </c>
      <c r="C27" s="341">
        <v>600099296</v>
      </c>
      <c r="D27" s="300">
        <v>854824</v>
      </c>
      <c r="E27" s="342" t="s">
        <v>374</v>
      </c>
      <c r="F27" s="300">
        <v>3113</v>
      </c>
      <c r="G27" s="342" t="s">
        <v>315</v>
      </c>
      <c r="H27" s="303" t="s">
        <v>278</v>
      </c>
      <c r="I27" s="462">
        <f t="shared" si="59"/>
        <v>0</v>
      </c>
      <c r="J27" s="457">
        <v>0</v>
      </c>
      <c r="K27" s="457">
        <f t="shared" si="60"/>
        <v>0</v>
      </c>
      <c r="L27" s="457">
        <f t="shared" si="61"/>
        <v>0</v>
      </c>
      <c r="M27" s="457">
        <v>0</v>
      </c>
      <c r="N27" s="458">
        <f t="shared" si="62"/>
        <v>0</v>
      </c>
      <c r="O27" s="459">
        <v>0</v>
      </c>
      <c r="P27" s="646">
        <v>0</v>
      </c>
      <c r="Q27" s="469">
        <f t="shared" si="63"/>
        <v>0</v>
      </c>
      <c r="R27" s="460">
        <f>660589-19280</f>
        <v>641309</v>
      </c>
      <c r="S27" s="673">
        <v>0</v>
      </c>
      <c r="T27" s="460">
        <v>0</v>
      </c>
      <c r="U27" s="460">
        <v>0</v>
      </c>
      <c r="V27" s="460">
        <f t="shared" si="64"/>
        <v>641309</v>
      </c>
      <c r="W27" s="460">
        <v>0</v>
      </c>
      <c r="X27" s="460">
        <v>0</v>
      </c>
      <c r="Y27" s="460">
        <v>0</v>
      </c>
      <c r="Z27" s="460">
        <f t="shared" si="65"/>
        <v>0</v>
      </c>
      <c r="AA27" s="460">
        <f t="shared" si="66"/>
        <v>641309</v>
      </c>
      <c r="AB27" s="69">
        <f t="shared" si="67"/>
        <v>216762</v>
      </c>
      <c r="AC27" s="69">
        <f t="shared" si="68"/>
        <v>6413</v>
      </c>
      <c r="AD27" s="460">
        <v>0</v>
      </c>
      <c r="AE27" s="460">
        <v>0</v>
      </c>
      <c r="AF27" s="460">
        <f t="shared" si="69"/>
        <v>0</v>
      </c>
      <c r="AG27" s="460">
        <f t="shared" si="70"/>
        <v>864484</v>
      </c>
      <c r="AH27" s="461">
        <v>0</v>
      </c>
      <c r="AI27" s="461">
        <v>0</v>
      </c>
      <c r="AJ27" s="461">
        <f>1.59-0.04</f>
        <v>1.55</v>
      </c>
      <c r="AK27" s="461">
        <v>0</v>
      </c>
      <c r="AL27" s="674">
        <v>0</v>
      </c>
      <c r="AM27" s="461">
        <v>0</v>
      </c>
      <c r="AN27" s="461">
        <v>0</v>
      </c>
      <c r="AO27" s="461">
        <v>0</v>
      </c>
      <c r="AP27" s="461">
        <f t="shared" si="71"/>
        <v>1.55</v>
      </c>
      <c r="AQ27" s="461">
        <f t="shared" si="72"/>
        <v>0</v>
      </c>
      <c r="AR27" s="463">
        <f t="shared" si="73"/>
        <v>1.55</v>
      </c>
      <c r="AS27" s="469">
        <f t="shared" si="74"/>
        <v>864484</v>
      </c>
      <c r="AT27" s="460">
        <f t="shared" si="75"/>
        <v>641309</v>
      </c>
      <c r="AU27" s="460">
        <f t="shared" si="76"/>
        <v>0</v>
      </c>
      <c r="AV27" s="460">
        <f t="shared" si="77"/>
        <v>216762</v>
      </c>
      <c r="AW27" s="460">
        <f t="shared" si="77"/>
        <v>6413</v>
      </c>
      <c r="AX27" s="460">
        <f t="shared" si="78"/>
        <v>0</v>
      </c>
      <c r="AY27" s="461">
        <f t="shared" si="79"/>
        <v>1.55</v>
      </c>
      <c r="AZ27" s="461">
        <f t="shared" si="80"/>
        <v>1.55</v>
      </c>
      <c r="BA27" s="463">
        <f t="shared" si="80"/>
        <v>0</v>
      </c>
    </row>
    <row r="28" spans="1:53" ht="12.95" customHeight="1" x14ac:dyDescent="0.25">
      <c r="A28" s="299">
        <v>5</v>
      </c>
      <c r="B28" s="340">
        <v>5444</v>
      </c>
      <c r="C28" s="341">
        <v>600099296</v>
      </c>
      <c r="D28" s="300">
        <v>854824</v>
      </c>
      <c r="E28" s="342" t="s">
        <v>374</v>
      </c>
      <c r="F28" s="300">
        <v>3122</v>
      </c>
      <c r="G28" s="342" t="s">
        <v>316</v>
      </c>
      <c r="H28" s="303" t="s">
        <v>277</v>
      </c>
      <c r="I28" s="462">
        <f t="shared" si="59"/>
        <v>9424830</v>
      </c>
      <c r="J28" s="457">
        <v>6926172</v>
      </c>
      <c r="K28" s="457">
        <f t="shared" si="60"/>
        <v>2341046</v>
      </c>
      <c r="L28" s="457">
        <f t="shared" si="61"/>
        <v>69262</v>
      </c>
      <c r="M28" s="457">
        <v>88350</v>
      </c>
      <c r="N28" s="458">
        <f t="shared" si="62"/>
        <v>10.754200000000001</v>
      </c>
      <c r="O28" s="459">
        <v>9.7141999999999999</v>
      </c>
      <c r="P28" s="717">
        <v>1.04</v>
      </c>
      <c r="Q28" s="469">
        <f t="shared" si="63"/>
        <v>-39000</v>
      </c>
      <c r="R28" s="460">
        <v>0</v>
      </c>
      <c r="S28" s="673">
        <v>0</v>
      </c>
      <c r="T28" s="460">
        <v>0</v>
      </c>
      <c r="U28" s="460">
        <v>0</v>
      </c>
      <c r="V28" s="460">
        <f t="shared" si="64"/>
        <v>-39000</v>
      </c>
      <c r="W28" s="460">
        <v>39000</v>
      </c>
      <c r="X28" s="460">
        <v>125800</v>
      </c>
      <c r="Y28" s="460">
        <v>0</v>
      </c>
      <c r="Z28" s="460">
        <f t="shared" si="65"/>
        <v>164800</v>
      </c>
      <c r="AA28" s="460">
        <f t="shared" si="66"/>
        <v>125800</v>
      </c>
      <c r="AB28" s="69">
        <f t="shared" si="67"/>
        <v>42520</v>
      </c>
      <c r="AC28" s="69">
        <f t="shared" si="68"/>
        <v>-390</v>
      </c>
      <c r="AD28" s="460">
        <v>0</v>
      </c>
      <c r="AE28" s="460">
        <v>0</v>
      </c>
      <c r="AF28" s="460">
        <f t="shared" si="69"/>
        <v>0</v>
      </c>
      <c r="AG28" s="460">
        <f t="shared" si="70"/>
        <v>167930</v>
      </c>
      <c r="AH28" s="461">
        <v>-0.03</v>
      </c>
      <c r="AI28" s="461">
        <v>0</v>
      </c>
      <c r="AJ28" s="461">
        <v>0</v>
      </c>
      <c r="AK28" s="461">
        <v>0</v>
      </c>
      <c r="AL28" s="674">
        <v>0</v>
      </c>
      <c r="AM28" s="461">
        <v>0</v>
      </c>
      <c r="AN28" s="461">
        <v>0</v>
      </c>
      <c r="AO28" s="461">
        <v>0</v>
      </c>
      <c r="AP28" s="461">
        <f t="shared" si="71"/>
        <v>-0.03</v>
      </c>
      <c r="AQ28" s="461">
        <f t="shared" si="72"/>
        <v>0</v>
      </c>
      <c r="AR28" s="463">
        <f t="shared" si="73"/>
        <v>-0.03</v>
      </c>
      <c r="AS28" s="469">
        <f t="shared" si="74"/>
        <v>9592760</v>
      </c>
      <c r="AT28" s="460">
        <f t="shared" si="75"/>
        <v>6887172</v>
      </c>
      <c r="AU28" s="460">
        <f t="shared" si="76"/>
        <v>164800</v>
      </c>
      <c r="AV28" s="460">
        <f t="shared" si="77"/>
        <v>2383566</v>
      </c>
      <c r="AW28" s="460">
        <f t="shared" si="77"/>
        <v>68872</v>
      </c>
      <c r="AX28" s="460">
        <f t="shared" si="78"/>
        <v>88350</v>
      </c>
      <c r="AY28" s="461">
        <f t="shared" si="79"/>
        <v>10.724200000000002</v>
      </c>
      <c r="AZ28" s="461">
        <f t="shared" si="80"/>
        <v>9.6842000000000006</v>
      </c>
      <c r="BA28" s="463">
        <f t="shared" si="80"/>
        <v>1.04</v>
      </c>
    </row>
    <row r="29" spans="1:53" ht="12.95" customHeight="1" x14ac:dyDescent="0.25">
      <c r="A29" s="299">
        <v>5</v>
      </c>
      <c r="B29" s="340">
        <v>5444</v>
      </c>
      <c r="C29" s="341">
        <v>600099296</v>
      </c>
      <c r="D29" s="300">
        <v>854824</v>
      </c>
      <c r="E29" s="342" t="s">
        <v>374</v>
      </c>
      <c r="F29" s="300">
        <v>3141</v>
      </c>
      <c r="G29" s="342" t="s">
        <v>311</v>
      </c>
      <c r="H29" s="303" t="s">
        <v>278</v>
      </c>
      <c r="I29" s="462">
        <f t="shared" si="59"/>
        <v>599551</v>
      </c>
      <c r="J29" s="457">
        <v>439449</v>
      </c>
      <c r="K29" s="457">
        <f t="shared" si="60"/>
        <v>148534</v>
      </c>
      <c r="L29" s="457">
        <f t="shared" si="61"/>
        <v>4394</v>
      </c>
      <c r="M29" s="457">
        <v>7174</v>
      </c>
      <c r="N29" s="458">
        <f t="shared" si="62"/>
        <v>1.41</v>
      </c>
      <c r="O29" s="459">
        <v>0</v>
      </c>
      <c r="P29" s="646">
        <v>1.41</v>
      </c>
      <c r="Q29" s="469">
        <f t="shared" si="63"/>
        <v>0</v>
      </c>
      <c r="R29" s="460">
        <v>0</v>
      </c>
      <c r="S29" s="673">
        <v>0</v>
      </c>
      <c r="T29" s="460">
        <v>0</v>
      </c>
      <c r="U29" s="460">
        <v>0</v>
      </c>
      <c r="V29" s="460">
        <f t="shared" si="64"/>
        <v>0</v>
      </c>
      <c r="W29" s="460">
        <v>0</v>
      </c>
      <c r="X29" s="460">
        <v>0</v>
      </c>
      <c r="Y29" s="460">
        <v>0</v>
      </c>
      <c r="Z29" s="460">
        <f t="shared" si="65"/>
        <v>0</v>
      </c>
      <c r="AA29" s="460">
        <f t="shared" si="66"/>
        <v>0</v>
      </c>
      <c r="AB29" s="69">
        <f t="shared" si="67"/>
        <v>0</v>
      </c>
      <c r="AC29" s="69">
        <f t="shared" si="68"/>
        <v>0</v>
      </c>
      <c r="AD29" s="460">
        <v>0</v>
      </c>
      <c r="AE29" s="460">
        <v>0</v>
      </c>
      <c r="AF29" s="460">
        <f t="shared" si="69"/>
        <v>0</v>
      </c>
      <c r="AG29" s="460">
        <f t="shared" si="70"/>
        <v>0</v>
      </c>
      <c r="AH29" s="461">
        <v>0</v>
      </c>
      <c r="AI29" s="461">
        <v>0</v>
      </c>
      <c r="AJ29" s="461">
        <v>0</v>
      </c>
      <c r="AK29" s="461">
        <v>0</v>
      </c>
      <c r="AL29" s="674">
        <v>0</v>
      </c>
      <c r="AM29" s="461">
        <v>0</v>
      </c>
      <c r="AN29" s="461">
        <v>0</v>
      </c>
      <c r="AO29" s="461">
        <v>0</v>
      </c>
      <c r="AP29" s="461">
        <f t="shared" si="71"/>
        <v>0</v>
      </c>
      <c r="AQ29" s="461">
        <f t="shared" si="72"/>
        <v>0</v>
      </c>
      <c r="AR29" s="463">
        <f t="shared" si="73"/>
        <v>0</v>
      </c>
      <c r="AS29" s="469">
        <f t="shared" si="74"/>
        <v>599551</v>
      </c>
      <c r="AT29" s="460">
        <f t="shared" si="75"/>
        <v>439449</v>
      </c>
      <c r="AU29" s="460">
        <f t="shared" si="76"/>
        <v>0</v>
      </c>
      <c r="AV29" s="460">
        <f t="shared" si="77"/>
        <v>148534</v>
      </c>
      <c r="AW29" s="460">
        <f t="shared" si="77"/>
        <v>4394</v>
      </c>
      <c r="AX29" s="460">
        <f t="shared" si="78"/>
        <v>7174</v>
      </c>
      <c r="AY29" s="461">
        <f t="shared" si="79"/>
        <v>1.41</v>
      </c>
      <c r="AZ29" s="461">
        <f t="shared" si="80"/>
        <v>0</v>
      </c>
      <c r="BA29" s="463">
        <f t="shared" si="80"/>
        <v>1.41</v>
      </c>
    </row>
    <row r="30" spans="1:53" ht="12.95" customHeight="1" x14ac:dyDescent="0.25">
      <c r="A30" s="299">
        <v>5</v>
      </c>
      <c r="B30" s="340">
        <v>5444</v>
      </c>
      <c r="C30" s="341">
        <v>600099296</v>
      </c>
      <c r="D30" s="300">
        <v>854824</v>
      </c>
      <c r="E30" s="342" t="s">
        <v>374</v>
      </c>
      <c r="F30" s="300">
        <v>3143</v>
      </c>
      <c r="G30" s="342" t="s">
        <v>616</v>
      </c>
      <c r="H30" s="303" t="s">
        <v>277</v>
      </c>
      <c r="I30" s="462">
        <f t="shared" si="59"/>
        <v>1698224</v>
      </c>
      <c r="J30" s="457">
        <v>1259810</v>
      </c>
      <c r="K30" s="457">
        <f t="shared" si="60"/>
        <v>425816</v>
      </c>
      <c r="L30" s="457">
        <f t="shared" si="61"/>
        <v>12598</v>
      </c>
      <c r="M30" s="457">
        <v>0</v>
      </c>
      <c r="N30" s="458">
        <f t="shared" si="62"/>
        <v>2.7241</v>
      </c>
      <c r="O30" s="459">
        <v>2.7241</v>
      </c>
      <c r="P30" s="646">
        <v>0</v>
      </c>
      <c r="Q30" s="469">
        <f t="shared" si="63"/>
        <v>-26000</v>
      </c>
      <c r="R30" s="460">
        <v>0</v>
      </c>
      <c r="S30" s="673">
        <v>0</v>
      </c>
      <c r="T30" s="460">
        <v>0</v>
      </c>
      <c r="U30" s="460">
        <v>0</v>
      </c>
      <c r="V30" s="460">
        <f t="shared" si="64"/>
        <v>-26000</v>
      </c>
      <c r="W30" s="460">
        <v>26000</v>
      </c>
      <c r="X30" s="460">
        <v>0</v>
      </c>
      <c r="Y30" s="460">
        <v>0</v>
      </c>
      <c r="Z30" s="460">
        <f t="shared" si="65"/>
        <v>26000</v>
      </c>
      <c r="AA30" s="460">
        <f t="shared" si="66"/>
        <v>0</v>
      </c>
      <c r="AB30" s="69">
        <f t="shared" si="67"/>
        <v>0</v>
      </c>
      <c r="AC30" s="69">
        <f t="shared" si="68"/>
        <v>-260</v>
      </c>
      <c r="AD30" s="460">
        <v>0</v>
      </c>
      <c r="AE30" s="460">
        <v>0</v>
      </c>
      <c r="AF30" s="460">
        <f t="shared" si="69"/>
        <v>0</v>
      </c>
      <c r="AG30" s="460">
        <f t="shared" si="70"/>
        <v>-260</v>
      </c>
      <c r="AH30" s="461">
        <v>0</v>
      </c>
      <c r="AI30" s="461">
        <v>0</v>
      </c>
      <c r="AJ30" s="461">
        <v>0</v>
      </c>
      <c r="AK30" s="461">
        <v>0</v>
      </c>
      <c r="AL30" s="674">
        <v>0</v>
      </c>
      <c r="AM30" s="461">
        <v>0</v>
      </c>
      <c r="AN30" s="461">
        <v>0</v>
      </c>
      <c r="AO30" s="461">
        <v>0</v>
      </c>
      <c r="AP30" s="461">
        <f t="shared" si="71"/>
        <v>0</v>
      </c>
      <c r="AQ30" s="461">
        <f t="shared" si="72"/>
        <v>0</v>
      </c>
      <c r="AR30" s="463">
        <f t="shared" si="73"/>
        <v>0</v>
      </c>
      <c r="AS30" s="469">
        <f t="shared" si="74"/>
        <v>1697964</v>
      </c>
      <c r="AT30" s="460">
        <f t="shared" si="75"/>
        <v>1233810</v>
      </c>
      <c r="AU30" s="460">
        <f t="shared" si="76"/>
        <v>26000</v>
      </c>
      <c r="AV30" s="460">
        <f t="shared" si="77"/>
        <v>425816</v>
      </c>
      <c r="AW30" s="460">
        <f t="shared" si="77"/>
        <v>12338</v>
      </c>
      <c r="AX30" s="460">
        <f t="shared" si="78"/>
        <v>0</v>
      </c>
      <c r="AY30" s="461">
        <f t="shared" si="79"/>
        <v>2.7241</v>
      </c>
      <c r="AZ30" s="461">
        <f t="shared" si="80"/>
        <v>2.7241</v>
      </c>
      <c r="BA30" s="463">
        <f t="shared" si="80"/>
        <v>0</v>
      </c>
    </row>
    <row r="31" spans="1:53" ht="12.95" customHeight="1" x14ac:dyDescent="0.25">
      <c r="A31" s="299">
        <v>5</v>
      </c>
      <c r="B31" s="340">
        <v>5444</v>
      </c>
      <c r="C31" s="341">
        <v>600099296</v>
      </c>
      <c r="D31" s="300">
        <v>854824</v>
      </c>
      <c r="E31" s="342" t="s">
        <v>374</v>
      </c>
      <c r="F31" s="300">
        <v>3143</v>
      </c>
      <c r="G31" s="342" t="s">
        <v>617</v>
      </c>
      <c r="H31" s="303" t="s">
        <v>278</v>
      </c>
      <c r="I31" s="462">
        <f t="shared" si="59"/>
        <v>52776</v>
      </c>
      <c r="J31" s="457">
        <v>37709</v>
      </c>
      <c r="K31" s="457">
        <f t="shared" si="60"/>
        <v>12746</v>
      </c>
      <c r="L31" s="457">
        <f t="shared" si="61"/>
        <v>377</v>
      </c>
      <c r="M31" s="457">
        <v>1944</v>
      </c>
      <c r="N31" s="458">
        <f t="shared" si="62"/>
        <v>0.15</v>
      </c>
      <c r="O31" s="459">
        <v>0</v>
      </c>
      <c r="P31" s="646">
        <v>0.15</v>
      </c>
      <c r="Q31" s="469">
        <f t="shared" si="63"/>
        <v>0</v>
      </c>
      <c r="R31" s="460">
        <v>0</v>
      </c>
      <c r="S31" s="673">
        <v>0</v>
      </c>
      <c r="T31" s="460">
        <v>0</v>
      </c>
      <c r="U31" s="460">
        <v>0</v>
      </c>
      <c r="V31" s="460">
        <f t="shared" si="64"/>
        <v>0</v>
      </c>
      <c r="W31" s="460">
        <v>0</v>
      </c>
      <c r="X31" s="460">
        <v>0</v>
      </c>
      <c r="Y31" s="460">
        <v>0</v>
      </c>
      <c r="Z31" s="460">
        <f t="shared" si="65"/>
        <v>0</v>
      </c>
      <c r="AA31" s="460">
        <f t="shared" si="66"/>
        <v>0</v>
      </c>
      <c r="AB31" s="69">
        <f t="shared" si="67"/>
        <v>0</v>
      </c>
      <c r="AC31" s="69">
        <f t="shared" si="68"/>
        <v>0</v>
      </c>
      <c r="AD31" s="460">
        <v>0</v>
      </c>
      <c r="AE31" s="460">
        <v>0</v>
      </c>
      <c r="AF31" s="460">
        <f t="shared" si="69"/>
        <v>0</v>
      </c>
      <c r="AG31" s="460">
        <f t="shared" si="70"/>
        <v>0</v>
      </c>
      <c r="AH31" s="461">
        <v>0</v>
      </c>
      <c r="AI31" s="461">
        <v>0</v>
      </c>
      <c r="AJ31" s="461">
        <v>0</v>
      </c>
      <c r="AK31" s="461">
        <v>0</v>
      </c>
      <c r="AL31" s="674">
        <v>0</v>
      </c>
      <c r="AM31" s="461">
        <v>0</v>
      </c>
      <c r="AN31" s="461">
        <v>0</v>
      </c>
      <c r="AO31" s="461">
        <v>0</v>
      </c>
      <c r="AP31" s="461">
        <f t="shared" si="71"/>
        <v>0</v>
      </c>
      <c r="AQ31" s="461">
        <f t="shared" si="72"/>
        <v>0</v>
      </c>
      <c r="AR31" s="463">
        <f t="shared" si="73"/>
        <v>0</v>
      </c>
      <c r="AS31" s="469">
        <f t="shared" si="74"/>
        <v>52776</v>
      </c>
      <c r="AT31" s="460">
        <f t="shared" si="75"/>
        <v>37709</v>
      </c>
      <c r="AU31" s="460">
        <f t="shared" si="76"/>
        <v>0</v>
      </c>
      <c r="AV31" s="460">
        <f t="shared" si="77"/>
        <v>12746</v>
      </c>
      <c r="AW31" s="460">
        <f t="shared" si="77"/>
        <v>377</v>
      </c>
      <c r="AX31" s="460">
        <f t="shared" si="78"/>
        <v>1944</v>
      </c>
      <c r="AY31" s="461">
        <f t="shared" si="79"/>
        <v>0.15</v>
      </c>
      <c r="AZ31" s="461">
        <f t="shared" si="80"/>
        <v>0</v>
      </c>
      <c r="BA31" s="463">
        <f t="shared" si="80"/>
        <v>0.15</v>
      </c>
    </row>
    <row r="32" spans="1:53" ht="12.95" customHeight="1" x14ac:dyDescent="0.25">
      <c r="A32" s="343">
        <v>5</v>
      </c>
      <c r="B32" s="344">
        <v>5444</v>
      </c>
      <c r="C32" s="345">
        <v>600099296</v>
      </c>
      <c r="D32" s="344">
        <v>854824</v>
      </c>
      <c r="E32" s="346" t="s">
        <v>375</v>
      </c>
      <c r="F32" s="310"/>
      <c r="G32" s="348"/>
      <c r="H32" s="311"/>
      <c r="I32" s="552">
        <f t="shared" ref="I32:P32" si="81">SUM(I26:I31)</f>
        <v>27925739</v>
      </c>
      <c r="J32" s="548">
        <f t="shared" si="81"/>
        <v>20415275</v>
      </c>
      <c r="K32" s="548">
        <f t="shared" si="81"/>
        <v>6900364</v>
      </c>
      <c r="L32" s="548">
        <f t="shared" si="81"/>
        <v>204152</v>
      </c>
      <c r="M32" s="548">
        <f t="shared" si="81"/>
        <v>405948</v>
      </c>
      <c r="N32" s="549">
        <f t="shared" si="81"/>
        <v>35.636399999999995</v>
      </c>
      <c r="O32" s="549">
        <f t="shared" si="81"/>
        <v>27.676400000000001</v>
      </c>
      <c r="P32" s="347">
        <f t="shared" si="81"/>
        <v>7.96</v>
      </c>
      <c r="Q32" s="554">
        <f t="shared" ref="Q32:BA32" si="82">SUM(Q26:Q31)</f>
        <v>-149500</v>
      </c>
      <c r="R32" s="548">
        <f t="shared" si="82"/>
        <v>641309</v>
      </c>
      <c r="S32" s="548">
        <f t="shared" si="82"/>
        <v>0</v>
      </c>
      <c r="T32" s="548">
        <f t="shared" si="82"/>
        <v>0</v>
      </c>
      <c r="U32" s="548">
        <f t="shared" si="82"/>
        <v>0</v>
      </c>
      <c r="V32" s="548">
        <f t="shared" si="82"/>
        <v>491809</v>
      </c>
      <c r="W32" s="548">
        <f t="shared" si="82"/>
        <v>149500</v>
      </c>
      <c r="X32" s="548">
        <f t="shared" si="82"/>
        <v>125800</v>
      </c>
      <c r="Y32" s="548">
        <f t="shared" si="82"/>
        <v>0</v>
      </c>
      <c r="Z32" s="548">
        <f t="shared" si="82"/>
        <v>275300</v>
      </c>
      <c r="AA32" s="548">
        <f t="shared" si="82"/>
        <v>767109</v>
      </c>
      <c r="AB32" s="548">
        <f t="shared" si="82"/>
        <v>259282</v>
      </c>
      <c r="AC32" s="548">
        <f t="shared" si="82"/>
        <v>4918</v>
      </c>
      <c r="AD32" s="548">
        <f t="shared" si="82"/>
        <v>0</v>
      </c>
      <c r="AE32" s="548">
        <f t="shared" si="82"/>
        <v>0</v>
      </c>
      <c r="AF32" s="548">
        <f t="shared" si="82"/>
        <v>0</v>
      </c>
      <c r="AG32" s="548">
        <f t="shared" si="82"/>
        <v>1031309</v>
      </c>
      <c r="AH32" s="549">
        <f t="shared" si="82"/>
        <v>-0.08</v>
      </c>
      <c r="AI32" s="549">
        <f t="shared" si="82"/>
        <v>-0.06</v>
      </c>
      <c r="AJ32" s="549">
        <f t="shared" si="82"/>
        <v>1.55</v>
      </c>
      <c r="AK32" s="549">
        <f t="shared" si="82"/>
        <v>0</v>
      </c>
      <c r="AL32" s="549">
        <f t="shared" si="82"/>
        <v>0</v>
      </c>
      <c r="AM32" s="549">
        <f t="shared" si="82"/>
        <v>0</v>
      </c>
      <c r="AN32" s="549">
        <f t="shared" si="82"/>
        <v>0</v>
      </c>
      <c r="AO32" s="549">
        <f t="shared" si="82"/>
        <v>0</v>
      </c>
      <c r="AP32" s="549">
        <f t="shared" si="82"/>
        <v>1.47</v>
      </c>
      <c r="AQ32" s="549">
        <f t="shared" si="82"/>
        <v>-0.06</v>
      </c>
      <c r="AR32" s="347">
        <f t="shared" si="82"/>
        <v>1.41</v>
      </c>
      <c r="AS32" s="554">
        <f t="shared" si="82"/>
        <v>28957048</v>
      </c>
      <c r="AT32" s="548">
        <f t="shared" si="82"/>
        <v>20907084</v>
      </c>
      <c r="AU32" s="548">
        <f t="shared" si="82"/>
        <v>275300</v>
      </c>
      <c r="AV32" s="548">
        <f t="shared" si="82"/>
        <v>7159646</v>
      </c>
      <c r="AW32" s="548">
        <f t="shared" si="82"/>
        <v>209070</v>
      </c>
      <c r="AX32" s="548">
        <f t="shared" si="82"/>
        <v>405948</v>
      </c>
      <c r="AY32" s="549">
        <f t="shared" si="82"/>
        <v>37.046399999999998</v>
      </c>
      <c r="AZ32" s="549">
        <f t="shared" si="82"/>
        <v>29.1464</v>
      </c>
      <c r="BA32" s="347">
        <f t="shared" si="82"/>
        <v>7.9</v>
      </c>
    </row>
    <row r="33" spans="1:53" ht="12.95" customHeight="1" x14ac:dyDescent="0.25">
      <c r="A33" s="299">
        <v>6</v>
      </c>
      <c r="B33" s="340">
        <v>5449</v>
      </c>
      <c r="C33" s="341">
        <v>600099458</v>
      </c>
      <c r="D33" s="300">
        <v>70188408</v>
      </c>
      <c r="E33" s="342" t="s">
        <v>376</v>
      </c>
      <c r="F33" s="300">
        <v>3114</v>
      </c>
      <c r="G33" s="350" t="s">
        <v>546</v>
      </c>
      <c r="H33" s="303" t="s">
        <v>277</v>
      </c>
      <c r="I33" s="462">
        <f t="shared" ref="I33:I37" si="83">SUM(J33:M33)</f>
        <v>10655484</v>
      </c>
      <c r="J33" s="457">
        <v>7832996</v>
      </c>
      <c r="K33" s="457">
        <f>ROUND(J33*33.8%,0)-1</f>
        <v>2647552</v>
      </c>
      <c r="L33" s="457">
        <f>ROUND(J33*1%,0)+1</f>
        <v>78331</v>
      </c>
      <c r="M33" s="457">
        <v>96605</v>
      </c>
      <c r="N33" s="458">
        <f t="shared" ref="N33:N37" si="84">O33+P33</f>
        <v>12.01</v>
      </c>
      <c r="O33" s="459">
        <v>9</v>
      </c>
      <c r="P33" s="646">
        <v>3.01</v>
      </c>
      <c r="Q33" s="469">
        <f t="shared" ref="Q33:Q37" si="85">W33*-1</f>
        <v>-39000</v>
      </c>
      <c r="R33" s="460">
        <v>0</v>
      </c>
      <c r="S33" s="673">
        <v>0</v>
      </c>
      <c r="T33" s="460">
        <v>0</v>
      </c>
      <c r="U33" s="460">
        <v>0</v>
      </c>
      <c r="V33" s="460">
        <f>SUM(Q33:U33)</f>
        <v>-39000</v>
      </c>
      <c r="W33" s="460">
        <v>39000</v>
      </c>
      <c r="X33" s="460">
        <v>0</v>
      </c>
      <c r="Y33" s="460">
        <v>0</v>
      </c>
      <c r="Z33" s="460">
        <f t="shared" ref="Z33:Z37" si="86">SUM(W33:Y33)</f>
        <v>39000</v>
      </c>
      <c r="AA33" s="460">
        <f t="shared" ref="AA33:AA37" si="87">V33+Z33</f>
        <v>0</v>
      </c>
      <c r="AB33" s="69">
        <f t="shared" ref="AB33:AB37" si="88">ROUND((V33+W33+X33)*33.8%,0)</f>
        <v>0</v>
      </c>
      <c r="AC33" s="69">
        <f t="shared" ref="AC33:AC37" si="89">ROUND(V33*1%,0)</f>
        <v>-390</v>
      </c>
      <c r="AD33" s="460">
        <v>0</v>
      </c>
      <c r="AE33" s="460">
        <v>0</v>
      </c>
      <c r="AF33" s="460">
        <f t="shared" ref="AF33:AF37" si="90">SUM(AD33:AE33)</f>
        <v>0</v>
      </c>
      <c r="AG33" s="460">
        <f t="shared" ref="AG33:AG37" si="91">AA33+AB33+AC33+AF33</f>
        <v>-390</v>
      </c>
      <c r="AH33" s="461">
        <v>0</v>
      </c>
      <c r="AI33" s="461">
        <v>-0.12</v>
      </c>
      <c r="AJ33" s="461">
        <v>0</v>
      </c>
      <c r="AK33" s="461">
        <v>0</v>
      </c>
      <c r="AL33" s="674">
        <v>0</v>
      </c>
      <c r="AM33" s="461">
        <v>0</v>
      </c>
      <c r="AN33" s="461">
        <v>0</v>
      </c>
      <c r="AO33" s="461">
        <v>0</v>
      </c>
      <c r="AP33" s="461">
        <f>AH33+AJ33+AK33+AM33+AN33</f>
        <v>0</v>
      </c>
      <c r="AQ33" s="461">
        <f>AI33+AL33+AO33</f>
        <v>-0.12</v>
      </c>
      <c r="AR33" s="463">
        <f t="shared" ref="AR33:AR37" si="92">SUM(AP33:AQ33)</f>
        <v>-0.12</v>
      </c>
      <c r="AS33" s="469">
        <f>I33+AG33</f>
        <v>10655094</v>
      </c>
      <c r="AT33" s="460">
        <f>J33+V33</f>
        <v>7793996</v>
      </c>
      <c r="AU33" s="460">
        <f t="shared" ref="AU33:AU37" si="93">Z33</f>
        <v>39000</v>
      </c>
      <c r="AV33" s="460">
        <f t="shared" ref="AV33:AW37" si="94">K33+AB33</f>
        <v>2647552</v>
      </c>
      <c r="AW33" s="460">
        <f t="shared" si="94"/>
        <v>77941</v>
      </c>
      <c r="AX33" s="460">
        <f>M33+AF33</f>
        <v>96605</v>
      </c>
      <c r="AY33" s="461">
        <f>N33+AR33</f>
        <v>11.89</v>
      </c>
      <c r="AZ33" s="461">
        <f t="shared" ref="AZ33:BA37" si="95">O33+AP33</f>
        <v>9</v>
      </c>
      <c r="BA33" s="463">
        <f t="shared" si="95"/>
        <v>2.8899999999999997</v>
      </c>
    </row>
    <row r="34" spans="1:53" ht="12.95" customHeight="1" x14ac:dyDescent="0.25">
      <c r="A34" s="299">
        <v>6</v>
      </c>
      <c r="B34" s="340">
        <v>5449</v>
      </c>
      <c r="C34" s="341">
        <v>600099458</v>
      </c>
      <c r="D34" s="300">
        <v>70188408</v>
      </c>
      <c r="E34" s="342" t="s">
        <v>376</v>
      </c>
      <c r="F34" s="300">
        <v>3114</v>
      </c>
      <c r="G34" s="350" t="s">
        <v>309</v>
      </c>
      <c r="H34" s="303" t="s">
        <v>277</v>
      </c>
      <c r="I34" s="462">
        <f t="shared" si="83"/>
        <v>1853552</v>
      </c>
      <c r="J34" s="457">
        <v>1375039</v>
      </c>
      <c r="K34" s="457">
        <f t="shared" ref="K34:K37" si="96">ROUND(J34*33.8%,0)</f>
        <v>464763</v>
      </c>
      <c r="L34" s="457">
        <f t="shared" ref="L34:L37" si="97">ROUND(J34*1%,0)</f>
        <v>13750</v>
      </c>
      <c r="M34" s="457">
        <v>0</v>
      </c>
      <c r="N34" s="458">
        <f t="shared" si="84"/>
        <v>3.2776999999999998</v>
      </c>
      <c r="O34" s="459">
        <v>3.2776999999999998</v>
      </c>
      <c r="P34" s="646">
        <v>0</v>
      </c>
      <c r="Q34" s="469">
        <f t="shared" si="85"/>
        <v>0</v>
      </c>
      <c r="R34" s="460">
        <v>0</v>
      </c>
      <c r="S34" s="673">
        <v>0</v>
      </c>
      <c r="T34" s="460">
        <v>0</v>
      </c>
      <c r="U34" s="460">
        <v>0</v>
      </c>
      <c r="V34" s="460">
        <f>SUM(Q34:U34)</f>
        <v>0</v>
      </c>
      <c r="W34" s="460">
        <v>0</v>
      </c>
      <c r="X34" s="460">
        <v>0</v>
      </c>
      <c r="Y34" s="460">
        <v>0</v>
      </c>
      <c r="Z34" s="460">
        <f t="shared" si="86"/>
        <v>0</v>
      </c>
      <c r="AA34" s="460">
        <f t="shared" si="87"/>
        <v>0</v>
      </c>
      <c r="AB34" s="69">
        <f t="shared" si="88"/>
        <v>0</v>
      </c>
      <c r="AC34" s="69">
        <f t="shared" si="89"/>
        <v>0</v>
      </c>
      <c r="AD34" s="460">
        <v>0</v>
      </c>
      <c r="AE34" s="460">
        <v>0</v>
      </c>
      <c r="AF34" s="460">
        <f t="shared" si="90"/>
        <v>0</v>
      </c>
      <c r="AG34" s="460">
        <f t="shared" si="91"/>
        <v>0</v>
      </c>
      <c r="AH34" s="461">
        <v>0</v>
      </c>
      <c r="AI34" s="461">
        <v>0</v>
      </c>
      <c r="AJ34" s="461">
        <v>0</v>
      </c>
      <c r="AK34" s="461">
        <v>0</v>
      </c>
      <c r="AL34" s="674">
        <v>0</v>
      </c>
      <c r="AM34" s="461">
        <v>0</v>
      </c>
      <c r="AN34" s="461">
        <v>0</v>
      </c>
      <c r="AO34" s="461">
        <v>0</v>
      </c>
      <c r="AP34" s="461">
        <f>AH34+AJ34+AK34+AM34+AN34</f>
        <v>0</v>
      </c>
      <c r="AQ34" s="461">
        <f>AI34+AL34+AO34</f>
        <v>0</v>
      </c>
      <c r="AR34" s="463">
        <f t="shared" si="92"/>
        <v>0</v>
      </c>
      <c r="AS34" s="469">
        <f>I34+AG34</f>
        <v>1853552</v>
      </c>
      <c r="AT34" s="460">
        <f>J34+V34</f>
        <v>1375039</v>
      </c>
      <c r="AU34" s="460">
        <f t="shared" si="93"/>
        <v>0</v>
      </c>
      <c r="AV34" s="460">
        <f t="shared" si="94"/>
        <v>464763</v>
      </c>
      <c r="AW34" s="460">
        <f t="shared" si="94"/>
        <v>13750</v>
      </c>
      <c r="AX34" s="460">
        <f>M34+AF34</f>
        <v>0</v>
      </c>
      <c r="AY34" s="461">
        <f>N34+AR34</f>
        <v>3.2776999999999998</v>
      </c>
      <c r="AZ34" s="461">
        <f t="shared" si="95"/>
        <v>3.2776999999999998</v>
      </c>
      <c r="BA34" s="463">
        <f t="shared" si="95"/>
        <v>0</v>
      </c>
    </row>
    <row r="35" spans="1:53" ht="12.95" customHeight="1" x14ac:dyDescent="0.25">
      <c r="A35" s="299">
        <v>6</v>
      </c>
      <c r="B35" s="340">
        <v>5449</v>
      </c>
      <c r="C35" s="341">
        <v>600099458</v>
      </c>
      <c r="D35" s="300">
        <v>70188408</v>
      </c>
      <c r="E35" s="342" t="s">
        <v>376</v>
      </c>
      <c r="F35" s="300">
        <v>3143</v>
      </c>
      <c r="G35" s="342" t="s">
        <v>616</v>
      </c>
      <c r="H35" s="303" t="s">
        <v>277</v>
      </c>
      <c r="I35" s="462">
        <f t="shared" si="83"/>
        <v>570645</v>
      </c>
      <c r="J35" s="457">
        <v>423327</v>
      </c>
      <c r="K35" s="457">
        <f t="shared" si="96"/>
        <v>143085</v>
      </c>
      <c r="L35" s="457">
        <f t="shared" si="97"/>
        <v>4233</v>
      </c>
      <c r="M35" s="457">
        <v>0</v>
      </c>
      <c r="N35" s="458">
        <f t="shared" si="84"/>
        <v>0.93330000000000002</v>
      </c>
      <c r="O35" s="459">
        <v>0.93330000000000002</v>
      </c>
      <c r="P35" s="646">
        <v>0</v>
      </c>
      <c r="Q35" s="469">
        <f t="shared" si="85"/>
        <v>0</v>
      </c>
      <c r="R35" s="460">
        <v>0</v>
      </c>
      <c r="S35" s="673">
        <v>0</v>
      </c>
      <c r="T35" s="460">
        <v>0</v>
      </c>
      <c r="U35" s="460">
        <v>0</v>
      </c>
      <c r="V35" s="460">
        <f>SUM(Q35:U35)</f>
        <v>0</v>
      </c>
      <c r="W35" s="460">
        <v>0</v>
      </c>
      <c r="X35" s="460">
        <v>0</v>
      </c>
      <c r="Y35" s="460">
        <v>0</v>
      </c>
      <c r="Z35" s="460">
        <f t="shared" si="86"/>
        <v>0</v>
      </c>
      <c r="AA35" s="460">
        <f t="shared" si="87"/>
        <v>0</v>
      </c>
      <c r="AB35" s="69">
        <f t="shared" si="88"/>
        <v>0</v>
      </c>
      <c r="AC35" s="69">
        <f t="shared" si="89"/>
        <v>0</v>
      </c>
      <c r="AD35" s="460">
        <v>0</v>
      </c>
      <c r="AE35" s="460">
        <v>0</v>
      </c>
      <c r="AF35" s="460">
        <f t="shared" si="90"/>
        <v>0</v>
      </c>
      <c r="AG35" s="460">
        <f t="shared" si="91"/>
        <v>0</v>
      </c>
      <c r="AH35" s="461">
        <v>0</v>
      </c>
      <c r="AI35" s="461">
        <v>0</v>
      </c>
      <c r="AJ35" s="461">
        <v>0</v>
      </c>
      <c r="AK35" s="461">
        <v>0</v>
      </c>
      <c r="AL35" s="674">
        <v>0</v>
      </c>
      <c r="AM35" s="461">
        <v>0</v>
      </c>
      <c r="AN35" s="461">
        <v>0</v>
      </c>
      <c r="AO35" s="461">
        <v>0</v>
      </c>
      <c r="AP35" s="461">
        <f>AH35+AJ35+AK35+AM35+AN35</f>
        <v>0</v>
      </c>
      <c r="AQ35" s="461">
        <f>AI35+AL35+AO35</f>
        <v>0</v>
      </c>
      <c r="AR35" s="463">
        <f t="shared" si="92"/>
        <v>0</v>
      </c>
      <c r="AS35" s="469">
        <f>I35+AG35</f>
        <v>570645</v>
      </c>
      <c r="AT35" s="460">
        <f>J35+V35</f>
        <v>423327</v>
      </c>
      <c r="AU35" s="460">
        <f t="shared" si="93"/>
        <v>0</v>
      </c>
      <c r="AV35" s="460">
        <f t="shared" si="94"/>
        <v>143085</v>
      </c>
      <c r="AW35" s="460">
        <f t="shared" si="94"/>
        <v>4233</v>
      </c>
      <c r="AX35" s="460">
        <f>M35+AF35</f>
        <v>0</v>
      </c>
      <c r="AY35" s="461">
        <f>N35+AR35</f>
        <v>0.93330000000000002</v>
      </c>
      <c r="AZ35" s="461">
        <f t="shared" si="95"/>
        <v>0.93330000000000002</v>
      </c>
      <c r="BA35" s="463">
        <f t="shared" si="95"/>
        <v>0</v>
      </c>
    </row>
    <row r="36" spans="1:53" ht="12.95" customHeight="1" x14ac:dyDescent="0.25">
      <c r="A36" s="299">
        <v>6</v>
      </c>
      <c r="B36" s="340">
        <v>5449</v>
      </c>
      <c r="C36" s="341">
        <v>600099458</v>
      </c>
      <c r="D36" s="300">
        <v>70188408</v>
      </c>
      <c r="E36" s="342" t="s">
        <v>376</v>
      </c>
      <c r="F36" s="300">
        <v>3143</v>
      </c>
      <c r="G36" s="342" t="s">
        <v>789</v>
      </c>
      <c r="H36" s="303" t="s">
        <v>277</v>
      </c>
      <c r="I36" s="462">
        <f t="shared" si="83"/>
        <v>193198</v>
      </c>
      <c r="J36" s="457">
        <v>143322</v>
      </c>
      <c r="K36" s="457">
        <f t="shared" si="96"/>
        <v>48443</v>
      </c>
      <c r="L36" s="457">
        <f t="shared" si="97"/>
        <v>1433</v>
      </c>
      <c r="M36" s="457">
        <v>0</v>
      </c>
      <c r="N36" s="458">
        <f t="shared" si="84"/>
        <v>0.41660000000000003</v>
      </c>
      <c r="O36" s="459">
        <v>0.41660000000000003</v>
      </c>
      <c r="P36" s="646">
        <v>0</v>
      </c>
      <c r="Q36" s="469">
        <f t="shared" si="85"/>
        <v>0</v>
      </c>
      <c r="R36" s="460">
        <v>0</v>
      </c>
      <c r="S36" s="673">
        <v>0</v>
      </c>
      <c r="T36" s="460">
        <v>0</v>
      </c>
      <c r="U36" s="460">
        <v>0</v>
      </c>
      <c r="V36" s="460">
        <f>SUM(Q36:U36)</f>
        <v>0</v>
      </c>
      <c r="W36" s="460">
        <v>0</v>
      </c>
      <c r="X36" s="460">
        <v>0</v>
      </c>
      <c r="Y36" s="460">
        <v>0</v>
      </c>
      <c r="Z36" s="460">
        <f t="shared" si="86"/>
        <v>0</v>
      </c>
      <c r="AA36" s="460">
        <f t="shared" si="87"/>
        <v>0</v>
      </c>
      <c r="AB36" s="69">
        <f t="shared" si="88"/>
        <v>0</v>
      </c>
      <c r="AC36" s="69">
        <f t="shared" si="89"/>
        <v>0</v>
      </c>
      <c r="AD36" s="460">
        <v>0</v>
      </c>
      <c r="AE36" s="460">
        <v>0</v>
      </c>
      <c r="AF36" s="460">
        <f t="shared" si="90"/>
        <v>0</v>
      </c>
      <c r="AG36" s="460">
        <f t="shared" si="91"/>
        <v>0</v>
      </c>
      <c r="AH36" s="461">
        <v>0</v>
      </c>
      <c r="AI36" s="461">
        <v>0</v>
      </c>
      <c r="AJ36" s="461">
        <v>0</v>
      </c>
      <c r="AK36" s="461">
        <v>0</v>
      </c>
      <c r="AL36" s="674">
        <v>0</v>
      </c>
      <c r="AM36" s="461">
        <v>0</v>
      </c>
      <c r="AN36" s="461">
        <v>0</v>
      </c>
      <c r="AO36" s="461">
        <v>0</v>
      </c>
      <c r="AP36" s="461">
        <f>AH36+AJ36+AK36+AM36+AN36</f>
        <v>0</v>
      </c>
      <c r="AQ36" s="461">
        <f>AI36+AL36+AO36</f>
        <v>0</v>
      </c>
      <c r="AR36" s="463">
        <f t="shared" si="92"/>
        <v>0</v>
      </c>
      <c r="AS36" s="469">
        <f>I36+AG36</f>
        <v>193198</v>
      </c>
      <c r="AT36" s="460">
        <f>J36+V36</f>
        <v>143322</v>
      </c>
      <c r="AU36" s="460">
        <f t="shared" si="93"/>
        <v>0</v>
      </c>
      <c r="AV36" s="460">
        <f t="shared" si="94"/>
        <v>48443</v>
      </c>
      <c r="AW36" s="460">
        <f t="shared" si="94"/>
        <v>1433</v>
      </c>
      <c r="AX36" s="460">
        <f>M36+AF36</f>
        <v>0</v>
      </c>
      <c r="AY36" s="461">
        <f>N36+AR36</f>
        <v>0.41660000000000003</v>
      </c>
      <c r="AZ36" s="461">
        <f t="shared" si="95"/>
        <v>0.41660000000000003</v>
      </c>
      <c r="BA36" s="463">
        <f t="shared" si="95"/>
        <v>0</v>
      </c>
    </row>
    <row r="37" spans="1:53" ht="12.95" customHeight="1" x14ac:dyDescent="0.25">
      <c r="A37" s="299">
        <v>6</v>
      </c>
      <c r="B37" s="340">
        <v>5449</v>
      </c>
      <c r="C37" s="341">
        <v>600099458</v>
      </c>
      <c r="D37" s="300">
        <v>70188408</v>
      </c>
      <c r="E37" s="342" t="s">
        <v>376</v>
      </c>
      <c r="F37" s="300">
        <v>3143</v>
      </c>
      <c r="G37" s="342" t="s">
        <v>617</v>
      </c>
      <c r="H37" s="303" t="s">
        <v>278</v>
      </c>
      <c r="I37" s="462">
        <f t="shared" si="83"/>
        <v>8796</v>
      </c>
      <c r="J37" s="457">
        <v>6285</v>
      </c>
      <c r="K37" s="457">
        <f t="shared" si="96"/>
        <v>2124</v>
      </c>
      <c r="L37" s="457">
        <f t="shared" si="97"/>
        <v>63</v>
      </c>
      <c r="M37" s="457">
        <v>324</v>
      </c>
      <c r="N37" s="458">
        <f t="shared" si="84"/>
        <v>0.03</v>
      </c>
      <c r="O37" s="459">
        <v>0</v>
      </c>
      <c r="P37" s="646">
        <v>0.03</v>
      </c>
      <c r="Q37" s="469">
        <f t="shared" si="85"/>
        <v>0</v>
      </c>
      <c r="R37" s="460">
        <v>0</v>
      </c>
      <c r="S37" s="673">
        <v>0</v>
      </c>
      <c r="T37" s="460">
        <v>0</v>
      </c>
      <c r="U37" s="460">
        <v>0</v>
      </c>
      <c r="V37" s="460">
        <f>SUM(Q37:U37)</f>
        <v>0</v>
      </c>
      <c r="W37" s="460">
        <v>0</v>
      </c>
      <c r="X37" s="460">
        <v>0</v>
      </c>
      <c r="Y37" s="460">
        <v>0</v>
      </c>
      <c r="Z37" s="460">
        <f t="shared" si="86"/>
        <v>0</v>
      </c>
      <c r="AA37" s="460">
        <f t="shared" si="87"/>
        <v>0</v>
      </c>
      <c r="AB37" s="69">
        <f t="shared" si="88"/>
        <v>0</v>
      </c>
      <c r="AC37" s="69">
        <f t="shared" si="89"/>
        <v>0</v>
      </c>
      <c r="AD37" s="460">
        <v>0</v>
      </c>
      <c r="AE37" s="460">
        <v>0</v>
      </c>
      <c r="AF37" s="460">
        <f t="shared" si="90"/>
        <v>0</v>
      </c>
      <c r="AG37" s="460">
        <f t="shared" si="91"/>
        <v>0</v>
      </c>
      <c r="AH37" s="461">
        <v>0</v>
      </c>
      <c r="AI37" s="461">
        <v>0</v>
      </c>
      <c r="AJ37" s="461">
        <v>0</v>
      </c>
      <c r="AK37" s="461">
        <v>0</v>
      </c>
      <c r="AL37" s="674">
        <v>0</v>
      </c>
      <c r="AM37" s="461">
        <v>0</v>
      </c>
      <c r="AN37" s="461">
        <v>0</v>
      </c>
      <c r="AO37" s="461">
        <v>0</v>
      </c>
      <c r="AP37" s="461">
        <f>AH37+AJ37+AK37+AM37+AN37</f>
        <v>0</v>
      </c>
      <c r="AQ37" s="461">
        <f>AI37+AL37+AO37</f>
        <v>0</v>
      </c>
      <c r="AR37" s="463">
        <f t="shared" si="92"/>
        <v>0</v>
      </c>
      <c r="AS37" s="469">
        <f>I37+AG37</f>
        <v>8796</v>
      </c>
      <c r="AT37" s="460">
        <f>J37+V37</f>
        <v>6285</v>
      </c>
      <c r="AU37" s="460">
        <f t="shared" si="93"/>
        <v>0</v>
      </c>
      <c r="AV37" s="460">
        <f t="shared" si="94"/>
        <v>2124</v>
      </c>
      <c r="AW37" s="460">
        <f t="shared" si="94"/>
        <v>63</v>
      </c>
      <c r="AX37" s="460">
        <f>M37+AF37</f>
        <v>324</v>
      </c>
      <c r="AY37" s="461">
        <f>N37+AR37</f>
        <v>0.03</v>
      </c>
      <c r="AZ37" s="461">
        <f t="shared" si="95"/>
        <v>0</v>
      </c>
      <c r="BA37" s="463">
        <f t="shared" si="95"/>
        <v>0.03</v>
      </c>
    </row>
    <row r="38" spans="1:53" ht="12.95" customHeight="1" x14ac:dyDescent="0.25">
      <c r="A38" s="343">
        <v>6</v>
      </c>
      <c r="B38" s="344">
        <v>5449</v>
      </c>
      <c r="C38" s="345">
        <v>600099458</v>
      </c>
      <c r="D38" s="344">
        <v>70188408</v>
      </c>
      <c r="E38" s="346" t="s">
        <v>377</v>
      </c>
      <c r="F38" s="310"/>
      <c r="G38" s="348"/>
      <c r="H38" s="311"/>
      <c r="I38" s="552">
        <f t="shared" ref="I38:BA38" si="98">SUM(I33:I37)</f>
        <v>13281675</v>
      </c>
      <c r="J38" s="548">
        <f t="shared" si="98"/>
        <v>9780969</v>
      </c>
      <c r="K38" s="548">
        <f t="shared" si="98"/>
        <v>3305967</v>
      </c>
      <c r="L38" s="548">
        <f t="shared" si="98"/>
        <v>97810</v>
      </c>
      <c r="M38" s="548">
        <f t="shared" si="98"/>
        <v>96929</v>
      </c>
      <c r="N38" s="549">
        <f t="shared" si="98"/>
        <v>16.6676</v>
      </c>
      <c r="O38" s="549">
        <f t="shared" si="98"/>
        <v>13.627599999999999</v>
      </c>
      <c r="P38" s="347">
        <f t="shared" si="98"/>
        <v>3.0399999999999996</v>
      </c>
      <c r="Q38" s="762">
        <f t="shared" si="98"/>
        <v>-39000</v>
      </c>
      <c r="R38" s="549">
        <f t="shared" si="98"/>
        <v>0</v>
      </c>
      <c r="S38" s="549">
        <f t="shared" si="98"/>
        <v>0</v>
      </c>
      <c r="T38" s="549">
        <f t="shared" si="98"/>
        <v>0</v>
      </c>
      <c r="U38" s="549">
        <f t="shared" si="98"/>
        <v>0</v>
      </c>
      <c r="V38" s="549">
        <f t="shared" si="98"/>
        <v>-39000</v>
      </c>
      <c r="W38" s="549">
        <f t="shared" si="98"/>
        <v>39000</v>
      </c>
      <c r="X38" s="549">
        <f t="shared" si="98"/>
        <v>0</v>
      </c>
      <c r="Y38" s="549">
        <f t="shared" si="98"/>
        <v>0</v>
      </c>
      <c r="Z38" s="549">
        <f t="shared" si="98"/>
        <v>39000</v>
      </c>
      <c r="AA38" s="549">
        <f t="shared" si="98"/>
        <v>0</v>
      </c>
      <c r="AB38" s="549">
        <f t="shared" si="98"/>
        <v>0</v>
      </c>
      <c r="AC38" s="549">
        <f t="shared" si="98"/>
        <v>-390</v>
      </c>
      <c r="AD38" s="549">
        <f t="shared" si="98"/>
        <v>0</v>
      </c>
      <c r="AE38" s="549">
        <f t="shared" si="98"/>
        <v>0</v>
      </c>
      <c r="AF38" s="549">
        <f t="shared" si="98"/>
        <v>0</v>
      </c>
      <c r="AG38" s="549">
        <f t="shared" si="98"/>
        <v>-390</v>
      </c>
      <c r="AH38" s="549">
        <f t="shared" si="98"/>
        <v>0</v>
      </c>
      <c r="AI38" s="549">
        <f t="shared" si="98"/>
        <v>-0.12</v>
      </c>
      <c r="AJ38" s="549">
        <f t="shared" si="98"/>
        <v>0</v>
      </c>
      <c r="AK38" s="549">
        <f t="shared" si="98"/>
        <v>0</v>
      </c>
      <c r="AL38" s="549">
        <f t="shared" si="98"/>
        <v>0</v>
      </c>
      <c r="AM38" s="549">
        <f t="shared" si="98"/>
        <v>0</v>
      </c>
      <c r="AN38" s="549">
        <f t="shared" si="98"/>
        <v>0</v>
      </c>
      <c r="AO38" s="549">
        <f t="shared" si="98"/>
        <v>0</v>
      </c>
      <c r="AP38" s="549">
        <f t="shared" si="98"/>
        <v>0</v>
      </c>
      <c r="AQ38" s="549">
        <f t="shared" si="98"/>
        <v>-0.12</v>
      </c>
      <c r="AR38" s="549">
        <f t="shared" si="98"/>
        <v>-0.12</v>
      </c>
      <c r="AS38" s="549">
        <f t="shared" si="98"/>
        <v>13281285</v>
      </c>
      <c r="AT38" s="549">
        <f t="shared" si="98"/>
        <v>9741969</v>
      </c>
      <c r="AU38" s="549">
        <f t="shared" si="98"/>
        <v>39000</v>
      </c>
      <c r="AV38" s="549">
        <f t="shared" si="98"/>
        <v>3305967</v>
      </c>
      <c r="AW38" s="549">
        <f t="shared" si="98"/>
        <v>97420</v>
      </c>
      <c r="AX38" s="549">
        <f t="shared" si="98"/>
        <v>96929</v>
      </c>
      <c r="AY38" s="549">
        <f t="shared" si="98"/>
        <v>16.547599999999999</v>
      </c>
      <c r="AZ38" s="549">
        <f t="shared" si="98"/>
        <v>13.627599999999999</v>
      </c>
      <c r="BA38" s="549">
        <f t="shared" si="98"/>
        <v>2.9199999999999995</v>
      </c>
    </row>
    <row r="39" spans="1:53" ht="12.95" customHeight="1" x14ac:dyDescent="0.25">
      <c r="A39" s="299">
        <v>7</v>
      </c>
      <c r="B39" s="340">
        <v>5443</v>
      </c>
      <c r="C39" s="341">
        <v>600099237</v>
      </c>
      <c r="D39" s="300">
        <v>854841</v>
      </c>
      <c r="E39" s="342" t="s">
        <v>378</v>
      </c>
      <c r="F39" s="300">
        <v>3113</v>
      </c>
      <c r="G39" s="342" t="s">
        <v>325</v>
      </c>
      <c r="H39" s="303" t="s">
        <v>277</v>
      </c>
      <c r="I39" s="462">
        <f t="shared" ref="I39:I43" si="99">SUM(J39:M39)</f>
        <v>21001317</v>
      </c>
      <c r="J39" s="457">
        <v>15300384</v>
      </c>
      <c r="K39" s="457">
        <f t="shared" ref="K39:K43" si="100">ROUND(J39*33.8%,0)</f>
        <v>5171530</v>
      </c>
      <c r="L39" s="457">
        <f>ROUND(J39*1%,0)-1</f>
        <v>153003</v>
      </c>
      <c r="M39" s="457">
        <v>376400</v>
      </c>
      <c r="N39" s="458">
        <f t="shared" ref="N39:N43" si="101">O39+P39</f>
        <v>26.890900000000002</v>
      </c>
      <c r="O39" s="459">
        <v>21.090900000000001</v>
      </c>
      <c r="P39" s="646">
        <v>5.8000000000000007</v>
      </c>
      <c r="Q39" s="469">
        <f t="shared" ref="Q39:Q43" si="102">W39*-1</f>
        <v>-65000</v>
      </c>
      <c r="R39" s="460">
        <v>0</v>
      </c>
      <c r="S39" s="673">
        <v>0</v>
      </c>
      <c r="T39" s="460">
        <v>0</v>
      </c>
      <c r="U39" s="460">
        <v>0</v>
      </c>
      <c r="V39" s="460">
        <f>SUM(Q39:U39)</f>
        <v>-65000</v>
      </c>
      <c r="W39" s="460">
        <v>65000</v>
      </c>
      <c r="X39" s="460">
        <v>0</v>
      </c>
      <c r="Y39" s="460" t="s">
        <v>826</v>
      </c>
      <c r="Z39" s="460">
        <f t="shared" ref="Z39:Z43" si="103">SUM(W39:Y39)</f>
        <v>65000</v>
      </c>
      <c r="AA39" s="460">
        <f t="shared" ref="AA39:AA43" si="104">V39+Z39</f>
        <v>0</v>
      </c>
      <c r="AB39" s="69">
        <f t="shared" ref="AB39:AB43" si="105">ROUND((V39+W39+X39)*33.8%,0)</f>
        <v>0</v>
      </c>
      <c r="AC39" s="69">
        <f t="shared" ref="AC39:AC43" si="106">ROUND(V39*1%,0)</f>
        <v>-650</v>
      </c>
      <c r="AD39" s="460">
        <v>0</v>
      </c>
      <c r="AE39" s="460">
        <v>0</v>
      </c>
      <c r="AF39" s="460">
        <f t="shared" ref="AF39:AF43" si="107">SUM(AD39:AE39)</f>
        <v>0</v>
      </c>
      <c r="AG39" s="460">
        <f t="shared" ref="AG39:AG43" si="108">AA39+AB39+AC39+AF39</f>
        <v>-650</v>
      </c>
      <c r="AH39" s="461">
        <v>0</v>
      </c>
      <c r="AI39" s="461">
        <v>0</v>
      </c>
      <c r="AJ39" s="461">
        <v>0</v>
      </c>
      <c r="AK39" s="461">
        <v>0</v>
      </c>
      <c r="AL39" s="674">
        <v>0</v>
      </c>
      <c r="AM39" s="461">
        <v>0</v>
      </c>
      <c r="AN39" s="461">
        <v>0</v>
      </c>
      <c r="AO39" s="461">
        <v>0</v>
      </c>
      <c r="AP39" s="461">
        <f>AH39+AJ39+AK39+AM39+AN39</f>
        <v>0</v>
      </c>
      <c r="AQ39" s="461">
        <f>AI39+AL39+AO39</f>
        <v>0</v>
      </c>
      <c r="AR39" s="463">
        <f t="shared" ref="AR39:AR43" si="109">SUM(AP39:AQ39)</f>
        <v>0</v>
      </c>
      <c r="AS39" s="469">
        <f>I39+AG39</f>
        <v>21000667</v>
      </c>
      <c r="AT39" s="460">
        <f>J39+V39</f>
        <v>15235384</v>
      </c>
      <c r="AU39" s="460">
        <f t="shared" ref="AU39:AU43" si="110">Z39</f>
        <v>65000</v>
      </c>
      <c r="AV39" s="460">
        <f t="shared" ref="AV39:AW43" si="111">K39+AB39</f>
        <v>5171530</v>
      </c>
      <c r="AW39" s="460">
        <f t="shared" si="111"/>
        <v>152353</v>
      </c>
      <c r="AX39" s="460">
        <f>M39+AF39</f>
        <v>376400</v>
      </c>
      <c r="AY39" s="461">
        <f>N39+AR39</f>
        <v>26.890900000000002</v>
      </c>
      <c r="AZ39" s="461">
        <f t="shared" ref="AZ39:BA43" si="112">O39+AP39</f>
        <v>21.090900000000001</v>
      </c>
      <c r="BA39" s="463">
        <f t="shared" si="112"/>
        <v>5.8000000000000007</v>
      </c>
    </row>
    <row r="40" spans="1:53" ht="12.95" customHeight="1" x14ac:dyDescent="0.25">
      <c r="A40" s="299">
        <v>7</v>
      </c>
      <c r="B40" s="340">
        <v>5443</v>
      </c>
      <c r="C40" s="341">
        <v>600099237</v>
      </c>
      <c r="D40" s="300">
        <v>854841</v>
      </c>
      <c r="E40" s="342" t="s">
        <v>378</v>
      </c>
      <c r="F40" s="300">
        <v>3113</v>
      </c>
      <c r="G40" s="342" t="s">
        <v>315</v>
      </c>
      <c r="H40" s="303" t="s">
        <v>278</v>
      </c>
      <c r="I40" s="462">
        <f t="shared" si="99"/>
        <v>0</v>
      </c>
      <c r="J40" s="457">
        <v>0</v>
      </c>
      <c r="K40" s="457">
        <f t="shared" si="100"/>
        <v>0</v>
      </c>
      <c r="L40" s="457">
        <f t="shared" ref="L40:L43" si="113">ROUND(J40*1%,0)</f>
        <v>0</v>
      </c>
      <c r="M40" s="457">
        <v>0</v>
      </c>
      <c r="N40" s="458">
        <f t="shared" si="101"/>
        <v>0</v>
      </c>
      <c r="O40" s="459">
        <v>0</v>
      </c>
      <c r="P40" s="646">
        <v>0</v>
      </c>
      <c r="Q40" s="469">
        <f t="shared" si="102"/>
        <v>0</v>
      </c>
      <c r="R40" s="460">
        <f>1646810+19280</f>
        <v>1666090</v>
      </c>
      <c r="S40" s="673">
        <v>0</v>
      </c>
      <c r="T40" s="460">
        <v>0</v>
      </c>
      <c r="U40" s="460">
        <v>0</v>
      </c>
      <c r="V40" s="460">
        <f>SUM(Q40:U40)</f>
        <v>1666090</v>
      </c>
      <c r="W40" s="460">
        <v>0</v>
      </c>
      <c r="X40" s="460">
        <v>0</v>
      </c>
      <c r="Y40" s="460">
        <v>0</v>
      </c>
      <c r="Z40" s="460">
        <f t="shared" si="103"/>
        <v>0</v>
      </c>
      <c r="AA40" s="460">
        <f t="shared" si="104"/>
        <v>1666090</v>
      </c>
      <c r="AB40" s="69">
        <f t="shared" si="105"/>
        <v>563138</v>
      </c>
      <c r="AC40" s="69">
        <f t="shared" si="106"/>
        <v>16661</v>
      </c>
      <c r="AD40" s="460">
        <v>700</v>
      </c>
      <c r="AE40" s="460">
        <v>0</v>
      </c>
      <c r="AF40" s="460">
        <f t="shared" si="107"/>
        <v>700</v>
      </c>
      <c r="AG40" s="460">
        <f t="shared" si="108"/>
        <v>2246589</v>
      </c>
      <c r="AH40" s="461">
        <v>0</v>
      </c>
      <c r="AI40" s="461">
        <v>0</v>
      </c>
      <c r="AJ40" s="461">
        <f>4.25+0.12</f>
        <v>4.37</v>
      </c>
      <c r="AK40" s="461">
        <v>0</v>
      </c>
      <c r="AL40" s="674">
        <v>0</v>
      </c>
      <c r="AM40" s="461">
        <v>0</v>
      </c>
      <c r="AN40" s="461">
        <v>0</v>
      </c>
      <c r="AO40" s="461">
        <v>0</v>
      </c>
      <c r="AP40" s="461">
        <f>AH40+AJ40+AK40+AM40+AN40</f>
        <v>4.37</v>
      </c>
      <c r="AQ40" s="461">
        <f>AI40+AL40+AO40</f>
        <v>0</v>
      </c>
      <c r="AR40" s="463">
        <f t="shared" si="109"/>
        <v>4.37</v>
      </c>
      <c r="AS40" s="469">
        <f>I40+AG40</f>
        <v>2246589</v>
      </c>
      <c r="AT40" s="460">
        <f>J40+V40</f>
        <v>1666090</v>
      </c>
      <c r="AU40" s="460">
        <f t="shared" si="110"/>
        <v>0</v>
      </c>
      <c r="AV40" s="460">
        <f t="shared" si="111"/>
        <v>563138</v>
      </c>
      <c r="AW40" s="460">
        <f t="shared" si="111"/>
        <v>16661</v>
      </c>
      <c r="AX40" s="460">
        <f>M40+AF40</f>
        <v>700</v>
      </c>
      <c r="AY40" s="461">
        <f>N40+AR40</f>
        <v>4.37</v>
      </c>
      <c r="AZ40" s="461">
        <f t="shared" si="112"/>
        <v>4.37</v>
      </c>
      <c r="BA40" s="463">
        <f t="shared" si="112"/>
        <v>0</v>
      </c>
    </row>
    <row r="41" spans="1:53" ht="12.95" customHeight="1" x14ac:dyDescent="0.25">
      <c r="A41" s="299">
        <v>7</v>
      </c>
      <c r="B41" s="340">
        <v>5443</v>
      </c>
      <c r="C41" s="341">
        <v>600099237</v>
      </c>
      <c r="D41" s="300">
        <v>854841</v>
      </c>
      <c r="E41" s="342" t="s">
        <v>378</v>
      </c>
      <c r="F41" s="300">
        <v>3141</v>
      </c>
      <c r="G41" s="342" t="s">
        <v>311</v>
      </c>
      <c r="H41" s="303" t="s">
        <v>278</v>
      </c>
      <c r="I41" s="462">
        <f t="shared" si="99"/>
        <v>3651978</v>
      </c>
      <c r="J41" s="457">
        <v>2686309</v>
      </c>
      <c r="K41" s="457">
        <f t="shared" si="100"/>
        <v>907972</v>
      </c>
      <c r="L41" s="457">
        <f t="shared" si="113"/>
        <v>26863</v>
      </c>
      <c r="M41" s="457">
        <v>30834</v>
      </c>
      <c r="N41" s="458">
        <f t="shared" si="101"/>
        <v>8.6300000000000008</v>
      </c>
      <c r="O41" s="459">
        <v>0</v>
      </c>
      <c r="P41" s="646">
        <v>8.6300000000000008</v>
      </c>
      <c r="Q41" s="469">
        <f t="shared" si="102"/>
        <v>-13000</v>
      </c>
      <c r="R41" s="460">
        <v>0</v>
      </c>
      <c r="S41" s="673">
        <v>0</v>
      </c>
      <c r="T41" s="460">
        <v>0</v>
      </c>
      <c r="U41" s="460">
        <v>0</v>
      </c>
      <c r="V41" s="460">
        <f>SUM(Q41:U41)</f>
        <v>-13000</v>
      </c>
      <c r="W41" s="460">
        <v>13000</v>
      </c>
      <c r="X41" s="460">
        <v>0</v>
      </c>
      <c r="Y41" s="460">
        <v>0</v>
      </c>
      <c r="Z41" s="460">
        <f t="shared" si="103"/>
        <v>13000</v>
      </c>
      <c r="AA41" s="460">
        <f t="shared" si="104"/>
        <v>0</v>
      </c>
      <c r="AB41" s="69">
        <f t="shared" si="105"/>
        <v>0</v>
      </c>
      <c r="AC41" s="69">
        <f t="shared" si="106"/>
        <v>-130</v>
      </c>
      <c r="AD41" s="460">
        <v>0</v>
      </c>
      <c r="AE41" s="460">
        <v>0</v>
      </c>
      <c r="AF41" s="460">
        <f t="shared" si="107"/>
        <v>0</v>
      </c>
      <c r="AG41" s="460">
        <f t="shared" si="108"/>
        <v>-130</v>
      </c>
      <c r="AH41" s="461">
        <v>0</v>
      </c>
      <c r="AI41" s="461">
        <v>0</v>
      </c>
      <c r="AJ41" s="461">
        <v>0</v>
      </c>
      <c r="AK41" s="461">
        <v>0</v>
      </c>
      <c r="AL41" s="674">
        <v>0</v>
      </c>
      <c r="AM41" s="461">
        <v>0</v>
      </c>
      <c r="AN41" s="461">
        <v>0</v>
      </c>
      <c r="AO41" s="461">
        <v>0</v>
      </c>
      <c r="AP41" s="461">
        <f>AH41+AJ41+AK41+AM41+AN41</f>
        <v>0</v>
      </c>
      <c r="AQ41" s="461">
        <f>AI41+AL41+AO41</f>
        <v>0</v>
      </c>
      <c r="AR41" s="463">
        <f t="shared" si="109"/>
        <v>0</v>
      </c>
      <c r="AS41" s="469">
        <f>I41+AG41</f>
        <v>3651848</v>
      </c>
      <c r="AT41" s="460">
        <f>J41+V41</f>
        <v>2673309</v>
      </c>
      <c r="AU41" s="460">
        <f t="shared" si="110"/>
        <v>13000</v>
      </c>
      <c r="AV41" s="460">
        <f t="shared" si="111"/>
        <v>907972</v>
      </c>
      <c r="AW41" s="460">
        <f t="shared" si="111"/>
        <v>26733</v>
      </c>
      <c r="AX41" s="460">
        <f>M41+AF41</f>
        <v>30834</v>
      </c>
      <c r="AY41" s="461">
        <f>N41+AR41</f>
        <v>8.6300000000000008</v>
      </c>
      <c r="AZ41" s="461">
        <f t="shared" si="112"/>
        <v>0</v>
      </c>
      <c r="BA41" s="463">
        <f t="shared" si="112"/>
        <v>8.6300000000000008</v>
      </c>
    </row>
    <row r="42" spans="1:53" ht="12.95" customHeight="1" x14ac:dyDescent="0.25">
      <c r="A42" s="299">
        <v>7</v>
      </c>
      <c r="B42" s="340">
        <v>5443</v>
      </c>
      <c r="C42" s="341">
        <v>600099237</v>
      </c>
      <c r="D42" s="300">
        <v>854841</v>
      </c>
      <c r="E42" s="342" t="s">
        <v>378</v>
      </c>
      <c r="F42" s="300">
        <v>3143</v>
      </c>
      <c r="G42" s="342" t="s">
        <v>616</v>
      </c>
      <c r="H42" s="303" t="s">
        <v>277</v>
      </c>
      <c r="I42" s="462">
        <f t="shared" si="99"/>
        <v>1406452</v>
      </c>
      <c r="J42" s="457">
        <v>1043362</v>
      </c>
      <c r="K42" s="457">
        <f t="shared" si="100"/>
        <v>352656</v>
      </c>
      <c r="L42" s="457">
        <f t="shared" si="113"/>
        <v>10434</v>
      </c>
      <c r="M42" s="457">
        <v>0</v>
      </c>
      <c r="N42" s="458">
        <f t="shared" si="101"/>
        <v>2.1616</v>
      </c>
      <c r="O42" s="459">
        <v>2.1616</v>
      </c>
      <c r="P42" s="646">
        <v>0</v>
      </c>
      <c r="Q42" s="469">
        <f t="shared" si="102"/>
        <v>-6500</v>
      </c>
      <c r="R42" s="460">
        <v>0</v>
      </c>
      <c r="S42" s="673">
        <v>0</v>
      </c>
      <c r="T42" s="460">
        <v>0</v>
      </c>
      <c r="U42" s="460">
        <v>0</v>
      </c>
      <c r="V42" s="460">
        <f>SUM(Q42:U42)</f>
        <v>-6500</v>
      </c>
      <c r="W42" s="460">
        <v>6500</v>
      </c>
      <c r="X42" s="460">
        <v>0</v>
      </c>
      <c r="Y42" s="460">
        <v>0</v>
      </c>
      <c r="Z42" s="460">
        <f t="shared" si="103"/>
        <v>6500</v>
      </c>
      <c r="AA42" s="460">
        <f t="shared" si="104"/>
        <v>0</v>
      </c>
      <c r="AB42" s="69">
        <f t="shared" si="105"/>
        <v>0</v>
      </c>
      <c r="AC42" s="69">
        <f t="shared" si="106"/>
        <v>-65</v>
      </c>
      <c r="AD42" s="460">
        <v>0</v>
      </c>
      <c r="AE42" s="460">
        <v>0</v>
      </c>
      <c r="AF42" s="460">
        <f t="shared" si="107"/>
        <v>0</v>
      </c>
      <c r="AG42" s="460">
        <f t="shared" si="108"/>
        <v>-65</v>
      </c>
      <c r="AH42" s="461">
        <v>-0.01</v>
      </c>
      <c r="AI42" s="461">
        <v>0</v>
      </c>
      <c r="AJ42" s="461">
        <v>0</v>
      </c>
      <c r="AK42" s="461">
        <v>0</v>
      </c>
      <c r="AL42" s="674">
        <v>0</v>
      </c>
      <c r="AM42" s="461">
        <v>0</v>
      </c>
      <c r="AN42" s="461">
        <v>0</v>
      </c>
      <c r="AO42" s="461">
        <v>0</v>
      </c>
      <c r="AP42" s="461">
        <f>AH42+AJ42+AK42+AM42+AN42</f>
        <v>-0.01</v>
      </c>
      <c r="AQ42" s="461">
        <f>AI42+AL42+AO42</f>
        <v>0</v>
      </c>
      <c r="AR42" s="463">
        <f t="shared" si="109"/>
        <v>-0.01</v>
      </c>
      <c r="AS42" s="469">
        <f>I42+AG42</f>
        <v>1406387</v>
      </c>
      <c r="AT42" s="460">
        <f>J42+V42</f>
        <v>1036862</v>
      </c>
      <c r="AU42" s="460">
        <f t="shared" si="110"/>
        <v>6500</v>
      </c>
      <c r="AV42" s="460">
        <f t="shared" si="111"/>
        <v>352656</v>
      </c>
      <c r="AW42" s="460">
        <f t="shared" si="111"/>
        <v>10369</v>
      </c>
      <c r="AX42" s="460">
        <f>M42+AF42</f>
        <v>0</v>
      </c>
      <c r="AY42" s="461">
        <f>N42+AR42</f>
        <v>2.1516000000000002</v>
      </c>
      <c r="AZ42" s="461">
        <f t="shared" si="112"/>
        <v>2.1516000000000002</v>
      </c>
      <c r="BA42" s="463">
        <f t="shared" si="112"/>
        <v>0</v>
      </c>
    </row>
    <row r="43" spans="1:53" ht="12.95" customHeight="1" x14ac:dyDescent="0.25">
      <c r="A43" s="299">
        <v>7</v>
      </c>
      <c r="B43" s="340">
        <v>5443</v>
      </c>
      <c r="C43" s="341">
        <v>600099237</v>
      </c>
      <c r="D43" s="300">
        <v>854841</v>
      </c>
      <c r="E43" s="342" t="s">
        <v>378</v>
      </c>
      <c r="F43" s="300">
        <v>3143</v>
      </c>
      <c r="G43" s="342" t="s">
        <v>617</v>
      </c>
      <c r="H43" s="303" t="s">
        <v>278</v>
      </c>
      <c r="I43" s="462">
        <f t="shared" si="99"/>
        <v>52043</v>
      </c>
      <c r="J43" s="457">
        <v>37185</v>
      </c>
      <c r="K43" s="457">
        <f t="shared" si="100"/>
        <v>12569</v>
      </c>
      <c r="L43" s="457">
        <f t="shared" si="113"/>
        <v>372</v>
      </c>
      <c r="M43" s="457">
        <v>1917</v>
      </c>
      <c r="N43" s="458">
        <f t="shared" si="101"/>
        <v>0.15</v>
      </c>
      <c r="O43" s="459">
        <v>0</v>
      </c>
      <c r="P43" s="646">
        <v>0.15</v>
      </c>
      <c r="Q43" s="469">
        <f t="shared" si="102"/>
        <v>0</v>
      </c>
      <c r="R43" s="460">
        <v>0</v>
      </c>
      <c r="S43" s="673">
        <v>0</v>
      </c>
      <c r="T43" s="460">
        <v>0</v>
      </c>
      <c r="U43" s="460">
        <v>0</v>
      </c>
      <c r="V43" s="460">
        <f>SUM(Q43:U43)</f>
        <v>0</v>
      </c>
      <c r="W43" s="460">
        <v>0</v>
      </c>
      <c r="X43" s="460">
        <v>0</v>
      </c>
      <c r="Y43" s="460">
        <v>0</v>
      </c>
      <c r="Z43" s="460">
        <f t="shared" si="103"/>
        <v>0</v>
      </c>
      <c r="AA43" s="460">
        <f t="shared" si="104"/>
        <v>0</v>
      </c>
      <c r="AB43" s="69">
        <f t="shared" si="105"/>
        <v>0</v>
      </c>
      <c r="AC43" s="69">
        <f t="shared" si="106"/>
        <v>0</v>
      </c>
      <c r="AD43" s="460">
        <v>0</v>
      </c>
      <c r="AE43" s="460">
        <v>0</v>
      </c>
      <c r="AF43" s="460">
        <f t="shared" si="107"/>
        <v>0</v>
      </c>
      <c r="AG43" s="460">
        <f t="shared" si="108"/>
        <v>0</v>
      </c>
      <c r="AH43" s="461">
        <v>0</v>
      </c>
      <c r="AI43" s="461">
        <v>0</v>
      </c>
      <c r="AJ43" s="461">
        <v>0</v>
      </c>
      <c r="AK43" s="461">
        <v>0</v>
      </c>
      <c r="AL43" s="674">
        <v>0</v>
      </c>
      <c r="AM43" s="461">
        <v>0</v>
      </c>
      <c r="AN43" s="461">
        <v>0</v>
      </c>
      <c r="AO43" s="461">
        <v>0</v>
      </c>
      <c r="AP43" s="461">
        <f>AH43+AJ43+AK43+AM43+AN43</f>
        <v>0</v>
      </c>
      <c r="AQ43" s="461">
        <f>AI43+AL43+AO43</f>
        <v>0</v>
      </c>
      <c r="AR43" s="463">
        <f t="shared" si="109"/>
        <v>0</v>
      </c>
      <c r="AS43" s="469">
        <f>I43+AG43</f>
        <v>52043</v>
      </c>
      <c r="AT43" s="460">
        <f>J43+V43</f>
        <v>37185</v>
      </c>
      <c r="AU43" s="460">
        <f t="shared" si="110"/>
        <v>0</v>
      </c>
      <c r="AV43" s="460">
        <f t="shared" si="111"/>
        <v>12569</v>
      </c>
      <c r="AW43" s="460">
        <f t="shared" si="111"/>
        <v>372</v>
      </c>
      <c r="AX43" s="460">
        <f>M43+AF43</f>
        <v>1917</v>
      </c>
      <c r="AY43" s="461">
        <f>N43+AR43</f>
        <v>0.15</v>
      </c>
      <c r="AZ43" s="461">
        <f t="shared" si="112"/>
        <v>0</v>
      </c>
      <c r="BA43" s="463">
        <f t="shared" si="112"/>
        <v>0.15</v>
      </c>
    </row>
    <row r="44" spans="1:53" ht="12.95" customHeight="1" x14ac:dyDescent="0.25">
      <c r="A44" s="343">
        <v>7</v>
      </c>
      <c r="B44" s="344">
        <v>5443</v>
      </c>
      <c r="C44" s="351">
        <v>600099237</v>
      </c>
      <c r="D44" s="344">
        <v>854841</v>
      </c>
      <c r="E44" s="346" t="s">
        <v>379</v>
      </c>
      <c r="F44" s="310"/>
      <c r="G44" s="348"/>
      <c r="H44" s="311"/>
      <c r="I44" s="553">
        <f t="shared" ref="I44:P44" si="114">SUM(I39:I43)</f>
        <v>26111790</v>
      </c>
      <c r="J44" s="550">
        <f t="shared" si="114"/>
        <v>19067240</v>
      </c>
      <c r="K44" s="550">
        <f t="shared" si="114"/>
        <v>6444727</v>
      </c>
      <c r="L44" s="550">
        <f t="shared" si="114"/>
        <v>190672</v>
      </c>
      <c r="M44" s="550">
        <f t="shared" si="114"/>
        <v>409151</v>
      </c>
      <c r="N44" s="551">
        <f t="shared" si="114"/>
        <v>37.832500000000003</v>
      </c>
      <c r="O44" s="551">
        <f t="shared" si="114"/>
        <v>23.252500000000001</v>
      </c>
      <c r="P44" s="352">
        <f t="shared" si="114"/>
        <v>14.580000000000002</v>
      </c>
      <c r="Q44" s="555">
        <f t="shared" ref="Q44:BA44" si="115">SUM(Q39:Q43)</f>
        <v>-84500</v>
      </c>
      <c r="R44" s="548">
        <f t="shared" si="115"/>
        <v>1666090</v>
      </c>
      <c r="S44" s="550">
        <f t="shared" si="115"/>
        <v>0</v>
      </c>
      <c r="T44" s="550">
        <f t="shared" si="115"/>
        <v>0</v>
      </c>
      <c r="U44" s="550">
        <f t="shared" si="115"/>
        <v>0</v>
      </c>
      <c r="V44" s="550">
        <f t="shared" si="115"/>
        <v>1581590</v>
      </c>
      <c r="W44" s="550">
        <f t="shared" si="115"/>
        <v>84500</v>
      </c>
      <c r="X44" s="550">
        <f t="shared" si="115"/>
        <v>0</v>
      </c>
      <c r="Y44" s="550">
        <f t="shared" si="115"/>
        <v>0</v>
      </c>
      <c r="Z44" s="550">
        <f t="shared" si="115"/>
        <v>84500</v>
      </c>
      <c r="AA44" s="550">
        <f t="shared" si="115"/>
        <v>1666090</v>
      </c>
      <c r="AB44" s="550">
        <f t="shared" si="115"/>
        <v>563138</v>
      </c>
      <c r="AC44" s="550">
        <f t="shared" si="115"/>
        <v>15816</v>
      </c>
      <c r="AD44" s="550">
        <f t="shared" si="115"/>
        <v>700</v>
      </c>
      <c r="AE44" s="550">
        <f t="shared" si="115"/>
        <v>0</v>
      </c>
      <c r="AF44" s="550">
        <f t="shared" si="115"/>
        <v>700</v>
      </c>
      <c r="AG44" s="550">
        <f t="shared" si="115"/>
        <v>2245744</v>
      </c>
      <c r="AH44" s="551">
        <f t="shared" si="115"/>
        <v>-0.01</v>
      </c>
      <c r="AI44" s="551">
        <f t="shared" si="115"/>
        <v>0</v>
      </c>
      <c r="AJ44" s="551">
        <f t="shared" si="115"/>
        <v>4.37</v>
      </c>
      <c r="AK44" s="551">
        <f t="shared" si="115"/>
        <v>0</v>
      </c>
      <c r="AL44" s="551">
        <f t="shared" si="115"/>
        <v>0</v>
      </c>
      <c r="AM44" s="551">
        <f t="shared" si="115"/>
        <v>0</v>
      </c>
      <c r="AN44" s="551">
        <f t="shared" si="115"/>
        <v>0</v>
      </c>
      <c r="AO44" s="551">
        <f t="shared" si="115"/>
        <v>0</v>
      </c>
      <c r="AP44" s="551">
        <f t="shared" si="115"/>
        <v>4.3600000000000003</v>
      </c>
      <c r="AQ44" s="551">
        <f t="shared" si="115"/>
        <v>0</v>
      </c>
      <c r="AR44" s="352">
        <f t="shared" si="115"/>
        <v>4.3600000000000003</v>
      </c>
      <c r="AS44" s="555">
        <f t="shared" si="115"/>
        <v>28357534</v>
      </c>
      <c r="AT44" s="550">
        <f t="shared" si="115"/>
        <v>20648830</v>
      </c>
      <c r="AU44" s="550">
        <f t="shared" si="115"/>
        <v>84500</v>
      </c>
      <c r="AV44" s="550">
        <f t="shared" si="115"/>
        <v>7007865</v>
      </c>
      <c r="AW44" s="550">
        <f t="shared" si="115"/>
        <v>206488</v>
      </c>
      <c r="AX44" s="550">
        <f t="shared" si="115"/>
        <v>409851</v>
      </c>
      <c r="AY44" s="551">
        <f t="shared" si="115"/>
        <v>42.192500000000003</v>
      </c>
      <c r="AZ44" s="551">
        <f t="shared" si="115"/>
        <v>27.612500000000004</v>
      </c>
      <c r="BA44" s="352">
        <f t="shared" si="115"/>
        <v>14.580000000000002</v>
      </c>
    </row>
    <row r="45" spans="1:53" ht="12.95" customHeight="1" x14ac:dyDescent="0.25">
      <c r="A45" s="299">
        <v>8</v>
      </c>
      <c r="B45" s="340">
        <v>5445</v>
      </c>
      <c r="C45" s="341">
        <v>600099351</v>
      </c>
      <c r="D45" s="300">
        <v>70155771</v>
      </c>
      <c r="E45" s="342" t="s">
        <v>380</v>
      </c>
      <c r="F45" s="300">
        <v>3113</v>
      </c>
      <c r="G45" s="342" t="s">
        <v>325</v>
      </c>
      <c r="H45" s="303" t="s">
        <v>277</v>
      </c>
      <c r="I45" s="462">
        <f t="shared" ref="I45:I50" si="116">SUM(J45:M45)</f>
        <v>25082836</v>
      </c>
      <c r="J45" s="457">
        <v>18218190</v>
      </c>
      <c r="K45" s="457">
        <f>ROUND(J45*33.8%,0)+1</f>
        <v>6157749</v>
      </c>
      <c r="L45" s="457">
        <f t="shared" ref="L45:L50" si="117">ROUND(J45*1%,0)</f>
        <v>182182</v>
      </c>
      <c r="M45" s="457">
        <v>524715</v>
      </c>
      <c r="N45" s="458">
        <f t="shared" ref="N45:N50" si="118">O45+P45</f>
        <v>30.4115</v>
      </c>
      <c r="O45" s="459">
        <v>23.6815</v>
      </c>
      <c r="P45" s="646">
        <v>6.73</v>
      </c>
      <c r="Q45" s="469">
        <f t="shared" ref="Q45:Q50" si="119">W45*-1</f>
        <v>-9750</v>
      </c>
      <c r="R45" s="460">
        <v>0</v>
      </c>
      <c r="S45" s="673">
        <v>0</v>
      </c>
      <c r="T45" s="460">
        <v>0</v>
      </c>
      <c r="U45" s="460">
        <v>0</v>
      </c>
      <c r="V45" s="460">
        <f t="shared" ref="V45:V50" si="120">SUM(Q45:U45)</f>
        <v>-9750</v>
      </c>
      <c r="W45" s="460">
        <v>9750</v>
      </c>
      <c r="X45" s="460">
        <v>173320</v>
      </c>
      <c r="Y45" s="460">
        <v>0</v>
      </c>
      <c r="Z45" s="460">
        <f t="shared" ref="Z45:Z50" si="121">SUM(W45:Y45)</f>
        <v>183070</v>
      </c>
      <c r="AA45" s="460">
        <f t="shared" ref="AA45:AA50" si="122">V45+Z45</f>
        <v>173320</v>
      </c>
      <c r="AB45" s="69">
        <f t="shared" ref="AB45:AB50" si="123">ROUND((V45+W45+X45)*33.8%,0)</f>
        <v>58582</v>
      </c>
      <c r="AC45" s="69">
        <f t="shared" ref="AC45:AC50" si="124">ROUND(V45*1%,0)</f>
        <v>-98</v>
      </c>
      <c r="AD45" s="460">
        <v>0</v>
      </c>
      <c r="AE45" s="460">
        <v>0</v>
      </c>
      <c r="AF45" s="460">
        <f t="shared" ref="AF45:AF50" si="125">SUM(AD45:AE45)</f>
        <v>0</v>
      </c>
      <c r="AG45" s="460">
        <f t="shared" ref="AG45:AG50" si="126">AA45+AB45+AC45+AF45</f>
        <v>231804</v>
      </c>
      <c r="AH45" s="461">
        <v>0</v>
      </c>
      <c r="AI45" s="461">
        <v>-0.03</v>
      </c>
      <c r="AJ45" s="461">
        <v>0</v>
      </c>
      <c r="AK45" s="461">
        <v>0</v>
      </c>
      <c r="AL45" s="674">
        <v>0</v>
      </c>
      <c r="AM45" s="461">
        <v>0</v>
      </c>
      <c r="AN45" s="461">
        <v>0</v>
      </c>
      <c r="AO45" s="461">
        <v>0</v>
      </c>
      <c r="AP45" s="461">
        <f t="shared" ref="AP45:AP50" si="127">AH45+AJ45+AK45+AM45+AN45</f>
        <v>0</v>
      </c>
      <c r="AQ45" s="461">
        <f t="shared" ref="AQ45:AQ50" si="128">AI45+AL45+AO45</f>
        <v>-0.03</v>
      </c>
      <c r="AR45" s="463">
        <f t="shared" ref="AR45:AR50" si="129">SUM(AP45:AQ45)</f>
        <v>-0.03</v>
      </c>
      <c r="AS45" s="469">
        <f t="shared" ref="AS45:AS50" si="130">I45+AG45</f>
        <v>25314640</v>
      </c>
      <c r="AT45" s="460">
        <f t="shared" ref="AT45:AT50" si="131">J45+V45</f>
        <v>18208440</v>
      </c>
      <c r="AU45" s="460">
        <f t="shared" ref="AU45:AU50" si="132">Z45</f>
        <v>183070</v>
      </c>
      <c r="AV45" s="460">
        <f t="shared" ref="AV45:AW50" si="133">K45+AB45</f>
        <v>6216331</v>
      </c>
      <c r="AW45" s="460">
        <f t="shared" si="133"/>
        <v>182084</v>
      </c>
      <c r="AX45" s="460">
        <f t="shared" ref="AX45:AX50" si="134">M45+AF45</f>
        <v>524715</v>
      </c>
      <c r="AY45" s="461">
        <f t="shared" ref="AY45:AY50" si="135">N45+AR45</f>
        <v>30.381499999999999</v>
      </c>
      <c r="AZ45" s="461">
        <f t="shared" ref="AZ45:BA50" si="136">O45+AP45</f>
        <v>23.6815</v>
      </c>
      <c r="BA45" s="463">
        <f t="shared" si="136"/>
        <v>6.7</v>
      </c>
    </row>
    <row r="46" spans="1:53" ht="12.95" customHeight="1" x14ac:dyDescent="0.25">
      <c r="A46" s="299">
        <v>8</v>
      </c>
      <c r="B46" s="340">
        <v>5445</v>
      </c>
      <c r="C46" s="341">
        <v>600099351</v>
      </c>
      <c r="D46" s="300">
        <v>70155771</v>
      </c>
      <c r="E46" s="342" t="s">
        <v>380</v>
      </c>
      <c r="F46" s="300">
        <v>3113</v>
      </c>
      <c r="G46" s="342" t="s">
        <v>315</v>
      </c>
      <c r="H46" s="303" t="s">
        <v>278</v>
      </c>
      <c r="I46" s="462">
        <f t="shared" si="116"/>
        <v>0</v>
      </c>
      <c r="J46" s="457">
        <v>0</v>
      </c>
      <c r="K46" s="457">
        <f t="shared" ref="K46:K50" si="137">ROUND(J46*33.8%,0)</f>
        <v>0</v>
      </c>
      <c r="L46" s="457">
        <f t="shared" si="117"/>
        <v>0</v>
      </c>
      <c r="M46" s="457">
        <v>0</v>
      </c>
      <c r="N46" s="458">
        <f t="shared" si="118"/>
        <v>0</v>
      </c>
      <c r="O46" s="459">
        <v>0</v>
      </c>
      <c r="P46" s="646">
        <v>0</v>
      </c>
      <c r="Q46" s="469">
        <f t="shared" si="119"/>
        <v>0</v>
      </c>
      <c r="R46" s="460">
        <v>868560</v>
      </c>
      <c r="S46" s="673">
        <v>0</v>
      </c>
      <c r="T46" s="460">
        <v>0</v>
      </c>
      <c r="U46" s="460">
        <v>0</v>
      </c>
      <c r="V46" s="460">
        <f t="shared" si="120"/>
        <v>868560</v>
      </c>
      <c r="W46" s="460">
        <v>0</v>
      </c>
      <c r="X46" s="460">
        <v>0</v>
      </c>
      <c r="Y46" s="460">
        <v>0</v>
      </c>
      <c r="Z46" s="460">
        <f t="shared" si="121"/>
        <v>0</v>
      </c>
      <c r="AA46" s="460">
        <f t="shared" si="122"/>
        <v>868560</v>
      </c>
      <c r="AB46" s="69">
        <f t="shared" si="123"/>
        <v>293573</v>
      </c>
      <c r="AC46" s="69">
        <f t="shared" si="124"/>
        <v>8686</v>
      </c>
      <c r="AD46" s="460">
        <v>2100</v>
      </c>
      <c r="AE46" s="460">
        <v>0</v>
      </c>
      <c r="AF46" s="460">
        <f t="shared" si="125"/>
        <v>2100</v>
      </c>
      <c r="AG46" s="460">
        <f t="shared" si="126"/>
        <v>1172919</v>
      </c>
      <c r="AH46" s="461">
        <v>0</v>
      </c>
      <c r="AI46" s="461">
        <v>0</v>
      </c>
      <c r="AJ46" s="461">
        <v>2.29</v>
      </c>
      <c r="AK46" s="461">
        <v>0</v>
      </c>
      <c r="AL46" s="674">
        <v>0</v>
      </c>
      <c r="AM46" s="461">
        <v>0</v>
      </c>
      <c r="AN46" s="461">
        <v>0</v>
      </c>
      <c r="AO46" s="461">
        <v>0</v>
      </c>
      <c r="AP46" s="461">
        <f t="shared" si="127"/>
        <v>2.29</v>
      </c>
      <c r="AQ46" s="461">
        <f t="shared" si="128"/>
        <v>0</v>
      </c>
      <c r="AR46" s="463">
        <f t="shared" si="129"/>
        <v>2.29</v>
      </c>
      <c r="AS46" s="469">
        <f t="shared" si="130"/>
        <v>1172919</v>
      </c>
      <c r="AT46" s="460">
        <f t="shared" si="131"/>
        <v>868560</v>
      </c>
      <c r="AU46" s="460">
        <f t="shared" si="132"/>
        <v>0</v>
      </c>
      <c r="AV46" s="460">
        <f t="shared" si="133"/>
        <v>293573</v>
      </c>
      <c r="AW46" s="460">
        <f t="shared" si="133"/>
        <v>8686</v>
      </c>
      <c r="AX46" s="460">
        <f t="shared" si="134"/>
        <v>2100</v>
      </c>
      <c r="AY46" s="461">
        <f t="shared" si="135"/>
        <v>2.29</v>
      </c>
      <c r="AZ46" s="461">
        <f t="shared" si="136"/>
        <v>2.29</v>
      </c>
      <c r="BA46" s="463">
        <f t="shared" si="136"/>
        <v>0</v>
      </c>
    </row>
    <row r="47" spans="1:53" ht="12.95" customHeight="1" x14ac:dyDescent="0.25">
      <c r="A47" s="299">
        <v>8</v>
      </c>
      <c r="B47" s="340">
        <v>5445</v>
      </c>
      <c r="C47" s="341">
        <v>600099351</v>
      </c>
      <c r="D47" s="300">
        <v>70155771</v>
      </c>
      <c r="E47" s="342" t="s">
        <v>380</v>
      </c>
      <c r="F47" s="300">
        <v>3141</v>
      </c>
      <c r="G47" s="342" t="s">
        <v>311</v>
      </c>
      <c r="H47" s="303" t="s">
        <v>278</v>
      </c>
      <c r="I47" s="462">
        <f t="shared" si="116"/>
        <v>1293006</v>
      </c>
      <c r="J47" s="457">
        <v>952414</v>
      </c>
      <c r="K47" s="457">
        <f t="shared" si="137"/>
        <v>321916</v>
      </c>
      <c r="L47" s="457">
        <f t="shared" si="117"/>
        <v>9524</v>
      </c>
      <c r="M47" s="457">
        <v>9152</v>
      </c>
      <c r="N47" s="458">
        <f t="shared" si="118"/>
        <v>3.06</v>
      </c>
      <c r="O47" s="459">
        <v>0</v>
      </c>
      <c r="P47" s="646">
        <v>3.06</v>
      </c>
      <c r="Q47" s="469">
        <f t="shared" si="119"/>
        <v>0</v>
      </c>
      <c r="R47" s="460">
        <v>0</v>
      </c>
      <c r="S47" s="673">
        <v>0</v>
      </c>
      <c r="T47" s="460">
        <v>0</v>
      </c>
      <c r="U47" s="460">
        <v>0</v>
      </c>
      <c r="V47" s="460">
        <f t="shared" si="120"/>
        <v>0</v>
      </c>
      <c r="W47" s="460">
        <v>0</v>
      </c>
      <c r="X47" s="460">
        <v>0</v>
      </c>
      <c r="Y47" s="460">
        <v>0</v>
      </c>
      <c r="Z47" s="460">
        <f t="shared" si="121"/>
        <v>0</v>
      </c>
      <c r="AA47" s="460">
        <f t="shared" si="122"/>
        <v>0</v>
      </c>
      <c r="AB47" s="69">
        <f t="shared" si="123"/>
        <v>0</v>
      </c>
      <c r="AC47" s="69">
        <f t="shared" si="124"/>
        <v>0</v>
      </c>
      <c r="AD47" s="460">
        <v>0</v>
      </c>
      <c r="AE47" s="460">
        <v>0</v>
      </c>
      <c r="AF47" s="460">
        <f t="shared" si="125"/>
        <v>0</v>
      </c>
      <c r="AG47" s="460">
        <f t="shared" si="126"/>
        <v>0</v>
      </c>
      <c r="AH47" s="461">
        <v>0</v>
      </c>
      <c r="AI47" s="461">
        <v>0</v>
      </c>
      <c r="AJ47" s="461">
        <v>0</v>
      </c>
      <c r="AK47" s="461">
        <v>0</v>
      </c>
      <c r="AL47" s="674">
        <v>0</v>
      </c>
      <c r="AM47" s="461">
        <v>0</v>
      </c>
      <c r="AN47" s="461">
        <v>0</v>
      </c>
      <c r="AO47" s="461">
        <v>0</v>
      </c>
      <c r="AP47" s="461">
        <f t="shared" si="127"/>
        <v>0</v>
      </c>
      <c r="AQ47" s="461">
        <f t="shared" si="128"/>
        <v>0</v>
      </c>
      <c r="AR47" s="463">
        <f t="shared" si="129"/>
        <v>0</v>
      </c>
      <c r="AS47" s="469">
        <f t="shared" si="130"/>
        <v>1293006</v>
      </c>
      <c r="AT47" s="460">
        <f t="shared" si="131"/>
        <v>952414</v>
      </c>
      <c r="AU47" s="460">
        <f t="shared" si="132"/>
        <v>0</v>
      </c>
      <c r="AV47" s="460">
        <f t="shared" si="133"/>
        <v>321916</v>
      </c>
      <c r="AW47" s="460">
        <f t="shared" si="133"/>
        <v>9524</v>
      </c>
      <c r="AX47" s="460">
        <f t="shared" si="134"/>
        <v>9152</v>
      </c>
      <c r="AY47" s="461">
        <f t="shared" si="135"/>
        <v>3.06</v>
      </c>
      <c r="AZ47" s="461">
        <f t="shared" si="136"/>
        <v>0</v>
      </c>
      <c r="BA47" s="463">
        <f t="shared" si="136"/>
        <v>3.06</v>
      </c>
    </row>
    <row r="48" spans="1:53" ht="12.95" customHeight="1" x14ac:dyDescent="0.25">
      <c r="A48" s="299">
        <v>8</v>
      </c>
      <c r="B48" s="340">
        <v>5445</v>
      </c>
      <c r="C48" s="341">
        <v>600099351</v>
      </c>
      <c r="D48" s="300">
        <v>70155771</v>
      </c>
      <c r="E48" s="342" t="s">
        <v>380</v>
      </c>
      <c r="F48" s="300">
        <v>3143</v>
      </c>
      <c r="G48" s="342" t="s">
        <v>616</v>
      </c>
      <c r="H48" s="303" t="s">
        <v>277</v>
      </c>
      <c r="I48" s="462">
        <f t="shared" si="116"/>
        <v>1797775</v>
      </c>
      <c r="J48" s="457">
        <v>1333661</v>
      </c>
      <c r="K48" s="457">
        <f t="shared" si="137"/>
        <v>450777</v>
      </c>
      <c r="L48" s="457">
        <f t="shared" si="117"/>
        <v>13337</v>
      </c>
      <c r="M48" s="457">
        <v>0</v>
      </c>
      <c r="N48" s="458">
        <f t="shared" si="118"/>
        <v>2.7585999999999999</v>
      </c>
      <c r="O48" s="459">
        <v>2.7585999999999999</v>
      </c>
      <c r="P48" s="646">
        <v>0</v>
      </c>
      <c r="Q48" s="469">
        <f t="shared" si="119"/>
        <v>0</v>
      </c>
      <c r="R48" s="460">
        <v>0</v>
      </c>
      <c r="S48" s="673">
        <v>0</v>
      </c>
      <c r="T48" s="460">
        <v>0</v>
      </c>
      <c r="U48" s="460">
        <v>0</v>
      </c>
      <c r="V48" s="460">
        <f t="shared" si="120"/>
        <v>0</v>
      </c>
      <c r="W48" s="460">
        <v>0</v>
      </c>
      <c r="X48" s="460">
        <v>0</v>
      </c>
      <c r="Y48" s="460">
        <v>0</v>
      </c>
      <c r="Z48" s="460">
        <f t="shared" si="121"/>
        <v>0</v>
      </c>
      <c r="AA48" s="460">
        <f t="shared" si="122"/>
        <v>0</v>
      </c>
      <c r="AB48" s="69">
        <f t="shared" si="123"/>
        <v>0</v>
      </c>
      <c r="AC48" s="69">
        <f t="shared" si="124"/>
        <v>0</v>
      </c>
      <c r="AD48" s="460">
        <v>0</v>
      </c>
      <c r="AE48" s="460">
        <v>0</v>
      </c>
      <c r="AF48" s="460">
        <f t="shared" si="125"/>
        <v>0</v>
      </c>
      <c r="AG48" s="460">
        <f t="shared" si="126"/>
        <v>0</v>
      </c>
      <c r="AH48" s="461">
        <v>0</v>
      </c>
      <c r="AI48" s="461">
        <v>0</v>
      </c>
      <c r="AJ48" s="461">
        <v>0</v>
      </c>
      <c r="AK48" s="461">
        <v>0</v>
      </c>
      <c r="AL48" s="674">
        <v>0</v>
      </c>
      <c r="AM48" s="461">
        <v>0</v>
      </c>
      <c r="AN48" s="461">
        <v>0</v>
      </c>
      <c r="AO48" s="461">
        <v>0</v>
      </c>
      <c r="AP48" s="461">
        <f t="shared" si="127"/>
        <v>0</v>
      </c>
      <c r="AQ48" s="461">
        <f t="shared" si="128"/>
        <v>0</v>
      </c>
      <c r="AR48" s="463">
        <f t="shared" si="129"/>
        <v>0</v>
      </c>
      <c r="AS48" s="469">
        <f t="shared" si="130"/>
        <v>1797775</v>
      </c>
      <c r="AT48" s="460">
        <f t="shared" si="131"/>
        <v>1333661</v>
      </c>
      <c r="AU48" s="460">
        <f t="shared" si="132"/>
        <v>0</v>
      </c>
      <c r="AV48" s="460">
        <f t="shared" si="133"/>
        <v>450777</v>
      </c>
      <c r="AW48" s="460">
        <f t="shared" si="133"/>
        <v>13337</v>
      </c>
      <c r="AX48" s="460">
        <f t="shared" si="134"/>
        <v>0</v>
      </c>
      <c r="AY48" s="461">
        <f t="shared" si="135"/>
        <v>2.7585999999999999</v>
      </c>
      <c r="AZ48" s="461">
        <f t="shared" si="136"/>
        <v>2.7585999999999999</v>
      </c>
      <c r="BA48" s="463">
        <f t="shared" si="136"/>
        <v>0</v>
      </c>
    </row>
    <row r="49" spans="1:53" ht="12.95" customHeight="1" x14ac:dyDescent="0.25">
      <c r="A49" s="299">
        <v>8</v>
      </c>
      <c r="B49" s="340">
        <v>5445</v>
      </c>
      <c r="C49" s="341">
        <v>600099351</v>
      </c>
      <c r="D49" s="300">
        <v>70155771</v>
      </c>
      <c r="E49" s="342" t="s">
        <v>380</v>
      </c>
      <c r="F49" s="300">
        <v>3143</v>
      </c>
      <c r="G49" s="342" t="s">
        <v>617</v>
      </c>
      <c r="H49" s="303" t="s">
        <v>278</v>
      </c>
      <c r="I49" s="462">
        <f t="shared" si="116"/>
        <v>61572</v>
      </c>
      <c r="J49" s="457">
        <v>43994</v>
      </c>
      <c r="K49" s="457">
        <f t="shared" si="137"/>
        <v>14870</v>
      </c>
      <c r="L49" s="457">
        <f t="shared" si="117"/>
        <v>440</v>
      </c>
      <c r="M49" s="457">
        <v>2268</v>
      </c>
      <c r="N49" s="458">
        <f t="shared" si="118"/>
        <v>0.18</v>
      </c>
      <c r="O49" s="459">
        <v>0</v>
      </c>
      <c r="P49" s="646">
        <v>0.18</v>
      </c>
      <c r="Q49" s="469">
        <f t="shared" si="119"/>
        <v>0</v>
      </c>
      <c r="R49" s="460">
        <v>0</v>
      </c>
      <c r="S49" s="673">
        <v>0</v>
      </c>
      <c r="T49" s="460">
        <v>0</v>
      </c>
      <c r="U49" s="460">
        <v>0</v>
      </c>
      <c r="V49" s="460">
        <f t="shared" si="120"/>
        <v>0</v>
      </c>
      <c r="W49" s="460">
        <v>0</v>
      </c>
      <c r="X49" s="460">
        <v>0</v>
      </c>
      <c r="Y49" s="460">
        <v>0</v>
      </c>
      <c r="Z49" s="460">
        <f t="shared" si="121"/>
        <v>0</v>
      </c>
      <c r="AA49" s="460">
        <f t="shared" si="122"/>
        <v>0</v>
      </c>
      <c r="AB49" s="69">
        <f t="shared" si="123"/>
        <v>0</v>
      </c>
      <c r="AC49" s="69">
        <f t="shared" si="124"/>
        <v>0</v>
      </c>
      <c r="AD49" s="460">
        <v>0</v>
      </c>
      <c r="AE49" s="460">
        <v>0</v>
      </c>
      <c r="AF49" s="460">
        <f t="shared" si="125"/>
        <v>0</v>
      </c>
      <c r="AG49" s="460">
        <f t="shared" si="126"/>
        <v>0</v>
      </c>
      <c r="AH49" s="461">
        <v>0</v>
      </c>
      <c r="AI49" s="461">
        <v>0</v>
      </c>
      <c r="AJ49" s="461">
        <v>0</v>
      </c>
      <c r="AK49" s="461">
        <v>0</v>
      </c>
      <c r="AL49" s="674">
        <v>0</v>
      </c>
      <c r="AM49" s="461">
        <v>0</v>
      </c>
      <c r="AN49" s="461">
        <v>0</v>
      </c>
      <c r="AO49" s="461">
        <v>0</v>
      </c>
      <c r="AP49" s="461">
        <f t="shared" si="127"/>
        <v>0</v>
      </c>
      <c r="AQ49" s="461">
        <f t="shared" si="128"/>
        <v>0</v>
      </c>
      <c r="AR49" s="463">
        <f t="shared" si="129"/>
        <v>0</v>
      </c>
      <c r="AS49" s="469">
        <f t="shared" si="130"/>
        <v>61572</v>
      </c>
      <c r="AT49" s="460">
        <f t="shared" si="131"/>
        <v>43994</v>
      </c>
      <c r="AU49" s="460">
        <f t="shared" si="132"/>
        <v>0</v>
      </c>
      <c r="AV49" s="460">
        <f t="shared" si="133"/>
        <v>14870</v>
      </c>
      <c r="AW49" s="460">
        <f t="shared" si="133"/>
        <v>440</v>
      </c>
      <c r="AX49" s="460">
        <f t="shared" si="134"/>
        <v>2268</v>
      </c>
      <c r="AY49" s="461">
        <f t="shared" si="135"/>
        <v>0.18</v>
      </c>
      <c r="AZ49" s="461">
        <f t="shared" si="136"/>
        <v>0</v>
      </c>
      <c r="BA49" s="463">
        <f t="shared" si="136"/>
        <v>0.18</v>
      </c>
    </row>
    <row r="50" spans="1:53" ht="12.95" customHeight="1" x14ac:dyDescent="0.25">
      <c r="A50" s="299">
        <v>8</v>
      </c>
      <c r="B50" s="340">
        <v>5445</v>
      </c>
      <c r="C50" s="341">
        <v>600099351</v>
      </c>
      <c r="D50" s="300">
        <v>70155771</v>
      </c>
      <c r="E50" s="342" t="s">
        <v>380</v>
      </c>
      <c r="F50" s="300">
        <v>3143</v>
      </c>
      <c r="G50" s="342" t="s">
        <v>313</v>
      </c>
      <c r="H50" s="303" t="s">
        <v>278</v>
      </c>
      <c r="I50" s="462">
        <f t="shared" si="116"/>
        <v>267250</v>
      </c>
      <c r="J50" s="457">
        <v>197589</v>
      </c>
      <c r="K50" s="457">
        <f t="shared" si="137"/>
        <v>66785</v>
      </c>
      <c r="L50" s="457">
        <f t="shared" si="117"/>
        <v>1976</v>
      </c>
      <c r="M50" s="457">
        <v>900</v>
      </c>
      <c r="N50" s="458">
        <f t="shared" si="118"/>
        <v>0.45999999999999996</v>
      </c>
      <c r="O50" s="459">
        <v>0.36</v>
      </c>
      <c r="P50" s="646">
        <v>0.1</v>
      </c>
      <c r="Q50" s="469">
        <f t="shared" si="119"/>
        <v>-35750</v>
      </c>
      <c r="R50" s="460">
        <v>0</v>
      </c>
      <c r="S50" s="673">
        <v>0</v>
      </c>
      <c r="T50" s="460">
        <v>0</v>
      </c>
      <c r="U50" s="460">
        <v>0</v>
      </c>
      <c r="V50" s="460">
        <f t="shared" si="120"/>
        <v>-35750</v>
      </c>
      <c r="W50" s="460">
        <v>35750</v>
      </c>
      <c r="X50" s="460">
        <v>0</v>
      </c>
      <c r="Y50" s="460">
        <v>0</v>
      </c>
      <c r="Z50" s="460">
        <f t="shared" si="121"/>
        <v>35750</v>
      </c>
      <c r="AA50" s="460">
        <f t="shared" si="122"/>
        <v>0</v>
      </c>
      <c r="AB50" s="69">
        <f t="shared" si="123"/>
        <v>0</v>
      </c>
      <c r="AC50" s="69">
        <f t="shared" si="124"/>
        <v>-358</v>
      </c>
      <c r="AD50" s="460">
        <v>0</v>
      </c>
      <c r="AE50" s="460">
        <v>0</v>
      </c>
      <c r="AF50" s="460">
        <f t="shared" si="125"/>
        <v>0</v>
      </c>
      <c r="AG50" s="460">
        <f t="shared" si="126"/>
        <v>-358</v>
      </c>
      <c r="AH50" s="461">
        <v>-7.0000000000000007E-2</v>
      </c>
      <c r="AI50" s="461">
        <v>0</v>
      </c>
      <c r="AJ50" s="461">
        <v>0</v>
      </c>
      <c r="AK50" s="461">
        <v>0</v>
      </c>
      <c r="AL50" s="674">
        <v>0</v>
      </c>
      <c r="AM50" s="461">
        <v>0</v>
      </c>
      <c r="AN50" s="461">
        <v>0</v>
      </c>
      <c r="AO50" s="461">
        <v>0</v>
      </c>
      <c r="AP50" s="461">
        <f t="shared" si="127"/>
        <v>-7.0000000000000007E-2</v>
      </c>
      <c r="AQ50" s="461">
        <f t="shared" si="128"/>
        <v>0</v>
      </c>
      <c r="AR50" s="463">
        <f t="shared" si="129"/>
        <v>-7.0000000000000007E-2</v>
      </c>
      <c r="AS50" s="469">
        <f t="shared" si="130"/>
        <v>266892</v>
      </c>
      <c r="AT50" s="460">
        <f t="shared" si="131"/>
        <v>161839</v>
      </c>
      <c r="AU50" s="460">
        <f t="shared" si="132"/>
        <v>35750</v>
      </c>
      <c r="AV50" s="460">
        <f t="shared" si="133"/>
        <v>66785</v>
      </c>
      <c r="AW50" s="460">
        <f t="shared" si="133"/>
        <v>1618</v>
      </c>
      <c r="AX50" s="460">
        <f t="shared" si="134"/>
        <v>900</v>
      </c>
      <c r="AY50" s="461">
        <f t="shared" si="135"/>
        <v>0.38999999999999996</v>
      </c>
      <c r="AZ50" s="461">
        <f t="shared" si="136"/>
        <v>0.28999999999999998</v>
      </c>
      <c r="BA50" s="463">
        <f t="shared" si="136"/>
        <v>0.1</v>
      </c>
    </row>
    <row r="51" spans="1:53" ht="12.95" customHeight="1" x14ac:dyDescent="0.25">
      <c r="A51" s="343">
        <v>8</v>
      </c>
      <c r="B51" s="344">
        <v>5445</v>
      </c>
      <c r="C51" s="345">
        <v>600099351</v>
      </c>
      <c r="D51" s="344">
        <v>70155771</v>
      </c>
      <c r="E51" s="346" t="s">
        <v>381</v>
      </c>
      <c r="F51" s="310"/>
      <c r="G51" s="348"/>
      <c r="H51" s="311"/>
      <c r="I51" s="552">
        <f t="shared" ref="I51:P51" si="138">SUM(I45:I50)</f>
        <v>28502439</v>
      </c>
      <c r="J51" s="548">
        <f t="shared" si="138"/>
        <v>20745848</v>
      </c>
      <c r="K51" s="548">
        <f t="shared" si="138"/>
        <v>7012097</v>
      </c>
      <c r="L51" s="548">
        <f t="shared" si="138"/>
        <v>207459</v>
      </c>
      <c r="M51" s="548">
        <f t="shared" si="138"/>
        <v>537035</v>
      </c>
      <c r="N51" s="549">
        <f t="shared" si="138"/>
        <v>36.870100000000001</v>
      </c>
      <c r="O51" s="549">
        <f t="shared" si="138"/>
        <v>26.8001</v>
      </c>
      <c r="P51" s="347">
        <f t="shared" si="138"/>
        <v>10.07</v>
      </c>
      <c r="Q51" s="554">
        <f t="shared" ref="Q51:BA51" si="139">SUM(Q45:Q50)</f>
        <v>-45500</v>
      </c>
      <c r="R51" s="548">
        <f t="shared" si="139"/>
        <v>868560</v>
      </c>
      <c r="S51" s="548">
        <f t="shared" si="139"/>
        <v>0</v>
      </c>
      <c r="T51" s="548">
        <f t="shared" si="139"/>
        <v>0</v>
      </c>
      <c r="U51" s="548">
        <f t="shared" si="139"/>
        <v>0</v>
      </c>
      <c r="V51" s="548">
        <f t="shared" si="139"/>
        <v>823060</v>
      </c>
      <c r="W51" s="548">
        <f t="shared" si="139"/>
        <v>45500</v>
      </c>
      <c r="X51" s="548">
        <f t="shared" si="139"/>
        <v>173320</v>
      </c>
      <c r="Y51" s="548">
        <f t="shared" si="139"/>
        <v>0</v>
      </c>
      <c r="Z51" s="548">
        <f t="shared" si="139"/>
        <v>218820</v>
      </c>
      <c r="AA51" s="548">
        <f t="shared" si="139"/>
        <v>1041880</v>
      </c>
      <c r="AB51" s="548">
        <f t="shared" si="139"/>
        <v>352155</v>
      </c>
      <c r="AC51" s="548">
        <f t="shared" si="139"/>
        <v>8230</v>
      </c>
      <c r="AD51" s="548">
        <f t="shared" si="139"/>
        <v>2100</v>
      </c>
      <c r="AE51" s="548">
        <f t="shared" si="139"/>
        <v>0</v>
      </c>
      <c r="AF51" s="548">
        <f t="shared" si="139"/>
        <v>2100</v>
      </c>
      <c r="AG51" s="548">
        <f t="shared" si="139"/>
        <v>1404365</v>
      </c>
      <c r="AH51" s="549">
        <f t="shared" si="139"/>
        <v>-7.0000000000000007E-2</v>
      </c>
      <c r="AI51" s="549">
        <f t="shared" si="139"/>
        <v>-0.03</v>
      </c>
      <c r="AJ51" s="549">
        <f t="shared" si="139"/>
        <v>2.29</v>
      </c>
      <c r="AK51" s="549">
        <f t="shared" si="139"/>
        <v>0</v>
      </c>
      <c r="AL51" s="549">
        <f t="shared" si="139"/>
        <v>0</v>
      </c>
      <c r="AM51" s="549">
        <f t="shared" si="139"/>
        <v>0</v>
      </c>
      <c r="AN51" s="549">
        <f t="shared" si="139"/>
        <v>0</v>
      </c>
      <c r="AO51" s="549">
        <f t="shared" si="139"/>
        <v>0</v>
      </c>
      <c r="AP51" s="549">
        <f t="shared" si="139"/>
        <v>2.2200000000000002</v>
      </c>
      <c r="AQ51" s="549">
        <f t="shared" si="139"/>
        <v>-0.03</v>
      </c>
      <c r="AR51" s="347">
        <f t="shared" si="139"/>
        <v>2.1900000000000004</v>
      </c>
      <c r="AS51" s="554">
        <f t="shared" si="139"/>
        <v>29906804</v>
      </c>
      <c r="AT51" s="548">
        <f t="shared" si="139"/>
        <v>21568908</v>
      </c>
      <c r="AU51" s="548">
        <f t="shared" si="139"/>
        <v>218820</v>
      </c>
      <c r="AV51" s="548">
        <f t="shared" si="139"/>
        <v>7364252</v>
      </c>
      <c r="AW51" s="548">
        <f t="shared" si="139"/>
        <v>215689</v>
      </c>
      <c r="AX51" s="548">
        <f t="shared" si="139"/>
        <v>539135</v>
      </c>
      <c r="AY51" s="549">
        <f t="shared" si="139"/>
        <v>39.060100000000006</v>
      </c>
      <c r="AZ51" s="549">
        <f t="shared" si="139"/>
        <v>29.020099999999999</v>
      </c>
      <c r="BA51" s="347">
        <f t="shared" si="139"/>
        <v>10.039999999999999</v>
      </c>
    </row>
    <row r="52" spans="1:53" ht="12.95" customHeight="1" x14ac:dyDescent="0.25">
      <c r="A52" s="299">
        <v>9</v>
      </c>
      <c r="B52" s="340">
        <v>5446</v>
      </c>
      <c r="C52" s="353">
        <v>600099393</v>
      </c>
      <c r="D52" s="300">
        <v>856096</v>
      </c>
      <c r="E52" s="342" t="s">
        <v>382</v>
      </c>
      <c r="F52" s="300">
        <v>3231</v>
      </c>
      <c r="G52" s="342" t="s">
        <v>312</v>
      </c>
      <c r="H52" s="303" t="s">
        <v>277</v>
      </c>
      <c r="I52" s="462">
        <f t="shared" ref="I52" si="140">SUM(J52:M52)</f>
        <v>21659008</v>
      </c>
      <c r="J52" s="457">
        <v>16033446</v>
      </c>
      <c r="K52" s="457">
        <f t="shared" ref="K52" si="141">ROUND(J52*33.8%,0)</f>
        <v>5419305</v>
      </c>
      <c r="L52" s="457">
        <f>ROUND(J52*1%,0)</f>
        <v>160334</v>
      </c>
      <c r="M52" s="457">
        <v>45923</v>
      </c>
      <c r="N52" s="458">
        <f t="shared" ref="N52" si="142">O52+P52</f>
        <v>28.2818</v>
      </c>
      <c r="O52" s="459">
        <v>25.555900000000001</v>
      </c>
      <c r="P52" s="646">
        <v>2.7259000000000002</v>
      </c>
      <c r="Q52" s="469">
        <f t="shared" ref="Q52" si="143">W52*-1</f>
        <v>-54600</v>
      </c>
      <c r="R52" s="460">
        <v>0</v>
      </c>
      <c r="S52" s="673">
        <v>0</v>
      </c>
      <c r="T52" s="460">
        <v>0</v>
      </c>
      <c r="U52" s="460">
        <v>0</v>
      </c>
      <c r="V52" s="460">
        <f>SUM(Q52:U52)</f>
        <v>-54600</v>
      </c>
      <c r="W52" s="460">
        <v>54600</v>
      </c>
      <c r="X52" s="460">
        <v>0</v>
      </c>
      <c r="Y52" s="460">
        <v>0</v>
      </c>
      <c r="Z52" s="460">
        <f t="shared" ref="Z52" si="144">SUM(W52:Y52)</f>
        <v>54600</v>
      </c>
      <c r="AA52" s="460">
        <f t="shared" ref="AA52" si="145">V52+Z52</f>
        <v>0</v>
      </c>
      <c r="AB52" s="69">
        <f t="shared" ref="AB52" si="146">ROUND((V52+W52+X52)*33.8%,0)</f>
        <v>0</v>
      </c>
      <c r="AC52" s="69">
        <f>ROUND(V52*1%,0)</f>
        <v>-546</v>
      </c>
      <c r="AD52" s="460">
        <v>0</v>
      </c>
      <c r="AE52" s="460">
        <v>0</v>
      </c>
      <c r="AF52" s="460">
        <f t="shared" ref="AF52" si="147">SUM(AD52:AE52)</f>
        <v>0</v>
      </c>
      <c r="AG52" s="460">
        <f t="shared" ref="AG52" si="148">AA52+AB52+AC52+AF52</f>
        <v>-546</v>
      </c>
      <c r="AH52" s="461">
        <v>-0.05</v>
      </c>
      <c r="AI52" s="461">
        <v>-0.05</v>
      </c>
      <c r="AJ52" s="461">
        <v>0</v>
      </c>
      <c r="AK52" s="461">
        <v>0</v>
      </c>
      <c r="AL52" s="674">
        <v>0</v>
      </c>
      <c r="AM52" s="461">
        <v>0</v>
      </c>
      <c r="AN52" s="461">
        <v>0</v>
      </c>
      <c r="AO52" s="461">
        <v>0</v>
      </c>
      <c r="AP52" s="461">
        <f>AH52+AJ52+AK52+AM52+AN52</f>
        <v>-0.05</v>
      </c>
      <c r="AQ52" s="461">
        <f>AI52+AL52+AO52</f>
        <v>-0.05</v>
      </c>
      <c r="AR52" s="463">
        <f t="shared" ref="AR52" si="149">SUM(AP52:AQ52)</f>
        <v>-0.1</v>
      </c>
      <c r="AS52" s="469">
        <f>I52+AG52</f>
        <v>21658462</v>
      </c>
      <c r="AT52" s="460">
        <f>J52+V52</f>
        <v>15978846</v>
      </c>
      <c r="AU52" s="460">
        <f>Z52</f>
        <v>54600</v>
      </c>
      <c r="AV52" s="460">
        <f>K52+AB52</f>
        <v>5419305</v>
      </c>
      <c r="AW52" s="460">
        <f>L52+AC52</f>
        <v>159788</v>
      </c>
      <c r="AX52" s="460">
        <f>M52+AF52</f>
        <v>45923</v>
      </c>
      <c r="AY52" s="461">
        <f>N52+AR52</f>
        <v>28.181799999999999</v>
      </c>
      <c r="AZ52" s="461">
        <f>O52+AP52</f>
        <v>25.5059</v>
      </c>
      <c r="BA52" s="463">
        <f>P52+AQ52</f>
        <v>2.6759000000000004</v>
      </c>
    </row>
    <row r="53" spans="1:53" ht="12.95" customHeight="1" x14ac:dyDescent="0.25">
      <c r="A53" s="343">
        <v>9</v>
      </c>
      <c r="B53" s="344">
        <v>5446</v>
      </c>
      <c r="C53" s="345">
        <v>600099393</v>
      </c>
      <c r="D53" s="344">
        <v>856096</v>
      </c>
      <c r="E53" s="346" t="s">
        <v>383</v>
      </c>
      <c r="F53" s="310"/>
      <c r="G53" s="348"/>
      <c r="H53" s="311"/>
      <c r="I53" s="552">
        <f t="shared" ref="I53:BA53" si="150">SUM(I52)</f>
        <v>21659008</v>
      </c>
      <c r="J53" s="548">
        <f t="shared" si="150"/>
        <v>16033446</v>
      </c>
      <c r="K53" s="548">
        <f t="shared" si="150"/>
        <v>5419305</v>
      </c>
      <c r="L53" s="548">
        <f t="shared" si="150"/>
        <v>160334</v>
      </c>
      <c r="M53" s="548">
        <f t="shared" si="150"/>
        <v>45923</v>
      </c>
      <c r="N53" s="549">
        <f t="shared" si="150"/>
        <v>28.2818</v>
      </c>
      <c r="O53" s="549">
        <f t="shared" si="150"/>
        <v>25.555900000000001</v>
      </c>
      <c r="P53" s="347">
        <f t="shared" si="150"/>
        <v>2.7259000000000002</v>
      </c>
      <c r="Q53" s="554">
        <f t="shared" si="150"/>
        <v>-54600</v>
      </c>
      <c r="R53" s="548">
        <f t="shared" si="150"/>
        <v>0</v>
      </c>
      <c r="S53" s="548">
        <f t="shared" si="150"/>
        <v>0</v>
      </c>
      <c r="T53" s="548">
        <f t="shared" si="150"/>
        <v>0</v>
      </c>
      <c r="U53" s="548">
        <f t="shared" si="150"/>
        <v>0</v>
      </c>
      <c r="V53" s="548">
        <f t="shared" si="150"/>
        <v>-54600</v>
      </c>
      <c r="W53" s="548">
        <f t="shared" si="150"/>
        <v>54600</v>
      </c>
      <c r="X53" s="548">
        <f t="shared" si="150"/>
        <v>0</v>
      </c>
      <c r="Y53" s="548">
        <f t="shared" si="150"/>
        <v>0</v>
      </c>
      <c r="Z53" s="548">
        <f t="shared" si="150"/>
        <v>54600</v>
      </c>
      <c r="AA53" s="548">
        <f t="shared" si="150"/>
        <v>0</v>
      </c>
      <c r="AB53" s="548">
        <f t="shared" si="150"/>
        <v>0</v>
      </c>
      <c r="AC53" s="548">
        <f t="shared" si="150"/>
        <v>-546</v>
      </c>
      <c r="AD53" s="548">
        <f t="shared" si="150"/>
        <v>0</v>
      </c>
      <c r="AE53" s="548">
        <f t="shared" si="150"/>
        <v>0</v>
      </c>
      <c r="AF53" s="548">
        <f t="shared" si="150"/>
        <v>0</v>
      </c>
      <c r="AG53" s="548">
        <f t="shared" si="150"/>
        <v>-546</v>
      </c>
      <c r="AH53" s="549">
        <f t="shared" si="150"/>
        <v>-0.05</v>
      </c>
      <c r="AI53" s="549">
        <f t="shared" si="150"/>
        <v>-0.05</v>
      </c>
      <c r="AJ53" s="549">
        <f t="shared" si="150"/>
        <v>0</v>
      </c>
      <c r="AK53" s="549">
        <f t="shared" si="150"/>
        <v>0</v>
      </c>
      <c r="AL53" s="549">
        <f t="shared" si="150"/>
        <v>0</v>
      </c>
      <c r="AM53" s="549">
        <f t="shared" si="150"/>
        <v>0</v>
      </c>
      <c r="AN53" s="549">
        <f t="shared" si="150"/>
        <v>0</v>
      </c>
      <c r="AO53" s="549">
        <f t="shared" si="150"/>
        <v>0</v>
      </c>
      <c r="AP53" s="549">
        <f t="shared" si="150"/>
        <v>-0.05</v>
      </c>
      <c r="AQ53" s="549">
        <f t="shared" si="150"/>
        <v>-0.05</v>
      </c>
      <c r="AR53" s="347">
        <f t="shared" si="150"/>
        <v>-0.1</v>
      </c>
      <c r="AS53" s="554">
        <f t="shared" si="150"/>
        <v>21658462</v>
      </c>
      <c r="AT53" s="548">
        <f t="shared" si="150"/>
        <v>15978846</v>
      </c>
      <c r="AU53" s="548">
        <f t="shared" si="150"/>
        <v>54600</v>
      </c>
      <c r="AV53" s="548">
        <f t="shared" si="150"/>
        <v>5419305</v>
      </c>
      <c r="AW53" s="548">
        <f t="shared" si="150"/>
        <v>159788</v>
      </c>
      <c r="AX53" s="548">
        <f t="shared" si="150"/>
        <v>45923</v>
      </c>
      <c r="AY53" s="549">
        <f t="shared" si="150"/>
        <v>28.181799999999999</v>
      </c>
      <c r="AZ53" s="549">
        <f t="shared" si="150"/>
        <v>25.5059</v>
      </c>
      <c r="BA53" s="347">
        <f t="shared" si="150"/>
        <v>2.6759000000000004</v>
      </c>
    </row>
    <row r="54" spans="1:53" ht="12.95" customHeight="1" x14ac:dyDescent="0.25">
      <c r="A54" s="299">
        <v>10</v>
      </c>
      <c r="B54" s="340">
        <v>5403</v>
      </c>
      <c r="C54" s="341">
        <v>600098966</v>
      </c>
      <c r="D54" s="300">
        <v>75016931</v>
      </c>
      <c r="E54" s="342" t="s">
        <v>384</v>
      </c>
      <c r="F54" s="300">
        <v>3111</v>
      </c>
      <c r="G54" s="342" t="s">
        <v>321</v>
      </c>
      <c r="H54" s="303" t="s">
        <v>277</v>
      </c>
      <c r="I54" s="462">
        <f t="shared" ref="I54:I59" si="151">SUM(J54:M54)</f>
        <v>2854624</v>
      </c>
      <c r="J54" s="457">
        <v>2108771</v>
      </c>
      <c r="K54" s="457">
        <f t="shared" ref="K54:K59" si="152">ROUND(J54*33.8%,0)</f>
        <v>712765</v>
      </c>
      <c r="L54" s="457">
        <f t="shared" ref="L54:L59" si="153">ROUND(J54*1%,0)</f>
        <v>21088</v>
      </c>
      <c r="M54" s="457">
        <v>12000</v>
      </c>
      <c r="N54" s="458">
        <f t="shared" ref="N54:N59" si="154">O54+P54</f>
        <v>4.5910000000000002</v>
      </c>
      <c r="O54" s="459">
        <v>3.871</v>
      </c>
      <c r="P54" s="646">
        <v>0.72</v>
      </c>
      <c r="Q54" s="469">
        <f t="shared" ref="Q54:Q59" si="155">W54*-1</f>
        <v>-13000</v>
      </c>
      <c r="R54" s="460">
        <v>0</v>
      </c>
      <c r="S54" s="673">
        <v>0</v>
      </c>
      <c r="T54" s="460">
        <v>0</v>
      </c>
      <c r="U54" s="460">
        <v>0</v>
      </c>
      <c r="V54" s="460">
        <f t="shared" ref="V54:V59" si="156">SUM(Q54:U54)</f>
        <v>-13000</v>
      </c>
      <c r="W54" s="460">
        <v>13000</v>
      </c>
      <c r="X54" s="460">
        <v>0</v>
      </c>
      <c r="Y54" s="460">
        <v>0</v>
      </c>
      <c r="Z54" s="460">
        <f t="shared" ref="Z54:Z59" si="157">SUM(W54:Y54)</f>
        <v>13000</v>
      </c>
      <c r="AA54" s="460">
        <f t="shared" ref="AA54:AA59" si="158">V54+Z54</f>
        <v>0</v>
      </c>
      <c r="AB54" s="69">
        <f t="shared" ref="AB54:AB59" si="159">ROUND((V54+W54+X54)*33.8%,0)</f>
        <v>0</v>
      </c>
      <c r="AC54" s="69">
        <f t="shared" ref="AC54:AC59" si="160">ROUND(V54*1%,0)</f>
        <v>-130</v>
      </c>
      <c r="AD54" s="460">
        <v>0</v>
      </c>
      <c r="AE54" s="460">
        <v>0</v>
      </c>
      <c r="AF54" s="460">
        <f t="shared" ref="AF54:AF59" si="161">SUM(AD54:AE54)</f>
        <v>0</v>
      </c>
      <c r="AG54" s="460">
        <f t="shared" ref="AG54:AG59" si="162">AA54+AB54+AC54+AF54</f>
        <v>-130</v>
      </c>
      <c r="AH54" s="461">
        <v>0</v>
      </c>
      <c r="AI54" s="461">
        <v>-0.02</v>
      </c>
      <c r="AJ54" s="461">
        <v>0</v>
      </c>
      <c r="AK54" s="461">
        <v>0</v>
      </c>
      <c r="AL54" s="674">
        <v>0</v>
      </c>
      <c r="AM54" s="461">
        <v>0</v>
      </c>
      <c r="AN54" s="461">
        <v>0</v>
      </c>
      <c r="AO54" s="461">
        <v>0</v>
      </c>
      <c r="AP54" s="461">
        <f t="shared" ref="AP54:AP59" si="163">AH54+AJ54+AK54+AM54+AN54</f>
        <v>0</v>
      </c>
      <c r="AQ54" s="461">
        <f t="shared" ref="AQ54:AQ59" si="164">AI54+AL54+AO54</f>
        <v>-0.02</v>
      </c>
      <c r="AR54" s="463">
        <f t="shared" ref="AR54:AR59" si="165">SUM(AP54:AQ54)</f>
        <v>-0.02</v>
      </c>
      <c r="AS54" s="469">
        <f t="shared" ref="AS54:AS59" si="166">I54+AG54</f>
        <v>2854494</v>
      </c>
      <c r="AT54" s="460">
        <f t="shared" ref="AT54:AT59" si="167">J54+V54</f>
        <v>2095771</v>
      </c>
      <c r="AU54" s="460">
        <f t="shared" ref="AU54:AU59" si="168">Z54</f>
        <v>13000</v>
      </c>
      <c r="AV54" s="460">
        <f t="shared" ref="AV54:AW59" si="169">K54+AB54</f>
        <v>712765</v>
      </c>
      <c r="AW54" s="460">
        <f t="shared" si="169"/>
        <v>20958</v>
      </c>
      <c r="AX54" s="460">
        <f t="shared" ref="AX54:AX59" si="170">M54+AF54</f>
        <v>12000</v>
      </c>
      <c r="AY54" s="461">
        <f t="shared" ref="AY54:AY59" si="171">N54+AR54</f>
        <v>4.5710000000000006</v>
      </c>
      <c r="AZ54" s="461">
        <f t="shared" ref="AZ54:BA59" si="172">O54+AP54</f>
        <v>3.871</v>
      </c>
      <c r="BA54" s="463">
        <f t="shared" si="172"/>
        <v>0.7</v>
      </c>
    </row>
    <row r="55" spans="1:53" ht="12.95" customHeight="1" x14ac:dyDescent="0.25">
      <c r="A55" s="299">
        <v>10</v>
      </c>
      <c r="B55" s="340">
        <v>5403</v>
      </c>
      <c r="C55" s="341">
        <v>600098966</v>
      </c>
      <c r="D55" s="300">
        <v>75016931</v>
      </c>
      <c r="E55" s="342" t="s">
        <v>384</v>
      </c>
      <c r="F55" s="300">
        <v>3117</v>
      </c>
      <c r="G55" s="342" t="s">
        <v>310</v>
      </c>
      <c r="H55" s="303" t="s">
        <v>277</v>
      </c>
      <c r="I55" s="462">
        <f t="shared" si="151"/>
        <v>3066185</v>
      </c>
      <c r="J55" s="457">
        <v>2233038</v>
      </c>
      <c r="K55" s="457">
        <f t="shared" si="152"/>
        <v>754767</v>
      </c>
      <c r="L55" s="457">
        <f t="shared" si="153"/>
        <v>22330</v>
      </c>
      <c r="M55" s="457">
        <v>56050</v>
      </c>
      <c r="N55" s="458">
        <f t="shared" si="154"/>
        <v>4.24</v>
      </c>
      <c r="O55" s="459">
        <v>3</v>
      </c>
      <c r="P55" s="646">
        <v>1.24</v>
      </c>
      <c r="Q55" s="469">
        <f t="shared" si="155"/>
        <v>-58500</v>
      </c>
      <c r="R55" s="460">
        <v>0</v>
      </c>
      <c r="S55" s="673">
        <v>0</v>
      </c>
      <c r="T55" s="460">
        <v>0</v>
      </c>
      <c r="U55" s="460">
        <v>0</v>
      </c>
      <c r="V55" s="460">
        <f t="shared" si="156"/>
        <v>-58500</v>
      </c>
      <c r="W55" s="460">
        <v>58500</v>
      </c>
      <c r="X55" s="460">
        <v>0</v>
      </c>
      <c r="Y55" s="460">
        <v>0</v>
      </c>
      <c r="Z55" s="460">
        <f t="shared" si="157"/>
        <v>58500</v>
      </c>
      <c r="AA55" s="460">
        <f t="shared" si="158"/>
        <v>0</v>
      </c>
      <c r="AB55" s="69">
        <f t="shared" si="159"/>
        <v>0</v>
      </c>
      <c r="AC55" s="69">
        <f t="shared" si="160"/>
        <v>-585</v>
      </c>
      <c r="AD55" s="460">
        <v>0</v>
      </c>
      <c r="AE55" s="460">
        <v>0</v>
      </c>
      <c r="AF55" s="460">
        <f t="shared" si="161"/>
        <v>0</v>
      </c>
      <c r="AG55" s="460">
        <f t="shared" si="162"/>
        <v>-585</v>
      </c>
      <c r="AH55" s="461">
        <v>0</v>
      </c>
      <c r="AI55" s="461">
        <v>-0.02</v>
      </c>
      <c r="AJ55" s="461">
        <v>0</v>
      </c>
      <c r="AK55" s="461">
        <v>0</v>
      </c>
      <c r="AL55" s="674">
        <v>0</v>
      </c>
      <c r="AM55" s="461">
        <v>0</v>
      </c>
      <c r="AN55" s="461">
        <v>0</v>
      </c>
      <c r="AO55" s="461">
        <v>0</v>
      </c>
      <c r="AP55" s="461">
        <f t="shared" si="163"/>
        <v>0</v>
      </c>
      <c r="AQ55" s="461">
        <f t="shared" si="164"/>
        <v>-0.02</v>
      </c>
      <c r="AR55" s="463">
        <f t="shared" si="165"/>
        <v>-0.02</v>
      </c>
      <c r="AS55" s="469">
        <f t="shared" si="166"/>
        <v>3065600</v>
      </c>
      <c r="AT55" s="460">
        <f t="shared" si="167"/>
        <v>2174538</v>
      </c>
      <c r="AU55" s="460">
        <f t="shared" si="168"/>
        <v>58500</v>
      </c>
      <c r="AV55" s="460">
        <f t="shared" si="169"/>
        <v>754767</v>
      </c>
      <c r="AW55" s="460">
        <f t="shared" si="169"/>
        <v>21745</v>
      </c>
      <c r="AX55" s="460">
        <f t="shared" si="170"/>
        <v>56050</v>
      </c>
      <c r="AY55" s="461">
        <f t="shared" si="171"/>
        <v>4.2200000000000006</v>
      </c>
      <c r="AZ55" s="461">
        <f t="shared" si="172"/>
        <v>3</v>
      </c>
      <c r="BA55" s="463">
        <f t="shared" si="172"/>
        <v>1.22</v>
      </c>
    </row>
    <row r="56" spans="1:53" ht="12.95" customHeight="1" x14ac:dyDescent="0.25">
      <c r="A56" s="299">
        <v>10</v>
      </c>
      <c r="B56" s="340">
        <v>5403</v>
      </c>
      <c r="C56" s="341">
        <v>600098966</v>
      </c>
      <c r="D56" s="300">
        <v>75016931</v>
      </c>
      <c r="E56" s="342" t="s">
        <v>384</v>
      </c>
      <c r="F56" s="300">
        <v>3117</v>
      </c>
      <c r="G56" s="342" t="s">
        <v>315</v>
      </c>
      <c r="H56" s="303" t="s">
        <v>278</v>
      </c>
      <c r="I56" s="462">
        <f t="shared" si="151"/>
        <v>0</v>
      </c>
      <c r="J56" s="457">
        <v>0</v>
      </c>
      <c r="K56" s="457">
        <f t="shared" si="152"/>
        <v>0</v>
      </c>
      <c r="L56" s="457">
        <f t="shared" si="153"/>
        <v>0</v>
      </c>
      <c r="M56" s="457">
        <v>0</v>
      </c>
      <c r="N56" s="458">
        <f t="shared" si="154"/>
        <v>0</v>
      </c>
      <c r="O56" s="459">
        <v>0</v>
      </c>
      <c r="P56" s="646">
        <v>0</v>
      </c>
      <c r="Q56" s="469">
        <f t="shared" si="155"/>
        <v>0</v>
      </c>
      <c r="R56" s="460">
        <v>86612</v>
      </c>
      <c r="S56" s="673">
        <v>0</v>
      </c>
      <c r="T56" s="460">
        <v>0</v>
      </c>
      <c r="U56" s="460">
        <v>0</v>
      </c>
      <c r="V56" s="460">
        <f t="shared" si="156"/>
        <v>86612</v>
      </c>
      <c r="W56" s="460">
        <v>0</v>
      </c>
      <c r="X56" s="460">
        <v>0</v>
      </c>
      <c r="Y56" s="460">
        <v>0</v>
      </c>
      <c r="Z56" s="460">
        <f t="shared" si="157"/>
        <v>0</v>
      </c>
      <c r="AA56" s="460">
        <f t="shared" si="158"/>
        <v>86612</v>
      </c>
      <c r="AB56" s="69">
        <f t="shared" si="159"/>
        <v>29275</v>
      </c>
      <c r="AC56" s="69">
        <f t="shared" si="160"/>
        <v>866</v>
      </c>
      <c r="AD56" s="460">
        <v>0</v>
      </c>
      <c r="AE56" s="460">
        <v>0</v>
      </c>
      <c r="AF56" s="460">
        <f t="shared" si="161"/>
        <v>0</v>
      </c>
      <c r="AG56" s="460">
        <f t="shared" si="162"/>
        <v>116753</v>
      </c>
      <c r="AH56" s="461">
        <v>0</v>
      </c>
      <c r="AI56" s="461">
        <v>0</v>
      </c>
      <c r="AJ56" s="461">
        <v>0.25</v>
      </c>
      <c r="AK56" s="461">
        <v>0</v>
      </c>
      <c r="AL56" s="674">
        <v>0</v>
      </c>
      <c r="AM56" s="461">
        <v>0</v>
      </c>
      <c r="AN56" s="461">
        <v>0</v>
      </c>
      <c r="AO56" s="461">
        <v>0</v>
      </c>
      <c r="AP56" s="461">
        <f t="shared" si="163"/>
        <v>0.25</v>
      </c>
      <c r="AQ56" s="461">
        <f t="shared" si="164"/>
        <v>0</v>
      </c>
      <c r="AR56" s="463">
        <f t="shared" si="165"/>
        <v>0.25</v>
      </c>
      <c r="AS56" s="469">
        <f t="shared" si="166"/>
        <v>116753</v>
      </c>
      <c r="AT56" s="460">
        <f t="shared" si="167"/>
        <v>86612</v>
      </c>
      <c r="AU56" s="460">
        <f t="shared" si="168"/>
        <v>0</v>
      </c>
      <c r="AV56" s="460">
        <f t="shared" si="169"/>
        <v>29275</v>
      </c>
      <c r="AW56" s="460">
        <f t="shared" si="169"/>
        <v>866</v>
      </c>
      <c r="AX56" s="460">
        <f t="shared" si="170"/>
        <v>0</v>
      </c>
      <c r="AY56" s="461">
        <f t="shared" si="171"/>
        <v>0.25</v>
      </c>
      <c r="AZ56" s="461">
        <f t="shared" si="172"/>
        <v>0.25</v>
      </c>
      <c r="BA56" s="463">
        <f t="shared" si="172"/>
        <v>0</v>
      </c>
    </row>
    <row r="57" spans="1:53" ht="12.95" customHeight="1" x14ac:dyDescent="0.25">
      <c r="A57" s="299">
        <v>10</v>
      </c>
      <c r="B57" s="340">
        <v>5403</v>
      </c>
      <c r="C57" s="341">
        <v>600098966</v>
      </c>
      <c r="D57" s="300">
        <v>75016931</v>
      </c>
      <c r="E57" s="342" t="s">
        <v>384</v>
      </c>
      <c r="F57" s="300">
        <v>3141</v>
      </c>
      <c r="G57" s="342" t="s">
        <v>311</v>
      </c>
      <c r="H57" s="303" t="s">
        <v>278</v>
      </c>
      <c r="I57" s="462">
        <f t="shared" si="151"/>
        <v>860540</v>
      </c>
      <c r="J57" s="457">
        <v>635759</v>
      </c>
      <c r="K57" s="457">
        <f t="shared" si="152"/>
        <v>214887</v>
      </c>
      <c r="L57" s="457">
        <f t="shared" si="153"/>
        <v>6358</v>
      </c>
      <c r="M57" s="457">
        <v>3536</v>
      </c>
      <c r="N57" s="458">
        <f t="shared" si="154"/>
        <v>2.04</v>
      </c>
      <c r="O57" s="459">
        <v>0</v>
      </c>
      <c r="P57" s="646">
        <v>2.04</v>
      </c>
      <c r="Q57" s="469">
        <f t="shared" si="155"/>
        <v>-9750</v>
      </c>
      <c r="R57" s="460">
        <v>0</v>
      </c>
      <c r="S57" s="673">
        <v>0</v>
      </c>
      <c r="T57" s="460">
        <v>0</v>
      </c>
      <c r="U57" s="460">
        <v>0</v>
      </c>
      <c r="V57" s="460">
        <f t="shared" si="156"/>
        <v>-9750</v>
      </c>
      <c r="W57" s="460">
        <v>9750</v>
      </c>
      <c r="X57" s="460">
        <v>0</v>
      </c>
      <c r="Y57" s="460">
        <v>0</v>
      </c>
      <c r="Z57" s="460">
        <f t="shared" si="157"/>
        <v>9750</v>
      </c>
      <c r="AA57" s="460">
        <f t="shared" si="158"/>
        <v>0</v>
      </c>
      <c r="AB57" s="69">
        <f t="shared" si="159"/>
        <v>0</v>
      </c>
      <c r="AC57" s="69">
        <f t="shared" si="160"/>
        <v>-98</v>
      </c>
      <c r="AD57" s="460">
        <v>0</v>
      </c>
      <c r="AE57" s="460">
        <v>0</v>
      </c>
      <c r="AF57" s="460">
        <f t="shared" si="161"/>
        <v>0</v>
      </c>
      <c r="AG57" s="460">
        <f t="shared" si="162"/>
        <v>-98</v>
      </c>
      <c r="AH57" s="461">
        <v>0</v>
      </c>
      <c r="AI57" s="461">
        <v>0</v>
      </c>
      <c r="AJ57" s="461">
        <v>0</v>
      </c>
      <c r="AK57" s="461">
        <v>0</v>
      </c>
      <c r="AL57" s="674">
        <v>0</v>
      </c>
      <c r="AM57" s="461">
        <v>0</v>
      </c>
      <c r="AN57" s="461">
        <v>0</v>
      </c>
      <c r="AO57" s="461">
        <v>0</v>
      </c>
      <c r="AP57" s="461">
        <f t="shared" si="163"/>
        <v>0</v>
      </c>
      <c r="AQ57" s="461">
        <f t="shared" si="164"/>
        <v>0</v>
      </c>
      <c r="AR57" s="463">
        <f t="shared" si="165"/>
        <v>0</v>
      </c>
      <c r="AS57" s="469">
        <f t="shared" si="166"/>
        <v>860442</v>
      </c>
      <c r="AT57" s="460">
        <f t="shared" si="167"/>
        <v>626009</v>
      </c>
      <c r="AU57" s="460">
        <f t="shared" si="168"/>
        <v>9750</v>
      </c>
      <c r="AV57" s="460">
        <f t="shared" si="169"/>
        <v>214887</v>
      </c>
      <c r="AW57" s="460">
        <f t="shared" si="169"/>
        <v>6260</v>
      </c>
      <c r="AX57" s="460">
        <f t="shared" si="170"/>
        <v>3536</v>
      </c>
      <c r="AY57" s="461">
        <f t="shared" si="171"/>
        <v>2.04</v>
      </c>
      <c r="AZ57" s="461">
        <f t="shared" si="172"/>
        <v>0</v>
      </c>
      <c r="BA57" s="463">
        <f t="shared" si="172"/>
        <v>2.04</v>
      </c>
    </row>
    <row r="58" spans="1:53" ht="12.95" customHeight="1" x14ac:dyDescent="0.25">
      <c r="A58" s="299">
        <v>10</v>
      </c>
      <c r="B58" s="340">
        <v>5403</v>
      </c>
      <c r="C58" s="341">
        <v>600098966</v>
      </c>
      <c r="D58" s="300">
        <v>75016931</v>
      </c>
      <c r="E58" s="342" t="s">
        <v>384</v>
      </c>
      <c r="F58" s="300">
        <v>3143</v>
      </c>
      <c r="G58" s="342" t="s">
        <v>616</v>
      </c>
      <c r="H58" s="303" t="s">
        <v>277</v>
      </c>
      <c r="I58" s="462">
        <f t="shared" si="151"/>
        <v>576163</v>
      </c>
      <c r="J58" s="457">
        <v>427421</v>
      </c>
      <c r="K58" s="457">
        <f t="shared" si="152"/>
        <v>144468</v>
      </c>
      <c r="L58" s="457">
        <f t="shared" si="153"/>
        <v>4274</v>
      </c>
      <c r="M58" s="457">
        <v>0</v>
      </c>
      <c r="N58" s="458">
        <f t="shared" si="154"/>
        <v>0.89280000000000004</v>
      </c>
      <c r="O58" s="459">
        <v>0.89280000000000004</v>
      </c>
      <c r="P58" s="646">
        <v>0</v>
      </c>
      <c r="Q58" s="469">
        <f t="shared" si="155"/>
        <v>-3250</v>
      </c>
      <c r="R58" s="460">
        <v>0</v>
      </c>
      <c r="S58" s="673">
        <v>0</v>
      </c>
      <c r="T58" s="460">
        <v>0</v>
      </c>
      <c r="U58" s="460">
        <v>0</v>
      </c>
      <c r="V58" s="460">
        <f t="shared" si="156"/>
        <v>-3250</v>
      </c>
      <c r="W58" s="460">
        <v>3250</v>
      </c>
      <c r="X58" s="460">
        <v>0</v>
      </c>
      <c r="Y58" s="460">
        <v>0</v>
      </c>
      <c r="Z58" s="460">
        <f t="shared" si="157"/>
        <v>3250</v>
      </c>
      <c r="AA58" s="460">
        <f t="shared" si="158"/>
        <v>0</v>
      </c>
      <c r="AB58" s="69">
        <f t="shared" si="159"/>
        <v>0</v>
      </c>
      <c r="AC58" s="69">
        <f t="shared" si="160"/>
        <v>-33</v>
      </c>
      <c r="AD58" s="460">
        <v>0</v>
      </c>
      <c r="AE58" s="460">
        <v>0</v>
      </c>
      <c r="AF58" s="460">
        <f t="shared" si="161"/>
        <v>0</v>
      </c>
      <c r="AG58" s="460">
        <f t="shared" si="162"/>
        <v>-33</v>
      </c>
      <c r="AH58" s="461">
        <v>0</v>
      </c>
      <c r="AI58" s="461">
        <v>0</v>
      </c>
      <c r="AJ58" s="461">
        <v>0</v>
      </c>
      <c r="AK58" s="461">
        <v>0</v>
      </c>
      <c r="AL58" s="674">
        <v>0</v>
      </c>
      <c r="AM58" s="461">
        <v>0</v>
      </c>
      <c r="AN58" s="461">
        <v>0</v>
      </c>
      <c r="AO58" s="461">
        <v>0</v>
      </c>
      <c r="AP58" s="461">
        <f t="shared" si="163"/>
        <v>0</v>
      </c>
      <c r="AQ58" s="461">
        <f t="shared" si="164"/>
        <v>0</v>
      </c>
      <c r="AR58" s="463">
        <f t="shared" si="165"/>
        <v>0</v>
      </c>
      <c r="AS58" s="469">
        <f t="shared" si="166"/>
        <v>576130</v>
      </c>
      <c r="AT58" s="460">
        <f t="shared" si="167"/>
        <v>424171</v>
      </c>
      <c r="AU58" s="460">
        <f t="shared" si="168"/>
        <v>3250</v>
      </c>
      <c r="AV58" s="460">
        <f t="shared" si="169"/>
        <v>144468</v>
      </c>
      <c r="AW58" s="460">
        <f t="shared" si="169"/>
        <v>4241</v>
      </c>
      <c r="AX58" s="460">
        <f t="shared" si="170"/>
        <v>0</v>
      </c>
      <c r="AY58" s="461">
        <f t="shared" si="171"/>
        <v>0.89280000000000004</v>
      </c>
      <c r="AZ58" s="461">
        <f t="shared" si="172"/>
        <v>0.89280000000000004</v>
      </c>
      <c r="BA58" s="463">
        <f t="shared" si="172"/>
        <v>0</v>
      </c>
    </row>
    <row r="59" spans="1:53" ht="12.95" customHeight="1" x14ac:dyDescent="0.25">
      <c r="A59" s="299">
        <v>10</v>
      </c>
      <c r="B59" s="340">
        <v>5403</v>
      </c>
      <c r="C59" s="341">
        <v>600098966</v>
      </c>
      <c r="D59" s="300">
        <v>75016931</v>
      </c>
      <c r="E59" s="342" t="s">
        <v>384</v>
      </c>
      <c r="F59" s="300">
        <v>3143</v>
      </c>
      <c r="G59" s="342" t="s">
        <v>617</v>
      </c>
      <c r="H59" s="303" t="s">
        <v>278</v>
      </c>
      <c r="I59" s="462">
        <f t="shared" si="151"/>
        <v>21990</v>
      </c>
      <c r="J59" s="457">
        <v>15712</v>
      </c>
      <c r="K59" s="457">
        <f t="shared" si="152"/>
        <v>5311</v>
      </c>
      <c r="L59" s="457">
        <f t="shared" si="153"/>
        <v>157</v>
      </c>
      <c r="M59" s="457">
        <v>810</v>
      </c>
      <c r="N59" s="458">
        <f t="shared" si="154"/>
        <v>0.06</v>
      </c>
      <c r="O59" s="459">
        <v>0</v>
      </c>
      <c r="P59" s="646">
        <v>0.06</v>
      </c>
      <c r="Q59" s="469">
        <f t="shared" si="155"/>
        <v>0</v>
      </c>
      <c r="R59" s="460">
        <v>0</v>
      </c>
      <c r="S59" s="673">
        <v>0</v>
      </c>
      <c r="T59" s="460">
        <v>0</v>
      </c>
      <c r="U59" s="460">
        <v>0</v>
      </c>
      <c r="V59" s="460">
        <f t="shared" si="156"/>
        <v>0</v>
      </c>
      <c r="W59" s="460">
        <v>0</v>
      </c>
      <c r="X59" s="460">
        <v>0</v>
      </c>
      <c r="Y59" s="460">
        <v>0</v>
      </c>
      <c r="Z59" s="460">
        <f t="shared" si="157"/>
        <v>0</v>
      </c>
      <c r="AA59" s="460">
        <f t="shared" si="158"/>
        <v>0</v>
      </c>
      <c r="AB59" s="69">
        <f t="shared" si="159"/>
        <v>0</v>
      </c>
      <c r="AC59" s="69">
        <f t="shared" si="160"/>
        <v>0</v>
      </c>
      <c r="AD59" s="460">
        <v>0</v>
      </c>
      <c r="AE59" s="460">
        <v>0</v>
      </c>
      <c r="AF59" s="460">
        <f t="shared" si="161"/>
        <v>0</v>
      </c>
      <c r="AG59" s="460">
        <f t="shared" si="162"/>
        <v>0</v>
      </c>
      <c r="AH59" s="461">
        <v>0</v>
      </c>
      <c r="AI59" s="461">
        <v>0</v>
      </c>
      <c r="AJ59" s="461">
        <v>0</v>
      </c>
      <c r="AK59" s="461">
        <v>0</v>
      </c>
      <c r="AL59" s="674">
        <v>0</v>
      </c>
      <c r="AM59" s="461">
        <v>0</v>
      </c>
      <c r="AN59" s="461">
        <v>0</v>
      </c>
      <c r="AO59" s="461">
        <v>0</v>
      </c>
      <c r="AP59" s="461">
        <f t="shared" si="163"/>
        <v>0</v>
      </c>
      <c r="AQ59" s="461">
        <f t="shared" si="164"/>
        <v>0</v>
      </c>
      <c r="AR59" s="463">
        <f t="shared" si="165"/>
        <v>0</v>
      </c>
      <c r="AS59" s="469">
        <f t="shared" si="166"/>
        <v>21990</v>
      </c>
      <c r="AT59" s="460">
        <f t="shared" si="167"/>
        <v>15712</v>
      </c>
      <c r="AU59" s="460">
        <f t="shared" si="168"/>
        <v>0</v>
      </c>
      <c r="AV59" s="460">
        <f t="shared" si="169"/>
        <v>5311</v>
      </c>
      <c r="AW59" s="460">
        <f t="shared" si="169"/>
        <v>157</v>
      </c>
      <c r="AX59" s="460">
        <f t="shared" si="170"/>
        <v>810</v>
      </c>
      <c r="AY59" s="461">
        <f t="shared" si="171"/>
        <v>0.06</v>
      </c>
      <c r="AZ59" s="461">
        <f t="shared" si="172"/>
        <v>0</v>
      </c>
      <c r="BA59" s="463">
        <f t="shared" si="172"/>
        <v>0.06</v>
      </c>
    </row>
    <row r="60" spans="1:53" ht="12.95" customHeight="1" x14ac:dyDescent="0.25">
      <c r="A60" s="343">
        <v>10</v>
      </c>
      <c r="B60" s="344">
        <v>5403</v>
      </c>
      <c r="C60" s="345">
        <v>600098966</v>
      </c>
      <c r="D60" s="344">
        <v>75016931</v>
      </c>
      <c r="E60" s="346" t="s">
        <v>385</v>
      </c>
      <c r="F60" s="310"/>
      <c r="G60" s="348"/>
      <c r="H60" s="311"/>
      <c r="I60" s="552">
        <f t="shared" ref="I60:BA60" si="173">SUM(I54:I59)</f>
        <v>7379502</v>
      </c>
      <c r="J60" s="548">
        <f t="shared" si="173"/>
        <v>5420701</v>
      </c>
      <c r="K60" s="548">
        <f t="shared" si="173"/>
        <v>1832198</v>
      </c>
      <c r="L60" s="548">
        <f t="shared" si="173"/>
        <v>54207</v>
      </c>
      <c r="M60" s="548">
        <f t="shared" si="173"/>
        <v>72396</v>
      </c>
      <c r="N60" s="549">
        <f t="shared" si="173"/>
        <v>11.823799999999999</v>
      </c>
      <c r="O60" s="549">
        <f t="shared" si="173"/>
        <v>7.7638000000000007</v>
      </c>
      <c r="P60" s="347">
        <f t="shared" si="173"/>
        <v>4.0599999999999996</v>
      </c>
      <c r="Q60" s="554">
        <f t="shared" si="173"/>
        <v>-84500</v>
      </c>
      <c r="R60" s="548">
        <f t="shared" si="173"/>
        <v>86612</v>
      </c>
      <c r="S60" s="548">
        <f t="shared" si="173"/>
        <v>0</v>
      </c>
      <c r="T60" s="548">
        <f t="shared" si="173"/>
        <v>0</v>
      </c>
      <c r="U60" s="548">
        <f t="shared" si="173"/>
        <v>0</v>
      </c>
      <c r="V60" s="548">
        <f t="shared" si="173"/>
        <v>2112</v>
      </c>
      <c r="W60" s="548">
        <f t="shared" si="173"/>
        <v>84500</v>
      </c>
      <c r="X60" s="548">
        <f t="shared" si="173"/>
        <v>0</v>
      </c>
      <c r="Y60" s="548">
        <f t="shared" si="173"/>
        <v>0</v>
      </c>
      <c r="Z60" s="548">
        <f t="shared" si="173"/>
        <v>84500</v>
      </c>
      <c r="AA60" s="548">
        <f t="shared" si="173"/>
        <v>86612</v>
      </c>
      <c r="AB60" s="548">
        <f t="shared" si="173"/>
        <v>29275</v>
      </c>
      <c r="AC60" s="548">
        <f t="shared" si="173"/>
        <v>20</v>
      </c>
      <c r="AD60" s="548">
        <f t="shared" si="173"/>
        <v>0</v>
      </c>
      <c r="AE60" s="548">
        <f t="shared" si="173"/>
        <v>0</v>
      </c>
      <c r="AF60" s="548">
        <f t="shared" si="173"/>
        <v>0</v>
      </c>
      <c r="AG60" s="548">
        <f t="shared" si="173"/>
        <v>115907</v>
      </c>
      <c r="AH60" s="549">
        <f t="shared" si="173"/>
        <v>0</v>
      </c>
      <c r="AI60" s="549">
        <f t="shared" si="173"/>
        <v>-0.04</v>
      </c>
      <c r="AJ60" s="549">
        <f t="shared" si="173"/>
        <v>0.25</v>
      </c>
      <c r="AK60" s="549">
        <f t="shared" si="173"/>
        <v>0</v>
      </c>
      <c r="AL60" s="549">
        <f t="shared" si="173"/>
        <v>0</v>
      </c>
      <c r="AM60" s="549">
        <f t="shared" si="173"/>
        <v>0</v>
      </c>
      <c r="AN60" s="549">
        <f t="shared" si="173"/>
        <v>0</v>
      </c>
      <c r="AO60" s="549">
        <f t="shared" si="173"/>
        <v>0</v>
      </c>
      <c r="AP60" s="549">
        <f t="shared" si="173"/>
        <v>0.25</v>
      </c>
      <c r="AQ60" s="549">
        <f t="shared" si="173"/>
        <v>-0.04</v>
      </c>
      <c r="AR60" s="347">
        <f t="shared" si="173"/>
        <v>0.21</v>
      </c>
      <c r="AS60" s="554">
        <f t="shared" si="173"/>
        <v>7495409</v>
      </c>
      <c r="AT60" s="548">
        <f t="shared" si="173"/>
        <v>5422813</v>
      </c>
      <c r="AU60" s="548">
        <f t="shared" si="173"/>
        <v>84500</v>
      </c>
      <c r="AV60" s="548">
        <f t="shared" si="173"/>
        <v>1861473</v>
      </c>
      <c r="AW60" s="548">
        <f t="shared" si="173"/>
        <v>54227</v>
      </c>
      <c r="AX60" s="548">
        <f t="shared" si="173"/>
        <v>72396</v>
      </c>
      <c r="AY60" s="549">
        <f t="shared" si="173"/>
        <v>12.033799999999999</v>
      </c>
      <c r="AZ60" s="549">
        <f t="shared" si="173"/>
        <v>8.0137999999999998</v>
      </c>
      <c r="BA60" s="347">
        <f t="shared" si="173"/>
        <v>4.0199999999999996</v>
      </c>
    </row>
    <row r="61" spans="1:53" ht="12.95" customHeight="1" x14ac:dyDescent="0.25">
      <c r="A61" s="299">
        <v>11</v>
      </c>
      <c r="B61" s="340">
        <v>5404</v>
      </c>
      <c r="C61" s="341">
        <v>600098974</v>
      </c>
      <c r="D61" s="300">
        <v>70979812</v>
      </c>
      <c r="E61" s="342" t="s">
        <v>386</v>
      </c>
      <c r="F61" s="300">
        <v>3111</v>
      </c>
      <c r="G61" s="342" t="s">
        <v>321</v>
      </c>
      <c r="H61" s="303" t="s">
        <v>277</v>
      </c>
      <c r="I61" s="462">
        <f t="shared" ref="I61:I66" si="174">SUM(J61:M61)</f>
        <v>2072927</v>
      </c>
      <c r="J61" s="457">
        <v>1529472</v>
      </c>
      <c r="K61" s="457">
        <f>ROUND(J61*33.8%,0)-1</f>
        <v>516961</v>
      </c>
      <c r="L61" s="457">
        <f>ROUND(J61*1%,0)-1</f>
        <v>15294</v>
      </c>
      <c r="M61" s="457">
        <v>11200</v>
      </c>
      <c r="N61" s="458">
        <f t="shared" ref="N61:N66" si="175">O61+P61</f>
        <v>2.7065000000000001</v>
      </c>
      <c r="O61" s="459">
        <v>2.3065000000000002</v>
      </c>
      <c r="P61" s="646">
        <v>0.4</v>
      </c>
      <c r="Q61" s="469">
        <f t="shared" ref="Q61:Q66" si="176">W61*-1</f>
        <v>-3900</v>
      </c>
      <c r="R61" s="460">
        <v>0</v>
      </c>
      <c r="S61" s="673">
        <v>0</v>
      </c>
      <c r="T61" s="460">
        <v>0</v>
      </c>
      <c r="U61" s="460">
        <v>0</v>
      </c>
      <c r="V61" s="460">
        <f t="shared" ref="V61:V66" si="177">SUM(Q61:U61)</f>
        <v>-3900</v>
      </c>
      <c r="W61" s="460">
        <v>3900</v>
      </c>
      <c r="X61" s="460">
        <v>0</v>
      </c>
      <c r="Y61" s="460">
        <v>0</v>
      </c>
      <c r="Z61" s="460">
        <f t="shared" ref="Z61:Z66" si="178">SUM(W61:Y61)</f>
        <v>3900</v>
      </c>
      <c r="AA61" s="460">
        <f t="shared" ref="AA61:AA66" si="179">V61+Z61</f>
        <v>0</v>
      </c>
      <c r="AB61" s="69">
        <f t="shared" ref="AB61:AB66" si="180">ROUND((V61+W61+X61)*33.8%,0)</f>
        <v>0</v>
      </c>
      <c r="AC61" s="69">
        <f t="shared" ref="AC61:AC66" si="181">ROUND(V61*1%,0)</f>
        <v>-39</v>
      </c>
      <c r="AD61" s="460">
        <v>0</v>
      </c>
      <c r="AE61" s="460">
        <v>0</v>
      </c>
      <c r="AF61" s="460">
        <f t="shared" ref="AF61:AF66" si="182">SUM(AD61:AE61)</f>
        <v>0</v>
      </c>
      <c r="AG61" s="460">
        <f t="shared" ref="AG61:AG66" si="183">AA61+AB61+AC61+AF61</f>
        <v>-39</v>
      </c>
      <c r="AH61" s="461">
        <v>0</v>
      </c>
      <c r="AI61" s="461">
        <v>-0.01</v>
      </c>
      <c r="AJ61" s="461">
        <v>0</v>
      </c>
      <c r="AK61" s="461">
        <v>0</v>
      </c>
      <c r="AL61" s="674">
        <v>0</v>
      </c>
      <c r="AM61" s="461">
        <v>0</v>
      </c>
      <c r="AN61" s="461">
        <v>0</v>
      </c>
      <c r="AO61" s="461">
        <v>0</v>
      </c>
      <c r="AP61" s="461">
        <f t="shared" ref="AP61:AP66" si="184">AH61+AJ61+AK61+AM61+AN61</f>
        <v>0</v>
      </c>
      <c r="AQ61" s="461">
        <f t="shared" ref="AQ61:AQ66" si="185">AI61+AL61+AO61</f>
        <v>-0.01</v>
      </c>
      <c r="AR61" s="463">
        <f t="shared" ref="AR61:AR66" si="186">SUM(AP61:AQ61)</f>
        <v>-0.01</v>
      </c>
      <c r="AS61" s="469">
        <f t="shared" ref="AS61:AS66" si="187">I61+AG61</f>
        <v>2072888</v>
      </c>
      <c r="AT61" s="460">
        <f t="shared" ref="AT61:AT66" si="188">J61+V61</f>
        <v>1525572</v>
      </c>
      <c r="AU61" s="460">
        <f t="shared" ref="AU61:AU66" si="189">Z61</f>
        <v>3900</v>
      </c>
      <c r="AV61" s="460">
        <f t="shared" ref="AV61:AW66" si="190">K61+AB61</f>
        <v>516961</v>
      </c>
      <c r="AW61" s="460">
        <f t="shared" si="190"/>
        <v>15255</v>
      </c>
      <c r="AX61" s="460">
        <f t="shared" ref="AX61:AX66" si="191">M61+AF61</f>
        <v>11200</v>
      </c>
      <c r="AY61" s="461">
        <f t="shared" ref="AY61:AY66" si="192">N61+AR61</f>
        <v>2.6965000000000003</v>
      </c>
      <c r="AZ61" s="461">
        <f t="shared" ref="AZ61:BA66" si="193">O61+AP61</f>
        <v>2.3065000000000002</v>
      </c>
      <c r="BA61" s="463">
        <f t="shared" si="193"/>
        <v>0.39</v>
      </c>
    </row>
    <row r="62" spans="1:53" ht="12.95" customHeight="1" x14ac:dyDescent="0.25">
      <c r="A62" s="299">
        <v>11</v>
      </c>
      <c r="B62" s="340">
        <v>5404</v>
      </c>
      <c r="C62" s="341">
        <v>600098974</v>
      </c>
      <c r="D62" s="300">
        <v>70979812</v>
      </c>
      <c r="E62" s="342" t="s">
        <v>386</v>
      </c>
      <c r="F62" s="300">
        <v>3117</v>
      </c>
      <c r="G62" s="342" t="s">
        <v>310</v>
      </c>
      <c r="H62" s="303" t="s">
        <v>277</v>
      </c>
      <c r="I62" s="462">
        <f t="shared" si="174"/>
        <v>2359738</v>
      </c>
      <c r="J62" s="457">
        <v>1718759</v>
      </c>
      <c r="K62" s="457">
        <f t="shared" ref="K62:K66" si="194">ROUND(J62*33.8%,0)</f>
        <v>580941</v>
      </c>
      <c r="L62" s="457">
        <f t="shared" ref="L62:L66" si="195">ROUND(J62*1%,0)</f>
        <v>17188</v>
      </c>
      <c r="M62" s="457">
        <v>42850</v>
      </c>
      <c r="N62" s="458">
        <f t="shared" si="175"/>
        <v>3.6091000000000002</v>
      </c>
      <c r="O62" s="459">
        <v>2.4091</v>
      </c>
      <c r="P62" s="646">
        <v>1.2000000000000002</v>
      </c>
      <c r="Q62" s="469">
        <f t="shared" si="176"/>
        <v>0</v>
      </c>
      <c r="R62" s="460">
        <v>0</v>
      </c>
      <c r="S62" s="673">
        <v>0</v>
      </c>
      <c r="T62" s="460">
        <v>0</v>
      </c>
      <c r="U62" s="460">
        <v>0</v>
      </c>
      <c r="V62" s="460">
        <f t="shared" si="177"/>
        <v>0</v>
      </c>
      <c r="W62" s="460">
        <v>0</v>
      </c>
      <c r="X62" s="460">
        <v>0</v>
      </c>
      <c r="Y62" s="460">
        <v>0</v>
      </c>
      <c r="Z62" s="460">
        <f t="shared" si="178"/>
        <v>0</v>
      </c>
      <c r="AA62" s="460">
        <f t="shared" si="179"/>
        <v>0</v>
      </c>
      <c r="AB62" s="69">
        <f t="shared" si="180"/>
        <v>0</v>
      </c>
      <c r="AC62" s="69">
        <f t="shared" si="181"/>
        <v>0</v>
      </c>
      <c r="AD62" s="460">
        <v>0</v>
      </c>
      <c r="AE62" s="460">
        <v>0</v>
      </c>
      <c r="AF62" s="460">
        <f t="shared" si="182"/>
        <v>0</v>
      </c>
      <c r="AG62" s="460">
        <f t="shared" si="183"/>
        <v>0</v>
      </c>
      <c r="AH62" s="461">
        <v>0</v>
      </c>
      <c r="AI62" s="461">
        <v>0</v>
      </c>
      <c r="AJ62" s="461">
        <v>0</v>
      </c>
      <c r="AK62" s="461">
        <v>0</v>
      </c>
      <c r="AL62" s="674">
        <v>0</v>
      </c>
      <c r="AM62" s="461">
        <v>0</v>
      </c>
      <c r="AN62" s="461">
        <v>0</v>
      </c>
      <c r="AO62" s="461">
        <v>0</v>
      </c>
      <c r="AP62" s="461">
        <f t="shared" si="184"/>
        <v>0</v>
      </c>
      <c r="AQ62" s="461">
        <f t="shared" si="185"/>
        <v>0</v>
      </c>
      <c r="AR62" s="463">
        <f t="shared" si="186"/>
        <v>0</v>
      </c>
      <c r="AS62" s="469">
        <f t="shared" si="187"/>
        <v>2359738</v>
      </c>
      <c r="AT62" s="460">
        <f t="shared" si="188"/>
        <v>1718759</v>
      </c>
      <c r="AU62" s="460">
        <f t="shared" si="189"/>
        <v>0</v>
      </c>
      <c r="AV62" s="460">
        <f t="shared" si="190"/>
        <v>580941</v>
      </c>
      <c r="AW62" s="460">
        <f t="shared" si="190"/>
        <v>17188</v>
      </c>
      <c r="AX62" s="460">
        <f t="shared" si="191"/>
        <v>42850</v>
      </c>
      <c r="AY62" s="461">
        <f t="shared" si="192"/>
        <v>3.6091000000000002</v>
      </c>
      <c r="AZ62" s="461">
        <f t="shared" si="193"/>
        <v>2.4091</v>
      </c>
      <c r="BA62" s="463">
        <f t="shared" si="193"/>
        <v>1.2000000000000002</v>
      </c>
    </row>
    <row r="63" spans="1:53" ht="12.95" customHeight="1" x14ac:dyDescent="0.25">
      <c r="A63" s="299">
        <v>11</v>
      </c>
      <c r="B63" s="340">
        <v>5404</v>
      </c>
      <c r="C63" s="341">
        <v>600098974</v>
      </c>
      <c r="D63" s="300">
        <v>70979812</v>
      </c>
      <c r="E63" s="342" t="s">
        <v>386</v>
      </c>
      <c r="F63" s="300">
        <v>3117</v>
      </c>
      <c r="G63" s="342" t="s">
        <v>315</v>
      </c>
      <c r="H63" s="303" t="s">
        <v>278</v>
      </c>
      <c r="I63" s="462">
        <f t="shared" si="174"/>
        <v>0</v>
      </c>
      <c r="J63" s="457">
        <v>0</v>
      </c>
      <c r="K63" s="457">
        <f t="shared" si="194"/>
        <v>0</v>
      </c>
      <c r="L63" s="457">
        <f t="shared" si="195"/>
        <v>0</v>
      </c>
      <c r="M63" s="457">
        <v>0</v>
      </c>
      <c r="N63" s="458">
        <f t="shared" si="175"/>
        <v>0</v>
      </c>
      <c r="O63" s="459">
        <v>0</v>
      </c>
      <c r="P63" s="646">
        <v>0</v>
      </c>
      <c r="Q63" s="469">
        <f t="shared" si="176"/>
        <v>0</v>
      </c>
      <c r="R63" s="460">
        <v>356078</v>
      </c>
      <c r="S63" s="673">
        <v>0</v>
      </c>
      <c r="T63" s="460">
        <v>0</v>
      </c>
      <c r="U63" s="460">
        <v>0</v>
      </c>
      <c r="V63" s="460">
        <f t="shared" si="177"/>
        <v>356078</v>
      </c>
      <c r="W63" s="460">
        <v>0</v>
      </c>
      <c r="X63" s="460">
        <v>0</v>
      </c>
      <c r="Y63" s="460">
        <v>0</v>
      </c>
      <c r="Z63" s="460">
        <f t="shared" si="178"/>
        <v>0</v>
      </c>
      <c r="AA63" s="460">
        <f t="shared" si="179"/>
        <v>356078</v>
      </c>
      <c r="AB63" s="69">
        <f t="shared" si="180"/>
        <v>120354</v>
      </c>
      <c r="AC63" s="69">
        <f t="shared" si="181"/>
        <v>3561</v>
      </c>
      <c r="AD63" s="460">
        <v>0</v>
      </c>
      <c r="AE63" s="460">
        <v>0</v>
      </c>
      <c r="AF63" s="460">
        <f t="shared" si="182"/>
        <v>0</v>
      </c>
      <c r="AG63" s="460">
        <f t="shared" si="183"/>
        <v>479993</v>
      </c>
      <c r="AH63" s="461">
        <v>0</v>
      </c>
      <c r="AI63" s="461">
        <v>0</v>
      </c>
      <c r="AJ63" s="461">
        <v>1.03</v>
      </c>
      <c r="AK63" s="461">
        <v>0</v>
      </c>
      <c r="AL63" s="674">
        <v>0</v>
      </c>
      <c r="AM63" s="461">
        <v>0</v>
      </c>
      <c r="AN63" s="461">
        <v>0</v>
      </c>
      <c r="AO63" s="461">
        <v>0</v>
      </c>
      <c r="AP63" s="461">
        <f t="shared" si="184"/>
        <v>1.03</v>
      </c>
      <c r="AQ63" s="461">
        <f t="shared" si="185"/>
        <v>0</v>
      </c>
      <c r="AR63" s="463">
        <f t="shared" si="186"/>
        <v>1.03</v>
      </c>
      <c r="AS63" s="469">
        <f t="shared" si="187"/>
        <v>479993</v>
      </c>
      <c r="AT63" s="460">
        <f t="shared" si="188"/>
        <v>356078</v>
      </c>
      <c r="AU63" s="460">
        <f t="shared" si="189"/>
        <v>0</v>
      </c>
      <c r="AV63" s="460">
        <f t="shared" si="190"/>
        <v>120354</v>
      </c>
      <c r="AW63" s="460">
        <f t="shared" si="190"/>
        <v>3561</v>
      </c>
      <c r="AX63" s="460">
        <f t="shared" si="191"/>
        <v>0</v>
      </c>
      <c r="AY63" s="461">
        <f t="shared" si="192"/>
        <v>1.03</v>
      </c>
      <c r="AZ63" s="461">
        <f t="shared" si="193"/>
        <v>1.03</v>
      </c>
      <c r="BA63" s="463">
        <f t="shared" si="193"/>
        <v>0</v>
      </c>
    </row>
    <row r="64" spans="1:53" ht="12.95" customHeight="1" x14ac:dyDescent="0.25">
      <c r="A64" s="299">
        <v>11</v>
      </c>
      <c r="B64" s="340">
        <v>5404</v>
      </c>
      <c r="C64" s="341">
        <v>600098974</v>
      </c>
      <c r="D64" s="300">
        <v>70979812</v>
      </c>
      <c r="E64" s="342" t="s">
        <v>386</v>
      </c>
      <c r="F64" s="300">
        <v>3141</v>
      </c>
      <c r="G64" s="342" t="s">
        <v>311</v>
      </c>
      <c r="H64" s="303" t="s">
        <v>278</v>
      </c>
      <c r="I64" s="462">
        <f t="shared" si="174"/>
        <v>715417</v>
      </c>
      <c r="J64" s="457">
        <v>528680</v>
      </c>
      <c r="K64" s="457">
        <f t="shared" si="194"/>
        <v>178694</v>
      </c>
      <c r="L64" s="457">
        <f t="shared" si="195"/>
        <v>5287</v>
      </c>
      <c r="M64" s="457">
        <v>2756</v>
      </c>
      <c r="N64" s="458">
        <f t="shared" si="175"/>
        <v>1.7</v>
      </c>
      <c r="O64" s="459">
        <v>0</v>
      </c>
      <c r="P64" s="646">
        <v>1.7</v>
      </c>
      <c r="Q64" s="469">
        <f t="shared" si="176"/>
        <v>-9100</v>
      </c>
      <c r="R64" s="460">
        <v>0</v>
      </c>
      <c r="S64" s="673">
        <v>0</v>
      </c>
      <c r="T64" s="460">
        <v>0</v>
      </c>
      <c r="U64" s="460">
        <v>0</v>
      </c>
      <c r="V64" s="460">
        <f t="shared" si="177"/>
        <v>-9100</v>
      </c>
      <c r="W64" s="460">
        <v>9100</v>
      </c>
      <c r="X64" s="460">
        <v>0</v>
      </c>
      <c r="Y64" s="460">
        <v>0</v>
      </c>
      <c r="Z64" s="460">
        <f t="shared" si="178"/>
        <v>9100</v>
      </c>
      <c r="AA64" s="460">
        <f t="shared" si="179"/>
        <v>0</v>
      </c>
      <c r="AB64" s="69">
        <f t="shared" si="180"/>
        <v>0</v>
      </c>
      <c r="AC64" s="69">
        <f t="shared" si="181"/>
        <v>-91</v>
      </c>
      <c r="AD64" s="460">
        <v>0</v>
      </c>
      <c r="AE64" s="460">
        <v>0</v>
      </c>
      <c r="AF64" s="460">
        <f t="shared" si="182"/>
        <v>0</v>
      </c>
      <c r="AG64" s="460">
        <f t="shared" si="183"/>
        <v>-91</v>
      </c>
      <c r="AH64" s="461">
        <v>0</v>
      </c>
      <c r="AI64" s="461">
        <v>0</v>
      </c>
      <c r="AJ64" s="461">
        <v>0</v>
      </c>
      <c r="AK64" s="461">
        <v>0</v>
      </c>
      <c r="AL64" s="674">
        <v>0</v>
      </c>
      <c r="AM64" s="461">
        <v>0</v>
      </c>
      <c r="AN64" s="461">
        <v>0</v>
      </c>
      <c r="AO64" s="461">
        <v>0</v>
      </c>
      <c r="AP64" s="461">
        <f t="shared" si="184"/>
        <v>0</v>
      </c>
      <c r="AQ64" s="461">
        <f t="shared" si="185"/>
        <v>0</v>
      </c>
      <c r="AR64" s="463">
        <f t="shared" si="186"/>
        <v>0</v>
      </c>
      <c r="AS64" s="469">
        <f t="shared" si="187"/>
        <v>715326</v>
      </c>
      <c r="AT64" s="460">
        <f t="shared" si="188"/>
        <v>519580</v>
      </c>
      <c r="AU64" s="460">
        <f t="shared" si="189"/>
        <v>9100</v>
      </c>
      <c r="AV64" s="460">
        <f t="shared" si="190"/>
        <v>178694</v>
      </c>
      <c r="AW64" s="460">
        <f t="shared" si="190"/>
        <v>5196</v>
      </c>
      <c r="AX64" s="460">
        <f t="shared" si="191"/>
        <v>2756</v>
      </c>
      <c r="AY64" s="461">
        <f t="shared" si="192"/>
        <v>1.7</v>
      </c>
      <c r="AZ64" s="461">
        <f t="shared" si="193"/>
        <v>0</v>
      </c>
      <c r="BA64" s="463">
        <f t="shared" si="193"/>
        <v>1.7</v>
      </c>
    </row>
    <row r="65" spans="1:53" ht="12.95" customHeight="1" x14ac:dyDescent="0.25">
      <c r="A65" s="299">
        <v>11</v>
      </c>
      <c r="B65" s="340">
        <v>5404</v>
      </c>
      <c r="C65" s="341">
        <v>600098974</v>
      </c>
      <c r="D65" s="300">
        <v>70979812</v>
      </c>
      <c r="E65" s="342" t="s">
        <v>386</v>
      </c>
      <c r="F65" s="300">
        <v>3143</v>
      </c>
      <c r="G65" s="342" t="s">
        <v>616</v>
      </c>
      <c r="H65" s="303" t="s">
        <v>277</v>
      </c>
      <c r="I65" s="462">
        <f t="shared" si="174"/>
        <v>448714</v>
      </c>
      <c r="J65" s="457">
        <v>332874</v>
      </c>
      <c r="K65" s="457">
        <f t="shared" si="194"/>
        <v>112511</v>
      </c>
      <c r="L65" s="457">
        <f t="shared" si="195"/>
        <v>3329</v>
      </c>
      <c r="M65" s="457">
        <v>0</v>
      </c>
      <c r="N65" s="458">
        <f t="shared" si="175"/>
        <v>0.70520000000000005</v>
      </c>
      <c r="O65" s="459">
        <v>0.70520000000000005</v>
      </c>
      <c r="P65" s="646">
        <v>0</v>
      </c>
      <c r="Q65" s="469">
        <f t="shared" si="176"/>
        <v>0</v>
      </c>
      <c r="R65" s="460">
        <v>0</v>
      </c>
      <c r="S65" s="673">
        <v>0</v>
      </c>
      <c r="T65" s="460">
        <v>0</v>
      </c>
      <c r="U65" s="460">
        <v>0</v>
      </c>
      <c r="V65" s="460">
        <f t="shared" si="177"/>
        <v>0</v>
      </c>
      <c r="W65" s="460">
        <v>0</v>
      </c>
      <c r="X65" s="460">
        <v>0</v>
      </c>
      <c r="Y65" s="460">
        <v>0</v>
      </c>
      <c r="Z65" s="460">
        <f t="shared" si="178"/>
        <v>0</v>
      </c>
      <c r="AA65" s="460">
        <f t="shared" si="179"/>
        <v>0</v>
      </c>
      <c r="AB65" s="69">
        <f t="shared" si="180"/>
        <v>0</v>
      </c>
      <c r="AC65" s="69">
        <f t="shared" si="181"/>
        <v>0</v>
      </c>
      <c r="AD65" s="460">
        <v>0</v>
      </c>
      <c r="AE65" s="460">
        <v>0</v>
      </c>
      <c r="AF65" s="460">
        <f t="shared" si="182"/>
        <v>0</v>
      </c>
      <c r="AG65" s="460">
        <f t="shared" si="183"/>
        <v>0</v>
      </c>
      <c r="AH65" s="461">
        <v>0</v>
      </c>
      <c r="AI65" s="461">
        <v>0</v>
      </c>
      <c r="AJ65" s="461">
        <v>0</v>
      </c>
      <c r="AK65" s="461">
        <v>0</v>
      </c>
      <c r="AL65" s="674">
        <v>0</v>
      </c>
      <c r="AM65" s="461">
        <v>0</v>
      </c>
      <c r="AN65" s="461">
        <v>0</v>
      </c>
      <c r="AO65" s="461">
        <v>0</v>
      </c>
      <c r="AP65" s="461">
        <f t="shared" si="184"/>
        <v>0</v>
      </c>
      <c r="AQ65" s="461">
        <f t="shared" si="185"/>
        <v>0</v>
      </c>
      <c r="AR65" s="463">
        <f t="shared" si="186"/>
        <v>0</v>
      </c>
      <c r="AS65" s="469">
        <f t="shared" si="187"/>
        <v>448714</v>
      </c>
      <c r="AT65" s="460">
        <f t="shared" si="188"/>
        <v>332874</v>
      </c>
      <c r="AU65" s="460">
        <f t="shared" si="189"/>
        <v>0</v>
      </c>
      <c r="AV65" s="460">
        <f t="shared" si="190"/>
        <v>112511</v>
      </c>
      <c r="AW65" s="460">
        <f t="shared" si="190"/>
        <v>3329</v>
      </c>
      <c r="AX65" s="460">
        <f t="shared" si="191"/>
        <v>0</v>
      </c>
      <c r="AY65" s="461">
        <f t="shared" si="192"/>
        <v>0.70520000000000005</v>
      </c>
      <c r="AZ65" s="461">
        <f t="shared" si="193"/>
        <v>0.70520000000000005</v>
      </c>
      <c r="BA65" s="463">
        <f t="shared" si="193"/>
        <v>0</v>
      </c>
    </row>
    <row r="66" spans="1:53" ht="12.95" customHeight="1" x14ac:dyDescent="0.25">
      <c r="A66" s="299">
        <v>11</v>
      </c>
      <c r="B66" s="340">
        <v>5404</v>
      </c>
      <c r="C66" s="341">
        <v>600098974</v>
      </c>
      <c r="D66" s="300">
        <v>70979812</v>
      </c>
      <c r="E66" s="342" t="s">
        <v>386</v>
      </c>
      <c r="F66" s="300">
        <v>3143</v>
      </c>
      <c r="G66" s="342" t="s">
        <v>617</v>
      </c>
      <c r="H66" s="303" t="s">
        <v>278</v>
      </c>
      <c r="I66" s="462">
        <f t="shared" si="174"/>
        <v>10995</v>
      </c>
      <c r="J66" s="457">
        <v>7856</v>
      </c>
      <c r="K66" s="457">
        <f t="shared" si="194"/>
        <v>2655</v>
      </c>
      <c r="L66" s="457">
        <f t="shared" si="195"/>
        <v>79</v>
      </c>
      <c r="M66" s="457">
        <v>405</v>
      </c>
      <c r="N66" s="458">
        <f t="shared" si="175"/>
        <v>0.03</v>
      </c>
      <c r="O66" s="459">
        <v>0</v>
      </c>
      <c r="P66" s="646">
        <v>0.03</v>
      </c>
      <c r="Q66" s="469">
        <f t="shared" si="176"/>
        <v>0</v>
      </c>
      <c r="R66" s="460">
        <v>0</v>
      </c>
      <c r="S66" s="673">
        <v>0</v>
      </c>
      <c r="T66" s="460">
        <v>0</v>
      </c>
      <c r="U66" s="460">
        <v>0</v>
      </c>
      <c r="V66" s="460">
        <f t="shared" si="177"/>
        <v>0</v>
      </c>
      <c r="W66" s="460">
        <v>0</v>
      </c>
      <c r="X66" s="460">
        <v>0</v>
      </c>
      <c r="Y66" s="460">
        <v>0</v>
      </c>
      <c r="Z66" s="460">
        <f t="shared" si="178"/>
        <v>0</v>
      </c>
      <c r="AA66" s="460">
        <f t="shared" si="179"/>
        <v>0</v>
      </c>
      <c r="AB66" s="69">
        <f t="shared" si="180"/>
        <v>0</v>
      </c>
      <c r="AC66" s="69">
        <f t="shared" si="181"/>
        <v>0</v>
      </c>
      <c r="AD66" s="460">
        <v>0</v>
      </c>
      <c r="AE66" s="460">
        <v>0</v>
      </c>
      <c r="AF66" s="460">
        <f t="shared" si="182"/>
        <v>0</v>
      </c>
      <c r="AG66" s="460">
        <f t="shared" si="183"/>
        <v>0</v>
      </c>
      <c r="AH66" s="461">
        <v>0</v>
      </c>
      <c r="AI66" s="461">
        <v>0</v>
      </c>
      <c r="AJ66" s="461">
        <v>0</v>
      </c>
      <c r="AK66" s="461">
        <v>0</v>
      </c>
      <c r="AL66" s="674">
        <v>0</v>
      </c>
      <c r="AM66" s="461">
        <v>0</v>
      </c>
      <c r="AN66" s="461">
        <v>0</v>
      </c>
      <c r="AO66" s="461">
        <v>0</v>
      </c>
      <c r="AP66" s="461">
        <f t="shared" si="184"/>
        <v>0</v>
      </c>
      <c r="AQ66" s="461">
        <f t="shared" si="185"/>
        <v>0</v>
      </c>
      <c r="AR66" s="463">
        <f t="shared" si="186"/>
        <v>0</v>
      </c>
      <c r="AS66" s="469">
        <f t="shared" si="187"/>
        <v>10995</v>
      </c>
      <c r="AT66" s="460">
        <f t="shared" si="188"/>
        <v>7856</v>
      </c>
      <c r="AU66" s="460">
        <f t="shared" si="189"/>
        <v>0</v>
      </c>
      <c r="AV66" s="460">
        <f t="shared" si="190"/>
        <v>2655</v>
      </c>
      <c r="AW66" s="460">
        <f t="shared" si="190"/>
        <v>79</v>
      </c>
      <c r="AX66" s="460">
        <f t="shared" si="191"/>
        <v>405</v>
      </c>
      <c r="AY66" s="461">
        <f t="shared" si="192"/>
        <v>0.03</v>
      </c>
      <c r="AZ66" s="461">
        <f t="shared" si="193"/>
        <v>0</v>
      </c>
      <c r="BA66" s="463">
        <f t="shared" si="193"/>
        <v>0.03</v>
      </c>
    </row>
    <row r="67" spans="1:53" ht="12.95" customHeight="1" x14ac:dyDescent="0.25">
      <c r="A67" s="343">
        <v>11</v>
      </c>
      <c r="B67" s="344">
        <v>5404</v>
      </c>
      <c r="C67" s="345">
        <v>600098974</v>
      </c>
      <c r="D67" s="344">
        <v>70979812</v>
      </c>
      <c r="E67" s="346" t="s">
        <v>387</v>
      </c>
      <c r="F67" s="310"/>
      <c r="G67" s="348"/>
      <c r="H67" s="311"/>
      <c r="I67" s="552">
        <f t="shared" ref="I67:P67" si="196">SUM(I61:I66)</f>
        <v>5607791</v>
      </c>
      <c r="J67" s="548">
        <f t="shared" si="196"/>
        <v>4117641</v>
      </c>
      <c r="K67" s="548">
        <f t="shared" si="196"/>
        <v>1391762</v>
      </c>
      <c r="L67" s="548">
        <f t="shared" si="196"/>
        <v>41177</v>
      </c>
      <c r="M67" s="548">
        <f t="shared" si="196"/>
        <v>57211</v>
      </c>
      <c r="N67" s="549">
        <f t="shared" si="196"/>
        <v>8.7507999999999981</v>
      </c>
      <c r="O67" s="549">
        <f t="shared" si="196"/>
        <v>5.4207999999999998</v>
      </c>
      <c r="P67" s="347">
        <f t="shared" si="196"/>
        <v>3.3299999999999996</v>
      </c>
      <c r="Q67" s="554">
        <f t="shared" ref="Q67:BA67" si="197">SUM(Q61:Q66)</f>
        <v>-13000</v>
      </c>
      <c r="R67" s="548">
        <f t="shared" si="197"/>
        <v>356078</v>
      </c>
      <c r="S67" s="548">
        <f t="shared" si="197"/>
        <v>0</v>
      </c>
      <c r="T67" s="548">
        <f t="shared" si="197"/>
        <v>0</v>
      </c>
      <c r="U67" s="548">
        <f t="shared" si="197"/>
        <v>0</v>
      </c>
      <c r="V67" s="548">
        <f t="shared" si="197"/>
        <v>343078</v>
      </c>
      <c r="W67" s="548">
        <f t="shared" si="197"/>
        <v>13000</v>
      </c>
      <c r="X67" s="548">
        <f t="shared" si="197"/>
        <v>0</v>
      </c>
      <c r="Y67" s="548">
        <f t="shared" si="197"/>
        <v>0</v>
      </c>
      <c r="Z67" s="548">
        <f t="shared" si="197"/>
        <v>13000</v>
      </c>
      <c r="AA67" s="548">
        <f t="shared" si="197"/>
        <v>356078</v>
      </c>
      <c r="AB67" s="548">
        <f t="shared" si="197"/>
        <v>120354</v>
      </c>
      <c r="AC67" s="548">
        <f t="shared" si="197"/>
        <v>3431</v>
      </c>
      <c r="AD67" s="548">
        <f t="shared" si="197"/>
        <v>0</v>
      </c>
      <c r="AE67" s="548">
        <f t="shared" si="197"/>
        <v>0</v>
      </c>
      <c r="AF67" s="548">
        <f t="shared" si="197"/>
        <v>0</v>
      </c>
      <c r="AG67" s="548">
        <f t="shared" si="197"/>
        <v>479863</v>
      </c>
      <c r="AH67" s="549">
        <f t="shared" si="197"/>
        <v>0</v>
      </c>
      <c r="AI67" s="549">
        <f t="shared" si="197"/>
        <v>-0.01</v>
      </c>
      <c r="AJ67" s="549">
        <f t="shared" si="197"/>
        <v>1.03</v>
      </c>
      <c r="AK67" s="549">
        <f t="shared" si="197"/>
        <v>0</v>
      </c>
      <c r="AL67" s="549">
        <f t="shared" si="197"/>
        <v>0</v>
      </c>
      <c r="AM67" s="549">
        <f t="shared" si="197"/>
        <v>0</v>
      </c>
      <c r="AN67" s="549">
        <f t="shared" si="197"/>
        <v>0</v>
      </c>
      <c r="AO67" s="549">
        <f t="shared" si="197"/>
        <v>0</v>
      </c>
      <c r="AP67" s="549">
        <f t="shared" si="197"/>
        <v>1.03</v>
      </c>
      <c r="AQ67" s="549">
        <f t="shared" si="197"/>
        <v>-0.01</v>
      </c>
      <c r="AR67" s="347">
        <f t="shared" si="197"/>
        <v>1.02</v>
      </c>
      <c r="AS67" s="554">
        <f t="shared" si="197"/>
        <v>6087654</v>
      </c>
      <c r="AT67" s="548">
        <f t="shared" si="197"/>
        <v>4460719</v>
      </c>
      <c r="AU67" s="548">
        <f t="shared" si="197"/>
        <v>13000</v>
      </c>
      <c r="AV67" s="548">
        <f t="shared" si="197"/>
        <v>1512116</v>
      </c>
      <c r="AW67" s="548">
        <f t="shared" si="197"/>
        <v>44608</v>
      </c>
      <c r="AX67" s="548">
        <f t="shared" si="197"/>
        <v>57211</v>
      </c>
      <c r="AY67" s="549">
        <f t="shared" si="197"/>
        <v>9.7707999999999995</v>
      </c>
      <c r="AZ67" s="549">
        <f t="shared" si="197"/>
        <v>6.450800000000001</v>
      </c>
      <c r="BA67" s="347">
        <f t="shared" si="197"/>
        <v>3.32</v>
      </c>
    </row>
    <row r="68" spans="1:53" ht="12.95" customHeight="1" x14ac:dyDescent="0.25">
      <c r="A68" s="299">
        <v>12</v>
      </c>
      <c r="B68" s="340">
        <v>5407</v>
      </c>
      <c r="C68" s="341">
        <v>600099148</v>
      </c>
      <c r="D68" s="300">
        <v>70939403</v>
      </c>
      <c r="E68" s="342" t="s">
        <v>388</v>
      </c>
      <c r="F68" s="300">
        <v>3111</v>
      </c>
      <c r="G68" s="342" t="s">
        <v>321</v>
      </c>
      <c r="H68" s="303" t="s">
        <v>277</v>
      </c>
      <c r="I68" s="462">
        <f t="shared" ref="I68:I73" si="198">SUM(J68:M68)</f>
        <v>2346322</v>
      </c>
      <c r="J68" s="457">
        <v>1731396</v>
      </c>
      <c r="K68" s="457">
        <f t="shared" ref="K68:K73" si="199">ROUND(J68*33.8%,0)</f>
        <v>585212</v>
      </c>
      <c r="L68" s="457">
        <f t="shared" ref="L68:L73" si="200">ROUND(J68*1%,0)</f>
        <v>17314</v>
      </c>
      <c r="M68" s="457">
        <v>12400</v>
      </c>
      <c r="N68" s="458">
        <f t="shared" ref="N68:N73" si="201">O68+P68</f>
        <v>3.7199999999999998</v>
      </c>
      <c r="O68" s="459">
        <v>3</v>
      </c>
      <c r="P68" s="646">
        <v>0.72</v>
      </c>
      <c r="Q68" s="469">
        <f t="shared" ref="Q68:Q73" si="202">W68*-1</f>
        <v>0</v>
      </c>
      <c r="R68" s="460">
        <v>0</v>
      </c>
      <c r="S68" s="673">
        <v>0</v>
      </c>
      <c r="T68" s="460">
        <v>0</v>
      </c>
      <c r="U68" s="460">
        <v>0</v>
      </c>
      <c r="V68" s="460">
        <f t="shared" ref="V68:V73" si="203">SUM(Q68:U68)</f>
        <v>0</v>
      </c>
      <c r="W68" s="460">
        <v>0</v>
      </c>
      <c r="X68" s="460">
        <v>0</v>
      </c>
      <c r="Y68" s="460">
        <v>0</v>
      </c>
      <c r="Z68" s="460">
        <f t="shared" ref="Z68:Z73" si="204">SUM(W68:Y68)</f>
        <v>0</v>
      </c>
      <c r="AA68" s="460">
        <f t="shared" ref="AA68:AA73" si="205">V68+Z68</f>
        <v>0</v>
      </c>
      <c r="AB68" s="69">
        <f t="shared" ref="AB68:AB73" si="206">ROUND((V68+W68+X68)*33.8%,0)</f>
        <v>0</v>
      </c>
      <c r="AC68" s="69">
        <f t="shared" ref="AC68:AC73" si="207">ROUND(V68*1%,0)</f>
        <v>0</v>
      </c>
      <c r="AD68" s="460">
        <v>0</v>
      </c>
      <c r="AE68" s="460">
        <v>0</v>
      </c>
      <c r="AF68" s="460">
        <f t="shared" ref="AF68:AF73" si="208">SUM(AD68:AE68)</f>
        <v>0</v>
      </c>
      <c r="AG68" s="460">
        <f t="shared" ref="AG68:AG73" si="209">AA68+AB68+AC68+AF68</f>
        <v>0</v>
      </c>
      <c r="AH68" s="461">
        <v>0</v>
      </c>
      <c r="AI68" s="461">
        <v>0</v>
      </c>
      <c r="AJ68" s="461">
        <v>0</v>
      </c>
      <c r="AK68" s="461">
        <v>0</v>
      </c>
      <c r="AL68" s="674">
        <v>0</v>
      </c>
      <c r="AM68" s="461">
        <v>0</v>
      </c>
      <c r="AN68" s="461">
        <v>0</v>
      </c>
      <c r="AO68" s="461">
        <v>0</v>
      </c>
      <c r="AP68" s="461">
        <f t="shared" ref="AP68:AP73" si="210">AH68+AJ68+AK68+AM68+AN68</f>
        <v>0</v>
      </c>
      <c r="AQ68" s="461">
        <f t="shared" ref="AQ68:AQ73" si="211">AI68+AL68+AO68</f>
        <v>0</v>
      </c>
      <c r="AR68" s="463">
        <f t="shared" ref="AR68:AR73" si="212">SUM(AP68:AQ68)</f>
        <v>0</v>
      </c>
      <c r="AS68" s="469">
        <f t="shared" ref="AS68:AS73" si="213">I68+AG68</f>
        <v>2346322</v>
      </c>
      <c r="AT68" s="460">
        <f t="shared" ref="AT68:AT73" si="214">J68+V68</f>
        <v>1731396</v>
      </c>
      <c r="AU68" s="460">
        <f t="shared" ref="AU68:AU73" si="215">Z68</f>
        <v>0</v>
      </c>
      <c r="AV68" s="460">
        <f t="shared" ref="AV68:AW73" si="216">K68+AB68</f>
        <v>585212</v>
      </c>
      <c r="AW68" s="460">
        <f t="shared" si="216"/>
        <v>17314</v>
      </c>
      <c r="AX68" s="460">
        <f t="shared" ref="AX68:AX73" si="217">M68+AF68</f>
        <v>12400</v>
      </c>
      <c r="AY68" s="461">
        <f t="shared" ref="AY68:AY73" si="218">N68+AR68</f>
        <v>3.7199999999999998</v>
      </c>
      <c r="AZ68" s="461">
        <f t="shared" ref="AZ68:BA73" si="219">O68+AP68</f>
        <v>3</v>
      </c>
      <c r="BA68" s="463">
        <f t="shared" si="219"/>
        <v>0.72</v>
      </c>
    </row>
    <row r="69" spans="1:53" ht="12.95" customHeight="1" x14ac:dyDescent="0.25">
      <c r="A69" s="299">
        <v>12</v>
      </c>
      <c r="B69" s="340">
        <v>5407</v>
      </c>
      <c r="C69" s="341">
        <v>600099148</v>
      </c>
      <c r="D69" s="300">
        <v>70939403</v>
      </c>
      <c r="E69" s="342" t="s">
        <v>388</v>
      </c>
      <c r="F69" s="300">
        <v>3113</v>
      </c>
      <c r="G69" s="342" t="s">
        <v>325</v>
      </c>
      <c r="H69" s="303" t="s">
        <v>277</v>
      </c>
      <c r="I69" s="462">
        <f t="shared" si="198"/>
        <v>9192948</v>
      </c>
      <c r="J69" s="457">
        <v>6727984</v>
      </c>
      <c r="K69" s="457">
        <f t="shared" si="199"/>
        <v>2274059</v>
      </c>
      <c r="L69" s="457">
        <f t="shared" si="200"/>
        <v>67280</v>
      </c>
      <c r="M69" s="457">
        <v>123625</v>
      </c>
      <c r="N69" s="458">
        <f t="shared" si="201"/>
        <v>11.898099999999999</v>
      </c>
      <c r="O69" s="459">
        <v>9.6313999999999993</v>
      </c>
      <c r="P69" s="646">
        <v>2.2667000000000002</v>
      </c>
      <c r="Q69" s="469">
        <f t="shared" si="202"/>
        <v>-19500</v>
      </c>
      <c r="R69" s="460">
        <v>0</v>
      </c>
      <c r="S69" s="673">
        <v>0</v>
      </c>
      <c r="T69" s="460">
        <v>0</v>
      </c>
      <c r="U69" s="460">
        <v>0</v>
      </c>
      <c r="V69" s="460">
        <f t="shared" si="203"/>
        <v>-19500</v>
      </c>
      <c r="W69" s="460">
        <v>19500</v>
      </c>
      <c r="X69" s="460">
        <v>0</v>
      </c>
      <c r="Y69" s="460">
        <v>0</v>
      </c>
      <c r="Z69" s="460">
        <f t="shared" si="204"/>
        <v>19500</v>
      </c>
      <c r="AA69" s="460">
        <f t="shared" si="205"/>
        <v>0</v>
      </c>
      <c r="AB69" s="69">
        <f t="shared" si="206"/>
        <v>0</v>
      </c>
      <c r="AC69" s="69">
        <f t="shared" si="207"/>
        <v>-195</v>
      </c>
      <c r="AD69" s="460">
        <v>0</v>
      </c>
      <c r="AE69" s="460">
        <v>0</v>
      </c>
      <c r="AF69" s="460">
        <f t="shared" si="208"/>
        <v>0</v>
      </c>
      <c r="AG69" s="460">
        <f t="shared" si="209"/>
        <v>-195</v>
      </c>
      <c r="AH69" s="461">
        <v>-0.01</v>
      </c>
      <c r="AI69" s="461">
        <v>-0.04</v>
      </c>
      <c r="AJ69" s="461">
        <v>0</v>
      </c>
      <c r="AK69" s="461">
        <v>0</v>
      </c>
      <c r="AL69" s="674">
        <v>0</v>
      </c>
      <c r="AM69" s="461">
        <v>0</v>
      </c>
      <c r="AN69" s="461">
        <v>0</v>
      </c>
      <c r="AO69" s="461">
        <v>0</v>
      </c>
      <c r="AP69" s="461">
        <f t="shared" si="210"/>
        <v>-0.01</v>
      </c>
      <c r="AQ69" s="461">
        <f t="shared" si="211"/>
        <v>-0.04</v>
      </c>
      <c r="AR69" s="463">
        <f t="shared" si="212"/>
        <v>-0.05</v>
      </c>
      <c r="AS69" s="469">
        <f t="shared" si="213"/>
        <v>9192753</v>
      </c>
      <c r="AT69" s="460">
        <f t="shared" si="214"/>
        <v>6708484</v>
      </c>
      <c r="AU69" s="460">
        <f t="shared" si="215"/>
        <v>19500</v>
      </c>
      <c r="AV69" s="460">
        <f t="shared" si="216"/>
        <v>2274059</v>
      </c>
      <c r="AW69" s="460">
        <f t="shared" si="216"/>
        <v>67085</v>
      </c>
      <c r="AX69" s="460">
        <f t="shared" si="217"/>
        <v>123625</v>
      </c>
      <c r="AY69" s="461">
        <f t="shared" si="218"/>
        <v>11.848099999999999</v>
      </c>
      <c r="AZ69" s="461">
        <f t="shared" si="219"/>
        <v>9.6213999999999995</v>
      </c>
      <c r="BA69" s="463">
        <f t="shared" si="219"/>
        <v>2.2267000000000001</v>
      </c>
    </row>
    <row r="70" spans="1:53" ht="12.95" customHeight="1" x14ac:dyDescent="0.25">
      <c r="A70" s="299">
        <v>12</v>
      </c>
      <c r="B70" s="340">
        <v>5407</v>
      </c>
      <c r="C70" s="341">
        <v>600099148</v>
      </c>
      <c r="D70" s="300">
        <v>70939403</v>
      </c>
      <c r="E70" s="342" t="s">
        <v>388</v>
      </c>
      <c r="F70" s="300">
        <v>3113</v>
      </c>
      <c r="G70" s="342" t="s">
        <v>315</v>
      </c>
      <c r="H70" s="303" t="s">
        <v>278</v>
      </c>
      <c r="I70" s="462">
        <f t="shared" si="198"/>
        <v>0</v>
      </c>
      <c r="J70" s="457">
        <v>0</v>
      </c>
      <c r="K70" s="457">
        <f t="shared" si="199"/>
        <v>0</v>
      </c>
      <c r="L70" s="457">
        <f t="shared" si="200"/>
        <v>0</v>
      </c>
      <c r="M70" s="457">
        <v>0</v>
      </c>
      <c r="N70" s="458">
        <f t="shared" si="201"/>
        <v>0</v>
      </c>
      <c r="O70" s="459">
        <v>0</v>
      </c>
      <c r="P70" s="646">
        <v>0</v>
      </c>
      <c r="Q70" s="469">
        <f t="shared" si="202"/>
        <v>0</v>
      </c>
      <c r="R70" s="460">
        <v>615913</v>
      </c>
      <c r="S70" s="673">
        <v>0</v>
      </c>
      <c r="T70" s="460">
        <v>0</v>
      </c>
      <c r="U70" s="460">
        <v>0</v>
      </c>
      <c r="V70" s="460">
        <f t="shared" si="203"/>
        <v>615913</v>
      </c>
      <c r="W70" s="460">
        <v>0</v>
      </c>
      <c r="X70" s="460">
        <v>0</v>
      </c>
      <c r="Y70" s="460">
        <v>0</v>
      </c>
      <c r="Z70" s="460">
        <f t="shared" si="204"/>
        <v>0</v>
      </c>
      <c r="AA70" s="460">
        <f t="shared" si="205"/>
        <v>615913</v>
      </c>
      <c r="AB70" s="69">
        <f t="shared" si="206"/>
        <v>208179</v>
      </c>
      <c r="AC70" s="69">
        <f t="shared" si="207"/>
        <v>6159</v>
      </c>
      <c r="AD70" s="460">
        <v>0</v>
      </c>
      <c r="AE70" s="460">
        <v>0</v>
      </c>
      <c r="AF70" s="460">
        <f t="shared" si="208"/>
        <v>0</v>
      </c>
      <c r="AG70" s="460">
        <f t="shared" si="209"/>
        <v>830251</v>
      </c>
      <c r="AH70" s="461">
        <v>0</v>
      </c>
      <c r="AI70" s="461">
        <v>0</v>
      </c>
      <c r="AJ70" s="461">
        <v>1.78</v>
      </c>
      <c r="AK70" s="461">
        <v>0</v>
      </c>
      <c r="AL70" s="674">
        <v>0</v>
      </c>
      <c r="AM70" s="461">
        <v>0</v>
      </c>
      <c r="AN70" s="461">
        <v>0</v>
      </c>
      <c r="AO70" s="461">
        <v>0</v>
      </c>
      <c r="AP70" s="461">
        <f t="shared" si="210"/>
        <v>1.78</v>
      </c>
      <c r="AQ70" s="461">
        <f t="shared" si="211"/>
        <v>0</v>
      </c>
      <c r="AR70" s="463">
        <f t="shared" si="212"/>
        <v>1.78</v>
      </c>
      <c r="AS70" s="469">
        <f t="shared" si="213"/>
        <v>830251</v>
      </c>
      <c r="AT70" s="460">
        <f t="shared" si="214"/>
        <v>615913</v>
      </c>
      <c r="AU70" s="460">
        <f t="shared" si="215"/>
        <v>0</v>
      </c>
      <c r="AV70" s="460">
        <f t="shared" si="216"/>
        <v>208179</v>
      </c>
      <c r="AW70" s="460">
        <f t="shared" si="216"/>
        <v>6159</v>
      </c>
      <c r="AX70" s="460">
        <f t="shared" si="217"/>
        <v>0</v>
      </c>
      <c r="AY70" s="461">
        <f t="shared" si="218"/>
        <v>1.78</v>
      </c>
      <c r="AZ70" s="461">
        <f t="shared" si="219"/>
        <v>1.78</v>
      </c>
      <c r="BA70" s="463">
        <f t="shared" si="219"/>
        <v>0</v>
      </c>
    </row>
    <row r="71" spans="1:53" ht="12.95" customHeight="1" x14ac:dyDescent="0.25">
      <c r="A71" s="299">
        <v>12</v>
      </c>
      <c r="B71" s="340">
        <v>5407</v>
      </c>
      <c r="C71" s="341">
        <v>600099148</v>
      </c>
      <c r="D71" s="300">
        <v>70939403</v>
      </c>
      <c r="E71" s="342" t="s">
        <v>388</v>
      </c>
      <c r="F71" s="300">
        <v>3141</v>
      </c>
      <c r="G71" s="342" t="s">
        <v>311</v>
      </c>
      <c r="H71" s="303" t="s">
        <v>278</v>
      </c>
      <c r="I71" s="462">
        <f t="shared" si="198"/>
        <v>1289293</v>
      </c>
      <c r="J71" s="457">
        <f>865650+86045</f>
        <v>951695</v>
      </c>
      <c r="K71" s="457">
        <f t="shared" si="199"/>
        <v>321673</v>
      </c>
      <c r="L71" s="457">
        <f t="shared" si="200"/>
        <v>9517</v>
      </c>
      <c r="M71" s="457">
        <f>5830+578</f>
        <v>6408</v>
      </c>
      <c r="N71" s="458">
        <f t="shared" si="201"/>
        <v>3.0599999999999996</v>
      </c>
      <c r="O71" s="459">
        <v>0</v>
      </c>
      <c r="P71" s="646">
        <f>2.78+0.28</f>
        <v>3.0599999999999996</v>
      </c>
      <c r="Q71" s="469">
        <f t="shared" si="202"/>
        <v>0</v>
      </c>
      <c r="R71" s="460">
        <v>0</v>
      </c>
      <c r="S71" s="673">
        <v>0</v>
      </c>
      <c r="T71" s="460">
        <v>0</v>
      </c>
      <c r="U71" s="460">
        <v>0</v>
      </c>
      <c r="V71" s="460">
        <f t="shared" si="203"/>
        <v>0</v>
      </c>
      <c r="W71" s="460">
        <v>0</v>
      </c>
      <c r="X71" s="460">
        <v>0</v>
      </c>
      <c r="Y71" s="460">
        <v>0</v>
      </c>
      <c r="Z71" s="460">
        <f t="shared" si="204"/>
        <v>0</v>
      </c>
      <c r="AA71" s="460">
        <f t="shared" si="205"/>
        <v>0</v>
      </c>
      <c r="AB71" s="69">
        <f t="shared" si="206"/>
        <v>0</v>
      </c>
      <c r="AC71" s="69">
        <f t="shared" si="207"/>
        <v>0</v>
      </c>
      <c r="AD71" s="460">
        <v>0</v>
      </c>
      <c r="AE71" s="460">
        <v>0</v>
      </c>
      <c r="AF71" s="460">
        <f t="shared" si="208"/>
        <v>0</v>
      </c>
      <c r="AG71" s="460">
        <f t="shared" si="209"/>
        <v>0</v>
      </c>
      <c r="AH71" s="461">
        <v>0</v>
      </c>
      <c r="AI71" s="461">
        <v>0</v>
      </c>
      <c r="AJ71" s="461">
        <v>0</v>
      </c>
      <c r="AK71" s="461">
        <v>0</v>
      </c>
      <c r="AL71" s="674">
        <v>0</v>
      </c>
      <c r="AM71" s="461">
        <v>0</v>
      </c>
      <c r="AN71" s="461">
        <v>0</v>
      </c>
      <c r="AO71" s="461">
        <v>0</v>
      </c>
      <c r="AP71" s="461">
        <f t="shared" si="210"/>
        <v>0</v>
      </c>
      <c r="AQ71" s="461">
        <f t="shared" si="211"/>
        <v>0</v>
      </c>
      <c r="AR71" s="463">
        <f t="shared" si="212"/>
        <v>0</v>
      </c>
      <c r="AS71" s="469">
        <f t="shared" si="213"/>
        <v>1289293</v>
      </c>
      <c r="AT71" s="460">
        <f t="shared" si="214"/>
        <v>951695</v>
      </c>
      <c r="AU71" s="460">
        <f t="shared" si="215"/>
        <v>0</v>
      </c>
      <c r="AV71" s="460">
        <f t="shared" si="216"/>
        <v>321673</v>
      </c>
      <c r="AW71" s="460">
        <f t="shared" si="216"/>
        <v>9517</v>
      </c>
      <c r="AX71" s="460">
        <f t="shared" si="217"/>
        <v>6408</v>
      </c>
      <c r="AY71" s="461">
        <f t="shared" si="218"/>
        <v>3.0599999999999996</v>
      </c>
      <c r="AZ71" s="461">
        <f t="shared" si="219"/>
        <v>0</v>
      </c>
      <c r="BA71" s="463">
        <f t="shared" si="219"/>
        <v>3.0599999999999996</v>
      </c>
    </row>
    <row r="72" spans="1:53" ht="12.95" customHeight="1" x14ac:dyDescent="0.25">
      <c r="A72" s="299">
        <v>12</v>
      </c>
      <c r="B72" s="340">
        <v>5407</v>
      </c>
      <c r="C72" s="341">
        <v>600099148</v>
      </c>
      <c r="D72" s="300">
        <v>70939403</v>
      </c>
      <c r="E72" s="342" t="s">
        <v>388</v>
      </c>
      <c r="F72" s="300">
        <v>3143</v>
      </c>
      <c r="G72" s="342" t="s">
        <v>616</v>
      </c>
      <c r="H72" s="303" t="s">
        <v>277</v>
      </c>
      <c r="I72" s="462">
        <f t="shared" si="198"/>
        <v>399962</v>
      </c>
      <c r="J72" s="457">
        <v>296708</v>
      </c>
      <c r="K72" s="457">
        <f t="shared" si="199"/>
        <v>100287</v>
      </c>
      <c r="L72" s="457">
        <f t="shared" si="200"/>
        <v>2967</v>
      </c>
      <c r="M72" s="457">
        <v>0</v>
      </c>
      <c r="N72" s="458">
        <f t="shared" si="201"/>
        <v>0.65</v>
      </c>
      <c r="O72" s="459">
        <v>0.65</v>
      </c>
      <c r="P72" s="646">
        <v>0</v>
      </c>
      <c r="Q72" s="469">
        <f t="shared" si="202"/>
        <v>0</v>
      </c>
      <c r="R72" s="460">
        <v>0</v>
      </c>
      <c r="S72" s="673">
        <v>0</v>
      </c>
      <c r="T72" s="460">
        <v>0</v>
      </c>
      <c r="U72" s="460">
        <v>0</v>
      </c>
      <c r="V72" s="460">
        <f t="shared" si="203"/>
        <v>0</v>
      </c>
      <c r="W72" s="460">
        <v>0</v>
      </c>
      <c r="X72" s="460">
        <v>0</v>
      </c>
      <c r="Y72" s="460">
        <v>0</v>
      </c>
      <c r="Z72" s="460">
        <f t="shared" si="204"/>
        <v>0</v>
      </c>
      <c r="AA72" s="460">
        <f t="shared" si="205"/>
        <v>0</v>
      </c>
      <c r="AB72" s="69">
        <f t="shared" si="206"/>
        <v>0</v>
      </c>
      <c r="AC72" s="69">
        <f t="shared" si="207"/>
        <v>0</v>
      </c>
      <c r="AD72" s="460">
        <v>0</v>
      </c>
      <c r="AE72" s="460">
        <v>0</v>
      </c>
      <c r="AF72" s="460">
        <f t="shared" si="208"/>
        <v>0</v>
      </c>
      <c r="AG72" s="460">
        <f t="shared" si="209"/>
        <v>0</v>
      </c>
      <c r="AH72" s="461">
        <v>0</v>
      </c>
      <c r="AI72" s="461">
        <v>0</v>
      </c>
      <c r="AJ72" s="461">
        <v>0</v>
      </c>
      <c r="AK72" s="461">
        <v>0</v>
      </c>
      <c r="AL72" s="674">
        <v>0</v>
      </c>
      <c r="AM72" s="461">
        <v>0</v>
      </c>
      <c r="AN72" s="461">
        <v>0</v>
      </c>
      <c r="AO72" s="461">
        <v>0</v>
      </c>
      <c r="AP72" s="461">
        <f t="shared" si="210"/>
        <v>0</v>
      </c>
      <c r="AQ72" s="461">
        <f t="shared" si="211"/>
        <v>0</v>
      </c>
      <c r="AR72" s="463">
        <f t="shared" si="212"/>
        <v>0</v>
      </c>
      <c r="AS72" s="469">
        <f t="shared" si="213"/>
        <v>399962</v>
      </c>
      <c r="AT72" s="460">
        <f t="shared" si="214"/>
        <v>296708</v>
      </c>
      <c r="AU72" s="460">
        <f t="shared" si="215"/>
        <v>0</v>
      </c>
      <c r="AV72" s="460">
        <f t="shared" si="216"/>
        <v>100287</v>
      </c>
      <c r="AW72" s="460">
        <f t="shared" si="216"/>
        <v>2967</v>
      </c>
      <c r="AX72" s="460">
        <f t="shared" si="217"/>
        <v>0</v>
      </c>
      <c r="AY72" s="461">
        <f t="shared" si="218"/>
        <v>0.65</v>
      </c>
      <c r="AZ72" s="461">
        <f t="shared" si="219"/>
        <v>0.65</v>
      </c>
      <c r="BA72" s="463">
        <f t="shared" si="219"/>
        <v>0</v>
      </c>
    </row>
    <row r="73" spans="1:53" ht="12.95" customHeight="1" x14ac:dyDescent="0.25">
      <c r="A73" s="299">
        <v>12</v>
      </c>
      <c r="B73" s="340">
        <v>5407</v>
      </c>
      <c r="C73" s="341">
        <v>600099148</v>
      </c>
      <c r="D73" s="300">
        <v>70939403</v>
      </c>
      <c r="E73" s="342" t="s">
        <v>388</v>
      </c>
      <c r="F73" s="300">
        <v>3143</v>
      </c>
      <c r="G73" s="342" t="s">
        <v>617</v>
      </c>
      <c r="H73" s="303" t="s">
        <v>278</v>
      </c>
      <c r="I73" s="462">
        <f t="shared" si="198"/>
        <v>14661</v>
      </c>
      <c r="J73" s="457">
        <v>10475</v>
      </c>
      <c r="K73" s="457">
        <f t="shared" si="199"/>
        <v>3541</v>
      </c>
      <c r="L73" s="457">
        <f t="shared" si="200"/>
        <v>105</v>
      </c>
      <c r="M73" s="457">
        <v>540</v>
      </c>
      <c r="N73" s="458">
        <f t="shared" si="201"/>
        <v>0.04</v>
      </c>
      <c r="O73" s="459">
        <v>0</v>
      </c>
      <c r="P73" s="646">
        <v>0.04</v>
      </c>
      <c r="Q73" s="469">
        <f t="shared" si="202"/>
        <v>0</v>
      </c>
      <c r="R73" s="460">
        <v>0</v>
      </c>
      <c r="S73" s="673">
        <v>0</v>
      </c>
      <c r="T73" s="460">
        <v>0</v>
      </c>
      <c r="U73" s="460">
        <v>0</v>
      </c>
      <c r="V73" s="460">
        <f t="shared" si="203"/>
        <v>0</v>
      </c>
      <c r="W73" s="460">
        <v>0</v>
      </c>
      <c r="X73" s="460">
        <v>0</v>
      </c>
      <c r="Y73" s="460">
        <v>0</v>
      </c>
      <c r="Z73" s="460">
        <f t="shared" si="204"/>
        <v>0</v>
      </c>
      <c r="AA73" s="460">
        <f t="shared" si="205"/>
        <v>0</v>
      </c>
      <c r="AB73" s="69">
        <f t="shared" si="206"/>
        <v>0</v>
      </c>
      <c r="AC73" s="69">
        <f t="shared" si="207"/>
        <v>0</v>
      </c>
      <c r="AD73" s="460">
        <v>0</v>
      </c>
      <c r="AE73" s="460">
        <v>0</v>
      </c>
      <c r="AF73" s="460">
        <f t="shared" si="208"/>
        <v>0</v>
      </c>
      <c r="AG73" s="460">
        <f t="shared" si="209"/>
        <v>0</v>
      </c>
      <c r="AH73" s="461">
        <v>0</v>
      </c>
      <c r="AI73" s="461">
        <v>0</v>
      </c>
      <c r="AJ73" s="461">
        <v>0</v>
      </c>
      <c r="AK73" s="461">
        <v>0</v>
      </c>
      <c r="AL73" s="674">
        <v>0</v>
      </c>
      <c r="AM73" s="461">
        <v>0</v>
      </c>
      <c r="AN73" s="461">
        <v>0</v>
      </c>
      <c r="AO73" s="461">
        <v>0</v>
      </c>
      <c r="AP73" s="461">
        <f t="shared" si="210"/>
        <v>0</v>
      </c>
      <c r="AQ73" s="461">
        <f t="shared" si="211"/>
        <v>0</v>
      </c>
      <c r="AR73" s="463">
        <f t="shared" si="212"/>
        <v>0</v>
      </c>
      <c r="AS73" s="469">
        <f t="shared" si="213"/>
        <v>14661</v>
      </c>
      <c r="AT73" s="460">
        <f t="shared" si="214"/>
        <v>10475</v>
      </c>
      <c r="AU73" s="460">
        <f t="shared" si="215"/>
        <v>0</v>
      </c>
      <c r="AV73" s="460">
        <f t="shared" si="216"/>
        <v>3541</v>
      </c>
      <c r="AW73" s="460">
        <f t="shared" si="216"/>
        <v>105</v>
      </c>
      <c r="AX73" s="460">
        <f t="shared" si="217"/>
        <v>540</v>
      </c>
      <c r="AY73" s="461">
        <f t="shared" si="218"/>
        <v>0.04</v>
      </c>
      <c r="AZ73" s="461">
        <f t="shared" si="219"/>
        <v>0</v>
      </c>
      <c r="BA73" s="463">
        <f t="shared" si="219"/>
        <v>0.04</v>
      </c>
    </row>
    <row r="74" spans="1:53" ht="12.95" customHeight="1" x14ac:dyDescent="0.25">
      <c r="A74" s="343">
        <v>12</v>
      </c>
      <c r="B74" s="344">
        <v>5407</v>
      </c>
      <c r="C74" s="345">
        <v>600099148</v>
      </c>
      <c r="D74" s="344">
        <v>70939403</v>
      </c>
      <c r="E74" s="346" t="s">
        <v>389</v>
      </c>
      <c r="F74" s="310"/>
      <c r="G74" s="348"/>
      <c r="H74" s="311"/>
      <c r="I74" s="552">
        <f t="shared" ref="I74:P74" si="220">SUM(I68:I73)</f>
        <v>13243186</v>
      </c>
      <c r="J74" s="548">
        <f t="shared" si="220"/>
        <v>9718258</v>
      </c>
      <c r="K74" s="548">
        <f t="shared" si="220"/>
        <v>3284772</v>
      </c>
      <c r="L74" s="548">
        <f t="shared" si="220"/>
        <v>97183</v>
      </c>
      <c r="M74" s="548">
        <f t="shared" si="220"/>
        <v>142973</v>
      </c>
      <c r="N74" s="549">
        <f t="shared" si="220"/>
        <v>19.368099999999995</v>
      </c>
      <c r="O74" s="549">
        <f t="shared" si="220"/>
        <v>13.2814</v>
      </c>
      <c r="P74" s="347">
        <f t="shared" si="220"/>
        <v>6.0866999999999996</v>
      </c>
      <c r="Q74" s="554">
        <f t="shared" ref="Q74:BA74" si="221">SUM(Q68:Q73)</f>
        <v>-19500</v>
      </c>
      <c r="R74" s="548">
        <f t="shared" si="221"/>
        <v>615913</v>
      </c>
      <c r="S74" s="548">
        <f t="shared" si="221"/>
        <v>0</v>
      </c>
      <c r="T74" s="548">
        <f t="shared" si="221"/>
        <v>0</v>
      </c>
      <c r="U74" s="548">
        <f t="shared" si="221"/>
        <v>0</v>
      </c>
      <c r="V74" s="548">
        <f t="shared" si="221"/>
        <v>596413</v>
      </c>
      <c r="W74" s="548">
        <f t="shared" si="221"/>
        <v>19500</v>
      </c>
      <c r="X74" s="548">
        <f t="shared" si="221"/>
        <v>0</v>
      </c>
      <c r="Y74" s="548">
        <f t="shared" si="221"/>
        <v>0</v>
      </c>
      <c r="Z74" s="548">
        <f t="shared" si="221"/>
        <v>19500</v>
      </c>
      <c r="AA74" s="548">
        <f t="shared" si="221"/>
        <v>615913</v>
      </c>
      <c r="AB74" s="548">
        <f t="shared" si="221"/>
        <v>208179</v>
      </c>
      <c r="AC74" s="548">
        <f t="shared" si="221"/>
        <v>5964</v>
      </c>
      <c r="AD74" s="548">
        <f t="shared" si="221"/>
        <v>0</v>
      </c>
      <c r="AE74" s="548">
        <f t="shared" si="221"/>
        <v>0</v>
      </c>
      <c r="AF74" s="548">
        <f t="shared" si="221"/>
        <v>0</v>
      </c>
      <c r="AG74" s="548">
        <f t="shared" si="221"/>
        <v>830056</v>
      </c>
      <c r="AH74" s="549">
        <f t="shared" si="221"/>
        <v>-0.01</v>
      </c>
      <c r="AI74" s="549">
        <f t="shared" si="221"/>
        <v>-0.04</v>
      </c>
      <c r="AJ74" s="549">
        <f t="shared" si="221"/>
        <v>1.78</v>
      </c>
      <c r="AK74" s="549">
        <f t="shared" si="221"/>
        <v>0</v>
      </c>
      <c r="AL74" s="549">
        <f t="shared" si="221"/>
        <v>0</v>
      </c>
      <c r="AM74" s="549">
        <f t="shared" si="221"/>
        <v>0</v>
      </c>
      <c r="AN74" s="549">
        <f t="shared" si="221"/>
        <v>0</v>
      </c>
      <c r="AO74" s="549">
        <f t="shared" si="221"/>
        <v>0</v>
      </c>
      <c r="AP74" s="549">
        <f t="shared" si="221"/>
        <v>1.77</v>
      </c>
      <c r="AQ74" s="549">
        <f t="shared" si="221"/>
        <v>-0.04</v>
      </c>
      <c r="AR74" s="347">
        <f t="shared" si="221"/>
        <v>1.73</v>
      </c>
      <c r="AS74" s="554">
        <f t="shared" si="221"/>
        <v>14073242</v>
      </c>
      <c r="AT74" s="548">
        <f t="shared" si="221"/>
        <v>10314671</v>
      </c>
      <c r="AU74" s="548">
        <f t="shared" si="221"/>
        <v>19500</v>
      </c>
      <c r="AV74" s="548">
        <f t="shared" si="221"/>
        <v>3492951</v>
      </c>
      <c r="AW74" s="548">
        <f t="shared" si="221"/>
        <v>103147</v>
      </c>
      <c r="AX74" s="548">
        <f t="shared" si="221"/>
        <v>142973</v>
      </c>
      <c r="AY74" s="549">
        <f t="shared" si="221"/>
        <v>21.098099999999995</v>
      </c>
      <c r="AZ74" s="549">
        <f t="shared" si="221"/>
        <v>15.051399999999999</v>
      </c>
      <c r="BA74" s="347">
        <f t="shared" si="221"/>
        <v>6.0466999999999995</v>
      </c>
    </row>
    <row r="75" spans="1:53" ht="12.95" customHeight="1" x14ac:dyDescent="0.25">
      <c r="A75" s="299">
        <v>13</v>
      </c>
      <c r="B75" s="340">
        <v>5411</v>
      </c>
      <c r="C75" s="341">
        <v>650034244</v>
      </c>
      <c r="D75" s="300">
        <v>70985375</v>
      </c>
      <c r="E75" s="342" t="s">
        <v>390</v>
      </c>
      <c r="F75" s="300">
        <v>3111</v>
      </c>
      <c r="G75" s="342" t="s">
        <v>321</v>
      </c>
      <c r="H75" s="303" t="s">
        <v>277</v>
      </c>
      <c r="I75" s="462">
        <f t="shared" ref="I75:I80" si="222">SUM(J75:M75)</f>
        <v>2603832</v>
      </c>
      <c r="J75" s="457">
        <v>1921834</v>
      </c>
      <c r="K75" s="457">
        <f t="shared" ref="K75:K80" si="223">ROUND(J75*33.8%,0)</f>
        <v>649580</v>
      </c>
      <c r="L75" s="457">
        <f t="shared" ref="L75:L80" si="224">ROUND(J75*1%,0)</f>
        <v>19218</v>
      </c>
      <c r="M75" s="457">
        <v>13200</v>
      </c>
      <c r="N75" s="458">
        <f t="shared" ref="N75:N80" si="225">O75+P75</f>
        <v>3.9781000000000004</v>
      </c>
      <c r="O75" s="459">
        <v>3.2581000000000002</v>
      </c>
      <c r="P75" s="646">
        <v>0.72</v>
      </c>
      <c r="Q75" s="469">
        <f t="shared" ref="Q75:Q80" si="226">W75*-1</f>
        <v>-18720</v>
      </c>
      <c r="R75" s="460">
        <v>0</v>
      </c>
      <c r="S75" s="673">
        <v>0</v>
      </c>
      <c r="T75" s="460">
        <v>0</v>
      </c>
      <c r="U75" s="460">
        <v>0</v>
      </c>
      <c r="V75" s="460">
        <f t="shared" ref="V75:V80" si="227">SUM(Q75:U75)</f>
        <v>-18720</v>
      </c>
      <c r="W75" s="460">
        <v>18720</v>
      </c>
      <c r="X75" s="460">
        <v>43920</v>
      </c>
      <c r="Y75" s="460">
        <v>0</v>
      </c>
      <c r="Z75" s="460">
        <f t="shared" ref="Z75:Z80" si="228">SUM(W75:Y75)</f>
        <v>62640</v>
      </c>
      <c r="AA75" s="460">
        <f t="shared" ref="AA75:AA80" si="229">V75+Z75</f>
        <v>43920</v>
      </c>
      <c r="AB75" s="69">
        <f t="shared" ref="AB75:AB80" si="230">ROUND((V75+W75+X75)*33.8%,0)</f>
        <v>14845</v>
      </c>
      <c r="AC75" s="69">
        <f t="shared" ref="AC75:AC80" si="231">ROUND(V75*1%,0)</f>
        <v>-187</v>
      </c>
      <c r="AD75" s="460">
        <v>0</v>
      </c>
      <c r="AE75" s="460">
        <v>0</v>
      </c>
      <c r="AF75" s="460">
        <f t="shared" ref="AF75:AF80" si="232">SUM(AD75:AE75)</f>
        <v>0</v>
      </c>
      <c r="AG75" s="460">
        <f t="shared" ref="AG75:AG80" si="233">AA75+AB75+AC75+AF75</f>
        <v>58578</v>
      </c>
      <c r="AH75" s="461">
        <v>-0.03</v>
      </c>
      <c r="AI75" s="461">
        <v>0</v>
      </c>
      <c r="AJ75" s="461">
        <v>0</v>
      </c>
      <c r="AK75" s="461">
        <v>0</v>
      </c>
      <c r="AL75" s="674">
        <v>0</v>
      </c>
      <c r="AM75" s="461">
        <v>0</v>
      </c>
      <c r="AN75" s="461">
        <v>0</v>
      </c>
      <c r="AO75" s="461">
        <v>0</v>
      </c>
      <c r="AP75" s="461">
        <f t="shared" ref="AP75:AP80" si="234">AH75+AJ75+AK75+AM75+AN75</f>
        <v>-0.03</v>
      </c>
      <c r="AQ75" s="461">
        <f t="shared" ref="AQ75:AQ80" si="235">AI75+AL75+AO75</f>
        <v>0</v>
      </c>
      <c r="AR75" s="463">
        <f t="shared" ref="AR75:AR80" si="236">SUM(AP75:AQ75)</f>
        <v>-0.03</v>
      </c>
      <c r="AS75" s="469">
        <f t="shared" ref="AS75:AS80" si="237">I75+AG75</f>
        <v>2662410</v>
      </c>
      <c r="AT75" s="460">
        <f t="shared" ref="AT75:AT80" si="238">J75+V75</f>
        <v>1903114</v>
      </c>
      <c r="AU75" s="460">
        <f t="shared" ref="AU75:AU80" si="239">Z75</f>
        <v>62640</v>
      </c>
      <c r="AV75" s="460">
        <f t="shared" ref="AV75:AW80" si="240">K75+AB75</f>
        <v>664425</v>
      </c>
      <c r="AW75" s="460">
        <f t="shared" si="240"/>
        <v>19031</v>
      </c>
      <c r="AX75" s="460">
        <f t="shared" ref="AX75:AX80" si="241">M75+AF75</f>
        <v>13200</v>
      </c>
      <c r="AY75" s="461">
        <f t="shared" ref="AY75:AY80" si="242">N75+AR75</f>
        <v>3.9481000000000006</v>
      </c>
      <c r="AZ75" s="461">
        <f t="shared" ref="AZ75:BA80" si="243">O75+AP75</f>
        <v>3.2281000000000004</v>
      </c>
      <c r="BA75" s="463">
        <f t="shared" si="243"/>
        <v>0.72</v>
      </c>
    </row>
    <row r="76" spans="1:53" ht="12.95" customHeight="1" x14ac:dyDescent="0.25">
      <c r="A76" s="299">
        <v>13</v>
      </c>
      <c r="B76" s="340">
        <v>5411</v>
      </c>
      <c r="C76" s="341">
        <v>650034244</v>
      </c>
      <c r="D76" s="300">
        <v>70985375</v>
      </c>
      <c r="E76" s="342" t="s">
        <v>390</v>
      </c>
      <c r="F76" s="300">
        <v>3117</v>
      </c>
      <c r="G76" s="342" t="s">
        <v>310</v>
      </c>
      <c r="H76" s="303" t="s">
        <v>277</v>
      </c>
      <c r="I76" s="462">
        <f t="shared" si="222"/>
        <v>3624980</v>
      </c>
      <c r="J76" s="457">
        <v>2642103</v>
      </c>
      <c r="K76" s="457">
        <f t="shared" si="223"/>
        <v>893031</v>
      </c>
      <c r="L76" s="457">
        <f t="shared" si="224"/>
        <v>26421</v>
      </c>
      <c r="M76" s="457">
        <v>63425</v>
      </c>
      <c r="N76" s="458">
        <f t="shared" si="225"/>
        <v>4.7582000000000004</v>
      </c>
      <c r="O76" s="459">
        <v>3.3182</v>
      </c>
      <c r="P76" s="646">
        <v>1.44</v>
      </c>
      <c r="Q76" s="469">
        <f t="shared" si="226"/>
        <v>0</v>
      </c>
      <c r="R76" s="460">
        <v>0</v>
      </c>
      <c r="S76" s="673">
        <v>0</v>
      </c>
      <c r="T76" s="460">
        <v>0</v>
      </c>
      <c r="U76" s="460">
        <v>0</v>
      </c>
      <c r="V76" s="460">
        <f t="shared" si="227"/>
        <v>0</v>
      </c>
      <c r="W76" s="460">
        <v>0</v>
      </c>
      <c r="X76" s="460">
        <v>0</v>
      </c>
      <c r="Y76" s="460">
        <v>0</v>
      </c>
      <c r="Z76" s="460">
        <f t="shared" si="228"/>
        <v>0</v>
      </c>
      <c r="AA76" s="460">
        <f t="shared" si="229"/>
        <v>0</v>
      </c>
      <c r="AB76" s="69">
        <f t="shared" si="230"/>
        <v>0</v>
      </c>
      <c r="AC76" s="69">
        <f t="shared" si="231"/>
        <v>0</v>
      </c>
      <c r="AD76" s="460">
        <v>0</v>
      </c>
      <c r="AE76" s="460">
        <v>0</v>
      </c>
      <c r="AF76" s="460">
        <f t="shared" si="232"/>
        <v>0</v>
      </c>
      <c r="AG76" s="460">
        <f t="shared" si="233"/>
        <v>0</v>
      </c>
      <c r="AH76" s="461">
        <v>0</v>
      </c>
      <c r="AI76" s="461">
        <v>0</v>
      </c>
      <c r="AJ76" s="461">
        <v>0</v>
      </c>
      <c r="AK76" s="461">
        <v>0</v>
      </c>
      <c r="AL76" s="674">
        <v>0</v>
      </c>
      <c r="AM76" s="461">
        <v>0</v>
      </c>
      <c r="AN76" s="461">
        <v>0</v>
      </c>
      <c r="AO76" s="461">
        <v>0</v>
      </c>
      <c r="AP76" s="461">
        <f t="shared" si="234"/>
        <v>0</v>
      </c>
      <c r="AQ76" s="461">
        <f t="shared" si="235"/>
        <v>0</v>
      </c>
      <c r="AR76" s="463">
        <f t="shared" si="236"/>
        <v>0</v>
      </c>
      <c r="AS76" s="469">
        <f t="shared" si="237"/>
        <v>3624980</v>
      </c>
      <c r="AT76" s="460">
        <f t="shared" si="238"/>
        <v>2642103</v>
      </c>
      <c r="AU76" s="460">
        <f t="shared" si="239"/>
        <v>0</v>
      </c>
      <c r="AV76" s="460">
        <f t="shared" si="240"/>
        <v>893031</v>
      </c>
      <c r="AW76" s="460">
        <f t="shared" si="240"/>
        <v>26421</v>
      </c>
      <c r="AX76" s="460">
        <f t="shared" si="241"/>
        <v>63425</v>
      </c>
      <c r="AY76" s="461">
        <f t="shared" si="242"/>
        <v>4.7582000000000004</v>
      </c>
      <c r="AZ76" s="461">
        <f t="shared" si="243"/>
        <v>3.3182</v>
      </c>
      <c r="BA76" s="463">
        <f t="shared" si="243"/>
        <v>1.44</v>
      </c>
    </row>
    <row r="77" spans="1:53" ht="12.95" customHeight="1" x14ac:dyDescent="0.25">
      <c r="A77" s="299">
        <v>13</v>
      </c>
      <c r="B77" s="340">
        <v>5411</v>
      </c>
      <c r="C77" s="341">
        <v>650034244</v>
      </c>
      <c r="D77" s="300">
        <v>70985375</v>
      </c>
      <c r="E77" s="342" t="s">
        <v>390</v>
      </c>
      <c r="F77" s="300">
        <v>3117</v>
      </c>
      <c r="G77" s="342" t="s">
        <v>315</v>
      </c>
      <c r="H77" s="303" t="s">
        <v>278</v>
      </c>
      <c r="I77" s="462">
        <f t="shared" si="222"/>
        <v>0</v>
      </c>
      <c r="J77" s="457">
        <v>0</v>
      </c>
      <c r="K77" s="457">
        <f t="shared" si="223"/>
        <v>0</v>
      </c>
      <c r="L77" s="457">
        <f t="shared" si="224"/>
        <v>0</v>
      </c>
      <c r="M77" s="457">
        <v>0</v>
      </c>
      <c r="N77" s="458">
        <f t="shared" si="225"/>
        <v>0</v>
      </c>
      <c r="O77" s="459">
        <v>0</v>
      </c>
      <c r="P77" s="646">
        <v>0</v>
      </c>
      <c r="Q77" s="469">
        <f t="shared" si="226"/>
        <v>0</v>
      </c>
      <c r="R77" s="460">
        <v>0</v>
      </c>
      <c r="S77" s="673">
        <v>0</v>
      </c>
      <c r="T77" s="460">
        <v>0</v>
      </c>
      <c r="U77" s="460">
        <v>0</v>
      </c>
      <c r="V77" s="460">
        <f t="shared" si="227"/>
        <v>0</v>
      </c>
      <c r="W77" s="460">
        <v>0</v>
      </c>
      <c r="X77" s="460">
        <v>0</v>
      </c>
      <c r="Y77" s="460">
        <v>0</v>
      </c>
      <c r="Z77" s="460">
        <f t="shared" si="228"/>
        <v>0</v>
      </c>
      <c r="AA77" s="460">
        <f t="shared" si="229"/>
        <v>0</v>
      </c>
      <c r="AB77" s="69">
        <f t="shared" si="230"/>
        <v>0</v>
      </c>
      <c r="AC77" s="69">
        <f t="shared" si="231"/>
        <v>0</v>
      </c>
      <c r="AD77" s="460">
        <v>0</v>
      </c>
      <c r="AE77" s="460">
        <v>0</v>
      </c>
      <c r="AF77" s="460">
        <f t="shared" si="232"/>
        <v>0</v>
      </c>
      <c r="AG77" s="460">
        <f t="shared" si="233"/>
        <v>0</v>
      </c>
      <c r="AH77" s="461">
        <v>0</v>
      </c>
      <c r="AI77" s="461">
        <v>0</v>
      </c>
      <c r="AJ77" s="461">
        <v>0</v>
      </c>
      <c r="AK77" s="461">
        <v>0</v>
      </c>
      <c r="AL77" s="674">
        <v>0</v>
      </c>
      <c r="AM77" s="461">
        <v>0</v>
      </c>
      <c r="AN77" s="461">
        <v>0</v>
      </c>
      <c r="AO77" s="461">
        <v>0</v>
      </c>
      <c r="AP77" s="461">
        <f t="shared" si="234"/>
        <v>0</v>
      </c>
      <c r="AQ77" s="461">
        <f t="shared" si="235"/>
        <v>0</v>
      </c>
      <c r="AR77" s="463">
        <f t="shared" si="236"/>
        <v>0</v>
      </c>
      <c r="AS77" s="469">
        <f t="shared" si="237"/>
        <v>0</v>
      </c>
      <c r="AT77" s="460">
        <f t="shared" si="238"/>
        <v>0</v>
      </c>
      <c r="AU77" s="460">
        <f t="shared" si="239"/>
        <v>0</v>
      </c>
      <c r="AV77" s="460">
        <f t="shared" si="240"/>
        <v>0</v>
      </c>
      <c r="AW77" s="460">
        <f t="shared" si="240"/>
        <v>0</v>
      </c>
      <c r="AX77" s="460">
        <f t="shared" si="241"/>
        <v>0</v>
      </c>
      <c r="AY77" s="461">
        <f t="shared" si="242"/>
        <v>0</v>
      </c>
      <c r="AZ77" s="461">
        <f t="shared" si="243"/>
        <v>0</v>
      </c>
      <c r="BA77" s="463">
        <f t="shared" si="243"/>
        <v>0</v>
      </c>
    </row>
    <row r="78" spans="1:53" ht="12.95" customHeight="1" x14ac:dyDescent="0.25">
      <c r="A78" s="299">
        <v>13</v>
      </c>
      <c r="B78" s="340">
        <v>5411</v>
      </c>
      <c r="C78" s="341">
        <v>650034244</v>
      </c>
      <c r="D78" s="300">
        <v>70985375</v>
      </c>
      <c r="E78" s="342" t="s">
        <v>390</v>
      </c>
      <c r="F78" s="300">
        <v>3141</v>
      </c>
      <c r="G78" s="342" t="s">
        <v>311</v>
      </c>
      <c r="H78" s="303" t="s">
        <v>278</v>
      </c>
      <c r="I78" s="462">
        <f t="shared" si="222"/>
        <v>930666</v>
      </c>
      <c r="J78" s="457">
        <v>687473</v>
      </c>
      <c r="K78" s="457">
        <f t="shared" si="223"/>
        <v>232366</v>
      </c>
      <c r="L78" s="457">
        <f t="shared" si="224"/>
        <v>6875</v>
      </c>
      <c r="M78" s="457">
        <v>3952</v>
      </c>
      <c r="N78" s="458">
        <f t="shared" si="225"/>
        <v>2.21</v>
      </c>
      <c r="O78" s="459">
        <v>0</v>
      </c>
      <c r="P78" s="646">
        <v>2.21</v>
      </c>
      <c r="Q78" s="469">
        <f t="shared" si="226"/>
        <v>0</v>
      </c>
      <c r="R78" s="460">
        <v>0</v>
      </c>
      <c r="S78" s="673">
        <v>0</v>
      </c>
      <c r="T78" s="460">
        <v>0</v>
      </c>
      <c r="U78" s="460">
        <v>0</v>
      </c>
      <c r="V78" s="460">
        <f t="shared" si="227"/>
        <v>0</v>
      </c>
      <c r="W78" s="460">
        <v>0</v>
      </c>
      <c r="X78" s="460">
        <v>0</v>
      </c>
      <c r="Y78" s="460">
        <v>0</v>
      </c>
      <c r="Z78" s="460">
        <f t="shared" si="228"/>
        <v>0</v>
      </c>
      <c r="AA78" s="460">
        <f t="shared" si="229"/>
        <v>0</v>
      </c>
      <c r="AB78" s="69">
        <f t="shared" si="230"/>
        <v>0</v>
      </c>
      <c r="AC78" s="69">
        <f t="shared" si="231"/>
        <v>0</v>
      </c>
      <c r="AD78" s="460">
        <v>0</v>
      </c>
      <c r="AE78" s="460">
        <v>0</v>
      </c>
      <c r="AF78" s="460">
        <f t="shared" si="232"/>
        <v>0</v>
      </c>
      <c r="AG78" s="460">
        <f t="shared" si="233"/>
        <v>0</v>
      </c>
      <c r="AH78" s="461">
        <v>0</v>
      </c>
      <c r="AI78" s="461">
        <v>0</v>
      </c>
      <c r="AJ78" s="461">
        <v>0</v>
      </c>
      <c r="AK78" s="461">
        <v>0</v>
      </c>
      <c r="AL78" s="674">
        <v>0</v>
      </c>
      <c r="AM78" s="461">
        <v>0</v>
      </c>
      <c r="AN78" s="461">
        <v>0</v>
      </c>
      <c r="AO78" s="461">
        <v>0</v>
      </c>
      <c r="AP78" s="461">
        <f t="shared" si="234"/>
        <v>0</v>
      </c>
      <c r="AQ78" s="461">
        <f t="shared" si="235"/>
        <v>0</v>
      </c>
      <c r="AR78" s="463">
        <f t="shared" si="236"/>
        <v>0</v>
      </c>
      <c r="AS78" s="469">
        <f t="shared" si="237"/>
        <v>930666</v>
      </c>
      <c r="AT78" s="460">
        <f t="shared" si="238"/>
        <v>687473</v>
      </c>
      <c r="AU78" s="460">
        <f t="shared" si="239"/>
        <v>0</v>
      </c>
      <c r="AV78" s="460">
        <f t="shared" si="240"/>
        <v>232366</v>
      </c>
      <c r="AW78" s="460">
        <f t="shared" si="240"/>
        <v>6875</v>
      </c>
      <c r="AX78" s="460">
        <f t="shared" si="241"/>
        <v>3952</v>
      </c>
      <c r="AY78" s="461">
        <f t="shared" si="242"/>
        <v>2.21</v>
      </c>
      <c r="AZ78" s="461">
        <f t="shared" si="243"/>
        <v>0</v>
      </c>
      <c r="BA78" s="463">
        <f t="shared" si="243"/>
        <v>2.21</v>
      </c>
    </row>
    <row r="79" spans="1:53" ht="12.95" customHeight="1" x14ac:dyDescent="0.25">
      <c r="A79" s="299">
        <v>13</v>
      </c>
      <c r="B79" s="340">
        <v>5411</v>
      </c>
      <c r="C79" s="341">
        <v>650034244</v>
      </c>
      <c r="D79" s="300">
        <v>70985375</v>
      </c>
      <c r="E79" s="342" t="s">
        <v>390</v>
      </c>
      <c r="F79" s="300">
        <v>3143</v>
      </c>
      <c r="G79" s="342" t="s">
        <v>616</v>
      </c>
      <c r="H79" s="303" t="s">
        <v>277</v>
      </c>
      <c r="I79" s="462">
        <f t="shared" si="222"/>
        <v>427320</v>
      </c>
      <c r="J79" s="457">
        <v>317003</v>
      </c>
      <c r="K79" s="457">
        <f t="shared" si="223"/>
        <v>107147</v>
      </c>
      <c r="L79" s="457">
        <f t="shared" si="224"/>
        <v>3170</v>
      </c>
      <c r="M79" s="457">
        <v>0</v>
      </c>
      <c r="N79" s="458">
        <f t="shared" si="225"/>
        <v>0.72729999999999995</v>
      </c>
      <c r="O79" s="459">
        <v>0.72729999999999995</v>
      </c>
      <c r="P79" s="646">
        <v>0</v>
      </c>
      <c r="Q79" s="469">
        <f t="shared" si="226"/>
        <v>-9360</v>
      </c>
      <c r="R79" s="460">
        <v>0</v>
      </c>
      <c r="S79" s="673">
        <v>0</v>
      </c>
      <c r="T79" s="460">
        <v>0</v>
      </c>
      <c r="U79" s="460">
        <v>0</v>
      </c>
      <c r="V79" s="460">
        <f t="shared" si="227"/>
        <v>-9360</v>
      </c>
      <c r="W79" s="460">
        <v>9360</v>
      </c>
      <c r="X79" s="460">
        <v>26480</v>
      </c>
      <c r="Y79" s="460">
        <v>0</v>
      </c>
      <c r="Z79" s="460">
        <f t="shared" si="228"/>
        <v>35840</v>
      </c>
      <c r="AA79" s="460">
        <f t="shared" si="229"/>
        <v>26480</v>
      </c>
      <c r="AB79" s="69">
        <f t="shared" si="230"/>
        <v>8950</v>
      </c>
      <c r="AC79" s="69">
        <f t="shared" si="231"/>
        <v>-94</v>
      </c>
      <c r="AD79" s="460">
        <v>0</v>
      </c>
      <c r="AE79" s="460">
        <v>0</v>
      </c>
      <c r="AF79" s="460">
        <f t="shared" si="232"/>
        <v>0</v>
      </c>
      <c r="AG79" s="460">
        <f t="shared" si="233"/>
        <v>35336</v>
      </c>
      <c r="AH79" s="461">
        <v>-0.02</v>
      </c>
      <c r="AI79" s="461">
        <v>0</v>
      </c>
      <c r="AJ79" s="461">
        <v>0</v>
      </c>
      <c r="AK79" s="461">
        <v>0</v>
      </c>
      <c r="AL79" s="674">
        <v>0</v>
      </c>
      <c r="AM79" s="461">
        <v>0</v>
      </c>
      <c r="AN79" s="461">
        <v>0</v>
      </c>
      <c r="AO79" s="461">
        <v>0</v>
      </c>
      <c r="AP79" s="461">
        <f t="shared" si="234"/>
        <v>-0.02</v>
      </c>
      <c r="AQ79" s="461">
        <f t="shared" si="235"/>
        <v>0</v>
      </c>
      <c r="AR79" s="463">
        <f t="shared" si="236"/>
        <v>-0.02</v>
      </c>
      <c r="AS79" s="469">
        <f t="shared" si="237"/>
        <v>462656</v>
      </c>
      <c r="AT79" s="460">
        <f t="shared" si="238"/>
        <v>307643</v>
      </c>
      <c r="AU79" s="460">
        <f t="shared" si="239"/>
        <v>35840</v>
      </c>
      <c r="AV79" s="460">
        <f t="shared" si="240"/>
        <v>116097</v>
      </c>
      <c r="AW79" s="460">
        <f t="shared" si="240"/>
        <v>3076</v>
      </c>
      <c r="AX79" s="460">
        <f t="shared" si="241"/>
        <v>0</v>
      </c>
      <c r="AY79" s="461">
        <f t="shared" si="242"/>
        <v>0.70729999999999993</v>
      </c>
      <c r="AZ79" s="461">
        <f t="shared" si="243"/>
        <v>0.70729999999999993</v>
      </c>
      <c r="BA79" s="463">
        <f t="shared" si="243"/>
        <v>0</v>
      </c>
    </row>
    <row r="80" spans="1:53" ht="12.95" customHeight="1" x14ac:dyDescent="0.25">
      <c r="A80" s="299">
        <v>13</v>
      </c>
      <c r="B80" s="340">
        <v>5411</v>
      </c>
      <c r="C80" s="341">
        <v>650034244</v>
      </c>
      <c r="D80" s="300">
        <v>70985375</v>
      </c>
      <c r="E80" s="342" t="s">
        <v>390</v>
      </c>
      <c r="F80" s="300">
        <v>3143</v>
      </c>
      <c r="G80" s="342" t="s">
        <v>617</v>
      </c>
      <c r="H80" s="303" t="s">
        <v>278</v>
      </c>
      <c r="I80" s="462">
        <f t="shared" si="222"/>
        <v>16125</v>
      </c>
      <c r="J80" s="457">
        <v>11522</v>
      </c>
      <c r="K80" s="457">
        <f t="shared" si="223"/>
        <v>3894</v>
      </c>
      <c r="L80" s="457">
        <f t="shared" si="224"/>
        <v>115</v>
      </c>
      <c r="M80" s="457">
        <v>594</v>
      </c>
      <c r="N80" s="458">
        <f t="shared" si="225"/>
        <v>0.05</v>
      </c>
      <c r="O80" s="459">
        <v>0</v>
      </c>
      <c r="P80" s="646">
        <v>0.05</v>
      </c>
      <c r="Q80" s="469">
        <f t="shared" si="226"/>
        <v>0</v>
      </c>
      <c r="R80" s="460">
        <v>0</v>
      </c>
      <c r="S80" s="673">
        <v>0</v>
      </c>
      <c r="T80" s="460">
        <v>0</v>
      </c>
      <c r="U80" s="460">
        <v>0</v>
      </c>
      <c r="V80" s="460">
        <f t="shared" si="227"/>
        <v>0</v>
      </c>
      <c r="W80" s="460">
        <v>0</v>
      </c>
      <c r="X80" s="460">
        <v>0</v>
      </c>
      <c r="Y80" s="460">
        <v>0</v>
      </c>
      <c r="Z80" s="460">
        <f t="shared" si="228"/>
        <v>0</v>
      </c>
      <c r="AA80" s="460">
        <f t="shared" si="229"/>
        <v>0</v>
      </c>
      <c r="AB80" s="69">
        <f t="shared" si="230"/>
        <v>0</v>
      </c>
      <c r="AC80" s="69">
        <f t="shared" si="231"/>
        <v>0</v>
      </c>
      <c r="AD80" s="460">
        <v>0</v>
      </c>
      <c r="AE80" s="460">
        <v>0</v>
      </c>
      <c r="AF80" s="460">
        <f t="shared" si="232"/>
        <v>0</v>
      </c>
      <c r="AG80" s="460">
        <f t="shared" si="233"/>
        <v>0</v>
      </c>
      <c r="AH80" s="461">
        <v>0</v>
      </c>
      <c r="AI80" s="461">
        <v>0</v>
      </c>
      <c r="AJ80" s="461">
        <v>0</v>
      </c>
      <c r="AK80" s="461">
        <v>0</v>
      </c>
      <c r="AL80" s="674">
        <v>0</v>
      </c>
      <c r="AM80" s="461">
        <v>0</v>
      </c>
      <c r="AN80" s="461">
        <v>0</v>
      </c>
      <c r="AO80" s="461">
        <v>0</v>
      </c>
      <c r="AP80" s="461">
        <f t="shared" si="234"/>
        <v>0</v>
      </c>
      <c r="AQ80" s="461">
        <f t="shared" si="235"/>
        <v>0</v>
      </c>
      <c r="AR80" s="463">
        <f t="shared" si="236"/>
        <v>0</v>
      </c>
      <c r="AS80" s="469">
        <f t="shared" si="237"/>
        <v>16125</v>
      </c>
      <c r="AT80" s="460">
        <f t="shared" si="238"/>
        <v>11522</v>
      </c>
      <c r="AU80" s="460">
        <f t="shared" si="239"/>
        <v>0</v>
      </c>
      <c r="AV80" s="460">
        <f t="shared" si="240"/>
        <v>3894</v>
      </c>
      <c r="AW80" s="460">
        <f t="shared" si="240"/>
        <v>115</v>
      </c>
      <c r="AX80" s="460">
        <f t="shared" si="241"/>
        <v>594</v>
      </c>
      <c r="AY80" s="461">
        <f t="shared" si="242"/>
        <v>0.05</v>
      </c>
      <c r="AZ80" s="461">
        <f t="shared" si="243"/>
        <v>0</v>
      </c>
      <c r="BA80" s="463">
        <f t="shared" si="243"/>
        <v>0.05</v>
      </c>
    </row>
    <row r="81" spans="1:53" ht="12.95" customHeight="1" x14ac:dyDescent="0.25">
      <c r="A81" s="343">
        <v>13</v>
      </c>
      <c r="B81" s="344">
        <v>5411</v>
      </c>
      <c r="C81" s="345">
        <v>650034244</v>
      </c>
      <c r="D81" s="344">
        <v>70985375</v>
      </c>
      <c r="E81" s="346" t="s">
        <v>391</v>
      </c>
      <c r="F81" s="310"/>
      <c r="G81" s="348"/>
      <c r="H81" s="311"/>
      <c r="I81" s="552">
        <f t="shared" ref="I81:BA81" si="244">SUM(I75:I80)</f>
        <v>7602923</v>
      </c>
      <c r="J81" s="548">
        <f t="shared" si="244"/>
        <v>5579935</v>
      </c>
      <c r="K81" s="548">
        <f t="shared" si="244"/>
        <v>1886018</v>
      </c>
      <c r="L81" s="548">
        <f t="shared" si="244"/>
        <v>55799</v>
      </c>
      <c r="M81" s="548">
        <f t="shared" si="244"/>
        <v>81171</v>
      </c>
      <c r="N81" s="549">
        <f t="shared" si="244"/>
        <v>11.723600000000001</v>
      </c>
      <c r="O81" s="549">
        <f t="shared" si="244"/>
        <v>7.3035999999999994</v>
      </c>
      <c r="P81" s="347">
        <f t="shared" si="244"/>
        <v>4.42</v>
      </c>
      <c r="Q81" s="554">
        <f t="shared" si="244"/>
        <v>-28080</v>
      </c>
      <c r="R81" s="548">
        <f t="shared" si="244"/>
        <v>0</v>
      </c>
      <c r="S81" s="548">
        <f t="shared" si="244"/>
        <v>0</v>
      </c>
      <c r="T81" s="548">
        <f t="shared" si="244"/>
        <v>0</v>
      </c>
      <c r="U81" s="548">
        <f t="shared" si="244"/>
        <v>0</v>
      </c>
      <c r="V81" s="548">
        <f t="shared" si="244"/>
        <v>-28080</v>
      </c>
      <c r="W81" s="548">
        <f t="shared" si="244"/>
        <v>28080</v>
      </c>
      <c r="X81" s="548">
        <f t="shared" si="244"/>
        <v>70400</v>
      </c>
      <c r="Y81" s="548">
        <f t="shared" si="244"/>
        <v>0</v>
      </c>
      <c r="Z81" s="548">
        <f t="shared" si="244"/>
        <v>98480</v>
      </c>
      <c r="AA81" s="548">
        <f t="shared" si="244"/>
        <v>70400</v>
      </c>
      <c r="AB81" s="548">
        <f t="shared" si="244"/>
        <v>23795</v>
      </c>
      <c r="AC81" s="548">
        <f t="shared" si="244"/>
        <v>-281</v>
      </c>
      <c r="AD81" s="548">
        <f t="shared" si="244"/>
        <v>0</v>
      </c>
      <c r="AE81" s="548">
        <f t="shared" si="244"/>
        <v>0</v>
      </c>
      <c r="AF81" s="548">
        <f t="shared" si="244"/>
        <v>0</v>
      </c>
      <c r="AG81" s="548">
        <f t="shared" si="244"/>
        <v>93914</v>
      </c>
      <c r="AH81" s="549">
        <f t="shared" si="244"/>
        <v>-0.05</v>
      </c>
      <c r="AI81" s="549">
        <f t="shared" si="244"/>
        <v>0</v>
      </c>
      <c r="AJ81" s="549">
        <f t="shared" si="244"/>
        <v>0</v>
      </c>
      <c r="AK81" s="549">
        <f t="shared" si="244"/>
        <v>0</v>
      </c>
      <c r="AL81" s="549">
        <f t="shared" si="244"/>
        <v>0</v>
      </c>
      <c r="AM81" s="549">
        <f t="shared" si="244"/>
        <v>0</v>
      </c>
      <c r="AN81" s="549">
        <f t="shared" si="244"/>
        <v>0</v>
      </c>
      <c r="AO81" s="549">
        <f t="shared" si="244"/>
        <v>0</v>
      </c>
      <c r="AP81" s="549">
        <f t="shared" si="244"/>
        <v>-0.05</v>
      </c>
      <c r="AQ81" s="549">
        <f t="shared" si="244"/>
        <v>0</v>
      </c>
      <c r="AR81" s="347">
        <f t="shared" si="244"/>
        <v>-0.05</v>
      </c>
      <c r="AS81" s="554">
        <f t="shared" si="244"/>
        <v>7696837</v>
      </c>
      <c r="AT81" s="548">
        <f t="shared" si="244"/>
        <v>5551855</v>
      </c>
      <c r="AU81" s="548">
        <f t="shared" si="244"/>
        <v>98480</v>
      </c>
      <c r="AV81" s="548">
        <f t="shared" si="244"/>
        <v>1909813</v>
      </c>
      <c r="AW81" s="548">
        <f t="shared" si="244"/>
        <v>55518</v>
      </c>
      <c r="AX81" s="548">
        <f t="shared" si="244"/>
        <v>81171</v>
      </c>
      <c r="AY81" s="549">
        <f t="shared" si="244"/>
        <v>11.6736</v>
      </c>
      <c r="AZ81" s="549">
        <f t="shared" si="244"/>
        <v>7.2536000000000005</v>
      </c>
      <c r="BA81" s="347">
        <f t="shared" si="244"/>
        <v>4.42</v>
      </c>
    </row>
    <row r="82" spans="1:53" ht="12.95" customHeight="1" x14ac:dyDescent="0.25">
      <c r="A82" s="299">
        <v>14</v>
      </c>
      <c r="B82" s="340">
        <v>5412</v>
      </c>
      <c r="C82" s="341">
        <v>600099130</v>
      </c>
      <c r="D82" s="300">
        <v>70698066</v>
      </c>
      <c r="E82" s="342" t="s">
        <v>392</v>
      </c>
      <c r="F82" s="300">
        <v>3111</v>
      </c>
      <c r="G82" s="342" t="s">
        <v>321</v>
      </c>
      <c r="H82" s="303" t="s">
        <v>277</v>
      </c>
      <c r="I82" s="462">
        <f t="shared" ref="I82:I87" si="245">SUM(J82:M82)</f>
        <v>2076952</v>
      </c>
      <c r="J82" s="457">
        <v>1533941</v>
      </c>
      <c r="K82" s="457">
        <f t="shared" ref="K82:K87" si="246">ROUND(J82*33.8%,0)</f>
        <v>518472</v>
      </c>
      <c r="L82" s="457">
        <f t="shared" ref="L82:L87" si="247">ROUND(J82*1%,0)</f>
        <v>15339</v>
      </c>
      <c r="M82" s="457">
        <v>9200</v>
      </c>
      <c r="N82" s="458">
        <f t="shared" ref="N82:N87" si="248">O82+P82</f>
        <v>2.8508</v>
      </c>
      <c r="O82" s="459">
        <v>2.4508000000000001</v>
      </c>
      <c r="P82" s="646">
        <v>0.4</v>
      </c>
      <c r="Q82" s="469">
        <f t="shared" ref="Q82:Q87" si="249">W82*-1</f>
        <v>-14430</v>
      </c>
      <c r="R82" s="460">
        <v>0</v>
      </c>
      <c r="S82" s="673">
        <v>0</v>
      </c>
      <c r="T82" s="460">
        <v>0</v>
      </c>
      <c r="U82" s="460">
        <v>0</v>
      </c>
      <c r="V82" s="460">
        <f t="shared" ref="V82:V87" si="250">SUM(Q82:U82)</f>
        <v>-14430</v>
      </c>
      <c r="W82" s="460">
        <v>14430</v>
      </c>
      <c r="X82" s="460">
        <v>0</v>
      </c>
      <c r="Y82" s="460">
        <v>0</v>
      </c>
      <c r="Z82" s="460">
        <f t="shared" ref="Z82:Z87" si="251">SUM(W82:Y82)</f>
        <v>14430</v>
      </c>
      <c r="AA82" s="460">
        <f t="shared" ref="AA82:AA87" si="252">V82+Z82</f>
        <v>0</v>
      </c>
      <c r="AB82" s="69">
        <f t="shared" ref="AB82:AB87" si="253">ROUND((V82+W82+X82)*33.8%,0)</f>
        <v>0</v>
      </c>
      <c r="AC82" s="69">
        <f t="shared" ref="AC82:AC87" si="254">ROUND(V82*1%,0)</f>
        <v>-144</v>
      </c>
      <c r="AD82" s="460">
        <v>0</v>
      </c>
      <c r="AE82" s="460">
        <v>0</v>
      </c>
      <c r="AF82" s="460">
        <f t="shared" ref="AF82:AF87" si="255">SUM(AD82:AE82)</f>
        <v>0</v>
      </c>
      <c r="AG82" s="460">
        <f t="shared" ref="AG82:AG87" si="256">AA82+AB82+AC82+AF82</f>
        <v>-144</v>
      </c>
      <c r="AH82" s="461">
        <v>0</v>
      </c>
      <c r="AI82" s="461">
        <v>0</v>
      </c>
      <c r="AJ82" s="461">
        <v>0</v>
      </c>
      <c r="AK82" s="461">
        <v>0</v>
      </c>
      <c r="AL82" s="674">
        <v>0</v>
      </c>
      <c r="AM82" s="461">
        <v>0</v>
      </c>
      <c r="AN82" s="461">
        <v>0</v>
      </c>
      <c r="AO82" s="461">
        <v>0</v>
      </c>
      <c r="AP82" s="461">
        <f t="shared" ref="AP82:AP87" si="257">AH82+AJ82+AK82+AM82+AN82</f>
        <v>0</v>
      </c>
      <c r="AQ82" s="461">
        <f t="shared" ref="AQ82:AQ87" si="258">AI82+AL82+AO82</f>
        <v>0</v>
      </c>
      <c r="AR82" s="463">
        <f t="shared" ref="AR82:AR87" si="259">SUM(AP82:AQ82)</f>
        <v>0</v>
      </c>
      <c r="AS82" s="469">
        <f t="shared" ref="AS82:AS87" si="260">I82+AG82</f>
        <v>2076808</v>
      </c>
      <c r="AT82" s="460">
        <f t="shared" ref="AT82:AT87" si="261">J82+V82</f>
        <v>1519511</v>
      </c>
      <c r="AU82" s="460">
        <f t="shared" ref="AU82:AU87" si="262">Z82</f>
        <v>14430</v>
      </c>
      <c r="AV82" s="460">
        <f t="shared" ref="AV82:AW87" si="263">K82+AB82</f>
        <v>518472</v>
      </c>
      <c r="AW82" s="460">
        <f t="shared" si="263"/>
        <v>15195</v>
      </c>
      <c r="AX82" s="460">
        <f t="shared" ref="AX82:AX87" si="264">M82+AF82</f>
        <v>9200</v>
      </c>
      <c r="AY82" s="461">
        <f t="shared" ref="AY82:AY87" si="265">N82+AR82</f>
        <v>2.8508</v>
      </c>
      <c r="AZ82" s="461">
        <f t="shared" ref="AZ82:BA87" si="266">O82+AP82</f>
        <v>2.4508000000000001</v>
      </c>
      <c r="BA82" s="463">
        <f t="shared" si="266"/>
        <v>0.4</v>
      </c>
    </row>
    <row r="83" spans="1:53" ht="12.95" customHeight="1" x14ac:dyDescent="0.25">
      <c r="A83" s="299">
        <v>14</v>
      </c>
      <c r="B83" s="340">
        <v>5412</v>
      </c>
      <c r="C83" s="341">
        <v>600099130</v>
      </c>
      <c r="D83" s="300">
        <v>70698066</v>
      </c>
      <c r="E83" s="342" t="s">
        <v>392</v>
      </c>
      <c r="F83" s="300">
        <v>3117</v>
      </c>
      <c r="G83" s="342" t="s">
        <v>310</v>
      </c>
      <c r="H83" s="303" t="s">
        <v>277</v>
      </c>
      <c r="I83" s="462">
        <f t="shared" si="245"/>
        <v>2331791</v>
      </c>
      <c r="J83" s="457">
        <v>1700271</v>
      </c>
      <c r="K83" s="457">
        <f t="shared" si="246"/>
        <v>574692</v>
      </c>
      <c r="L83" s="457">
        <f t="shared" si="247"/>
        <v>17003</v>
      </c>
      <c r="M83" s="457">
        <v>39825</v>
      </c>
      <c r="N83" s="458">
        <f t="shared" si="248"/>
        <v>3.0726999999999998</v>
      </c>
      <c r="O83" s="459">
        <v>2.2726999999999999</v>
      </c>
      <c r="P83" s="646">
        <v>0.79999999999999993</v>
      </c>
      <c r="Q83" s="469">
        <f t="shared" si="249"/>
        <v>0</v>
      </c>
      <c r="R83" s="460">
        <v>0</v>
      </c>
      <c r="S83" s="673">
        <v>0</v>
      </c>
      <c r="T83" s="460">
        <v>0</v>
      </c>
      <c r="U83" s="460">
        <v>0</v>
      </c>
      <c r="V83" s="460">
        <f t="shared" si="250"/>
        <v>0</v>
      </c>
      <c r="W83" s="460">
        <v>0</v>
      </c>
      <c r="X83" s="460">
        <v>0</v>
      </c>
      <c r="Y83" s="460">
        <v>0</v>
      </c>
      <c r="Z83" s="460">
        <f t="shared" si="251"/>
        <v>0</v>
      </c>
      <c r="AA83" s="460">
        <f t="shared" si="252"/>
        <v>0</v>
      </c>
      <c r="AB83" s="69">
        <f t="shared" si="253"/>
        <v>0</v>
      </c>
      <c r="AC83" s="69">
        <f t="shared" si="254"/>
        <v>0</v>
      </c>
      <c r="AD83" s="460">
        <v>0</v>
      </c>
      <c r="AE83" s="460">
        <v>0</v>
      </c>
      <c r="AF83" s="460">
        <f t="shared" si="255"/>
        <v>0</v>
      </c>
      <c r="AG83" s="460">
        <f t="shared" si="256"/>
        <v>0</v>
      </c>
      <c r="AH83" s="461">
        <v>0</v>
      </c>
      <c r="AI83" s="461">
        <v>0</v>
      </c>
      <c r="AJ83" s="461">
        <v>0</v>
      </c>
      <c r="AK83" s="461">
        <v>0</v>
      </c>
      <c r="AL83" s="674">
        <v>0</v>
      </c>
      <c r="AM83" s="461">
        <v>0</v>
      </c>
      <c r="AN83" s="461">
        <v>0</v>
      </c>
      <c r="AO83" s="461">
        <v>0</v>
      </c>
      <c r="AP83" s="461">
        <f t="shared" si="257"/>
        <v>0</v>
      </c>
      <c r="AQ83" s="461">
        <f t="shared" si="258"/>
        <v>0</v>
      </c>
      <c r="AR83" s="463">
        <f t="shared" si="259"/>
        <v>0</v>
      </c>
      <c r="AS83" s="469">
        <f t="shared" si="260"/>
        <v>2331791</v>
      </c>
      <c r="AT83" s="460">
        <f t="shared" si="261"/>
        <v>1700271</v>
      </c>
      <c r="AU83" s="460">
        <f t="shared" si="262"/>
        <v>0</v>
      </c>
      <c r="AV83" s="460">
        <f t="shared" si="263"/>
        <v>574692</v>
      </c>
      <c r="AW83" s="460">
        <f t="shared" si="263"/>
        <v>17003</v>
      </c>
      <c r="AX83" s="460">
        <f t="shared" si="264"/>
        <v>39825</v>
      </c>
      <c r="AY83" s="461">
        <f t="shared" si="265"/>
        <v>3.0726999999999998</v>
      </c>
      <c r="AZ83" s="461">
        <f t="shared" si="266"/>
        <v>2.2726999999999999</v>
      </c>
      <c r="BA83" s="463">
        <f t="shared" si="266"/>
        <v>0.79999999999999993</v>
      </c>
    </row>
    <row r="84" spans="1:53" ht="12.95" customHeight="1" x14ac:dyDescent="0.25">
      <c r="A84" s="299">
        <v>14</v>
      </c>
      <c r="B84" s="340">
        <v>5412</v>
      </c>
      <c r="C84" s="341">
        <v>600099130</v>
      </c>
      <c r="D84" s="300">
        <v>70698066</v>
      </c>
      <c r="E84" s="342" t="s">
        <v>392</v>
      </c>
      <c r="F84" s="300">
        <v>3117</v>
      </c>
      <c r="G84" s="342" t="s">
        <v>315</v>
      </c>
      <c r="H84" s="303" t="s">
        <v>278</v>
      </c>
      <c r="I84" s="462">
        <f t="shared" si="245"/>
        <v>0</v>
      </c>
      <c r="J84" s="457">
        <v>0</v>
      </c>
      <c r="K84" s="457">
        <f t="shared" si="246"/>
        <v>0</v>
      </c>
      <c r="L84" s="457">
        <f t="shared" si="247"/>
        <v>0</v>
      </c>
      <c r="M84" s="457">
        <v>0</v>
      </c>
      <c r="N84" s="458">
        <f t="shared" si="248"/>
        <v>0</v>
      </c>
      <c r="O84" s="459">
        <v>0</v>
      </c>
      <c r="P84" s="646">
        <v>0</v>
      </c>
      <c r="Q84" s="469">
        <f t="shared" si="249"/>
        <v>0</v>
      </c>
      <c r="R84" s="460">
        <v>0</v>
      </c>
      <c r="S84" s="673">
        <v>0</v>
      </c>
      <c r="T84" s="460">
        <v>0</v>
      </c>
      <c r="U84" s="460">
        <v>0</v>
      </c>
      <c r="V84" s="460">
        <f t="shared" si="250"/>
        <v>0</v>
      </c>
      <c r="W84" s="460">
        <v>0</v>
      </c>
      <c r="X84" s="460">
        <v>0</v>
      </c>
      <c r="Y84" s="460">
        <v>0</v>
      </c>
      <c r="Z84" s="460">
        <f t="shared" si="251"/>
        <v>0</v>
      </c>
      <c r="AA84" s="460">
        <f t="shared" si="252"/>
        <v>0</v>
      </c>
      <c r="AB84" s="69">
        <f t="shared" si="253"/>
        <v>0</v>
      </c>
      <c r="AC84" s="69">
        <f t="shared" si="254"/>
        <v>0</v>
      </c>
      <c r="AD84" s="460">
        <v>0</v>
      </c>
      <c r="AE84" s="460">
        <v>0</v>
      </c>
      <c r="AF84" s="460">
        <f t="shared" si="255"/>
        <v>0</v>
      </c>
      <c r="AG84" s="460">
        <f t="shared" si="256"/>
        <v>0</v>
      </c>
      <c r="AH84" s="461">
        <v>0</v>
      </c>
      <c r="AI84" s="461">
        <v>0</v>
      </c>
      <c r="AJ84" s="461">
        <v>0</v>
      </c>
      <c r="AK84" s="461">
        <v>0</v>
      </c>
      <c r="AL84" s="674">
        <v>0</v>
      </c>
      <c r="AM84" s="461">
        <v>0</v>
      </c>
      <c r="AN84" s="461">
        <v>0</v>
      </c>
      <c r="AO84" s="461">
        <v>0</v>
      </c>
      <c r="AP84" s="461">
        <f t="shared" si="257"/>
        <v>0</v>
      </c>
      <c r="AQ84" s="461">
        <f t="shared" si="258"/>
        <v>0</v>
      </c>
      <c r="AR84" s="463">
        <f t="shared" si="259"/>
        <v>0</v>
      </c>
      <c r="AS84" s="469">
        <f t="shared" si="260"/>
        <v>0</v>
      </c>
      <c r="AT84" s="460">
        <f t="shared" si="261"/>
        <v>0</v>
      </c>
      <c r="AU84" s="460">
        <f t="shared" si="262"/>
        <v>0</v>
      </c>
      <c r="AV84" s="460">
        <f t="shared" si="263"/>
        <v>0</v>
      </c>
      <c r="AW84" s="460">
        <f t="shared" si="263"/>
        <v>0</v>
      </c>
      <c r="AX84" s="460">
        <f t="shared" si="264"/>
        <v>0</v>
      </c>
      <c r="AY84" s="461">
        <f t="shared" si="265"/>
        <v>0</v>
      </c>
      <c r="AZ84" s="461">
        <f t="shared" si="266"/>
        <v>0</v>
      </c>
      <c r="BA84" s="463">
        <f t="shared" si="266"/>
        <v>0</v>
      </c>
    </row>
    <row r="85" spans="1:53" ht="12.95" customHeight="1" x14ac:dyDescent="0.25">
      <c r="A85" s="299">
        <v>14</v>
      </c>
      <c r="B85" s="340">
        <v>5412</v>
      </c>
      <c r="C85" s="341">
        <v>600099130</v>
      </c>
      <c r="D85" s="300">
        <v>70698066</v>
      </c>
      <c r="E85" s="342" t="s">
        <v>392</v>
      </c>
      <c r="F85" s="300">
        <v>3141</v>
      </c>
      <c r="G85" s="342" t="s">
        <v>311</v>
      </c>
      <c r="H85" s="303" t="s">
        <v>278</v>
      </c>
      <c r="I85" s="462">
        <f t="shared" si="245"/>
        <v>678538</v>
      </c>
      <c r="J85" s="457">
        <v>501438</v>
      </c>
      <c r="K85" s="457">
        <f t="shared" si="246"/>
        <v>169486</v>
      </c>
      <c r="L85" s="457">
        <f t="shared" si="247"/>
        <v>5014</v>
      </c>
      <c r="M85" s="457">
        <v>2600</v>
      </c>
      <c r="N85" s="458">
        <f t="shared" si="248"/>
        <v>1.61</v>
      </c>
      <c r="O85" s="459">
        <v>0</v>
      </c>
      <c r="P85" s="646">
        <v>1.61</v>
      </c>
      <c r="Q85" s="469">
        <f t="shared" si="249"/>
        <v>0</v>
      </c>
      <c r="R85" s="460">
        <v>0</v>
      </c>
      <c r="S85" s="673">
        <v>0</v>
      </c>
      <c r="T85" s="460">
        <v>0</v>
      </c>
      <c r="U85" s="460">
        <v>0</v>
      </c>
      <c r="V85" s="460">
        <f t="shared" si="250"/>
        <v>0</v>
      </c>
      <c r="W85" s="460">
        <v>0</v>
      </c>
      <c r="X85" s="460">
        <v>0</v>
      </c>
      <c r="Y85" s="460">
        <v>0</v>
      </c>
      <c r="Z85" s="460">
        <f t="shared" si="251"/>
        <v>0</v>
      </c>
      <c r="AA85" s="460">
        <f t="shared" si="252"/>
        <v>0</v>
      </c>
      <c r="AB85" s="69">
        <f t="shared" si="253"/>
        <v>0</v>
      </c>
      <c r="AC85" s="69">
        <f t="shared" si="254"/>
        <v>0</v>
      </c>
      <c r="AD85" s="460">
        <v>0</v>
      </c>
      <c r="AE85" s="460">
        <v>0</v>
      </c>
      <c r="AF85" s="460">
        <f t="shared" si="255"/>
        <v>0</v>
      </c>
      <c r="AG85" s="460">
        <f t="shared" si="256"/>
        <v>0</v>
      </c>
      <c r="AH85" s="461">
        <v>0</v>
      </c>
      <c r="AI85" s="461">
        <v>0</v>
      </c>
      <c r="AJ85" s="461">
        <v>0</v>
      </c>
      <c r="AK85" s="461">
        <v>0</v>
      </c>
      <c r="AL85" s="674">
        <v>0</v>
      </c>
      <c r="AM85" s="461">
        <v>0</v>
      </c>
      <c r="AN85" s="461">
        <v>0</v>
      </c>
      <c r="AO85" s="461">
        <v>0</v>
      </c>
      <c r="AP85" s="461">
        <f t="shared" si="257"/>
        <v>0</v>
      </c>
      <c r="AQ85" s="461">
        <f t="shared" si="258"/>
        <v>0</v>
      </c>
      <c r="AR85" s="463">
        <f t="shared" si="259"/>
        <v>0</v>
      </c>
      <c r="AS85" s="469">
        <f t="shared" si="260"/>
        <v>678538</v>
      </c>
      <c r="AT85" s="460">
        <f t="shared" si="261"/>
        <v>501438</v>
      </c>
      <c r="AU85" s="460">
        <f t="shared" si="262"/>
        <v>0</v>
      </c>
      <c r="AV85" s="460">
        <f t="shared" si="263"/>
        <v>169486</v>
      </c>
      <c r="AW85" s="460">
        <f t="shared" si="263"/>
        <v>5014</v>
      </c>
      <c r="AX85" s="460">
        <f t="shared" si="264"/>
        <v>2600</v>
      </c>
      <c r="AY85" s="461">
        <f t="shared" si="265"/>
        <v>1.61</v>
      </c>
      <c r="AZ85" s="461">
        <f t="shared" si="266"/>
        <v>0</v>
      </c>
      <c r="BA85" s="463">
        <f t="shared" si="266"/>
        <v>1.61</v>
      </c>
    </row>
    <row r="86" spans="1:53" ht="12.95" customHeight="1" x14ac:dyDescent="0.25">
      <c r="A86" s="299">
        <v>14</v>
      </c>
      <c r="B86" s="340">
        <v>5412</v>
      </c>
      <c r="C86" s="341">
        <v>600099130</v>
      </c>
      <c r="D86" s="300">
        <v>70698066</v>
      </c>
      <c r="E86" s="342" t="s">
        <v>392</v>
      </c>
      <c r="F86" s="300">
        <v>3143</v>
      </c>
      <c r="G86" s="342" t="s">
        <v>616</v>
      </c>
      <c r="H86" s="303" t="s">
        <v>277</v>
      </c>
      <c r="I86" s="462">
        <f t="shared" si="245"/>
        <v>290554</v>
      </c>
      <c r="J86" s="457">
        <v>215545</v>
      </c>
      <c r="K86" s="457">
        <f t="shared" si="246"/>
        <v>72854</v>
      </c>
      <c r="L86" s="457">
        <f t="shared" si="247"/>
        <v>2155</v>
      </c>
      <c r="M86" s="457">
        <v>0</v>
      </c>
      <c r="N86" s="458">
        <f t="shared" si="248"/>
        <v>0.5</v>
      </c>
      <c r="O86" s="459">
        <v>0.5</v>
      </c>
      <c r="P86" s="646">
        <v>0</v>
      </c>
      <c r="Q86" s="469">
        <f t="shared" si="249"/>
        <v>0</v>
      </c>
      <c r="R86" s="460">
        <v>0</v>
      </c>
      <c r="S86" s="673">
        <v>0</v>
      </c>
      <c r="T86" s="460">
        <v>0</v>
      </c>
      <c r="U86" s="460">
        <v>0</v>
      </c>
      <c r="V86" s="460">
        <f t="shared" si="250"/>
        <v>0</v>
      </c>
      <c r="W86" s="460">
        <v>0</v>
      </c>
      <c r="X86" s="460">
        <v>0</v>
      </c>
      <c r="Y86" s="460">
        <v>0</v>
      </c>
      <c r="Z86" s="460">
        <f t="shared" si="251"/>
        <v>0</v>
      </c>
      <c r="AA86" s="460">
        <f t="shared" si="252"/>
        <v>0</v>
      </c>
      <c r="AB86" s="69">
        <f t="shared" si="253"/>
        <v>0</v>
      </c>
      <c r="AC86" s="69">
        <f t="shared" si="254"/>
        <v>0</v>
      </c>
      <c r="AD86" s="460">
        <v>0</v>
      </c>
      <c r="AE86" s="460">
        <v>0</v>
      </c>
      <c r="AF86" s="460">
        <f t="shared" si="255"/>
        <v>0</v>
      </c>
      <c r="AG86" s="460">
        <f t="shared" si="256"/>
        <v>0</v>
      </c>
      <c r="AH86" s="461">
        <v>0</v>
      </c>
      <c r="AI86" s="461">
        <v>0</v>
      </c>
      <c r="AJ86" s="461">
        <v>0</v>
      </c>
      <c r="AK86" s="461">
        <v>0</v>
      </c>
      <c r="AL86" s="674">
        <v>0</v>
      </c>
      <c r="AM86" s="461">
        <v>0</v>
      </c>
      <c r="AN86" s="461">
        <v>0</v>
      </c>
      <c r="AO86" s="461">
        <v>0</v>
      </c>
      <c r="AP86" s="461">
        <f t="shared" si="257"/>
        <v>0</v>
      </c>
      <c r="AQ86" s="461">
        <f t="shared" si="258"/>
        <v>0</v>
      </c>
      <c r="AR86" s="463">
        <f t="shared" si="259"/>
        <v>0</v>
      </c>
      <c r="AS86" s="469">
        <f t="shared" si="260"/>
        <v>290554</v>
      </c>
      <c r="AT86" s="460">
        <f t="shared" si="261"/>
        <v>215545</v>
      </c>
      <c r="AU86" s="460">
        <f t="shared" si="262"/>
        <v>0</v>
      </c>
      <c r="AV86" s="460">
        <f t="shared" si="263"/>
        <v>72854</v>
      </c>
      <c r="AW86" s="460">
        <f t="shared" si="263"/>
        <v>2155</v>
      </c>
      <c r="AX86" s="460">
        <f t="shared" si="264"/>
        <v>0</v>
      </c>
      <c r="AY86" s="461">
        <f t="shared" si="265"/>
        <v>0.5</v>
      </c>
      <c r="AZ86" s="461">
        <f t="shared" si="266"/>
        <v>0.5</v>
      </c>
      <c r="BA86" s="463">
        <f t="shared" si="266"/>
        <v>0</v>
      </c>
    </row>
    <row r="87" spans="1:53" ht="12.95" customHeight="1" x14ac:dyDescent="0.25">
      <c r="A87" s="299">
        <v>14</v>
      </c>
      <c r="B87" s="340">
        <v>5412</v>
      </c>
      <c r="C87" s="341">
        <v>600099130</v>
      </c>
      <c r="D87" s="300">
        <v>70698066</v>
      </c>
      <c r="E87" s="342" t="s">
        <v>392</v>
      </c>
      <c r="F87" s="300">
        <v>3143</v>
      </c>
      <c r="G87" s="342" t="s">
        <v>617</v>
      </c>
      <c r="H87" s="303" t="s">
        <v>278</v>
      </c>
      <c r="I87" s="462">
        <f t="shared" si="245"/>
        <v>7329</v>
      </c>
      <c r="J87" s="457">
        <v>5237</v>
      </c>
      <c r="K87" s="457">
        <f t="shared" si="246"/>
        <v>1770</v>
      </c>
      <c r="L87" s="457">
        <f t="shared" si="247"/>
        <v>52</v>
      </c>
      <c r="M87" s="457">
        <v>270</v>
      </c>
      <c r="N87" s="458">
        <f t="shared" si="248"/>
        <v>0.02</v>
      </c>
      <c r="O87" s="459">
        <v>0</v>
      </c>
      <c r="P87" s="646">
        <v>0.02</v>
      </c>
      <c r="Q87" s="469">
        <f t="shared" si="249"/>
        <v>0</v>
      </c>
      <c r="R87" s="460">
        <v>0</v>
      </c>
      <c r="S87" s="673">
        <v>0</v>
      </c>
      <c r="T87" s="460">
        <v>0</v>
      </c>
      <c r="U87" s="460">
        <v>0</v>
      </c>
      <c r="V87" s="460">
        <f t="shared" si="250"/>
        <v>0</v>
      </c>
      <c r="W87" s="460">
        <v>0</v>
      </c>
      <c r="X87" s="460">
        <v>0</v>
      </c>
      <c r="Y87" s="460">
        <v>0</v>
      </c>
      <c r="Z87" s="460">
        <f t="shared" si="251"/>
        <v>0</v>
      </c>
      <c r="AA87" s="460">
        <f t="shared" si="252"/>
        <v>0</v>
      </c>
      <c r="AB87" s="69">
        <f t="shared" si="253"/>
        <v>0</v>
      </c>
      <c r="AC87" s="69">
        <f t="shared" si="254"/>
        <v>0</v>
      </c>
      <c r="AD87" s="460">
        <v>0</v>
      </c>
      <c r="AE87" s="460">
        <v>0</v>
      </c>
      <c r="AF87" s="460">
        <f t="shared" si="255"/>
        <v>0</v>
      </c>
      <c r="AG87" s="460">
        <f t="shared" si="256"/>
        <v>0</v>
      </c>
      <c r="AH87" s="461">
        <v>0</v>
      </c>
      <c r="AI87" s="461">
        <v>0</v>
      </c>
      <c r="AJ87" s="461">
        <v>0</v>
      </c>
      <c r="AK87" s="461">
        <v>0</v>
      </c>
      <c r="AL87" s="674">
        <v>0</v>
      </c>
      <c r="AM87" s="461">
        <v>0</v>
      </c>
      <c r="AN87" s="461">
        <v>0</v>
      </c>
      <c r="AO87" s="461">
        <v>0</v>
      </c>
      <c r="AP87" s="461">
        <f t="shared" si="257"/>
        <v>0</v>
      </c>
      <c r="AQ87" s="461">
        <f t="shared" si="258"/>
        <v>0</v>
      </c>
      <c r="AR87" s="463">
        <f t="shared" si="259"/>
        <v>0</v>
      </c>
      <c r="AS87" s="469">
        <f t="shared" si="260"/>
        <v>7329</v>
      </c>
      <c r="AT87" s="460">
        <f t="shared" si="261"/>
        <v>5237</v>
      </c>
      <c r="AU87" s="460">
        <f t="shared" si="262"/>
        <v>0</v>
      </c>
      <c r="AV87" s="460">
        <f t="shared" si="263"/>
        <v>1770</v>
      </c>
      <c r="AW87" s="460">
        <f t="shared" si="263"/>
        <v>52</v>
      </c>
      <c r="AX87" s="460">
        <f t="shared" si="264"/>
        <v>270</v>
      </c>
      <c r="AY87" s="461">
        <f t="shared" si="265"/>
        <v>0.02</v>
      </c>
      <c r="AZ87" s="461">
        <f t="shared" si="266"/>
        <v>0</v>
      </c>
      <c r="BA87" s="463">
        <f t="shared" si="266"/>
        <v>0.02</v>
      </c>
    </row>
    <row r="88" spans="1:53" ht="12.95" customHeight="1" x14ac:dyDescent="0.25">
      <c r="A88" s="343">
        <v>14</v>
      </c>
      <c r="B88" s="344">
        <v>5412</v>
      </c>
      <c r="C88" s="345">
        <v>600099130</v>
      </c>
      <c r="D88" s="344">
        <v>70698066</v>
      </c>
      <c r="E88" s="346" t="s">
        <v>393</v>
      </c>
      <c r="F88" s="310"/>
      <c r="G88" s="348"/>
      <c r="H88" s="311"/>
      <c r="I88" s="552">
        <f t="shared" ref="I88:BA88" si="267">SUM(I82:I87)</f>
        <v>5385164</v>
      </c>
      <c r="J88" s="548">
        <f t="shared" si="267"/>
        <v>3956432</v>
      </c>
      <c r="K88" s="548">
        <f t="shared" si="267"/>
        <v>1337274</v>
      </c>
      <c r="L88" s="548">
        <f t="shared" si="267"/>
        <v>39563</v>
      </c>
      <c r="M88" s="548">
        <f t="shared" si="267"/>
        <v>51895</v>
      </c>
      <c r="N88" s="549">
        <f t="shared" si="267"/>
        <v>8.0534999999999997</v>
      </c>
      <c r="O88" s="549">
        <f t="shared" si="267"/>
        <v>5.2234999999999996</v>
      </c>
      <c r="P88" s="347">
        <f t="shared" si="267"/>
        <v>2.83</v>
      </c>
      <c r="Q88" s="554">
        <f t="shared" si="267"/>
        <v>-14430</v>
      </c>
      <c r="R88" s="548">
        <f t="shared" si="267"/>
        <v>0</v>
      </c>
      <c r="S88" s="548">
        <f t="shared" si="267"/>
        <v>0</v>
      </c>
      <c r="T88" s="548">
        <f t="shared" si="267"/>
        <v>0</v>
      </c>
      <c r="U88" s="548">
        <f t="shared" si="267"/>
        <v>0</v>
      </c>
      <c r="V88" s="548">
        <f t="shared" si="267"/>
        <v>-14430</v>
      </c>
      <c r="W88" s="548">
        <f t="shared" si="267"/>
        <v>14430</v>
      </c>
      <c r="X88" s="548">
        <f t="shared" si="267"/>
        <v>0</v>
      </c>
      <c r="Y88" s="548">
        <f t="shared" si="267"/>
        <v>0</v>
      </c>
      <c r="Z88" s="548">
        <f t="shared" si="267"/>
        <v>14430</v>
      </c>
      <c r="AA88" s="548">
        <f t="shared" si="267"/>
        <v>0</v>
      </c>
      <c r="AB88" s="548">
        <f t="shared" si="267"/>
        <v>0</v>
      </c>
      <c r="AC88" s="548">
        <f t="shared" si="267"/>
        <v>-144</v>
      </c>
      <c r="AD88" s="548">
        <f t="shared" si="267"/>
        <v>0</v>
      </c>
      <c r="AE88" s="548">
        <f t="shared" si="267"/>
        <v>0</v>
      </c>
      <c r="AF88" s="548">
        <f t="shared" si="267"/>
        <v>0</v>
      </c>
      <c r="AG88" s="548">
        <f t="shared" si="267"/>
        <v>-144</v>
      </c>
      <c r="AH88" s="549">
        <f t="shared" si="267"/>
        <v>0</v>
      </c>
      <c r="AI88" s="549">
        <f t="shared" si="267"/>
        <v>0</v>
      </c>
      <c r="AJ88" s="549">
        <f t="shared" si="267"/>
        <v>0</v>
      </c>
      <c r="AK88" s="549">
        <f t="shared" si="267"/>
        <v>0</v>
      </c>
      <c r="AL88" s="549">
        <f t="shared" si="267"/>
        <v>0</v>
      </c>
      <c r="AM88" s="549">
        <f t="shared" si="267"/>
        <v>0</v>
      </c>
      <c r="AN88" s="549">
        <f t="shared" si="267"/>
        <v>0</v>
      </c>
      <c r="AO88" s="549">
        <f t="shared" si="267"/>
        <v>0</v>
      </c>
      <c r="AP88" s="549">
        <f t="shared" si="267"/>
        <v>0</v>
      </c>
      <c r="AQ88" s="549">
        <f t="shared" si="267"/>
        <v>0</v>
      </c>
      <c r="AR88" s="347">
        <f t="shared" si="267"/>
        <v>0</v>
      </c>
      <c r="AS88" s="554">
        <f t="shared" si="267"/>
        <v>5385020</v>
      </c>
      <c r="AT88" s="548">
        <f t="shared" si="267"/>
        <v>3942002</v>
      </c>
      <c r="AU88" s="548">
        <f t="shared" si="267"/>
        <v>14430</v>
      </c>
      <c r="AV88" s="548">
        <f t="shared" si="267"/>
        <v>1337274</v>
      </c>
      <c r="AW88" s="548">
        <f t="shared" si="267"/>
        <v>39419</v>
      </c>
      <c r="AX88" s="548">
        <f t="shared" si="267"/>
        <v>51895</v>
      </c>
      <c r="AY88" s="549">
        <f t="shared" si="267"/>
        <v>8.0534999999999997</v>
      </c>
      <c r="AZ88" s="549">
        <f t="shared" si="267"/>
        <v>5.2234999999999996</v>
      </c>
      <c r="BA88" s="347">
        <f t="shared" si="267"/>
        <v>2.83</v>
      </c>
    </row>
    <row r="89" spans="1:53" ht="12.95" customHeight="1" x14ac:dyDescent="0.25">
      <c r="A89" s="299">
        <v>15</v>
      </c>
      <c r="B89" s="340">
        <v>5418</v>
      </c>
      <c r="C89" s="341">
        <v>600098508</v>
      </c>
      <c r="D89" s="300">
        <v>70156573</v>
      </c>
      <c r="E89" s="342" t="s">
        <v>394</v>
      </c>
      <c r="F89" s="300">
        <v>3111</v>
      </c>
      <c r="G89" s="342" t="s">
        <v>321</v>
      </c>
      <c r="H89" s="303" t="s">
        <v>277</v>
      </c>
      <c r="I89" s="462">
        <f t="shared" ref="I89:I91" si="268">SUM(J89:M89)</f>
        <v>4734913</v>
      </c>
      <c r="J89" s="457">
        <v>3495633</v>
      </c>
      <c r="K89" s="457">
        <f t="shared" ref="K89:K91" si="269">ROUND(J89*33.8%,0)</f>
        <v>1181524</v>
      </c>
      <c r="L89" s="457">
        <f t="shared" ref="L89:L91" si="270">ROUND(J89*1%,0)</f>
        <v>34956</v>
      </c>
      <c r="M89" s="457">
        <v>22800</v>
      </c>
      <c r="N89" s="458">
        <f t="shared" ref="N89:N91" si="271">O89+P89</f>
        <v>7.4702999999999999</v>
      </c>
      <c r="O89" s="459">
        <v>5.7903000000000002</v>
      </c>
      <c r="P89" s="646">
        <v>1.6800000000000002</v>
      </c>
      <c r="Q89" s="469">
        <f t="shared" ref="Q89:Q91" si="272">W89*-1</f>
        <v>0</v>
      </c>
      <c r="R89" s="460">
        <v>0</v>
      </c>
      <c r="S89" s="673">
        <v>0</v>
      </c>
      <c r="T89" s="460">
        <v>0</v>
      </c>
      <c r="U89" s="460">
        <v>0</v>
      </c>
      <c r="V89" s="460">
        <f>SUM(Q89:U89)</f>
        <v>0</v>
      </c>
      <c r="W89" s="460">
        <v>0</v>
      </c>
      <c r="X89" s="460">
        <v>0</v>
      </c>
      <c r="Y89" s="460">
        <v>0</v>
      </c>
      <c r="Z89" s="460">
        <f t="shared" ref="Z89:Z91" si="273">SUM(W89:Y89)</f>
        <v>0</v>
      </c>
      <c r="AA89" s="460">
        <f t="shared" ref="AA89:AA91" si="274">V89+Z89</f>
        <v>0</v>
      </c>
      <c r="AB89" s="69">
        <f t="shared" ref="AB89:AB91" si="275">ROUND((V89+W89+X89)*33.8%,0)</f>
        <v>0</v>
      </c>
      <c r="AC89" s="69">
        <f t="shared" ref="AC89:AC91" si="276">ROUND(V89*1%,0)</f>
        <v>0</v>
      </c>
      <c r="AD89" s="460">
        <v>0</v>
      </c>
      <c r="AE89" s="460">
        <v>0</v>
      </c>
      <c r="AF89" s="460">
        <f t="shared" ref="AF89:AF91" si="277">SUM(AD89:AE89)</f>
        <v>0</v>
      </c>
      <c r="AG89" s="460">
        <f t="shared" ref="AG89:AG91" si="278">AA89+AB89+AC89+AF89</f>
        <v>0</v>
      </c>
      <c r="AH89" s="461">
        <v>0</v>
      </c>
      <c r="AI89" s="461">
        <v>0</v>
      </c>
      <c r="AJ89" s="461">
        <v>0</v>
      </c>
      <c r="AK89" s="461">
        <v>0</v>
      </c>
      <c r="AL89" s="674">
        <v>0</v>
      </c>
      <c r="AM89" s="461">
        <v>0</v>
      </c>
      <c r="AN89" s="461">
        <v>0</v>
      </c>
      <c r="AO89" s="461">
        <v>0</v>
      </c>
      <c r="AP89" s="461">
        <f>AH89+AJ89+AK89+AM89+AN89</f>
        <v>0</v>
      </c>
      <c r="AQ89" s="461">
        <f>AI89+AL89+AO89</f>
        <v>0</v>
      </c>
      <c r="AR89" s="463">
        <f t="shared" ref="AR89:AR91" si="279">SUM(AP89:AQ89)</f>
        <v>0</v>
      </c>
      <c r="AS89" s="469">
        <f>I89+AG89</f>
        <v>4734913</v>
      </c>
      <c r="AT89" s="460">
        <f>J89+V89</f>
        <v>3495633</v>
      </c>
      <c r="AU89" s="460">
        <f t="shared" ref="AU89:AU91" si="280">Z89</f>
        <v>0</v>
      </c>
      <c r="AV89" s="460">
        <f t="shared" ref="AV89:AW91" si="281">K89+AB89</f>
        <v>1181524</v>
      </c>
      <c r="AW89" s="460">
        <f t="shared" si="281"/>
        <v>34956</v>
      </c>
      <c r="AX89" s="460">
        <f>M89+AF89</f>
        <v>22800</v>
      </c>
      <c r="AY89" s="461">
        <f>N89+AR89</f>
        <v>7.4702999999999999</v>
      </c>
      <c r="AZ89" s="461">
        <f t="shared" ref="AZ89:BA91" si="282">O89+AP89</f>
        <v>5.7903000000000002</v>
      </c>
      <c r="BA89" s="463">
        <f t="shared" si="282"/>
        <v>1.6800000000000002</v>
      </c>
    </row>
    <row r="90" spans="1:53" ht="12.95" customHeight="1" x14ac:dyDescent="0.25">
      <c r="A90" s="299">
        <v>15</v>
      </c>
      <c r="B90" s="340">
        <v>5418</v>
      </c>
      <c r="C90" s="341">
        <v>600098508</v>
      </c>
      <c r="D90" s="300">
        <v>70156573</v>
      </c>
      <c r="E90" s="342" t="s">
        <v>394</v>
      </c>
      <c r="F90" s="300">
        <v>3111</v>
      </c>
      <c r="G90" s="342" t="s">
        <v>315</v>
      </c>
      <c r="H90" s="303" t="s">
        <v>278</v>
      </c>
      <c r="I90" s="462">
        <f t="shared" si="268"/>
        <v>0</v>
      </c>
      <c r="J90" s="457">
        <v>0</v>
      </c>
      <c r="K90" s="457">
        <f t="shared" si="269"/>
        <v>0</v>
      </c>
      <c r="L90" s="457">
        <f t="shared" si="270"/>
        <v>0</v>
      </c>
      <c r="M90" s="457">
        <v>0</v>
      </c>
      <c r="N90" s="458">
        <f t="shared" si="271"/>
        <v>0</v>
      </c>
      <c r="O90" s="459">
        <v>0</v>
      </c>
      <c r="P90" s="646">
        <v>0</v>
      </c>
      <c r="Q90" s="469">
        <f t="shared" si="272"/>
        <v>0</v>
      </c>
      <c r="R90" s="460">
        <v>173223</v>
      </c>
      <c r="S90" s="673">
        <v>0</v>
      </c>
      <c r="T90" s="460">
        <v>0</v>
      </c>
      <c r="U90" s="460">
        <v>0</v>
      </c>
      <c r="V90" s="460">
        <f>SUM(Q90:U90)</f>
        <v>173223</v>
      </c>
      <c r="W90" s="460">
        <v>0</v>
      </c>
      <c r="X90" s="460">
        <v>0</v>
      </c>
      <c r="Y90" s="460">
        <v>0</v>
      </c>
      <c r="Z90" s="460">
        <f t="shared" si="273"/>
        <v>0</v>
      </c>
      <c r="AA90" s="460">
        <f t="shared" si="274"/>
        <v>173223</v>
      </c>
      <c r="AB90" s="69">
        <f t="shared" si="275"/>
        <v>58549</v>
      </c>
      <c r="AC90" s="69">
        <f t="shared" si="276"/>
        <v>1732</v>
      </c>
      <c r="AD90" s="460">
        <v>0</v>
      </c>
      <c r="AE90" s="460">
        <v>0</v>
      </c>
      <c r="AF90" s="460">
        <f t="shared" si="277"/>
        <v>0</v>
      </c>
      <c r="AG90" s="460">
        <f t="shared" si="278"/>
        <v>233504</v>
      </c>
      <c r="AH90" s="461">
        <v>0</v>
      </c>
      <c r="AI90" s="461">
        <v>0</v>
      </c>
      <c r="AJ90" s="461">
        <v>0.5</v>
      </c>
      <c r="AK90" s="461">
        <v>0</v>
      </c>
      <c r="AL90" s="674">
        <v>0</v>
      </c>
      <c r="AM90" s="461">
        <v>0</v>
      </c>
      <c r="AN90" s="461">
        <v>0</v>
      </c>
      <c r="AO90" s="461">
        <v>0</v>
      </c>
      <c r="AP90" s="461">
        <f>AH90+AJ90+AK90+AM90+AN90</f>
        <v>0.5</v>
      </c>
      <c r="AQ90" s="461">
        <f>AI90+AL90+AO90</f>
        <v>0</v>
      </c>
      <c r="AR90" s="463">
        <f t="shared" si="279"/>
        <v>0.5</v>
      </c>
      <c r="AS90" s="469">
        <f>I90+AG90</f>
        <v>233504</v>
      </c>
      <c r="AT90" s="460">
        <f>J90+V90</f>
        <v>173223</v>
      </c>
      <c r="AU90" s="460">
        <f t="shared" si="280"/>
        <v>0</v>
      </c>
      <c r="AV90" s="460">
        <f t="shared" si="281"/>
        <v>58549</v>
      </c>
      <c r="AW90" s="460">
        <f t="shared" si="281"/>
        <v>1732</v>
      </c>
      <c r="AX90" s="460">
        <f>M90+AF90</f>
        <v>0</v>
      </c>
      <c r="AY90" s="461">
        <f>N90+AR90</f>
        <v>0.5</v>
      </c>
      <c r="AZ90" s="461">
        <f t="shared" si="282"/>
        <v>0.5</v>
      </c>
      <c r="BA90" s="463">
        <f t="shared" si="282"/>
        <v>0</v>
      </c>
    </row>
    <row r="91" spans="1:53" ht="12.95" customHeight="1" x14ac:dyDescent="0.25">
      <c r="A91" s="299">
        <v>15</v>
      </c>
      <c r="B91" s="340">
        <v>5418</v>
      </c>
      <c r="C91" s="341">
        <v>600098508</v>
      </c>
      <c r="D91" s="300">
        <v>70156573</v>
      </c>
      <c r="E91" s="342" t="s">
        <v>394</v>
      </c>
      <c r="F91" s="300">
        <v>3141</v>
      </c>
      <c r="G91" s="342" t="s">
        <v>311</v>
      </c>
      <c r="H91" s="303" t="s">
        <v>278</v>
      </c>
      <c r="I91" s="462">
        <f t="shared" si="268"/>
        <v>709834</v>
      </c>
      <c r="J91" s="457">
        <v>524384</v>
      </c>
      <c r="K91" s="457">
        <f t="shared" si="269"/>
        <v>177242</v>
      </c>
      <c r="L91" s="457">
        <f t="shared" si="270"/>
        <v>5244</v>
      </c>
      <c r="M91" s="457">
        <v>2964</v>
      </c>
      <c r="N91" s="458">
        <f t="shared" si="271"/>
        <v>1.69</v>
      </c>
      <c r="O91" s="459">
        <v>0</v>
      </c>
      <c r="P91" s="646">
        <v>1.69</v>
      </c>
      <c r="Q91" s="469">
        <f t="shared" si="272"/>
        <v>0</v>
      </c>
      <c r="R91" s="460">
        <v>0</v>
      </c>
      <c r="S91" s="673">
        <v>0</v>
      </c>
      <c r="T91" s="460">
        <v>0</v>
      </c>
      <c r="U91" s="460">
        <v>0</v>
      </c>
      <c r="V91" s="460">
        <f>SUM(Q91:U91)</f>
        <v>0</v>
      </c>
      <c r="W91" s="460">
        <v>0</v>
      </c>
      <c r="X91" s="460">
        <v>0</v>
      </c>
      <c r="Y91" s="460">
        <v>0</v>
      </c>
      <c r="Z91" s="460">
        <f t="shared" si="273"/>
        <v>0</v>
      </c>
      <c r="AA91" s="460">
        <f t="shared" si="274"/>
        <v>0</v>
      </c>
      <c r="AB91" s="69">
        <f t="shared" si="275"/>
        <v>0</v>
      </c>
      <c r="AC91" s="69">
        <f t="shared" si="276"/>
        <v>0</v>
      </c>
      <c r="AD91" s="460">
        <v>0</v>
      </c>
      <c r="AE91" s="460">
        <v>0</v>
      </c>
      <c r="AF91" s="460">
        <f t="shared" si="277"/>
        <v>0</v>
      </c>
      <c r="AG91" s="460">
        <f t="shared" si="278"/>
        <v>0</v>
      </c>
      <c r="AH91" s="461">
        <v>0</v>
      </c>
      <c r="AI91" s="461">
        <v>0</v>
      </c>
      <c r="AJ91" s="461">
        <v>0</v>
      </c>
      <c r="AK91" s="461">
        <v>0</v>
      </c>
      <c r="AL91" s="674">
        <v>0</v>
      </c>
      <c r="AM91" s="461">
        <v>0</v>
      </c>
      <c r="AN91" s="461">
        <v>0</v>
      </c>
      <c r="AO91" s="461">
        <v>0</v>
      </c>
      <c r="AP91" s="461">
        <f>AH91+AJ91+AK91+AM91+AN91</f>
        <v>0</v>
      </c>
      <c r="AQ91" s="461">
        <f>AI91+AL91+AO91</f>
        <v>0</v>
      </c>
      <c r="AR91" s="463">
        <f t="shared" si="279"/>
        <v>0</v>
      </c>
      <c r="AS91" s="469">
        <f>I91+AG91</f>
        <v>709834</v>
      </c>
      <c r="AT91" s="460">
        <f>J91+V91</f>
        <v>524384</v>
      </c>
      <c r="AU91" s="460">
        <f t="shared" si="280"/>
        <v>0</v>
      </c>
      <c r="AV91" s="460">
        <f t="shared" si="281"/>
        <v>177242</v>
      </c>
      <c r="AW91" s="460">
        <f t="shared" si="281"/>
        <v>5244</v>
      </c>
      <c r="AX91" s="460">
        <f>M91+AF91</f>
        <v>2964</v>
      </c>
      <c r="AY91" s="461">
        <f>N91+AR91</f>
        <v>1.69</v>
      </c>
      <c r="AZ91" s="461">
        <f t="shared" si="282"/>
        <v>0</v>
      </c>
      <c r="BA91" s="463">
        <f t="shared" si="282"/>
        <v>1.69</v>
      </c>
    </row>
    <row r="92" spans="1:53" ht="12.95" customHeight="1" x14ac:dyDescent="0.25">
      <c r="A92" s="343">
        <v>15</v>
      </c>
      <c r="B92" s="344">
        <v>5418</v>
      </c>
      <c r="C92" s="345">
        <v>600098508</v>
      </c>
      <c r="D92" s="344">
        <v>70156573</v>
      </c>
      <c r="E92" s="346" t="s">
        <v>395</v>
      </c>
      <c r="F92" s="310"/>
      <c r="G92" s="348"/>
      <c r="H92" s="311"/>
      <c r="I92" s="552">
        <f t="shared" ref="I92:P92" si="283">SUM(I89:I91)</f>
        <v>5444747</v>
      </c>
      <c r="J92" s="548">
        <f t="shared" si="283"/>
        <v>4020017</v>
      </c>
      <c r="K92" s="548">
        <f t="shared" si="283"/>
        <v>1358766</v>
      </c>
      <c r="L92" s="548">
        <f t="shared" si="283"/>
        <v>40200</v>
      </c>
      <c r="M92" s="548">
        <f t="shared" si="283"/>
        <v>25764</v>
      </c>
      <c r="N92" s="549">
        <f t="shared" si="283"/>
        <v>9.1602999999999994</v>
      </c>
      <c r="O92" s="549">
        <f t="shared" si="283"/>
        <v>5.7903000000000002</v>
      </c>
      <c r="P92" s="347">
        <f t="shared" si="283"/>
        <v>3.37</v>
      </c>
      <c r="Q92" s="554">
        <f t="shared" ref="Q92:BA92" si="284">SUM(Q89:Q91)</f>
        <v>0</v>
      </c>
      <c r="R92" s="548">
        <f t="shared" si="284"/>
        <v>173223</v>
      </c>
      <c r="S92" s="548">
        <f t="shared" si="284"/>
        <v>0</v>
      </c>
      <c r="T92" s="548">
        <f t="shared" si="284"/>
        <v>0</v>
      </c>
      <c r="U92" s="548">
        <f t="shared" si="284"/>
        <v>0</v>
      </c>
      <c r="V92" s="548">
        <f t="shared" si="284"/>
        <v>173223</v>
      </c>
      <c r="W92" s="548">
        <f t="shared" si="284"/>
        <v>0</v>
      </c>
      <c r="X92" s="548">
        <f t="shared" si="284"/>
        <v>0</v>
      </c>
      <c r="Y92" s="548">
        <f t="shared" si="284"/>
        <v>0</v>
      </c>
      <c r="Z92" s="548">
        <f t="shared" si="284"/>
        <v>0</v>
      </c>
      <c r="AA92" s="548">
        <f t="shared" si="284"/>
        <v>173223</v>
      </c>
      <c r="AB92" s="548">
        <f t="shared" si="284"/>
        <v>58549</v>
      </c>
      <c r="AC92" s="548">
        <f t="shared" si="284"/>
        <v>1732</v>
      </c>
      <c r="AD92" s="548">
        <f t="shared" si="284"/>
        <v>0</v>
      </c>
      <c r="AE92" s="548">
        <f t="shared" si="284"/>
        <v>0</v>
      </c>
      <c r="AF92" s="548">
        <f t="shared" si="284"/>
        <v>0</v>
      </c>
      <c r="AG92" s="548">
        <f t="shared" si="284"/>
        <v>233504</v>
      </c>
      <c r="AH92" s="549">
        <f t="shared" si="284"/>
        <v>0</v>
      </c>
      <c r="AI92" s="549">
        <f t="shared" si="284"/>
        <v>0</v>
      </c>
      <c r="AJ92" s="549">
        <f t="shared" si="284"/>
        <v>0.5</v>
      </c>
      <c r="AK92" s="549">
        <f t="shared" si="284"/>
        <v>0</v>
      </c>
      <c r="AL92" s="549">
        <f t="shared" si="284"/>
        <v>0</v>
      </c>
      <c r="AM92" s="549">
        <f t="shared" si="284"/>
        <v>0</v>
      </c>
      <c r="AN92" s="549">
        <f t="shared" si="284"/>
        <v>0</v>
      </c>
      <c r="AO92" s="549">
        <f t="shared" si="284"/>
        <v>0</v>
      </c>
      <c r="AP92" s="549">
        <f t="shared" si="284"/>
        <v>0.5</v>
      </c>
      <c r="AQ92" s="549">
        <f t="shared" si="284"/>
        <v>0</v>
      </c>
      <c r="AR92" s="347">
        <f t="shared" si="284"/>
        <v>0.5</v>
      </c>
      <c r="AS92" s="554">
        <f t="shared" si="284"/>
        <v>5678251</v>
      </c>
      <c r="AT92" s="548">
        <f t="shared" si="284"/>
        <v>4193240</v>
      </c>
      <c r="AU92" s="548">
        <f t="shared" si="284"/>
        <v>0</v>
      </c>
      <c r="AV92" s="548">
        <f t="shared" si="284"/>
        <v>1417315</v>
      </c>
      <c r="AW92" s="548">
        <f t="shared" si="284"/>
        <v>41932</v>
      </c>
      <c r="AX92" s="548">
        <f t="shared" si="284"/>
        <v>25764</v>
      </c>
      <c r="AY92" s="549">
        <f t="shared" si="284"/>
        <v>9.6602999999999994</v>
      </c>
      <c r="AZ92" s="549">
        <f t="shared" si="284"/>
        <v>6.2903000000000002</v>
      </c>
      <c r="BA92" s="347">
        <f t="shared" si="284"/>
        <v>3.37</v>
      </c>
    </row>
    <row r="93" spans="1:53" ht="12.95" customHeight="1" x14ac:dyDescent="0.25">
      <c r="A93" s="299">
        <v>16</v>
      </c>
      <c r="B93" s="340">
        <v>5417</v>
      </c>
      <c r="C93" s="341">
        <v>600099113</v>
      </c>
      <c r="D93" s="300">
        <v>70156565</v>
      </c>
      <c r="E93" s="342" t="s">
        <v>396</v>
      </c>
      <c r="F93" s="300">
        <v>3117</v>
      </c>
      <c r="G93" s="342" t="s">
        <v>310</v>
      </c>
      <c r="H93" s="303" t="s">
        <v>277</v>
      </c>
      <c r="I93" s="462">
        <f t="shared" ref="I93:I97" si="285">SUM(J93:M93)</f>
        <v>5732906</v>
      </c>
      <c r="J93" s="457">
        <v>4173020</v>
      </c>
      <c r="K93" s="457">
        <f t="shared" ref="K93:K97" si="286">ROUND(J93*33.8%,0)</f>
        <v>1410481</v>
      </c>
      <c r="L93" s="457">
        <f t="shared" ref="L93:L97" si="287">ROUND(J93*1%,0)</f>
        <v>41730</v>
      </c>
      <c r="M93" s="457">
        <v>107675</v>
      </c>
      <c r="N93" s="458">
        <f t="shared" ref="N93:N97" si="288">O93+P93</f>
        <v>7.4638999999999998</v>
      </c>
      <c r="O93" s="459">
        <v>5.7271999999999998</v>
      </c>
      <c r="P93" s="646">
        <v>1.7366999999999999</v>
      </c>
      <c r="Q93" s="469">
        <f t="shared" ref="Q93:Q97" si="289">W93*-1</f>
        <v>-4550</v>
      </c>
      <c r="R93" s="460">
        <v>0</v>
      </c>
      <c r="S93" s="673">
        <v>0</v>
      </c>
      <c r="T93" s="460">
        <v>0</v>
      </c>
      <c r="U93" s="460">
        <v>0</v>
      </c>
      <c r="V93" s="460">
        <f>SUM(Q93:U93)</f>
        <v>-4550</v>
      </c>
      <c r="W93" s="460">
        <v>4550</v>
      </c>
      <c r="X93" s="460">
        <v>0</v>
      </c>
      <c r="Y93" s="460">
        <v>0</v>
      </c>
      <c r="Z93" s="460">
        <f t="shared" ref="Z93:Z97" si="290">SUM(W93:Y93)</f>
        <v>4550</v>
      </c>
      <c r="AA93" s="460">
        <f t="shared" ref="AA93:AA97" si="291">V93+Z93</f>
        <v>0</v>
      </c>
      <c r="AB93" s="69">
        <f t="shared" ref="AB93:AB97" si="292">ROUND((V93+W93+X93)*33.8%,0)</f>
        <v>0</v>
      </c>
      <c r="AC93" s="69">
        <f t="shared" ref="AC93:AC97" si="293">ROUND(V93*1%,0)</f>
        <v>-46</v>
      </c>
      <c r="AD93" s="460">
        <v>0</v>
      </c>
      <c r="AE93" s="460">
        <v>0</v>
      </c>
      <c r="AF93" s="460">
        <f t="shared" ref="AF93:AF97" si="294">SUM(AD93:AE93)</f>
        <v>0</v>
      </c>
      <c r="AG93" s="460">
        <f t="shared" ref="AG93:AG97" si="295">AA93+AB93+AC93+AF93</f>
        <v>-46</v>
      </c>
      <c r="AH93" s="461">
        <v>0</v>
      </c>
      <c r="AI93" s="461">
        <v>0</v>
      </c>
      <c r="AJ93" s="461">
        <v>0</v>
      </c>
      <c r="AK93" s="461">
        <v>0</v>
      </c>
      <c r="AL93" s="674">
        <v>0</v>
      </c>
      <c r="AM93" s="461">
        <v>0</v>
      </c>
      <c r="AN93" s="461">
        <v>0</v>
      </c>
      <c r="AO93" s="461">
        <v>0</v>
      </c>
      <c r="AP93" s="461">
        <f>AH93+AJ93+AK93+AM93+AN93</f>
        <v>0</v>
      </c>
      <c r="AQ93" s="461">
        <f>AI93+AL93+AO93</f>
        <v>0</v>
      </c>
      <c r="AR93" s="463">
        <f t="shared" ref="AR93:AR97" si="296">SUM(AP93:AQ93)</f>
        <v>0</v>
      </c>
      <c r="AS93" s="469">
        <f>I93+AG93</f>
        <v>5732860</v>
      </c>
      <c r="AT93" s="460">
        <f>J93+V93</f>
        <v>4168470</v>
      </c>
      <c r="AU93" s="460">
        <f t="shared" ref="AU93:AU97" si="297">Z93</f>
        <v>4550</v>
      </c>
      <c r="AV93" s="460">
        <f t="shared" ref="AV93:AW97" si="298">K93+AB93</f>
        <v>1410481</v>
      </c>
      <c r="AW93" s="460">
        <f t="shared" si="298"/>
        <v>41684</v>
      </c>
      <c r="AX93" s="460">
        <f>M93+AF93</f>
        <v>107675</v>
      </c>
      <c r="AY93" s="461">
        <f>N93+AR93</f>
        <v>7.4638999999999998</v>
      </c>
      <c r="AZ93" s="461">
        <f t="shared" ref="AZ93:BA97" si="299">O93+AP93</f>
        <v>5.7271999999999998</v>
      </c>
      <c r="BA93" s="463">
        <f t="shared" si="299"/>
        <v>1.7366999999999999</v>
      </c>
    </row>
    <row r="94" spans="1:53" ht="12.95" customHeight="1" x14ac:dyDescent="0.25">
      <c r="A94" s="299">
        <v>16</v>
      </c>
      <c r="B94" s="340">
        <v>5417</v>
      </c>
      <c r="C94" s="341">
        <v>600099113</v>
      </c>
      <c r="D94" s="300">
        <v>70156565</v>
      </c>
      <c r="E94" s="342" t="s">
        <v>396</v>
      </c>
      <c r="F94" s="300">
        <v>3117</v>
      </c>
      <c r="G94" s="342" t="s">
        <v>315</v>
      </c>
      <c r="H94" s="303" t="s">
        <v>278</v>
      </c>
      <c r="I94" s="462">
        <f t="shared" si="285"/>
        <v>0</v>
      </c>
      <c r="J94" s="457">
        <v>0</v>
      </c>
      <c r="K94" s="457">
        <f t="shared" si="286"/>
        <v>0</v>
      </c>
      <c r="L94" s="457">
        <f t="shared" si="287"/>
        <v>0</v>
      </c>
      <c r="M94" s="457">
        <v>0</v>
      </c>
      <c r="N94" s="458">
        <f t="shared" si="288"/>
        <v>0</v>
      </c>
      <c r="O94" s="459">
        <v>0</v>
      </c>
      <c r="P94" s="646">
        <v>0</v>
      </c>
      <c r="Q94" s="469">
        <f t="shared" si="289"/>
        <v>0</v>
      </c>
      <c r="R94" s="460">
        <v>0</v>
      </c>
      <c r="S94" s="673">
        <v>0</v>
      </c>
      <c r="T94" s="460">
        <v>0</v>
      </c>
      <c r="U94" s="460">
        <v>0</v>
      </c>
      <c r="V94" s="460">
        <f>SUM(Q94:U94)</f>
        <v>0</v>
      </c>
      <c r="W94" s="460">
        <v>0</v>
      </c>
      <c r="X94" s="460">
        <v>0</v>
      </c>
      <c r="Y94" s="460">
        <v>0</v>
      </c>
      <c r="Z94" s="460">
        <f t="shared" si="290"/>
        <v>0</v>
      </c>
      <c r="AA94" s="460">
        <f t="shared" si="291"/>
        <v>0</v>
      </c>
      <c r="AB94" s="69">
        <f t="shared" si="292"/>
        <v>0</v>
      </c>
      <c r="AC94" s="69">
        <f t="shared" si="293"/>
        <v>0</v>
      </c>
      <c r="AD94" s="460">
        <v>0</v>
      </c>
      <c r="AE94" s="460">
        <v>0</v>
      </c>
      <c r="AF94" s="460">
        <f t="shared" si="294"/>
        <v>0</v>
      </c>
      <c r="AG94" s="460">
        <f t="shared" si="295"/>
        <v>0</v>
      </c>
      <c r="AH94" s="461">
        <v>0</v>
      </c>
      <c r="AI94" s="461">
        <v>0</v>
      </c>
      <c r="AJ94" s="461">
        <v>0</v>
      </c>
      <c r="AK94" s="461">
        <v>0</v>
      </c>
      <c r="AL94" s="674">
        <v>0</v>
      </c>
      <c r="AM94" s="461">
        <v>0</v>
      </c>
      <c r="AN94" s="461">
        <v>0</v>
      </c>
      <c r="AO94" s="461">
        <v>0</v>
      </c>
      <c r="AP94" s="461">
        <f>AH94+AJ94+AK94+AM94+AN94</f>
        <v>0</v>
      </c>
      <c r="AQ94" s="461">
        <f>AI94+AL94+AO94</f>
        <v>0</v>
      </c>
      <c r="AR94" s="463">
        <f t="shared" si="296"/>
        <v>0</v>
      </c>
      <c r="AS94" s="469">
        <f>I94+AG94</f>
        <v>0</v>
      </c>
      <c r="AT94" s="460">
        <f>J94+V94</f>
        <v>0</v>
      </c>
      <c r="AU94" s="460">
        <f t="shared" si="297"/>
        <v>0</v>
      </c>
      <c r="AV94" s="460">
        <f t="shared" si="298"/>
        <v>0</v>
      </c>
      <c r="AW94" s="460">
        <f t="shared" si="298"/>
        <v>0</v>
      </c>
      <c r="AX94" s="460">
        <f>M94+AF94</f>
        <v>0</v>
      </c>
      <c r="AY94" s="461">
        <f>N94+AR94</f>
        <v>0</v>
      </c>
      <c r="AZ94" s="461">
        <f t="shared" si="299"/>
        <v>0</v>
      </c>
      <c r="BA94" s="463">
        <f t="shared" si="299"/>
        <v>0</v>
      </c>
    </row>
    <row r="95" spans="1:53" ht="12.95" customHeight="1" x14ac:dyDescent="0.25">
      <c r="A95" s="299">
        <v>16</v>
      </c>
      <c r="B95" s="340">
        <v>5417</v>
      </c>
      <c r="C95" s="341">
        <v>600099113</v>
      </c>
      <c r="D95" s="300">
        <v>70156565</v>
      </c>
      <c r="E95" s="342" t="s">
        <v>396</v>
      </c>
      <c r="F95" s="300">
        <v>3141</v>
      </c>
      <c r="G95" s="342" t="s">
        <v>311</v>
      </c>
      <c r="H95" s="303" t="s">
        <v>278</v>
      </c>
      <c r="I95" s="462">
        <f t="shared" si="285"/>
        <v>656898</v>
      </c>
      <c r="J95" s="457">
        <v>484497</v>
      </c>
      <c r="K95" s="457">
        <f t="shared" si="286"/>
        <v>163760</v>
      </c>
      <c r="L95" s="457">
        <f t="shared" si="287"/>
        <v>4845</v>
      </c>
      <c r="M95" s="457">
        <v>3796</v>
      </c>
      <c r="N95" s="458">
        <f t="shared" si="288"/>
        <v>1.56</v>
      </c>
      <c r="O95" s="459">
        <v>0</v>
      </c>
      <c r="P95" s="646">
        <v>1.56</v>
      </c>
      <c r="Q95" s="469">
        <f t="shared" si="289"/>
        <v>-42250</v>
      </c>
      <c r="R95" s="460">
        <v>0</v>
      </c>
      <c r="S95" s="673">
        <v>0</v>
      </c>
      <c r="T95" s="460">
        <v>0</v>
      </c>
      <c r="U95" s="460">
        <v>0</v>
      </c>
      <c r="V95" s="460">
        <f>SUM(Q95:U95)</f>
        <v>-42250</v>
      </c>
      <c r="W95" s="460">
        <v>42250</v>
      </c>
      <c r="X95" s="460">
        <v>0</v>
      </c>
      <c r="Y95" s="460">
        <v>0</v>
      </c>
      <c r="Z95" s="460">
        <f t="shared" si="290"/>
        <v>42250</v>
      </c>
      <c r="AA95" s="460">
        <f t="shared" si="291"/>
        <v>0</v>
      </c>
      <c r="AB95" s="69">
        <f t="shared" si="292"/>
        <v>0</v>
      </c>
      <c r="AC95" s="69">
        <f t="shared" si="293"/>
        <v>-423</v>
      </c>
      <c r="AD95" s="460">
        <v>0</v>
      </c>
      <c r="AE95" s="460">
        <v>0</v>
      </c>
      <c r="AF95" s="460">
        <f t="shared" si="294"/>
        <v>0</v>
      </c>
      <c r="AG95" s="460">
        <f t="shared" si="295"/>
        <v>-423</v>
      </c>
      <c r="AH95" s="461">
        <v>0</v>
      </c>
      <c r="AI95" s="461">
        <v>-0.14000000000000001</v>
      </c>
      <c r="AJ95" s="461">
        <v>0</v>
      </c>
      <c r="AK95" s="461">
        <v>0</v>
      </c>
      <c r="AL95" s="674">
        <v>0</v>
      </c>
      <c r="AM95" s="461">
        <v>0</v>
      </c>
      <c r="AN95" s="461">
        <v>0</v>
      </c>
      <c r="AO95" s="461">
        <v>0</v>
      </c>
      <c r="AP95" s="461">
        <f>AH95+AJ95+AK95+AM95+AN95</f>
        <v>0</v>
      </c>
      <c r="AQ95" s="461">
        <f>AI95+AL95+AO95</f>
        <v>-0.14000000000000001</v>
      </c>
      <c r="AR95" s="463">
        <f t="shared" si="296"/>
        <v>-0.14000000000000001</v>
      </c>
      <c r="AS95" s="469">
        <f>I95+AG95</f>
        <v>656475</v>
      </c>
      <c r="AT95" s="460">
        <f>J95+V95</f>
        <v>442247</v>
      </c>
      <c r="AU95" s="460">
        <f t="shared" si="297"/>
        <v>42250</v>
      </c>
      <c r="AV95" s="460">
        <f t="shared" si="298"/>
        <v>163760</v>
      </c>
      <c r="AW95" s="460">
        <f t="shared" si="298"/>
        <v>4422</v>
      </c>
      <c r="AX95" s="460">
        <f>M95+AF95</f>
        <v>3796</v>
      </c>
      <c r="AY95" s="461">
        <f>N95+AR95</f>
        <v>1.42</v>
      </c>
      <c r="AZ95" s="461">
        <f t="shared" si="299"/>
        <v>0</v>
      </c>
      <c r="BA95" s="463">
        <f t="shared" si="299"/>
        <v>1.42</v>
      </c>
    </row>
    <row r="96" spans="1:53" ht="12.95" customHeight="1" x14ac:dyDescent="0.25">
      <c r="A96" s="299">
        <v>16</v>
      </c>
      <c r="B96" s="340">
        <v>5417</v>
      </c>
      <c r="C96" s="341">
        <v>600099113</v>
      </c>
      <c r="D96" s="300">
        <v>70156565</v>
      </c>
      <c r="E96" s="342" t="s">
        <v>396</v>
      </c>
      <c r="F96" s="300">
        <v>3143</v>
      </c>
      <c r="G96" s="342" t="s">
        <v>616</v>
      </c>
      <c r="H96" s="303" t="s">
        <v>277</v>
      </c>
      <c r="I96" s="462">
        <f t="shared" si="285"/>
        <v>460905</v>
      </c>
      <c r="J96" s="457">
        <v>341918</v>
      </c>
      <c r="K96" s="457">
        <f t="shared" si="286"/>
        <v>115568</v>
      </c>
      <c r="L96" s="457">
        <f t="shared" si="287"/>
        <v>3419</v>
      </c>
      <c r="M96" s="457">
        <v>0</v>
      </c>
      <c r="N96" s="458">
        <f t="shared" si="288"/>
        <v>0.71419999999999995</v>
      </c>
      <c r="O96" s="459">
        <v>0.71419999999999995</v>
      </c>
      <c r="P96" s="646">
        <v>0</v>
      </c>
      <c r="Q96" s="469">
        <f t="shared" si="289"/>
        <v>-3250</v>
      </c>
      <c r="R96" s="460">
        <v>0</v>
      </c>
      <c r="S96" s="673">
        <v>0</v>
      </c>
      <c r="T96" s="460">
        <v>0</v>
      </c>
      <c r="U96" s="460">
        <v>0</v>
      </c>
      <c r="V96" s="460">
        <f>SUM(Q96:U96)</f>
        <v>-3250</v>
      </c>
      <c r="W96" s="460">
        <v>3250</v>
      </c>
      <c r="X96" s="460">
        <v>0</v>
      </c>
      <c r="Y96" s="460">
        <v>0</v>
      </c>
      <c r="Z96" s="460">
        <f t="shared" si="290"/>
        <v>3250</v>
      </c>
      <c r="AA96" s="460">
        <f t="shared" si="291"/>
        <v>0</v>
      </c>
      <c r="AB96" s="69">
        <f t="shared" si="292"/>
        <v>0</v>
      </c>
      <c r="AC96" s="69">
        <f t="shared" si="293"/>
        <v>-33</v>
      </c>
      <c r="AD96" s="460">
        <v>0</v>
      </c>
      <c r="AE96" s="460">
        <v>0</v>
      </c>
      <c r="AF96" s="460">
        <f t="shared" si="294"/>
        <v>0</v>
      </c>
      <c r="AG96" s="460">
        <f t="shared" si="295"/>
        <v>-33</v>
      </c>
      <c r="AH96" s="461">
        <v>0</v>
      </c>
      <c r="AI96" s="461">
        <v>0</v>
      </c>
      <c r="AJ96" s="461">
        <v>0</v>
      </c>
      <c r="AK96" s="461">
        <v>0</v>
      </c>
      <c r="AL96" s="674">
        <v>0</v>
      </c>
      <c r="AM96" s="461">
        <v>0</v>
      </c>
      <c r="AN96" s="461">
        <v>0</v>
      </c>
      <c r="AO96" s="461">
        <v>0</v>
      </c>
      <c r="AP96" s="461">
        <f>AH96+AJ96+AK96+AM96+AN96</f>
        <v>0</v>
      </c>
      <c r="AQ96" s="461">
        <f>AI96+AL96+AO96</f>
        <v>0</v>
      </c>
      <c r="AR96" s="463">
        <f t="shared" si="296"/>
        <v>0</v>
      </c>
      <c r="AS96" s="469">
        <f>I96+AG96</f>
        <v>460872</v>
      </c>
      <c r="AT96" s="460">
        <f>J96+V96</f>
        <v>338668</v>
      </c>
      <c r="AU96" s="460">
        <f t="shared" si="297"/>
        <v>3250</v>
      </c>
      <c r="AV96" s="460">
        <f t="shared" si="298"/>
        <v>115568</v>
      </c>
      <c r="AW96" s="460">
        <f t="shared" si="298"/>
        <v>3386</v>
      </c>
      <c r="AX96" s="460">
        <f>M96+AF96</f>
        <v>0</v>
      </c>
      <c r="AY96" s="461">
        <f>N96+AR96</f>
        <v>0.71419999999999995</v>
      </c>
      <c r="AZ96" s="461">
        <f t="shared" si="299"/>
        <v>0.71419999999999995</v>
      </c>
      <c r="BA96" s="463">
        <f t="shared" si="299"/>
        <v>0</v>
      </c>
    </row>
    <row r="97" spans="1:53" ht="12.95" customHeight="1" x14ac:dyDescent="0.25">
      <c r="A97" s="299">
        <v>16</v>
      </c>
      <c r="B97" s="340">
        <v>5417</v>
      </c>
      <c r="C97" s="341">
        <v>600099113</v>
      </c>
      <c r="D97" s="300">
        <v>70156565</v>
      </c>
      <c r="E97" s="342" t="s">
        <v>396</v>
      </c>
      <c r="F97" s="300">
        <v>3143</v>
      </c>
      <c r="G97" s="342" t="s">
        <v>617</v>
      </c>
      <c r="H97" s="303" t="s">
        <v>278</v>
      </c>
      <c r="I97" s="462">
        <f t="shared" si="285"/>
        <v>21990</v>
      </c>
      <c r="J97" s="457">
        <v>15712</v>
      </c>
      <c r="K97" s="457">
        <f t="shared" si="286"/>
        <v>5311</v>
      </c>
      <c r="L97" s="457">
        <f t="shared" si="287"/>
        <v>157</v>
      </c>
      <c r="M97" s="457">
        <v>810</v>
      </c>
      <c r="N97" s="458">
        <f t="shared" si="288"/>
        <v>0.06</v>
      </c>
      <c r="O97" s="459">
        <v>0</v>
      </c>
      <c r="P97" s="646">
        <v>0.06</v>
      </c>
      <c r="Q97" s="469">
        <f t="shared" si="289"/>
        <v>0</v>
      </c>
      <c r="R97" s="460">
        <v>0</v>
      </c>
      <c r="S97" s="673">
        <v>0</v>
      </c>
      <c r="T97" s="460">
        <v>0</v>
      </c>
      <c r="U97" s="460">
        <v>0</v>
      </c>
      <c r="V97" s="460">
        <f>SUM(Q97:U97)</f>
        <v>0</v>
      </c>
      <c r="W97" s="460">
        <v>0</v>
      </c>
      <c r="X97" s="460">
        <v>0</v>
      </c>
      <c r="Y97" s="460">
        <v>0</v>
      </c>
      <c r="Z97" s="460">
        <f t="shared" si="290"/>
        <v>0</v>
      </c>
      <c r="AA97" s="460">
        <f t="shared" si="291"/>
        <v>0</v>
      </c>
      <c r="AB97" s="69">
        <f t="shared" si="292"/>
        <v>0</v>
      </c>
      <c r="AC97" s="69">
        <f t="shared" si="293"/>
        <v>0</v>
      </c>
      <c r="AD97" s="460">
        <v>0</v>
      </c>
      <c r="AE97" s="460">
        <v>0</v>
      </c>
      <c r="AF97" s="460">
        <f t="shared" si="294"/>
        <v>0</v>
      </c>
      <c r="AG97" s="460">
        <f t="shared" si="295"/>
        <v>0</v>
      </c>
      <c r="AH97" s="461">
        <v>0</v>
      </c>
      <c r="AI97" s="461">
        <v>0</v>
      </c>
      <c r="AJ97" s="461">
        <v>0</v>
      </c>
      <c r="AK97" s="461">
        <v>0</v>
      </c>
      <c r="AL97" s="674">
        <v>0</v>
      </c>
      <c r="AM97" s="461">
        <v>0</v>
      </c>
      <c r="AN97" s="461">
        <v>0</v>
      </c>
      <c r="AO97" s="461">
        <v>0</v>
      </c>
      <c r="AP97" s="461">
        <f>AH97+AJ97+AK97+AM97+AN97</f>
        <v>0</v>
      </c>
      <c r="AQ97" s="461">
        <f>AI97+AL97+AO97</f>
        <v>0</v>
      </c>
      <c r="AR97" s="463">
        <f t="shared" si="296"/>
        <v>0</v>
      </c>
      <c r="AS97" s="469">
        <f>I97+AG97</f>
        <v>21990</v>
      </c>
      <c r="AT97" s="460">
        <f>J97+V97</f>
        <v>15712</v>
      </c>
      <c r="AU97" s="460">
        <f t="shared" si="297"/>
        <v>0</v>
      </c>
      <c r="AV97" s="460">
        <f t="shared" si="298"/>
        <v>5311</v>
      </c>
      <c r="AW97" s="460">
        <f t="shared" si="298"/>
        <v>157</v>
      </c>
      <c r="AX97" s="460">
        <f>M97+AF97</f>
        <v>810</v>
      </c>
      <c r="AY97" s="461">
        <f>N97+AR97</f>
        <v>0.06</v>
      </c>
      <c r="AZ97" s="461">
        <f t="shared" si="299"/>
        <v>0</v>
      </c>
      <c r="BA97" s="463">
        <f t="shared" si="299"/>
        <v>0.06</v>
      </c>
    </row>
    <row r="98" spans="1:53" ht="12.95" customHeight="1" x14ac:dyDescent="0.25">
      <c r="A98" s="343">
        <v>16</v>
      </c>
      <c r="B98" s="344">
        <v>5417</v>
      </c>
      <c r="C98" s="345">
        <v>600099113</v>
      </c>
      <c r="D98" s="344">
        <v>70156565</v>
      </c>
      <c r="E98" s="346" t="s">
        <v>397</v>
      </c>
      <c r="F98" s="310"/>
      <c r="G98" s="348"/>
      <c r="H98" s="311"/>
      <c r="I98" s="553">
        <f t="shared" ref="I98:P98" si="300">SUM(I93:I97)</f>
        <v>6872699</v>
      </c>
      <c r="J98" s="550">
        <f t="shared" si="300"/>
        <v>5015147</v>
      </c>
      <c r="K98" s="550">
        <f t="shared" si="300"/>
        <v>1695120</v>
      </c>
      <c r="L98" s="550">
        <f t="shared" si="300"/>
        <v>50151</v>
      </c>
      <c r="M98" s="550">
        <f t="shared" si="300"/>
        <v>112281</v>
      </c>
      <c r="N98" s="551">
        <f t="shared" si="300"/>
        <v>9.7980999999999998</v>
      </c>
      <c r="O98" s="551">
        <f t="shared" si="300"/>
        <v>6.4413999999999998</v>
      </c>
      <c r="P98" s="352">
        <f t="shared" si="300"/>
        <v>3.3567</v>
      </c>
      <c r="Q98" s="555">
        <f t="shared" ref="Q98:BA98" si="301">SUM(Q93:Q97)</f>
        <v>-50050</v>
      </c>
      <c r="R98" s="550">
        <f t="shared" si="301"/>
        <v>0</v>
      </c>
      <c r="S98" s="550">
        <f t="shared" si="301"/>
        <v>0</v>
      </c>
      <c r="T98" s="550">
        <f t="shared" si="301"/>
        <v>0</v>
      </c>
      <c r="U98" s="550">
        <f t="shared" si="301"/>
        <v>0</v>
      </c>
      <c r="V98" s="550">
        <f t="shared" si="301"/>
        <v>-50050</v>
      </c>
      <c r="W98" s="550">
        <f t="shared" si="301"/>
        <v>50050</v>
      </c>
      <c r="X98" s="550">
        <f t="shared" si="301"/>
        <v>0</v>
      </c>
      <c r="Y98" s="550">
        <f t="shared" si="301"/>
        <v>0</v>
      </c>
      <c r="Z98" s="550">
        <f t="shared" si="301"/>
        <v>50050</v>
      </c>
      <c r="AA98" s="550">
        <f t="shared" si="301"/>
        <v>0</v>
      </c>
      <c r="AB98" s="550">
        <f t="shared" si="301"/>
        <v>0</v>
      </c>
      <c r="AC98" s="550">
        <f t="shared" si="301"/>
        <v>-502</v>
      </c>
      <c r="AD98" s="550">
        <f t="shared" si="301"/>
        <v>0</v>
      </c>
      <c r="AE98" s="550">
        <f t="shared" si="301"/>
        <v>0</v>
      </c>
      <c r="AF98" s="550">
        <f t="shared" si="301"/>
        <v>0</v>
      </c>
      <c r="AG98" s="550">
        <f t="shared" si="301"/>
        <v>-502</v>
      </c>
      <c r="AH98" s="551">
        <f t="shared" si="301"/>
        <v>0</v>
      </c>
      <c r="AI98" s="551">
        <f t="shared" si="301"/>
        <v>-0.14000000000000001</v>
      </c>
      <c r="AJ98" s="551">
        <f t="shared" si="301"/>
        <v>0</v>
      </c>
      <c r="AK98" s="551">
        <f t="shared" si="301"/>
        <v>0</v>
      </c>
      <c r="AL98" s="551">
        <f t="shared" si="301"/>
        <v>0</v>
      </c>
      <c r="AM98" s="551">
        <f t="shared" si="301"/>
        <v>0</v>
      </c>
      <c r="AN98" s="551">
        <f t="shared" si="301"/>
        <v>0</v>
      </c>
      <c r="AO98" s="551">
        <f t="shared" si="301"/>
        <v>0</v>
      </c>
      <c r="AP98" s="551">
        <f t="shared" si="301"/>
        <v>0</v>
      </c>
      <c r="AQ98" s="551">
        <f t="shared" si="301"/>
        <v>-0.14000000000000001</v>
      </c>
      <c r="AR98" s="352">
        <f t="shared" si="301"/>
        <v>-0.14000000000000001</v>
      </c>
      <c r="AS98" s="555">
        <f t="shared" si="301"/>
        <v>6872197</v>
      </c>
      <c r="AT98" s="550">
        <f t="shared" si="301"/>
        <v>4965097</v>
      </c>
      <c r="AU98" s="550">
        <f t="shared" si="301"/>
        <v>50050</v>
      </c>
      <c r="AV98" s="550">
        <f t="shared" si="301"/>
        <v>1695120</v>
      </c>
      <c r="AW98" s="550">
        <f t="shared" si="301"/>
        <v>49649</v>
      </c>
      <c r="AX98" s="550">
        <f t="shared" si="301"/>
        <v>112281</v>
      </c>
      <c r="AY98" s="551">
        <f t="shared" si="301"/>
        <v>9.658100000000001</v>
      </c>
      <c r="AZ98" s="551">
        <f t="shared" si="301"/>
        <v>6.4413999999999998</v>
      </c>
      <c r="BA98" s="352">
        <f t="shared" si="301"/>
        <v>3.2166999999999999</v>
      </c>
    </row>
    <row r="99" spans="1:53" ht="12.95" customHeight="1" x14ac:dyDescent="0.25">
      <c r="A99" s="299">
        <v>17</v>
      </c>
      <c r="B99" s="340">
        <v>5420</v>
      </c>
      <c r="C99" s="341">
        <v>600098745</v>
      </c>
      <c r="D99" s="300">
        <v>75016249</v>
      </c>
      <c r="E99" s="342" t="s">
        <v>398</v>
      </c>
      <c r="F99" s="300">
        <v>3111</v>
      </c>
      <c r="G99" s="342" t="s">
        <v>321</v>
      </c>
      <c r="H99" s="303" t="s">
        <v>277</v>
      </c>
      <c r="I99" s="462">
        <f t="shared" ref="I99:I101" si="302">SUM(J99:M99)</f>
        <v>3473563</v>
      </c>
      <c r="J99" s="457">
        <v>2564661</v>
      </c>
      <c r="K99" s="457">
        <f t="shared" ref="K99:K101" si="303">ROUND(J99*33.8%,0)</f>
        <v>866855</v>
      </c>
      <c r="L99" s="457">
        <f t="shared" ref="L99:L101" si="304">ROUND(J99*1%,0)</f>
        <v>25647</v>
      </c>
      <c r="M99" s="457">
        <v>16400</v>
      </c>
      <c r="N99" s="458">
        <f t="shared" ref="N99:N101" si="305">O99+P99</f>
        <v>5.1844999999999999</v>
      </c>
      <c r="O99" s="459">
        <v>4.0644999999999998</v>
      </c>
      <c r="P99" s="646">
        <v>1.1200000000000001</v>
      </c>
      <c r="Q99" s="469">
        <f t="shared" ref="Q99:Q101" si="306">W99*-1</f>
        <v>0</v>
      </c>
      <c r="R99" s="460">
        <v>0</v>
      </c>
      <c r="S99" s="673">
        <v>0</v>
      </c>
      <c r="T99" s="460">
        <v>0</v>
      </c>
      <c r="U99" s="460">
        <v>0</v>
      </c>
      <c r="V99" s="460">
        <f>SUM(Q99:U99)</f>
        <v>0</v>
      </c>
      <c r="W99" s="460">
        <v>0</v>
      </c>
      <c r="X99" s="460">
        <v>0</v>
      </c>
      <c r="Y99" s="460">
        <v>0</v>
      </c>
      <c r="Z99" s="460">
        <f t="shared" ref="Z99:Z101" si="307">SUM(W99:Y99)</f>
        <v>0</v>
      </c>
      <c r="AA99" s="460">
        <f t="shared" ref="AA99:AA101" si="308">V99+Z99</f>
        <v>0</v>
      </c>
      <c r="AB99" s="69">
        <f t="shared" ref="AB99:AB101" si="309">ROUND((V99+W99+X99)*33.8%,0)</f>
        <v>0</v>
      </c>
      <c r="AC99" s="69">
        <f t="shared" ref="AC99:AC101" si="310">ROUND(V99*1%,0)</f>
        <v>0</v>
      </c>
      <c r="AD99" s="460">
        <v>0</v>
      </c>
      <c r="AE99" s="460">
        <v>0</v>
      </c>
      <c r="AF99" s="460">
        <f t="shared" ref="AF99:AF101" si="311">SUM(AD99:AE99)</f>
        <v>0</v>
      </c>
      <c r="AG99" s="460">
        <f t="shared" ref="AG99:AG101" si="312">AA99+AB99+AC99+AF99</f>
        <v>0</v>
      </c>
      <c r="AH99" s="461">
        <v>0</v>
      </c>
      <c r="AI99" s="461">
        <v>0</v>
      </c>
      <c r="AJ99" s="461">
        <v>0</v>
      </c>
      <c r="AK99" s="461">
        <v>0</v>
      </c>
      <c r="AL99" s="674">
        <v>0</v>
      </c>
      <c r="AM99" s="461">
        <v>0</v>
      </c>
      <c r="AN99" s="461">
        <v>0</v>
      </c>
      <c r="AO99" s="461">
        <v>0</v>
      </c>
      <c r="AP99" s="461">
        <f>AH99+AJ99+AK99+AM99+AN99</f>
        <v>0</v>
      </c>
      <c r="AQ99" s="461">
        <f>AI99+AL99+AO99</f>
        <v>0</v>
      </c>
      <c r="AR99" s="463">
        <f t="shared" ref="AR99:AR101" si="313">SUM(AP99:AQ99)</f>
        <v>0</v>
      </c>
      <c r="AS99" s="469">
        <f>I99+AG99</f>
        <v>3473563</v>
      </c>
      <c r="AT99" s="460">
        <f>J99+V99</f>
        <v>2564661</v>
      </c>
      <c r="AU99" s="460">
        <f t="shared" ref="AU99:AU101" si="314">Z99</f>
        <v>0</v>
      </c>
      <c r="AV99" s="460">
        <f t="shared" ref="AV99:AW101" si="315">K99+AB99</f>
        <v>866855</v>
      </c>
      <c r="AW99" s="460">
        <f t="shared" si="315"/>
        <v>25647</v>
      </c>
      <c r="AX99" s="460">
        <f>M99+AF99</f>
        <v>16400</v>
      </c>
      <c r="AY99" s="461">
        <f>N99+AR99</f>
        <v>5.1844999999999999</v>
      </c>
      <c r="AZ99" s="461">
        <f t="shared" ref="AZ99:BA101" si="316">O99+AP99</f>
        <v>4.0644999999999998</v>
      </c>
      <c r="BA99" s="463">
        <f t="shared" si="316"/>
        <v>1.1200000000000001</v>
      </c>
    </row>
    <row r="100" spans="1:53" ht="12.95" customHeight="1" x14ac:dyDescent="0.25">
      <c r="A100" s="299">
        <v>17</v>
      </c>
      <c r="B100" s="340">
        <v>5420</v>
      </c>
      <c r="C100" s="341">
        <v>600098745</v>
      </c>
      <c r="D100" s="300">
        <v>75016249</v>
      </c>
      <c r="E100" s="342" t="s">
        <v>398</v>
      </c>
      <c r="F100" s="300">
        <v>3111</v>
      </c>
      <c r="G100" s="342" t="s">
        <v>315</v>
      </c>
      <c r="H100" s="303" t="s">
        <v>278</v>
      </c>
      <c r="I100" s="462">
        <f t="shared" si="302"/>
        <v>0</v>
      </c>
      <c r="J100" s="457">
        <v>0</v>
      </c>
      <c r="K100" s="457">
        <f t="shared" si="303"/>
        <v>0</v>
      </c>
      <c r="L100" s="457">
        <f t="shared" si="304"/>
        <v>0</v>
      </c>
      <c r="M100" s="457">
        <v>0</v>
      </c>
      <c r="N100" s="458">
        <f t="shared" si="305"/>
        <v>0</v>
      </c>
      <c r="O100" s="459">
        <v>0</v>
      </c>
      <c r="P100" s="646">
        <v>0</v>
      </c>
      <c r="Q100" s="469">
        <f t="shared" si="306"/>
        <v>0</v>
      </c>
      <c r="R100" s="460">
        <f>259835+72177</f>
        <v>332012</v>
      </c>
      <c r="S100" s="673">
        <v>0</v>
      </c>
      <c r="T100" s="460">
        <v>0</v>
      </c>
      <c r="U100" s="460">
        <v>0</v>
      </c>
      <c r="V100" s="460">
        <f>SUM(Q100:U100)</f>
        <v>332012</v>
      </c>
      <c r="W100" s="460">
        <v>0</v>
      </c>
      <c r="X100" s="460">
        <v>0</v>
      </c>
      <c r="Y100" s="460">
        <v>0</v>
      </c>
      <c r="Z100" s="460">
        <f t="shared" si="307"/>
        <v>0</v>
      </c>
      <c r="AA100" s="460">
        <f t="shared" si="308"/>
        <v>332012</v>
      </c>
      <c r="AB100" s="69">
        <f t="shared" si="309"/>
        <v>112220</v>
      </c>
      <c r="AC100" s="69">
        <f t="shared" si="310"/>
        <v>3320</v>
      </c>
      <c r="AD100" s="460">
        <v>0</v>
      </c>
      <c r="AE100" s="460">
        <v>0</v>
      </c>
      <c r="AF100" s="460">
        <f t="shared" si="311"/>
        <v>0</v>
      </c>
      <c r="AG100" s="460">
        <f t="shared" si="312"/>
        <v>447552</v>
      </c>
      <c r="AH100" s="461">
        <v>0</v>
      </c>
      <c r="AI100" s="461">
        <v>0</v>
      </c>
      <c r="AJ100" s="461">
        <f>0.75+0.21</f>
        <v>0.96</v>
      </c>
      <c r="AK100" s="461">
        <v>0</v>
      </c>
      <c r="AL100" s="674">
        <v>0</v>
      </c>
      <c r="AM100" s="461">
        <v>0</v>
      </c>
      <c r="AN100" s="461">
        <v>0</v>
      </c>
      <c r="AO100" s="461">
        <v>0</v>
      </c>
      <c r="AP100" s="461">
        <f>AH100+AJ100+AK100+AM100+AN100</f>
        <v>0.96</v>
      </c>
      <c r="AQ100" s="461">
        <f>AI100+AL100+AO100</f>
        <v>0</v>
      </c>
      <c r="AR100" s="463">
        <f t="shared" si="313"/>
        <v>0.96</v>
      </c>
      <c r="AS100" s="469">
        <f>I100+AG100</f>
        <v>447552</v>
      </c>
      <c r="AT100" s="460">
        <f>J100+V100</f>
        <v>332012</v>
      </c>
      <c r="AU100" s="460">
        <f t="shared" si="314"/>
        <v>0</v>
      </c>
      <c r="AV100" s="460">
        <f t="shared" si="315"/>
        <v>112220</v>
      </c>
      <c r="AW100" s="460">
        <f t="shared" si="315"/>
        <v>3320</v>
      </c>
      <c r="AX100" s="460">
        <f>M100+AF100</f>
        <v>0</v>
      </c>
      <c r="AY100" s="461">
        <f>N100+AR100</f>
        <v>0.96</v>
      </c>
      <c r="AZ100" s="461">
        <f t="shared" si="316"/>
        <v>0.96</v>
      </c>
      <c r="BA100" s="463">
        <f t="shared" si="316"/>
        <v>0</v>
      </c>
    </row>
    <row r="101" spans="1:53" ht="12.95" customHeight="1" x14ac:dyDescent="0.25">
      <c r="A101" s="299">
        <v>17</v>
      </c>
      <c r="B101" s="340">
        <v>5420</v>
      </c>
      <c r="C101" s="341">
        <v>600098745</v>
      </c>
      <c r="D101" s="300">
        <v>75016249</v>
      </c>
      <c r="E101" s="342" t="s">
        <v>398</v>
      </c>
      <c r="F101" s="300">
        <v>3141</v>
      </c>
      <c r="G101" s="342" t="s">
        <v>311</v>
      </c>
      <c r="H101" s="303" t="s">
        <v>278</v>
      </c>
      <c r="I101" s="462">
        <f t="shared" si="302"/>
        <v>556374</v>
      </c>
      <c r="J101" s="457">
        <v>411197</v>
      </c>
      <c r="K101" s="457">
        <f t="shared" si="303"/>
        <v>138985</v>
      </c>
      <c r="L101" s="457">
        <f t="shared" si="304"/>
        <v>4112</v>
      </c>
      <c r="M101" s="457">
        <v>2080</v>
      </c>
      <c r="N101" s="458">
        <f t="shared" si="305"/>
        <v>1.32</v>
      </c>
      <c r="O101" s="459">
        <v>0</v>
      </c>
      <c r="P101" s="646">
        <v>1.32</v>
      </c>
      <c r="Q101" s="469">
        <f t="shared" si="306"/>
        <v>0</v>
      </c>
      <c r="R101" s="460">
        <v>0</v>
      </c>
      <c r="S101" s="673">
        <v>0</v>
      </c>
      <c r="T101" s="460">
        <v>0</v>
      </c>
      <c r="U101" s="460">
        <v>0</v>
      </c>
      <c r="V101" s="460">
        <f>SUM(Q101:U101)</f>
        <v>0</v>
      </c>
      <c r="W101" s="460">
        <v>0</v>
      </c>
      <c r="X101" s="460">
        <v>0</v>
      </c>
      <c r="Y101" s="460">
        <v>0</v>
      </c>
      <c r="Z101" s="460">
        <f t="shared" si="307"/>
        <v>0</v>
      </c>
      <c r="AA101" s="460">
        <f t="shared" si="308"/>
        <v>0</v>
      </c>
      <c r="AB101" s="69">
        <f t="shared" si="309"/>
        <v>0</v>
      </c>
      <c r="AC101" s="69">
        <f t="shared" si="310"/>
        <v>0</v>
      </c>
      <c r="AD101" s="460">
        <v>0</v>
      </c>
      <c r="AE101" s="460">
        <v>0</v>
      </c>
      <c r="AF101" s="460">
        <f t="shared" si="311"/>
        <v>0</v>
      </c>
      <c r="AG101" s="460">
        <f t="shared" si="312"/>
        <v>0</v>
      </c>
      <c r="AH101" s="461">
        <v>0</v>
      </c>
      <c r="AI101" s="461">
        <v>0</v>
      </c>
      <c r="AJ101" s="461">
        <v>0</v>
      </c>
      <c r="AK101" s="461">
        <v>0</v>
      </c>
      <c r="AL101" s="674">
        <v>0</v>
      </c>
      <c r="AM101" s="461">
        <v>0</v>
      </c>
      <c r="AN101" s="461">
        <v>0</v>
      </c>
      <c r="AO101" s="461">
        <v>0</v>
      </c>
      <c r="AP101" s="461">
        <f>AH101+AJ101+AK101+AM101+AN101</f>
        <v>0</v>
      </c>
      <c r="AQ101" s="461">
        <f>AI101+AL101+AO101</f>
        <v>0</v>
      </c>
      <c r="AR101" s="463">
        <f t="shared" si="313"/>
        <v>0</v>
      </c>
      <c r="AS101" s="469">
        <f>I101+AG101</f>
        <v>556374</v>
      </c>
      <c r="AT101" s="460">
        <f>J101+V101</f>
        <v>411197</v>
      </c>
      <c r="AU101" s="460">
        <f t="shared" si="314"/>
        <v>0</v>
      </c>
      <c r="AV101" s="460">
        <f t="shared" si="315"/>
        <v>138985</v>
      </c>
      <c r="AW101" s="460">
        <f t="shared" si="315"/>
        <v>4112</v>
      </c>
      <c r="AX101" s="460">
        <f>M101+AF101</f>
        <v>2080</v>
      </c>
      <c r="AY101" s="461">
        <f>N101+AR101</f>
        <v>1.32</v>
      </c>
      <c r="AZ101" s="461">
        <f t="shared" si="316"/>
        <v>0</v>
      </c>
      <c r="BA101" s="463">
        <f t="shared" si="316"/>
        <v>1.32</v>
      </c>
    </row>
    <row r="102" spans="1:53" ht="12.95" customHeight="1" x14ac:dyDescent="0.25">
      <c r="A102" s="343">
        <v>17</v>
      </c>
      <c r="B102" s="344">
        <v>5420</v>
      </c>
      <c r="C102" s="345">
        <v>600098745</v>
      </c>
      <c r="D102" s="344">
        <v>75016249</v>
      </c>
      <c r="E102" s="346" t="s">
        <v>399</v>
      </c>
      <c r="F102" s="310"/>
      <c r="G102" s="348"/>
      <c r="H102" s="311"/>
      <c r="I102" s="552">
        <f t="shared" ref="I102:P102" si="317">SUM(I99:I101)</f>
        <v>4029937</v>
      </c>
      <c r="J102" s="548">
        <f t="shared" si="317"/>
        <v>2975858</v>
      </c>
      <c r="K102" s="548">
        <f t="shared" si="317"/>
        <v>1005840</v>
      </c>
      <c r="L102" s="548">
        <f t="shared" si="317"/>
        <v>29759</v>
      </c>
      <c r="M102" s="548">
        <f t="shared" si="317"/>
        <v>18480</v>
      </c>
      <c r="N102" s="549">
        <f t="shared" si="317"/>
        <v>6.5045000000000002</v>
      </c>
      <c r="O102" s="549">
        <f t="shared" si="317"/>
        <v>4.0644999999999998</v>
      </c>
      <c r="P102" s="347">
        <f t="shared" si="317"/>
        <v>2.4400000000000004</v>
      </c>
      <c r="Q102" s="554">
        <f t="shared" ref="Q102:BA102" si="318">SUM(Q99:Q101)</f>
        <v>0</v>
      </c>
      <c r="R102" s="548">
        <f t="shared" si="318"/>
        <v>332012</v>
      </c>
      <c r="S102" s="548">
        <f t="shared" si="318"/>
        <v>0</v>
      </c>
      <c r="T102" s="548">
        <f t="shared" si="318"/>
        <v>0</v>
      </c>
      <c r="U102" s="548">
        <f t="shared" si="318"/>
        <v>0</v>
      </c>
      <c r="V102" s="548">
        <f t="shared" si="318"/>
        <v>332012</v>
      </c>
      <c r="W102" s="548">
        <f t="shared" si="318"/>
        <v>0</v>
      </c>
      <c r="X102" s="548">
        <f t="shared" si="318"/>
        <v>0</v>
      </c>
      <c r="Y102" s="548">
        <f t="shared" si="318"/>
        <v>0</v>
      </c>
      <c r="Z102" s="548">
        <f t="shared" si="318"/>
        <v>0</v>
      </c>
      <c r="AA102" s="548">
        <f t="shared" si="318"/>
        <v>332012</v>
      </c>
      <c r="AB102" s="548">
        <f t="shared" si="318"/>
        <v>112220</v>
      </c>
      <c r="AC102" s="548">
        <f t="shared" si="318"/>
        <v>3320</v>
      </c>
      <c r="AD102" s="548">
        <f t="shared" si="318"/>
        <v>0</v>
      </c>
      <c r="AE102" s="548">
        <f t="shared" si="318"/>
        <v>0</v>
      </c>
      <c r="AF102" s="548">
        <f t="shared" si="318"/>
        <v>0</v>
      </c>
      <c r="AG102" s="548">
        <f t="shared" si="318"/>
        <v>447552</v>
      </c>
      <c r="AH102" s="549">
        <f t="shared" si="318"/>
        <v>0</v>
      </c>
      <c r="AI102" s="549">
        <f t="shared" si="318"/>
        <v>0</v>
      </c>
      <c r="AJ102" s="549">
        <f t="shared" si="318"/>
        <v>0.96</v>
      </c>
      <c r="AK102" s="549">
        <f t="shared" si="318"/>
        <v>0</v>
      </c>
      <c r="AL102" s="549">
        <f t="shared" si="318"/>
        <v>0</v>
      </c>
      <c r="AM102" s="549">
        <f t="shared" si="318"/>
        <v>0</v>
      </c>
      <c r="AN102" s="549">
        <f t="shared" si="318"/>
        <v>0</v>
      </c>
      <c r="AO102" s="549">
        <f t="shared" si="318"/>
        <v>0</v>
      </c>
      <c r="AP102" s="549">
        <f t="shared" si="318"/>
        <v>0.96</v>
      </c>
      <c r="AQ102" s="549">
        <f t="shared" si="318"/>
        <v>0</v>
      </c>
      <c r="AR102" s="347">
        <f t="shared" si="318"/>
        <v>0.96</v>
      </c>
      <c r="AS102" s="554">
        <f t="shared" si="318"/>
        <v>4477489</v>
      </c>
      <c r="AT102" s="548">
        <f t="shared" si="318"/>
        <v>3307870</v>
      </c>
      <c r="AU102" s="548">
        <f t="shared" si="318"/>
        <v>0</v>
      </c>
      <c r="AV102" s="548">
        <f t="shared" si="318"/>
        <v>1118060</v>
      </c>
      <c r="AW102" s="548">
        <f t="shared" si="318"/>
        <v>33079</v>
      </c>
      <c r="AX102" s="548">
        <f t="shared" si="318"/>
        <v>18480</v>
      </c>
      <c r="AY102" s="549">
        <f t="shared" si="318"/>
        <v>7.4645000000000001</v>
      </c>
      <c r="AZ102" s="549">
        <f t="shared" si="318"/>
        <v>5.0244999999999997</v>
      </c>
      <c r="BA102" s="347">
        <f t="shared" si="318"/>
        <v>2.4400000000000004</v>
      </c>
    </row>
    <row r="103" spans="1:53" ht="12.95" customHeight="1" x14ac:dyDescent="0.25">
      <c r="A103" s="299">
        <v>18</v>
      </c>
      <c r="B103" s="340">
        <v>5419</v>
      </c>
      <c r="C103" s="341">
        <v>600099261</v>
      </c>
      <c r="D103" s="300">
        <v>70946752</v>
      </c>
      <c r="E103" s="342" t="s">
        <v>400</v>
      </c>
      <c r="F103" s="300">
        <v>3113</v>
      </c>
      <c r="G103" s="342" t="s">
        <v>325</v>
      </c>
      <c r="H103" s="303" t="s">
        <v>277</v>
      </c>
      <c r="I103" s="462">
        <f t="shared" ref="I103:I107" si="319">SUM(J103:M103)</f>
        <v>13356812</v>
      </c>
      <c r="J103" s="457">
        <v>9758707</v>
      </c>
      <c r="K103" s="457">
        <f t="shared" ref="K103:K107" si="320">ROUND(J103*33.8%,0)</f>
        <v>3298443</v>
      </c>
      <c r="L103" s="457">
        <f t="shared" ref="L103:L107" si="321">ROUND(J103*1%,0)</f>
        <v>97587</v>
      </c>
      <c r="M103" s="457">
        <v>202075</v>
      </c>
      <c r="N103" s="458">
        <f t="shared" ref="N103:N107" si="322">O103+P103</f>
        <v>18.4239</v>
      </c>
      <c r="O103" s="459">
        <v>14.383900000000001</v>
      </c>
      <c r="P103" s="646">
        <v>4.04</v>
      </c>
      <c r="Q103" s="469">
        <f t="shared" ref="Q103:Q107" si="323">W103*-1</f>
        <v>-22750</v>
      </c>
      <c r="R103" s="460">
        <v>0</v>
      </c>
      <c r="S103" s="673">
        <v>0</v>
      </c>
      <c r="T103" s="460">
        <v>0</v>
      </c>
      <c r="U103" s="460">
        <v>0</v>
      </c>
      <c r="V103" s="460">
        <f>SUM(Q103:U103)</f>
        <v>-22750</v>
      </c>
      <c r="W103" s="460">
        <v>22750</v>
      </c>
      <c r="X103" s="460">
        <v>0</v>
      </c>
      <c r="Y103" s="460">
        <v>0</v>
      </c>
      <c r="Z103" s="460">
        <f t="shared" ref="Z103:Z107" si="324">SUM(W103:Y103)</f>
        <v>22750</v>
      </c>
      <c r="AA103" s="460">
        <f t="shared" ref="AA103:AA107" si="325">V103+Z103</f>
        <v>0</v>
      </c>
      <c r="AB103" s="69">
        <f t="shared" ref="AB103:AB107" si="326">ROUND((V103+W103+X103)*33.8%,0)</f>
        <v>0</v>
      </c>
      <c r="AC103" s="69">
        <f t="shared" ref="AC103:AC107" si="327">ROUND(V103*1%,0)</f>
        <v>-228</v>
      </c>
      <c r="AD103" s="460">
        <v>0</v>
      </c>
      <c r="AE103" s="460">
        <v>0</v>
      </c>
      <c r="AF103" s="460">
        <f t="shared" ref="AF103:AF107" si="328">SUM(AD103:AE103)</f>
        <v>0</v>
      </c>
      <c r="AG103" s="460">
        <f t="shared" ref="AG103:AG107" si="329">AA103+AB103+AC103+AF103</f>
        <v>-228</v>
      </c>
      <c r="AH103" s="461">
        <v>-0.01</v>
      </c>
      <c r="AI103" s="461">
        <v>-0.01</v>
      </c>
      <c r="AJ103" s="461">
        <v>0</v>
      </c>
      <c r="AK103" s="461">
        <v>0</v>
      </c>
      <c r="AL103" s="674">
        <v>0</v>
      </c>
      <c r="AM103" s="461">
        <v>0</v>
      </c>
      <c r="AN103" s="461">
        <v>0</v>
      </c>
      <c r="AO103" s="461">
        <v>0</v>
      </c>
      <c r="AP103" s="461">
        <f>AH103+AJ103+AK103+AM103+AN103</f>
        <v>-0.01</v>
      </c>
      <c r="AQ103" s="461">
        <f>AI103+AL103+AO103</f>
        <v>-0.01</v>
      </c>
      <c r="AR103" s="463">
        <f t="shared" ref="AR103:AR107" si="330">SUM(AP103:AQ103)</f>
        <v>-0.02</v>
      </c>
      <c r="AS103" s="469">
        <f>I103+AG103</f>
        <v>13356584</v>
      </c>
      <c r="AT103" s="460">
        <f>J103+V103</f>
        <v>9735957</v>
      </c>
      <c r="AU103" s="460">
        <f t="shared" ref="AU103:AU107" si="331">Z103</f>
        <v>22750</v>
      </c>
      <c r="AV103" s="460">
        <f t="shared" ref="AV103:AW107" si="332">K103+AB103</f>
        <v>3298443</v>
      </c>
      <c r="AW103" s="460">
        <f t="shared" si="332"/>
        <v>97359</v>
      </c>
      <c r="AX103" s="460">
        <f>M103+AF103</f>
        <v>202075</v>
      </c>
      <c r="AY103" s="461">
        <f>N103+AR103</f>
        <v>18.4039</v>
      </c>
      <c r="AZ103" s="461">
        <f t="shared" ref="AZ103:BA107" si="333">O103+AP103</f>
        <v>14.373900000000001</v>
      </c>
      <c r="BA103" s="463">
        <f t="shared" si="333"/>
        <v>4.03</v>
      </c>
    </row>
    <row r="104" spans="1:53" ht="12.95" customHeight="1" x14ac:dyDescent="0.25">
      <c r="A104" s="299">
        <v>18</v>
      </c>
      <c r="B104" s="340">
        <v>5419</v>
      </c>
      <c r="C104" s="341">
        <v>600099261</v>
      </c>
      <c r="D104" s="300">
        <v>70946752</v>
      </c>
      <c r="E104" s="342" t="s">
        <v>400</v>
      </c>
      <c r="F104" s="300">
        <v>3113</v>
      </c>
      <c r="G104" s="342" t="s">
        <v>315</v>
      </c>
      <c r="H104" s="303" t="s">
        <v>278</v>
      </c>
      <c r="I104" s="462">
        <f t="shared" si="319"/>
        <v>0</v>
      </c>
      <c r="J104" s="457">
        <v>0</v>
      </c>
      <c r="K104" s="457">
        <f t="shared" si="320"/>
        <v>0</v>
      </c>
      <c r="L104" s="457">
        <f t="shared" si="321"/>
        <v>0</v>
      </c>
      <c r="M104" s="457">
        <v>0</v>
      </c>
      <c r="N104" s="458">
        <f t="shared" si="322"/>
        <v>0</v>
      </c>
      <c r="O104" s="459">
        <v>0</v>
      </c>
      <c r="P104" s="646">
        <v>0</v>
      </c>
      <c r="Q104" s="469">
        <f t="shared" si="323"/>
        <v>0</v>
      </c>
      <c r="R104" s="460">
        <f>741015+135257</f>
        <v>876272</v>
      </c>
      <c r="S104" s="673">
        <v>0</v>
      </c>
      <c r="T104" s="460">
        <v>0</v>
      </c>
      <c r="U104" s="460">
        <v>0</v>
      </c>
      <c r="V104" s="460">
        <f>SUM(Q104:U104)</f>
        <v>876272</v>
      </c>
      <c r="W104" s="460">
        <v>0</v>
      </c>
      <c r="X104" s="460">
        <v>0</v>
      </c>
      <c r="Y104" s="460">
        <v>0</v>
      </c>
      <c r="Z104" s="460">
        <f t="shared" si="324"/>
        <v>0</v>
      </c>
      <c r="AA104" s="460">
        <f t="shared" si="325"/>
        <v>876272</v>
      </c>
      <c r="AB104" s="69">
        <f t="shared" si="326"/>
        <v>296180</v>
      </c>
      <c r="AC104" s="69">
        <f t="shared" si="327"/>
        <v>8763</v>
      </c>
      <c r="AD104" s="460">
        <v>0</v>
      </c>
      <c r="AE104" s="460">
        <v>0</v>
      </c>
      <c r="AF104" s="460">
        <f t="shared" si="328"/>
        <v>0</v>
      </c>
      <c r="AG104" s="460">
        <f t="shared" si="329"/>
        <v>1181215</v>
      </c>
      <c r="AH104" s="461">
        <v>0</v>
      </c>
      <c r="AI104" s="461">
        <v>0</v>
      </c>
      <c r="AJ104" s="461">
        <f>2.14+0.53</f>
        <v>2.67</v>
      </c>
      <c r="AK104" s="461">
        <v>0</v>
      </c>
      <c r="AL104" s="674">
        <v>0</v>
      </c>
      <c r="AM104" s="461">
        <v>0</v>
      </c>
      <c r="AN104" s="461">
        <v>0</v>
      </c>
      <c r="AO104" s="461">
        <v>0</v>
      </c>
      <c r="AP104" s="461">
        <f>AH104+AJ104+AK104+AM104+AN104</f>
        <v>2.67</v>
      </c>
      <c r="AQ104" s="461">
        <f>AI104+AL104+AO104</f>
        <v>0</v>
      </c>
      <c r="AR104" s="463">
        <f t="shared" si="330"/>
        <v>2.67</v>
      </c>
      <c r="AS104" s="469">
        <f>I104+AG104</f>
        <v>1181215</v>
      </c>
      <c r="AT104" s="460">
        <f>J104+V104</f>
        <v>876272</v>
      </c>
      <c r="AU104" s="460">
        <f t="shared" si="331"/>
        <v>0</v>
      </c>
      <c r="AV104" s="460">
        <f t="shared" si="332"/>
        <v>296180</v>
      </c>
      <c r="AW104" s="460">
        <f t="shared" si="332"/>
        <v>8763</v>
      </c>
      <c r="AX104" s="460">
        <f>M104+AF104</f>
        <v>0</v>
      </c>
      <c r="AY104" s="461">
        <f>N104+AR104</f>
        <v>2.67</v>
      </c>
      <c r="AZ104" s="461">
        <f t="shared" si="333"/>
        <v>2.67</v>
      </c>
      <c r="BA104" s="463">
        <f t="shared" si="333"/>
        <v>0</v>
      </c>
    </row>
    <row r="105" spans="1:53" ht="12.95" customHeight="1" x14ac:dyDescent="0.25">
      <c r="A105" s="299">
        <v>18</v>
      </c>
      <c r="B105" s="340">
        <v>5419</v>
      </c>
      <c r="C105" s="341">
        <v>600099261</v>
      </c>
      <c r="D105" s="300">
        <v>70946752</v>
      </c>
      <c r="E105" s="342" t="s">
        <v>400</v>
      </c>
      <c r="F105" s="300">
        <v>3141</v>
      </c>
      <c r="G105" s="342" t="s">
        <v>311</v>
      </c>
      <c r="H105" s="303" t="s">
        <v>278</v>
      </c>
      <c r="I105" s="462">
        <f t="shared" si="319"/>
        <v>1164455</v>
      </c>
      <c r="J105" s="457">
        <v>857898</v>
      </c>
      <c r="K105" s="457">
        <f t="shared" si="320"/>
        <v>289970</v>
      </c>
      <c r="L105" s="457">
        <f t="shared" si="321"/>
        <v>8579</v>
      </c>
      <c r="M105" s="457">
        <v>8008</v>
      </c>
      <c r="N105" s="458">
        <f t="shared" si="322"/>
        <v>2.76</v>
      </c>
      <c r="O105" s="459">
        <v>0</v>
      </c>
      <c r="P105" s="646">
        <v>2.76</v>
      </c>
      <c r="Q105" s="469">
        <f t="shared" si="323"/>
        <v>-3250</v>
      </c>
      <c r="R105" s="460">
        <v>0</v>
      </c>
      <c r="S105" s="673">
        <v>0</v>
      </c>
      <c r="T105" s="460">
        <v>0</v>
      </c>
      <c r="U105" s="460">
        <v>0</v>
      </c>
      <c r="V105" s="460">
        <f>SUM(Q105:U105)</f>
        <v>-3250</v>
      </c>
      <c r="W105" s="460">
        <v>3250</v>
      </c>
      <c r="X105" s="460">
        <v>0</v>
      </c>
      <c r="Y105" s="460">
        <v>0</v>
      </c>
      <c r="Z105" s="460">
        <f t="shared" si="324"/>
        <v>3250</v>
      </c>
      <c r="AA105" s="460">
        <f t="shared" si="325"/>
        <v>0</v>
      </c>
      <c r="AB105" s="69">
        <f t="shared" si="326"/>
        <v>0</v>
      </c>
      <c r="AC105" s="69">
        <f t="shared" si="327"/>
        <v>-33</v>
      </c>
      <c r="AD105" s="460">
        <v>0</v>
      </c>
      <c r="AE105" s="460">
        <v>0</v>
      </c>
      <c r="AF105" s="460">
        <f t="shared" si="328"/>
        <v>0</v>
      </c>
      <c r="AG105" s="460">
        <f t="shared" si="329"/>
        <v>-33</v>
      </c>
      <c r="AH105" s="461">
        <v>0</v>
      </c>
      <c r="AI105" s="461">
        <v>0</v>
      </c>
      <c r="AJ105" s="461">
        <v>0</v>
      </c>
      <c r="AK105" s="461">
        <v>0</v>
      </c>
      <c r="AL105" s="674">
        <v>0</v>
      </c>
      <c r="AM105" s="461">
        <v>0</v>
      </c>
      <c r="AN105" s="461">
        <v>0</v>
      </c>
      <c r="AO105" s="461">
        <v>0</v>
      </c>
      <c r="AP105" s="461">
        <f>AH105+AJ105+AK105+AM105+AN105</f>
        <v>0</v>
      </c>
      <c r="AQ105" s="461">
        <f>AI105+AL105+AO105</f>
        <v>0</v>
      </c>
      <c r="AR105" s="463">
        <f t="shared" si="330"/>
        <v>0</v>
      </c>
      <c r="AS105" s="469">
        <f>I105+AG105</f>
        <v>1164422</v>
      </c>
      <c r="AT105" s="460">
        <f>J105+V105</f>
        <v>854648</v>
      </c>
      <c r="AU105" s="460">
        <f t="shared" si="331"/>
        <v>3250</v>
      </c>
      <c r="AV105" s="460">
        <f t="shared" si="332"/>
        <v>289970</v>
      </c>
      <c r="AW105" s="460">
        <f t="shared" si="332"/>
        <v>8546</v>
      </c>
      <c r="AX105" s="460">
        <f>M105+AF105</f>
        <v>8008</v>
      </c>
      <c r="AY105" s="461">
        <f>N105+AR105</f>
        <v>2.76</v>
      </c>
      <c r="AZ105" s="461">
        <f t="shared" si="333"/>
        <v>0</v>
      </c>
      <c r="BA105" s="463">
        <f t="shared" si="333"/>
        <v>2.76</v>
      </c>
    </row>
    <row r="106" spans="1:53" ht="12.95" customHeight="1" x14ac:dyDescent="0.25">
      <c r="A106" s="299">
        <v>18</v>
      </c>
      <c r="B106" s="340">
        <v>5419</v>
      </c>
      <c r="C106" s="341">
        <v>600099261</v>
      </c>
      <c r="D106" s="300">
        <v>70946752</v>
      </c>
      <c r="E106" s="342" t="s">
        <v>400</v>
      </c>
      <c r="F106" s="300">
        <v>3143</v>
      </c>
      <c r="G106" s="342" t="s">
        <v>616</v>
      </c>
      <c r="H106" s="303" t="s">
        <v>277</v>
      </c>
      <c r="I106" s="462">
        <f t="shared" si="319"/>
        <v>499221</v>
      </c>
      <c r="J106" s="457">
        <v>370342</v>
      </c>
      <c r="K106" s="457">
        <f t="shared" si="320"/>
        <v>125176</v>
      </c>
      <c r="L106" s="457">
        <f t="shared" si="321"/>
        <v>3703</v>
      </c>
      <c r="M106" s="457">
        <v>0</v>
      </c>
      <c r="N106" s="458">
        <f t="shared" si="322"/>
        <v>0.75</v>
      </c>
      <c r="O106" s="459">
        <v>0.75</v>
      </c>
      <c r="P106" s="646">
        <v>0</v>
      </c>
      <c r="Q106" s="469">
        <f t="shared" si="323"/>
        <v>-3250</v>
      </c>
      <c r="R106" s="460">
        <v>0</v>
      </c>
      <c r="S106" s="673">
        <v>0</v>
      </c>
      <c r="T106" s="460">
        <v>0</v>
      </c>
      <c r="U106" s="460">
        <v>0</v>
      </c>
      <c r="V106" s="460">
        <f>SUM(Q106:U106)</f>
        <v>-3250</v>
      </c>
      <c r="W106" s="460">
        <v>3250</v>
      </c>
      <c r="X106" s="460">
        <v>66200</v>
      </c>
      <c r="Y106" s="460">
        <v>0</v>
      </c>
      <c r="Z106" s="460">
        <f t="shared" si="324"/>
        <v>69450</v>
      </c>
      <c r="AA106" s="460">
        <f t="shared" si="325"/>
        <v>66200</v>
      </c>
      <c r="AB106" s="69">
        <f t="shared" si="326"/>
        <v>22376</v>
      </c>
      <c r="AC106" s="69">
        <f t="shared" si="327"/>
        <v>-33</v>
      </c>
      <c r="AD106" s="460">
        <v>0</v>
      </c>
      <c r="AE106" s="460">
        <v>0</v>
      </c>
      <c r="AF106" s="460">
        <f t="shared" si="328"/>
        <v>0</v>
      </c>
      <c r="AG106" s="460">
        <f t="shared" si="329"/>
        <v>88543</v>
      </c>
      <c r="AH106" s="461">
        <v>0</v>
      </c>
      <c r="AI106" s="461">
        <v>0</v>
      </c>
      <c r="AJ106" s="461">
        <v>0</v>
      </c>
      <c r="AK106" s="461">
        <v>0</v>
      </c>
      <c r="AL106" s="674">
        <v>0</v>
      </c>
      <c r="AM106" s="461">
        <v>0</v>
      </c>
      <c r="AN106" s="461">
        <v>0</v>
      </c>
      <c r="AO106" s="461">
        <v>0</v>
      </c>
      <c r="AP106" s="461">
        <f>AH106+AJ106+AK106+AM106+AN106</f>
        <v>0</v>
      </c>
      <c r="AQ106" s="461">
        <f>AI106+AL106+AO106</f>
        <v>0</v>
      </c>
      <c r="AR106" s="463">
        <f t="shared" si="330"/>
        <v>0</v>
      </c>
      <c r="AS106" s="469">
        <f>I106+AG106</f>
        <v>587764</v>
      </c>
      <c r="AT106" s="460">
        <f>J106+V106</f>
        <v>367092</v>
      </c>
      <c r="AU106" s="460">
        <f t="shared" si="331"/>
        <v>69450</v>
      </c>
      <c r="AV106" s="460">
        <f t="shared" si="332"/>
        <v>147552</v>
      </c>
      <c r="AW106" s="460">
        <f t="shared" si="332"/>
        <v>3670</v>
      </c>
      <c r="AX106" s="460">
        <f>M106+AF106</f>
        <v>0</v>
      </c>
      <c r="AY106" s="461">
        <f>N106+AR106</f>
        <v>0.75</v>
      </c>
      <c r="AZ106" s="461">
        <f t="shared" si="333"/>
        <v>0.75</v>
      </c>
      <c r="BA106" s="463">
        <f t="shared" si="333"/>
        <v>0</v>
      </c>
    </row>
    <row r="107" spans="1:53" ht="12.95" customHeight="1" x14ac:dyDescent="0.25">
      <c r="A107" s="299">
        <v>18</v>
      </c>
      <c r="B107" s="340">
        <v>5419</v>
      </c>
      <c r="C107" s="341">
        <v>600099261</v>
      </c>
      <c r="D107" s="300">
        <v>70946752</v>
      </c>
      <c r="E107" s="342" t="s">
        <v>400</v>
      </c>
      <c r="F107" s="300">
        <v>3143</v>
      </c>
      <c r="G107" s="342" t="s">
        <v>617</v>
      </c>
      <c r="H107" s="303" t="s">
        <v>278</v>
      </c>
      <c r="I107" s="462">
        <f t="shared" si="319"/>
        <v>21257</v>
      </c>
      <c r="J107" s="457">
        <v>15188</v>
      </c>
      <c r="K107" s="457">
        <f t="shared" si="320"/>
        <v>5134</v>
      </c>
      <c r="L107" s="457">
        <f t="shared" si="321"/>
        <v>152</v>
      </c>
      <c r="M107" s="457">
        <v>783</v>
      </c>
      <c r="N107" s="458">
        <f t="shared" si="322"/>
        <v>0.06</v>
      </c>
      <c r="O107" s="459">
        <v>0</v>
      </c>
      <c r="P107" s="646">
        <v>0.06</v>
      </c>
      <c r="Q107" s="469">
        <f t="shared" si="323"/>
        <v>0</v>
      </c>
      <c r="R107" s="460">
        <v>0</v>
      </c>
      <c r="S107" s="673">
        <v>0</v>
      </c>
      <c r="T107" s="460">
        <v>0</v>
      </c>
      <c r="U107" s="460">
        <v>0</v>
      </c>
      <c r="V107" s="460">
        <f>SUM(Q107:U107)</f>
        <v>0</v>
      </c>
      <c r="W107" s="460">
        <v>0</v>
      </c>
      <c r="X107" s="460">
        <v>0</v>
      </c>
      <c r="Y107" s="460">
        <v>0</v>
      </c>
      <c r="Z107" s="460">
        <f t="shared" si="324"/>
        <v>0</v>
      </c>
      <c r="AA107" s="460">
        <f t="shared" si="325"/>
        <v>0</v>
      </c>
      <c r="AB107" s="69">
        <f t="shared" si="326"/>
        <v>0</v>
      </c>
      <c r="AC107" s="69">
        <f t="shared" si="327"/>
        <v>0</v>
      </c>
      <c r="AD107" s="460">
        <v>0</v>
      </c>
      <c r="AE107" s="460">
        <v>0</v>
      </c>
      <c r="AF107" s="460">
        <f t="shared" si="328"/>
        <v>0</v>
      </c>
      <c r="AG107" s="460">
        <f t="shared" si="329"/>
        <v>0</v>
      </c>
      <c r="AH107" s="461">
        <v>0</v>
      </c>
      <c r="AI107" s="461">
        <v>0</v>
      </c>
      <c r="AJ107" s="461">
        <v>0</v>
      </c>
      <c r="AK107" s="461">
        <v>0</v>
      </c>
      <c r="AL107" s="674">
        <v>0</v>
      </c>
      <c r="AM107" s="461">
        <v>0</v>
      </c>
      <c r="AN107" s="461">
        <v>0</v>
      </c>
      <c r="AO107" s="461">
        <v>0</v>
      </c>
      <c r="AP107" s="461">
        <f>AH107+AJ107+AK107+AM107+AN107</f>
        <v>0</v>
      </c>
      <c r="AQ107" s="461">
        <f>AI107+AL107+AO107</f>
        <v>0</v>
      </c>
      <c r="AR107" s="463">
        <f t="shared" si="330"/>
        <v>0</v>
      </c>
      <c r="AS107" s="469">
        <f>I107+AG107</f>
        <v>21257</v>
      </c>
      <c r="AT107" s="460">
        <f>J107+V107</f>
        <v>15188</v>
      </c>
      <c r="AU107" s="460">
        <f t="shared" si="331"/>
        <v>0</v>
      </c>
      <c r="AV107" s="460">
        <f t="shared" si="332"/>
        <v>5134</v>
      </c>
      <c r="AW107" s="460">
        <f t="shared" si="332"/>
        <v>152</v>
      </c>
      <c r="AX107" s="460">
        <f>M107+AF107</f>
        <v>783</v>
      </c>
      <c r="AY107" s="461">
        <f>N107+AR107</f>
        <v>0.06</v>
      </c>
      <c r="AZ107" s="461">
        <f t="shared" si="333"/>
        <v>0</v>
      </c>
      <c r="BA107" s="463">
        <f t="shared" si="333"/>
        <v>0.06</v>
      </c>
    </row>
    <row r="108" spans="1:53" ht="12.95" customHeight="1" x14ac:dyDescent="0.25">
      <c r="A108" s="343">
        <v>18</v>
      </c>
      <c r="B108" s="344">
        <v>5419</v>
      </c>
      <c r="C108" s="345">
        <v>600099261</v>
      </c>
      <c r="D108" s="344">
        <v>70946752</v>
      </c>
      <c r="E108" s="346" t="s">
        <v>401</v>
      </c>
      <c r="F108" s="310"/>
      <c r="G108" s="348"/>
      <c r="H108" s="311"/>
      <c r="I108" s="553">
        <f t="shared" ref="I108:P108" si="334">SUM(I103:I107)</f>
        <v>15041745</v>
      </c>
      <c r="J108" s="550">
        <f t="shared" si="334"/>
        <v>11002135</v>
      </c>
      <c r="K108" s="550">
        <f t="shared" si="334"/>
        <v>3718723</v>
      </c>
      <c r="L108" s="550">
        <f t="shared" si="334"/>
        <v>110021</v>
      </c>
      <c r="M108" s="550">
        <f t="shared" si="334"/>
        <v>210866</v>
      </c>
      <c r="N108" s="551">
        <f t="shared" si="334"/>
        <v>21.9939</v>
      </c>
      <c r="O108" s="551">
        <f t="shared" si="334"/>
        <v>15.133900000000001</v>
      </c>
      <c r="P108" s="352">
        <f t="shared" si="334"/>
        <v>6.8599999999999994</v>
      </c>
      <c r="Q108" s="555">
        <f t="shared" ref="Q108:BA108" si="335">SUM(Q103:Q107)</f>
        <v>-29250</v>
      </c>
      <c r="R108" s="550">
        <f t="shared" si="335"/>
        <v>876272</v>
      </c>
      <c r="S108" s="550">
        <f t="shared" si="335"/>
        <v>0</v>
      </c>
      <c r="T108" s="550">
        <f t="shared" si="335"/>
        <v>0</v>
      </c>
      <c r="U108" s="550">
        <f t="shared" si="335"/>
        <v>0</v>
      </c>
      <c r="V108" s="550">
        <f t="shared" si="335"/>
        <v>847022</v>
      </c>
      <c r="W108" s="550">
        <f t="shared" si="335"/>
        <v>29250</v>
      </c>
      <c r="X108" s="550">
        <f t="shared" si="335"/>
        <v>66200</v>
      </c>
      <c r="Y108" s="550">
        <f t="shared" si="335"/>
        <v>0</v>
      </c>
      <c r="Z108" s="550">
        <f t="shared" si="335"/>
        <v>95450</v>
      </c>
      <c r="AA108" s="550">
        <f t="shared" si="335"/>
        <v>942472</v>
      </c>
      <c r="AB108" s="550">
        <f t="shared" si="335"/>
        <v>318556</v>
      </c>
      <c r="AC108" s="550">
        <f t="shared" si="335"/>
        <v>8469</v>
      </c>
      <c r="AD108" s="550">
        <f t="shared" si="335"/>
        <v>0</v>
      </c>
      <c r="AE108" s="550">
        <f t="shared" si="335"/>
        <v>0</v>
      </c>
      <c r="AF108" s="550">
        <f t="shared" si="335"/>
        <v>0</v>
      </c>
      <c r="AG108" s="550">
        <f t="shared" si="335"/>
        <v>1269497</v>
      </c>
      <c r="AH108" s="551">
        <f t="shared" si="335"/>
        <v>-0.01</v>
      </c>
      <c r="AI108" s="551">
        <f t="shared" si="335"/>
        <v>-0.01</v>
      </c>
      <c r="AJ108" s="551">
        <f t="shared" si="335"/>
        <v>2.67</v>
      </c>
      <c r="AK108" s="551">
        <f t="shared" si="335"/>
        <v>0</v>
      </c>
      <c r="AL108" s="551">
        <f t="shared" si="335"/>
        <v>0</v>
      </c>
      <c r="AM108" s="551">
        <f t="shared" si="335"/>
        <v>0</v>
      </c>
      <c r="AN108" s="551">
        <f t="shared" si="335"/>
        <v>0</v>
      </c>
      <c r="AO108" s="551">
        <f t="shared" si="335"/>
        <v>0</v>
      </c>
      <c r="AP108" s="551">
        <f t="shared" si="335"/>
        <v>2.66</v>
      </c>
      <c r="AQ108" s="551">
        <f t="shared" si="335"/>
        <v>-0.01</v>
      </c>
      <c r="AR108" s="352">
        <f t="shared" si="335"/>
        <v>2.65</v>
      </c>
      <c r="AS108" s="555">
        <f t="shared" si="335"/>
        <v>16311242</v>
      </c>
      <c r="AT108" s="550">
        <f t="shared" si="335"/>
        <v>11849157</v>
      </c>
      <c r="AU108" s="550">
        <f t="shared" si="335"/>
        <v>95450</v>
      </c>
      <c r="AV108" s="550">
        <f t="shared" si="335"/>
        <v>4037279</v>
      </c>
      <c r="AW108" s="550">
        <f t="shared" si="335"/>
        <v>118490</v>
      </c>
      <c r="AX108" s="550">
        <f t="shared" si="335"/>
        <v>210866</v>
      </c>
      <c r="AY108" s="551">
        <f t="shared" si="335"/>
        <v>24.643899999999999</v>
      </c>
      <c r="AZ108" s="551">
        <f t="shared" si="335"/>
        <v>17.793900000000001</v>
      </c>
      <c r="BA108" s="352">
        <f t="shared" si="335"/>
        <v>6.85</v>
      </c>
    </row>
    <row r="109" spans="1:53" ht="12.95" customHeight="1" x14ac:dyDescent="0.25">
      <c r="A109" s="299">
        <v>19</v>
      </c>
      <c r="B109" s="340">
        <v>5425</v>
      </c>
      <c r="C109" s="349">
        <v>600099521</v>
      </c>
      <c r="D109" s="300">
        <v>854859</v>
      </c>
      <c r="E109" s="342" t="s">
        <v>402</v>
      </c>
      <c r="F109" s="300">
        <v>3233</v>
      </c>
      <c r="G109" s="342" t="s">
        <v>403</v>
      </c>
      <c r="H109" s="303" t="s">
        <v>278</v>
      </c>
      <c r="I109" s="462">
        <f t="shared" ref="I109" si="336">SUM(J109:M109)</f>
        <v>2736572</v>
      </c>
      <c r="J109" s="457">
        <v>2027605</v>
      </c>
      <c r="K109" s="457">
        <f>ROUND(J109*33.8%,0)+1</f>
        <v>685331</v>
      </c>
      <c r="L109" s="457">
        <f>ROUND(J109*1%,0)</f>
        <v>20276</v>
      </c>
      <c r="M109" s="457">
        <v>3360</v>
      </c>
      <c r="N109" s="458">
        <f t="shared" ref="N109" si="337">O109+P109</f>
        <v>4.5600000000000005</v>
      </c>
      <c r="O109" s="459">
        <v>2.94</v>
      </c>
      <c r="P109" s="646">
        <v>1.62</v>
      </c>
      <c r="Q109" s="469">
        <f t="shared" ref="Q109" si="338">W109*-1</f>
        <v>0</v>
      </c>
      <c r="R109" s="460">
        <v>0</v>
      </c>
      <c r="S109" s="673">
        <v>0</v>
      </c>
      <c r="T109" s="460">
        <v>0</v>
      </c>
      <c r="U109" s="460">
        <v>0</v>
      </c>
      <c r="V109" s="460">
        <f>SUM(Q109:U109)</f>
        <v>0</v>
      </c>
      <c r="W109" s="460">
        <v>0</v>
      </c>
      <c r="X109" s="460">
        <v>0</v>
      </c>
      <c r="Y109" s="460">
        <v>0</v>
      </c>
      <c r="Z109" s="460">
        <f t="shared" ref="Z109" si="339">SUM(W109:Y109)</f>
        <v>0</v>
      </c>
      <c r="AA109" s="460">
        <f t="shared" ref="AA109" si="340">V109+Z109</f>
        <v>0</v>
      </c>
      <c r="AB109" s="69">
        <f t="shared" ref="AB109" si="341">ROUND((V109+W109+X109)*33.8%,0)</f>
        <v>0</v>
      </c>
      <c r="AC109" s="69">
        <f>ROUND(V109*1%,0)</f>
        <v>0</v>
      </c>
      <c r="AD109" s="460">
        <v>0</v>
      </c>
      <c r="AE109" s="460">
        <v>0</v>
      </c>
      <c r="AF109" s="460">
        <f t="shared" ref="AF109" si="342">SUM(AD109:AE109)</f>
        <v>0</v>
      </c>
      <c r="AG109" s="460">
        <f t="shared" ref="AG109" si="343">AA109+AB109+AC109+AF109</f>
        <v>0</v>
      </c>
      <c r="AH109" s="461">
        <v>0</v>
      </c>
      <c r="AI109" s="461">
        <v>0</v>
      </c>
      <c r="AJ109" s="461">
        <v>0</v>
      </c>
      <c r="AK109" s="461">
        <v>0</v>
      </c>
      <c r="AL109" s="674">
        <v>0</v>
      </c>
      <c r="AM109" s="461">
        <v>0</v>
      </c>
      <c r="AN109" s="461">
        <v>0</v>
      </c>
      <c r="AO109" s="461">
        <v>0</v>
      </c>
      <c r="AP109" s="461">
        <f>AH109+AJ109+AK109+AM109+AN109</f>
        <v>0</v>
      </c>
      <c r="AQ109" s="461">
        <f>AI109+AL109+AO109</f>
        <v>0</v>
      </c>
      <c r="AR109" s="463">
        <f t="shared" ref="AR109" si="344">SUM(AP109:AQ109)</f>
        <v>0</v>
      </c>
      <c r="AS109" s="469">
        <f>I109+AG109</f>
        <v>2736572</v>
      </c>
      <c r="AT109" s="460">
        <f>J109+V109</f>
        <v>2027605</v>
      </c>
      <c r="AU109" s="460">
        <f>Z109</f>
        <v>0</v>
      </c>
      <c r="AV109" s="460">
        <f>K109+AB109</f>
        <v>685331</v>
      </c>
      <c r="AW109" s="460">
        <f>L109+AC109</f>
        <v>20276</v>
      </c>
      <c r="AX109" s="460">
        <f>M109+AF109</f>
        <v>3360</v>
      </c>
      <c r="AY109" s="461">
        <f>N109+AR109</f>
        <v>4.5600000000000005</v>
      </c>
      <c r="AZ109" s="461">
        <f>O109+AP109</f>
        <v>2.94</v>
      </c>
      <c r="BA109" s="463">
        <f>P109+AQ109</f>
        <v>1.62</v>
      </c>
    </row>
    <row r="110" spans="1:53" ht="12.95" customHeight="1" x14ac:dyDescent="0.25">
      <c r="A110" s="343">
        <v>19</v>
      </c>
      <c r="B110" s="344">
        <v>5425</v>
      </c>
      <c r="C110" s="345">
        <v>600099521</v>
      </c>
      <c r="D110" s="344">
        <v>854859</v>
      </c>
      <c r="E110" s="346" t="s">
        <v>404</v>
      </c>
      <c r="F110" s="310"/>
      <c r="G110" s="348"/>
      <c r="H110" s="311"/>
      <c r="I110" s="552">
        <f t="shared" ref="I110:BA110" si="345">SUM(I109)</f>
        <v>2736572</v>
      </c>
      <c r="J110" s="548">
        <f t="shared" si="345"/>
        <v>2027605</v>
      </c>
      <c r="K110" s="548">
        <f t="shared" si="345"/>
        <v>685331</v>
      </c>
      <c r="L110" s="548">
        <f t="shared" si="345"/>
        <v>20276</v>
      </c>
      <c r="M110" s="548">
        <f t="shared" si="345"/>
        <v>3360</v>
      </c>
      <c r="N110" s="549">
        <f t="shared" si="345"/>
        <v>4.5600000000000005</v>
      </c>
      <c r="O110" s="549">
        <f t="shared" si="345"/>
        <v>2.94</v>
      </c>
      <c r="P110" s="347">
        <f t="shared" si="345"/>
        <v>1.62</v>
      </c>
      <c r="Q110" s="554">
        <f t="shared" si="345"/>
        <v>0</v>
      </c>
      <c r="R110" s="548">
        <f t="shared" si="345"/>
        <v>0</v>
      </c>
      <c r="S110" s="548">
        <f t="shared" si="345"/>
        <v>0</v>
      </c>
      <c r="T110" s="548">
        <f t="shared" si="345"/>
        <v>0</v>
      </c>
      <c r="U110" s="548">
        <f t="shared" si="345"/>
        <v>0</v>
      </c>
      <c r="V110" s="548">
        <f t="shared" si="345"/>
        <v>0</v>
      </c>
      <c r="W110" s="548">
        <f t="shared" si="345"/>
        <v>0</v>
      </c>
      <c r="X110" s="548">
        <f t="shared" si="345"/>
        <v>0</v>
      </c>
      <c r="Y110" s="548">
        <f t="shared" si="345"/>
        <v>0</v>
      </c>
      <c r="Z110" s="548">
        <f t="shared" si="345"/>
        <v>0</v>
      </c>
      <c r="AA110" s="548">
        <f t="shared" si="345"/>
        <v>0</v>
      </c>
      <c r="AB110" s="548">
        <f t="shared" si="345"/>
        <v>0</v>
      </c>
      <c r="AC110" s="548">
        <f t="shared" si="345"/>
        <v>0</v>
      </c>
      <c r="AD110" s="548">
        <f t="shared" si="345"/>
        <v>0</v>
      </c>
      <c r="AE110" s="548">
        <f t="shared" si="345"/>
        <v>0</v>
      </c>
      <c r="AF110" s="548">
        <f t="shared" si="345"/>
        <v>0</v>
      </c>
      <c r="AG110" s="548">
        <f t="shared" si="345"/>
        <v>0</v>
      </c>
      <c r="AH110" s="549">
        <f t="shared" si="345"/>
        <v>0</v>
      </c>
      <c r="AI110" s="549">
        <f t="shared" si="345"/>
        <v>0</v>
      </c>
      <c r="AJ110" s="549">
        <f t="shared" si="345"/>
        <v>0</v>
      </c>
      <c r="AK110" s="549">
        <f t="shared" si="345"/>
        <v>0</v>
      </c>
      <c r="AL110" s="549">
        <f t="shared" si="345"/>
        <v>0</v>
      </c>
      <c r="AM110" s="549">
        <f t="shared" si="345"/>
        <v>0</v>
      </c>
      <c r="AN110" s="549">
        <f t="shared" si="345"/>
        <v>0</v>
      </c>
      <c r="AO110" s="549">
        <f t="shared" si="345"/>
        <v>0</v>
      </c>
      <c r="AP110" s="549">
        <f t="shared" si="345"/>
        <v>0</v>
      </c>
      <c r="AQ110" s="549">
        <f t="shared" si="345"/>
        <v>0</v>
      </c>
      <c r="AR110" s="347">
        <f t="shared" si="345"/>
        <v>0</v>
      </c>
      <c r="AS110" s="554">
        <f t="shared" si="345"/>
        <v>2736572</v>
      </c>
      <c r="AT110" s="548">
        <f t="shared" si="345"/>
        <v>2027605</v>
      </c>
      <c r="AU110" s="548">
        <f t="shared" si="345"/>
        <v>0</v>
      </c>
      <c r="AV110" s="548">
        <f t="shared" si="345"/>
        <v>685331</v>
      </c>
      <c r="AW110" s="548">
        <f t="shared" si="345"/>
        <v>20276</v>
      </c>
      <c r="AX110" s="548">
        <f t="shared" si="345"/>
        <v>3360</v>
      </c>
      <c r="AY110" s="549">
        <f t="shared" si="345"/>
        <v>4.5600000000000005</v>
      </c>
      <c r="AZ110" s="549">
        <f t="shared" si="345"/>
        <v>2.94</v>
      </c>
      <c r="BA110" s="347">
        <f t="shared" si="345"/>
        <v>1.62</v>
      </c>
    </row>
    <row r="111" spans="1:53" ht="12.95" customHeight="1" x14ac:dyDescent="0.25">
      <c r="A111" s="299">
        <v>20</v>
      </c>
      <c r="B111" s="340">
        <v>5426</v>
      </c>
      <c r="C111" s="341">
        <v>600098761</v>
      </c>
      <c r="D111" s="300">
        <v>72742615</v>
      </c>
      <c r="E111" s="342" t="s">
        <v>405</v>
      </c>
      <c r="F111" s="300">
        <v>3111</v>
      </c>
      <c r="G111" s="342" t="s">
        <v>321</v>
      </c>
      <c r="H111" s="303" t="s">
        <v>277</v>
      </c>
      <c r="I111" s="462">
        <f t="shared" ref="I111:I113" si="346">SUM(J111:M111)</f>
        <v>6499521</v>
      </c>
      <c r="J111" s="457">
        <v>4796974</v>
      </c>
      <c r="K111" s="457">
        <f t="shared" ref="K111:K113" si="347">ROUND(J111*33.8%,0)</f>
        <v>1621377</v>
      </c>
      <c r="L111" s="457">
        <f t="shared" ref="L111:L113" si="348">ROUND(J111*1%,0)</f>
        <v>47970</v>
      </c>
      <c r="M111" s="457">
        <v>33200</v>
      </c>
      <c r="N111" s="458">
        <f t="shared" ref="N111:N113" si="349">O111+P111</f>
        <v>10.24</v>
      </c>
      <c r="O111" s="459">
        <v>8</v>
      </c>
      <c r="P111" s="646">
        <v>2.2400000000000002</v>
      </c>
      <c r="Q111" s="469">
        <f t="shared" ref="Q111:Q113" si="350">W111*-1</f>
        <v>0</v>
      </c>
      <c r="R111" s="460">
        <v>0</v>
      </c>
      <c r="S111" s="673">
        <v>0</v>
      </c>
      <c r="T111" s="460">
        <v>0</v>
      </c>
      <c r="U111" s="460">
        <v>0</v>
      </c>
      <c r="V111" s="460">
        <f>SUM(Q111:U111)</f>
        <v>0</v>
      </c>
      <c r="W111" s="460">
        <v>0</v>
      </c>
      <c r="X111" s="460">
        <v>0</v>
      </c>
      <c r="Y111" s="460">
        <v>0</v>
      </c>
      <c r="Z111" s="460">
        <f t="shared" ref="Z111:Z113" si="351">SUM(W111:Y111)</f>
        <v>0</v>
      </c>
      <c r="AA111" s="460">
        <f t="shared" ref="AA111:AA113" si="352">V111+Z111</f>
        <v>0</v>
      </c>
      <c r="AB111" s="69">
        <f t="shared" ref="AB111:AB113" si="353">ROUND((V111+W111+X111)*33.8%,0)</f>
        <v>0</v>
      </c>
      <c r="AC111" s="69">
        <f t="shared" ref="AC111:AC113" si="354">ROUND(V111*1%,0)</f>
        <v>0</v>
      </c>
      <c r="AD111" s="460">
        <v>0</v>
      </c>
      <c r="AE111" s="460">
        <v>0</v>
      </c>
      <c r="AF111" s="460">
        <f t="shared" ref="AF111:AF113" si="355">SUM(AD111:AE111)</f>
        <v>0</v>
      </c>
      <c r="AG111" s="460">
        <f t="shared" ref="AG111:AG113" si="356">AA111+AB111+AC111+AF111</f>
        <v>0</v>
      </c>
      <c r="AH111" s="461">
        <v>0</v>
      </c>
      <c r="AI111" s="461">
        <v>0</v>
      </c>
      <c r="AJ111" s="461">
        <v>0</v>
      </c>
      <c r="AK111" s="461">
        <v>0</v>
      </c>
      <c r="AL111" s="674">
        <v>0</v>
      </c>
      <c r="AM111" s="461">
        <v>0</v>
      </c>
      <c r="AN111" s="461">
        <v>0</v>
      </c>
      <c r="AO111" s="461">
        <v>0</v>
      </c>
      <c r="AP111" s="461">
        <f>AH111+AJ111+AK111+AM111+AN111</f>
        <v>0</v>
      </c>
      <c r="AQ111" s="461">
        <f>AI111+AL111+AO111</f>
        <v>0</v>
      </c>
      <c r="AR111" s="463">
        <f t="shared" ref="AR111:AR113" si="357">SUM(AP111:AQ111)</f>
        <v>0</v>
      </c>
      <c r="AS111" s="469">
        <f>I111+AG111</f>
        <v>6499521</v>
      </c>
      <c r="AT111" s="460">
        <f>J111+V111</f>
        <v>4796974</v>
      </c>
      <c r="AU111" s="460">
        <f t="shared" ref="AU111:AU113" si="358">Z111</f>
        <v>0</v>
      </c>
      <c r="AV111" s="460">
        <f t="shared" ref="AV111:AW113" si="359">K111+AB111</f>
        <v>1621377</v>
      </c>
      <c r="AW111" s="460">
        <f t="shared" si="359"/>
        <v>47970</v>
      </c>
      <c r="AX111" s="460">
        <f>M111+AF111</f>
        <v>33200</v>
      </c>
      <c r="AY111" s="461">
        <f>N111+AR111</f>
        <v>10.24</v>
      </c>
      <c r="AZ111" s="461">
        <f t="shared" ref="AZ111:BA113" si="360">O111+AP111</f>
        <v>8</v>
      </c>
      <c r="BA111" s="463">
        <f t="shared" si="360"/>
        <v>2.2400000000000002</v>
      </c>
    </row>
    <row r="112" spans="1:53" ht="12.95" customHeight="1" x14ac:dyDescent="0.25">
      <c r="A112" s="299">
        <v>20</v>
      </c>
      <c r="B112" s="340">
        <v>5426</v>
      </c>
      <c r="C112" s="341">
        <v>600098761</v>
      </c>
      <c r="D112" s="300">
        <v>72742615</v>
      </c>
      <c r="E112" s="342" t="s">
        <v>405</v>
      </c>
      <c r="F112" s="300">
        <v>3111</v>
      </c>
      <c r="G112" s="350" t="s">
        <v>315</v>
      </c>
      <c r="H112" s="303" t="s">
        <v>278</v>
      </c>
      <c r="I112" s="462">
        <f t="shared" si="346"/>
        <v>0</v>
      </c>
      <c r="J112" s="457">
        <v>0</v>
      </c>
      <c r="K112" s="457">
        <f t="shared" si="347"/>
        <v>0</v>
      </c>
      <c r="L112" s="457">
        <f t="shared" si="348"/>
        <v>0</v>
      </c>
      <c r="M112" s="457">
        <v>0</v>
      </c>
      <c r="N112" s="458">
        <f t="shared" si="349"/>
        <v>0</v>
      </c>
      <c r="O112" s="459">
        <v>0</v>
      </c>
      <c r="P112" s="646">
        <v>0</v>
      </c>
      <c r="Q112" s="469">
        <f t="shared" si="350"/>
        <v>0</v>
      </c>
      <c r="R112" s="460">
        <v>716029</v>
      </c>
      <c r="S112" s="673">
        <v>0</v>
      </c>
      <c r="T112" s="460">
        <v>0</v>
      </c>
      <c r="U112" s="460">
        <v>0</v>
      </c>
      <c r="V112" s="460">
        <f>SUM(Q112:U112)</f>
        <v>716029</v>
      </c>
      <c r="W112" s="460">
        <v>0</v>
      </c>
      <c r="X112" s="460">
        <v>0</v>
      </c>
      <c r="Y112" s="460">
        <v>0</v>
      </c>
      <c r="Z112" s="460">
        <f t="shared" si="351"/>
        <v>0</v>
      </c>
      <c r="AA112" s="460">
        <f t="shared" si="352"/>
        <v>716029</v>
      </c>
      <c r="AB112" s="69">
        <f t="shared" si="353"/>
        <v>242018</v>
      </c>
      <c r="AC112" s="69">
        <f t="shared" si="354"/>
        <v>7160</v>
      </c>
      <c r="AD112" s="460">
        <v>0</v>
      </c>
      <c r="AE112" s="460">
        <v>0</v>
      </c>
      <c r="AF112" s="460">
        <f t="shared" si="355"/>
        <v>0</v>
      </c>
      <c r="AG112" s="460">
        <f t="shared" si="356"/>
        <v>965207</v>
      </c>
      <c r="AH112" s="461">
        <v>0</v>
      </c>
      <c r="AI112" s="461">
        <v>0</v>
      </c>
      <c r="AJ112" s="461">
        <v>2.0499999999999998</v>
      </c>
      <c r="AK112" s="461">
        <v>0</v>
      </c>
      <c r="AL112" s="674">
        <v>0</v>
      </c>
      <c r="AM112" s="461">
        <v>0</v>
      </c>
      <c r="AN112" s="461">
        <v>0</v>
      </c>
      <c r="AO112" s="461">
        <v>0</v>
      </c>
      <c r="AP112" s="461">
        <f>AH112+AJ112+AK112+AM112+AN112</f>
        <v>2.0499999999999998</v>
      </c>
      <c r="AQ112" s="461">
        <f>AI112+AL112+AO112</f>
        <v>0</v>
      </c>
      <c r="AR112" s="463">
        <f t="shared" si="357"/>
        <v>2.0499999999999998</v>
      </c>
      <c r="AS112" s="469">
        <f>I112+AG112</f>
        <v>965207</v>
      </c>
      <c r="AT112" s="460">
        <f>J112+V112</f>
        <v>716029</v>
      </c>
      <c r="AU112" s="460">
        <f t="shared" si="358"/>
        <v>0</v>
      </c>
      <c r="AV112" s="460">
        <f t="shared" si="359"/>
        <v>242018</v>
      </c>
      <c r="AW112" s="460">
        <f t="shared" si="359"/>
        <v>7160</v>
      </c>
      <c r="AX112" s="460">
        <f>M112+AF112</f>
        <v>0</v>
      </c>
      <c r="AY112" s="461">
        <f>N112+AR112</f>
        <v>2.0499999999999998</v>
      </c>
      <c r="AZ112" s="461">
        <f t="shared" si="360"/>
        <v>2.0499999999999998</v>
      </c>
      <c r="BA112" s="463">
        <f t="shared" si="360"/>
        <v>0</v>
      </c>
    </row>
    <row r="113" spans="1:53" ht="12.95" customHeight="1" x14ac:dyDescent="0.25">
      <c r="A113" s="299">
        <v>20</v>
      </c>
      <c r="B113" s="340">
        <v>5426</v>
      </c>
      <c r="C113" s="341">
        <v>600098761</v>
      </c>
      <c r="D113" s="300">
        <v>72742615</v>
      </c>
      <c r="E113" s="342" t="s">
        <v>405</v>
      </c>
      <c r="F113" s="300">
        <v>3141</v>
      </c>
      <c r="G113" s="342" t="s">
        <v>311</v>
      </c>
      <c r="H113" s="303" t="s">
        <v>278</v>
      </c>
      <c r="I113" s="462">
        <f t="shared" si="346"/>
        <v>923238</v>
      </c>
      <c r="J113" s="457">
        <v>681654</v>
      </c>
      <c r="K113" s="457">
        <f t="shared" si="347"/>
        <v>230399</v>
      </c>
      <c r="L113" s="457">
        <f t="shared" si="348"/>
        <v>6817</v>
      </c>
      <c r="M113" s="457">
        <v>4368</v>
      </c>
      <c r="N113" s="458">
        <f t="shared" si="349"/>
        <v>2.19</v>
      </c>
      <c r="O113" s="459">
        <v>0</v>
      </c>
      <c r="P113" s="646">
        <v>2.19</v>
      </c>
      <c r="Q113" s="469">
        <f t="shared" si="350"/>
        <v>0</v>
      </c>
      <c r="R113" s="460">
        <v>0</v>
      </c>
      <c r="S113" s="673">
        <v>0</v>
      </c>
      <c r="T113" s="460">
        <v>0</v>
      </c>
      <c r="U113" s="460">
        <v>0</v>
      </c>
      <c r="V113" s="460">
        <f>SUM(Q113:U113)</f>
        <v>0</v>
      </c>
      <c r="W113" s="460">
        <v>0</v>
      </c>
      <c r="X113" s="460">
        <v>0</v>
      </c>
      <c r="Y113" s="460">
        <v>0</v>
      </c>
      <c r="Z113" s="460">
        <f t="shared" si="351"/>
        <v>0</v>
      </c>
      <c r="AA113" s="460">
        <f t="shared" si="352"/>
        <v>0</v>
      </c>
      <c r="AB113" s="69">
        <f t="shared" si="353"/>
        <v>0</v>
      </c>
      <c r="AC113" s="69">
        <f t="shared" si="354"/>
        <v>0</v>
      </c>
      <c r="AD113" s="460">
        <v>0</v>
      </c>
      <c r="AE113" s="460">
        <v>0</v>
      </c>
      <c r="AF113" s="460">
        <f t="shared" si="355"/>
        <v>0</v>
      </c>
      <c r="AG113" s="460">
        <f t="shared" si="356"/>
        <v>0</v>
      </c>
      <c r="AH113" s="461">
        <v>0</v>
      </c>
      <c r="AI113" s="461">
        <v>0</v>
      </c>
      <c r="AJ113" s="461">
        <v>0</v>
      </c>
      <c r="AK113" s="461">
        <v>0</v>
      </c>
      <c r="AL113" s="674">
        <v>0</v>
      </c>
      <c r="AM113" s="461">
        <v>0</v>
      </c>
      <c r="AN113" s="461">
        <v>0</v>
      </c>
      <c r="AO113" s="461">
        <v>0</v>
      </c>
      <c r="AP113" s="461">
        <f>AH113+AJ113+AK113+AM113+AN113</f>
        <v>0</v>
      </c>
      <c r="AQ113" s="461">
        <f>AI113+AL113+AO113</f>
        <v>0</v>
      </c>
      <c r="AR113" s="463">
        <f t="shared" si="357"/>
        <v>0</v>
      </c>
      <c r="AS113" s="469">
        <f>I113+AG113</f>
        <v>923238</v>
      </c>
      <c r="AT113" s="460">
        <f>J113+V113</f>
        <v>681654</v>
      </c>
      <c r="AU113" s="460">
        <f t="shared" si="358"/>
        <v>0</v>
      </c>
      <c r="AV113" s="460">
        <f t="shared" si="359"/>
        <v>230399</v>
      </c>
      <c r="AW113" s="460">
        <f t="shared" si="359"/>
        <v>6817</v>
      </c>
      <c r="AX113" s="460">
        <f>M113+AF113</f>
        <v>4368</v>
      </c>
      <c r="AY113" s="461">
        <f>N113+AR113</f>
        <v>2.19</v>
      </c>
      <c r="AZ113" s="461">
        <f t="shared" si="360"/>
        <v>0</v>
      </c>
      <c r="BA113" s="463">
        <f t="shared" si="360"/>
        <v>2.19</v>
      </c>
    </row>
    <row r="114" spans="1:53" ht="12.95" customHeight="1" x14ac:dyDescent="0.25">
      <c r="A114" s="343">
        <v>20</v>
      </c>
      <c r="B114" s="344">
        <v>5426</v>
      </c>
      <c r="C114" s="345">
        <v>600098761</v>
      </c>
      <c r="D114" s="344">
        <v>72742615</v>
      </c>
      <c r="E114" s="346" t="s">
        <v>406</v>
      </c>
      <c r="F114" s="310"/>
      <c r="G114" s="348"/>
      <c r="H114" s="311"/>
      <c r="I114" s="553">
        <f t="shared" ref="I114:P114" si="361">SUM(I111:I113)</f>
        <v>7422759</v>
      </c>
      <c r="J114" s="550">
        <f t="shared" si="361"/>
        <v>5478628</v>
      </c>
      <c r="K114" s="550">
        <f t="shared" si="361"/>
        <v>1851776</v>
      </c>
      <c r="L114" s="550">
        <f t="shared" si="361"/>
        <v>54787</v>
      </c>
      <c r="M114" s="550">
        <f t="shared" si="361"/>
        <v>37568</v>
      </c>
      <c r="N114" s="551">
        <f t="shared" si="361"/>
        <v>12.43</v>
      </c>
      <c r="O114" s="551">
        <f t="shared" si="361"/>
        <v>8</v>
      </c>
      <c r="P114" s="352">
        <f t="shared" si="361"/>
        <v>4.43</v>
      </c>
      <c r="Q114" s="555">
        <f t="shared" ref="Q114:BA114" si="362">SUM(Q111:Q113)</f>
        <v>0</v>
      </c>
      <c r="R114" s="550">
        <f t="shared" si="362"/>
        <v>716029</v>
      </c>
      <c r="S114" s="550">
        <f t="shared" si="362"/>
        <v>0</v>
      </c>
      <c r="T114" s="550">
        <f t="shared" si="362"/>
        <v>0</v>
      </c>
      <c r="U114" s="550">
        <f t="shared" si="362"/>
        <v>0</v>
      </c>
      <c r="V114" s="550">
        <f t="shared" si="362"/>
        <v>716029</v>
      </c>
      <c r="W114" s="550">
        <f t="shared" si="362"/>
        <v>0</v>
      </c>
      <c r="X114" s="550">
        <f t="shared" si="362"/>
        <v>0</v>
      </c>
      <c r="Y114" s="550">
        <f t="shared" si="362"/>
        <v>0</v>
      </c>
      <c r="Z114" s="550">
        <f t="shared" si="362"/>
        <v>0</v>
      </c>
      <c r="AA114" s="550">
        <f t="shared" si="362"/>
        <v>716029</v>
      </c>
      <c r="AB114" s="550">
        <f t="shared" si="362"/>
        <v>242018</v>
      </c>
      <c r="AC114" s="550">
        <f t="shared" si="362"/>
        <v>7160</v>
      </c>
      <c r="AD114" s="550">
        <f t="shared" si="362"/>
        <v>0</v>
      </c>
      <c r="AE114" s="550">
        <f t="shared" si="362"/>
        <v>0</v>
      </c>
      <c r="AF114" s="550">
        <f t="shared" si="362"/>
        <v>0</v>
      </c>
      <c r="AG114" s="550">
        <f t="shared" si="362"/>
        <v>965207</v>
      </c>
      <c r="AH114" s="551">
        <f t="shared" si="362"/>
        <v>0</v>
      </c>
      <c r="AI114" s="551">
        <f t="shared" si="362"/>
        <v>0</v>
      </c>
      <c r="AJ114" s="551">
        <f t="shared" si="362"/>
        <v>2.0499999999999998</v>
      </c>
      <c r="AK114" s="551">
        <f t="shared" si="362"/>
        <v>0</v>
      </c>
      <c r="AL114" s="551">
        <f t="shared" si="362"/>
        <v>0</v>
      </c>
      <c r="AM114" s="551">
        <f t="shared" si="362"/>
        <v>0</v>
      </c>
      <c r="AN114" s="551">
        <f t="shared" si="362"/>
        <v>0</v>
      </c>
      <c r="AO114" s="551">
        <f t="shared" si="362"/>
        <v>0</v>
      </c>
      <c r="AP114" s="551">
        <f t="shared" si="362"/>
        <v>2.0499999999999998</v>
      </c>
      <c r="AQ114" s="551">
        <f t="shared" si="362"/>
        <v>0</v>
      </c>
      <c r="AR114" s="352">
        <f t="shared" si="362"/>
        <v>2.0499999999999998</v>
      </c>
      <c r="AS114" s="555">
        <f t="shared" si="362"/>
        <v>8387966</v>
      </c>
      <c r="AT114" s="550">
        <f t="shared" si="362"/>
        <v>6194657</v>
      </c>
      <c r="AU114" s="550">
        <f t="shared" si="362"/>
        <v>0</v>
      </c>
      <c r="AV114" s="550">
        <f t="shared" si="362"/>
        <v>2093794</v>
      </c>
      <c r="AW114" s="550">
        <f t="shared" si="362"/>
        <v>61947</v>
      </c>
      <c r="AX114" s="550">
        <f t="shared" si="362"/>
        <v>37568</v>
      </c>
      <c r="AY114" s="551">
        <f t="shared" si="362"/>
        <v>14.479999999999999</v>
      </c>
      <c r="AZ114" s="551">
        <f t="shared" si="362"/>
        <v>10.050000000000001</v>
      </c>
      <c r="BA114" s="352">
        <f t="shared" si="362"/>
        <v>4.43</v>
      </c>
    </row>
    <row r="115" spans="1:53" ht="12.95" customHeight="1" x14ac:dyDescent="0.25">
      <c r="A115" s="299">
        <v>21</v>
      </c>
      <c r="B115" s="340">
        <v>5423</v>
      </c>
      <c r="C115" s="341">
        <v>600098516</v>
      </c>
      <c r="D115" s="300">
        <v>72742453</v>
      </c>
      <c r="E115" s="342" t="s">
        <v>407</v>
      </c>
      <c r="F115" s="300">
        <v>3111</v>
      </c>
      <c r="G115" s="342" t="s">
        <v>321</v>
      </c>
      <c r="H115" s="303" t="s">
        <v>277</v>
      </c>
      <c r="I115" s="462">
        <f t="shared" ref="I115:I117" si="363">SUM(J115:M115)</f>
        <v>10288808</v>
      </c>
      <c r="J115" s="457">
        <v>7582869</v>
      </c>
      <c r="K115" s="457">
        <f t="shared" ref="K115:K117" si="364">ROUND(J115*33.8%,0)</f>
        <v>2563010</v>
      </c>
      <c r="L115" s="457">
        <f t="shared" ref="L115:L117" si="365">ROUND(J115*1%,0)</f>
        <v>75829</v>
      </c>
      <c r="M115" s="457">
        <v>67100</v>
      </c>
      <c r="N115" s="458">
        <f t="shared" ref="N115:N117" si="366">O115+P115</f>
        <v>15.865499999999999</v>
      </c>
      <c r="O115" s="459">
        <v>11.935499999999999</v>
      </c>
      <c r="P115" s="646">
        <v>3.9299999999999997</v>
      </c>
      <c r="Q115" s="469">
        <f t="shared" ref="Q115:Q117" si="367">W115*-1</f>
        <v>0</v>
      </c>
      <c r="R115" s="460">
        <v>0</v>
      </c>
      <c r="S115" s="673">
        <v>0</v>
      </c>
      <c r="T115" s="460">
        <v>0</v>
      </c>
      <c r="U115" s="460">
        <v>0</v>
      </c>
      <c r="V115" s="460">
        <f>SUM(Q115:U115)</f>
        <v>0</v>
      </c>
      <c r="W115" s="460">
        <v>0</v>
      </c>
      <c r="X115" s="460">
        <v>0</v>
      </c>
      <c r="Y115" s="460">
        <v>0</v>
      </c>
      <c r="Z115" s="460">
        <f t="shared" ref="Z115:Z117" si="368">SUM(W115:Y115)</f>
        <v>0</v>
      </c>
      <c r="AA115" s="460">
        <f t="shared" ref="AA115:AA117" si="369">V115+Z115</f>
        <v>0</v>
      </c>
      <c r="AB115" s="69">
        <f t="shared" ref="AB115:AB117" si="370">ROUND((V115+W115+X115)*33.8%,0)</f>
        <v>0</v>
      </c>
      <c r="AC115" s="69">
        <f t="shared" ref="AC115:AC117" si="371">ROUND(V115*1%,0)</f>
        <v>0</v>
      </c>
      <c r="AD115" s="460">
        <v>0</v>
      </c>
      <c r="AE115" s="460">
        <v>0</v>
      </c>
      <c r="AF115" s="460">
        <f t="shared" ref="AF115:AF117" si="372">SUM(AD115:AE115)</f>
        <v>0</v>
      </c>
      <c r="AG115" s="460">
        <f t="shared" ref="AG115:AG117" si="373">AA115+AB115+AC115+AF115</f>
        <v>0</v>
      </c>
      <c r="AH115" s="461">
        <v>0</v>
      </c>
      <c r="AI115" s="461">
        <v>0</v>
      </c>
      <c r="AJ115" s="461">
        <v>0</v>
      </c>
      <c r="AK115" s="461">
        <v>0</v>
      </c>
      <c r="AL115" s="674">
        <v>0</v>
      </c>
      <c r="AM115" s="461">
        <v>0</v>
      </c>
      <c r="AN115" s="461">
        <v>0</v>
      </c>
      <c r="AO115" s="461">
        <v>0</v>
      </c>
      <c r="AP115" s="461">
        <f>AH115+AJ115+AK115+AM115+AN115</f>
        <v>0</v>
      </c>
      <c r="AQ115" s="461">
        <f>AI115+AL115+AO115</f>
        <v>0</v>
      </c>
      <c r="AR115" s="463">
        <f t="shared" ref="AR115:AR117" si="374">SUM(AP115:AQ115)</f>
        <v>0</v>
      </c>
      <c r="AS115" s="469">
        <f>I115+AG115</f>
        <v>10288808</v>
      </c>
      <c r="AT115" s="460">
        <f>J115+V115</f>
        <v>7582869</v>
      </c>
      <c r="AU115" s="460">
        <f t="shared" ref="AU115:AU117" si="375">Z115</f>
        <v>0</v>
      </c>
      <c r="AV115" s="460">
        <f t="shared" ref="AV115:AW117" si="376">K115+AB115</f>
        <v>2563010</v>
      </c>
      <c r="AW115" s="460">
        <f t="shared" si="376"/>
        <v>75829</v>
      </c>
      <c r="AX115" s="460">
        <f>M115+AF115</f>
        <v>67100</v>
      </c>
      <c r="AY115" s="461">
        <f>N115+AR115</f>
        <v>15.865499999999999</v>
      </c>
      <c r="AZ115" s="461">
        <f t="shared" ref="AZ115:BA117" si="377">O115+AP115</f>
        <v>11.935499999999999</v>
      </c>
      <c r="BA115" s="463">
        <f t="shared" si="377"/>
        <v>3.9299999999999997</v>
      </c>
    </row>
    <row r="116" spans="1:53" ht="12.95" customHeight="1" x14ac:dyDescent="0.25">
      <c r="A116" s="299">
        <v>21</v>
      </c>
      <c r="B116" s="340">
        <v>5423</v>
      </c>
      <c r="C116" s="341">
        <v>600098516</v>
      </c>
      <c r="D116" s="300">
        <v>72742453</v>
      </c>
      <c r="E116" s="342" t="s">
        <v>407</v>
      </c>
      <c r="F116" s="300">
        <v>3111</v>
      </c>
      <c r="G116" s="342" t="s">
        <v>315</v>
      </c>
      <c r="H116" s="303" t="s">
        <v>278</v>
      </c>
      <c r="I116" s="462">
        <f t="shared" si="363"/>
        <v>0</v>
      </c>
      <c r="J116" s="457">
        <v>0</v>
      </c>
      <c r="K116" s="457">
        <f t="shared" si="364"/>
        <v>0</v>
      </c>
      <c r="L116" s="457">
        <f t="shared" si="365"/>
        <v>0</v>
      </c>
      <c r="M116" s="457">
        <v>0</v>
      </c>
      <c r="N116" s="458">
        <f t="shared" si="366"/>
        <v>0</v>
      </c>
      <c r="O116" s="459">
        <v>0</v>
      </c>
      <c r="P116" s="646">
        <v>0</v>
      </c>
      <c r="Q116" s="469">
        <f t="shared" si="367"/>
        <v>0</v>
      </c>
      <c r="R116" s="460">
        <v>692894</v>
      </c>
      <c r="S116" s="673">
        <v>0</v>
      </c>
      <c r="T116" s="460">
        <v>0</v>
      </c>
      <c r="U116" s="460">
        <v>0</v>
      </c>
      <c r="V116" s="460">
        <f>SUM(Q116:U116)</f>
        <v>692894</v>
      </c>
      <c r="W116" s="460">
        <v>0</v>
      </c>
      <c r="X116" s="460">
        <v>0</v>
      </c>
      <c r="Y116" s="460">
        <v>0</v>
      </c>
      <c r="Z116" s="460">
        <f t="shared" si="368"/>
        <v>0</v>
      </c>
      <c r="AA116" s="460">
        <f t="shared" si="369"/>
        <v>692894</v>
      </c>
      <c r="AB116" s="69">
        <f t="shared" si="370"/>
        <v>234198</v>
      </c>
      <c r="AC116" s="69">
        <f t="shared" si="371"/>
        <v>6929</v>
      </c>
      <c r="AD116" s="460">
        <v>500</v>
      </c>
      <c r="AE116" s="460">
        <v>0</v>
      </c>
      <c r="AF116" s="460">
        <f t="shared" si="372"/>
        <v>500</v>
      </c>
      <c r="AG116" s="460">
        <f t="shared" si="373"/>
        <v>934521</v>
      </c>
      <c r="AH116" s="461">
        <v>0</v>
      </c>
      <c r="AI116" s="461">
        <v>0</v>
      </c>
      <c r="AJ116" s="461">
        <v>2</v>
      </c>
      <c r="AK116" s="461">
        <v>0</v>
      </c>
      <c r="AL116" s="674">
        <v>0</v>
      </c>
      <c r="AM116" s="461">
        <v>0</v>
      </c>
      <c r="AN116" s="461">
        <v>0</v>
      </c>
      <c r="AO116" s="461">
        <v>0</v>
      </c>
      <c r="AP116" s="461">
        <f>AH116+AJ116+AK116+AM116+AN116</f>
        <v>2</v>
      </c>
      <c r="AQ116" s="461">
        <f>AI116+AL116+AO116</f>
        <v>0</v>
      </c>
      <c r="AR116" s="463">
        <f t="shared" si="374"/>
        <v>2</v>
      </c>
      <c r="AS116" s="469">
        <f>I116+AG116</f>
        <v>934521</v>
      </c>
      <c r="AT116" s="460">
        <f>J116+V116</f>
        <v>692894</v>
      </c>
      <c r="AU116" s="460">
        <f t="shared" si="375"/>
        <v>0</v>
      </c>
      <c r="AV116" s="460">
        <f t="shared" si="376"/>
        <v>234198</v>
      </c>
      <c r="AW116" s="460">
        <f t="shared" si="376"/>
        <v>6929</v>
      </c>
      <c r="AX116" s="460">
        <f>M116+AF116</f>
        <v>500</v>
      </c>
      <c r="AY116" s="461">
        <f>N116+AR116</f>
        <v>2</v>
      </c>
      <c r="AZ116" s="461">
        <f t="shared" si="377"/>
        <v>2</v>
      </c>
      <c r="BA116" s="463">
        <f t="shared" si="377"/>
        <v>0</v>
      </c>
    </row>
    <row r="117" spans="1:53" ht="12.95" customHeight="1" x14ac:dyDescent="0.25">
      <c r="A117" s="299">
        <v>21</v>
      </c>
      <c r="B117" s="340">
        <v>5423</v>
      </c>
      <c r="C117" s="341">
        <v>600098516</v>
      </c>
      <c r="D117" s="300">
        <v>72742453</v>
      </c>
      <c r="E117" s="342" t="s">
        <v>407</v>
      </c>
      <c r="F117" s="300">
        <v>3141</v>
      </c>
      <c r="G117" s="342" t="s">
        <v>311</v>
      </c>
      <c r="H117" s="303" t="s">
        <v>278</v>
      </c>
      <c r="I117" s="462">
        <f t="shared" si="363"/>
        <v>1567516</v>
      </c>
      <c r="J117" s="457">
        <f>181265+975866</f>
        <v>1157131</v>
      </c>
      <c r="K117" s="457">
        <f t="shared" si="364"/>
        <v>391110</v>
      </c>
      <c r="L117" s="457">
        <f t="shared" si="365"/>
        <v>11571</v>
      </c>
      <c r="M117" s="457">
        <f>1564+6140</f>
        <v>7704</v>
      </c>
      <c r="N117" s="458">
        <f t="shared" si="366"/>
        <v>3.72</v>
      </c>
      <c r="O117" s="459">
        <v>0</v>
      </c>
      <c r="P117" s="646">
        <f>0.58+3.14</f>
        <v>3.72</v>
      </c>
      <c r="Q117" s="469">
        <f t="shared" si="367"/>
        <v>0</v>
      </c>
      <c r="R117" s="460">
        <v>0</v>
      </c>
      <c r="S117" s="673">
        <v>0</v>
      </c>
      <c r="T117" s="460">
        <v>0</v>
      </c>
      <c r="U117" s="460">
        <v>0</v>
      </c>
      <c r="V117" s="460">
        <f>SUM(Q117:U117)</f>
        <v>0</v>
      </c>
      <c r="W117" s="460">
        <v>0</v>
      </c>
      <c r="X117" s="460">
        <v>0</v>
      </c>
      <c r="Y117" s="460">
        <v>0</v>
      </c>
      <c r="Z117" s="460">
        <f t="shared" si="368"/>
        <v>0</v>
      </c>
      <c r="AA117" s="460">
        <f t="shared" si="369"/>
        <v>0</v>
      </c>
      <c r="AB117" s="69">
        <f t="shared" si="370"/>
        <v>0</v>
      </c>
      <c r="AC117" s="69">
        <f t="shared" si="371"/>
        <v>0</v>
      </c>
      <c r="AD117" s="460">
        <v>0</v>
      </c>
      <c r="AE117" s="460">
        <v>0</v>
      </c>
      <c r="AF117" s="460">
        <f t="shared" si="372"/>
        <v>0</v>
      </c>
      <c r="AG117" s="460">
        <f t="shared" si="373"/>
        <v>0</v>
      </c>
      <c r="AH117" s="461">
        <v>0</v>
      </c>
      <c r="AI117" s="461">
        <v>0</v>
      </c>
      <c r="AJ117" s="461">
        <v>0</v>
      </c>
      <c r="AK117" s="461">
        <v>0</v>
      </c>
      <c r="AL117" s="674">
        <v>0</v>
      </c>
      <c r="AM117" s="461">
        <v>0</v>
      </c>
      <c r="AN117" s="461">
        <v>0</v>
      </c>
      <c r="AO117" s="461">
        <v>0</v>
      </c>
      <c r="AP117" s="461">
        <f>AH117+AJ117+AK117+AM117+AN117</f>
        <v>0</v>
      </c>
      <c r="AQ117" s="461">
        <f>AI117+AL117+AO117</f>
        <v>0</v>
      </c>
      <c r="AR117" s="463">
        <f t="shared" si="374"/>
        <v>0</v>
      </c>
      <c r="AS117" s="469">
        <f>I117+AG117</f>
        <v>1567516</v>
      </c>
      <c r="AT117" s="460">
        <f>J117+V117</f>
        <v>1157131</v>
      </c>
      <c r="AU117" s="460">
        <f t="shared" si="375"/>
        <v>0</v>
      </c>
      <c r="AV117" s="460">
        <f t="shared" si="376"/>
        <v>391110</v>
      </c>
      <c r="AW117" s="460">
        <f t="shared" si="376"/>
        <v>11571</v>
      </c>
      <c r="AX117" s="460">
        <f>M117+AF117</f>
        <v>7704</v>
      </c>
      <c r="AY117" s="461">
        <f>N117+AR117</f>
        <v>3.72</v>
      </c>
      <c r="AZ117" s="461">
        <f t="shared" si="377"/>
        <v>0</v>
      </c>
      <c r="BA117" s="463">
        <f t="shared" si="377"/>
        <v>3.72</v>
      </c>
    </row>
    <row r="118" spans="1:53" ht="12.95" customHeight="1" x14ac:dyDescent="0.25">
      <c r="A118" s="343">
        <v>21</v>
      </c>
      <c r="B118" s="344">
        <v>5423</v>
      </c>
      <c r="C118" s="345">
        <v>600098516</v>
      </c>
      <c r="D118" s="344">
        <v>72742453</v>
      </c>
      <c r="E118" s="346" t="s">
        <v>408</v>
      </c>
      <c r="F118" s="310"/>
      <c r="G118" s="348"/>
      <c r="H118" s="311"/>
      <c r="I118" s="552">
        <f t="shared" ref="I118:P118" si="378">SUM(I115:I117)</f>
        <v>11856324</v>
      </c>
      <c r="J118" s="548">
        <f t="shared" si="378"/>
        <v>8740000</v>
      </c>
      <c r="K118" s="548">
        <f t="shared" si="378"/>
        <v>2954120</v>
      </c>
      <c r="L118" s="548">
        <f t="shared" si="378"/>
        <v>87400</v>
      </c>
      <c r="M118" s="548">
        <f t="shared" si="378"/>
        <v>74804</v>
      </c>
      <c r="N118" s="549">
        <f t="shared" si="378"/>
        <v>19.5855</v>
      </c>
      <c r="O118" s="549">
        <f t="shared" si="378"/>
        <v>11.935499999999999</v>
      </c>
      <c r="P118" s="347">
        <f t="shared" si="378"/>
        <v>7.65</v>
      </c>
      <c r="Q118" s="554">
        <f t="shared" ref="Q118:BA118" si="379">SUM(Q115:Q117)</f>
        <v>0</v>
      </c>
      <c r="R118" s="548">
        <f t="shared" si="379"/>
        <v>692894</v>
      </c>
      <c r="S118" s="548">
        <f t="shared" si="379"/>
        <v>0</v>
      </c>
      <c r="T118" s="548">
        <f t="shared" si="379"/>
        <v>0</v>
      </c>
      <c r="U118" s="548">
        <f t="shared" si="379"/>
        <v>0</v>
      </c>
      <c r="V118" s="548">
        <f t="shared" si="379"/>
        <v>692894</v>
      </c>
      <c r="W118" s="548">
        <f t="shared" si="379"/>
        <v>0</v>
      </c>
      <c r="X118" s="548">
        <f t="shared" si="379"/>
        <v>0</v>
      </c>
      <c r="Y118" s="548">
        <f t="shared" si="379"/>
        <v>0</v>
      </c>
      <c r="Z118" s="548">
        <f t="shared" si="379"/>
        <v>0</v>
      </c>
      <c r="AA118" s="548">
        <f t="shared" si="379"/>
        <v>692894</v>
      </c>
      <c r="AB118" s="548">
        <f t="shared" si="379"/>
        <v>234198</v>
      </c>
      <c r="AC118" s="548">
        <f t="shared" si="379"/>
        <v>6929</v>
      </c>
      <c r="AD118" s="548">
        <f t="shared" si="379"/>
        <v>500</v>
      </c>
      <c r="AE118" s="548">
        <f t="shared" si="379"/>
        <v>0</v>
      </c>
      <c r="AF118" s="548">
        <f t="shared" si="379"/>
        <v>500</v>
      </c>
      <c r="AG118" s="548">
        <f t="shared" si="379"/>
        <v>934521</v>
      </c>
      <c r="AH118" s="549">
        <f t="shared" si="379"/>
        <v>0</v>
      </c>
      <c r="AI118" s="549">
        <f t="shared" si="379"/>
        <v>0</v>
      </c>
      <c r="AJ118" s="549">
        <f t="shared" si="379"/>
        <v>2</v>
      </c>
      <c r="AK118" s="549">
        <f t="shared" si="379"/>
        <v>0</v>
      </c>
      <c r="AL118" s="549">
        <f t="shared" si="379"/>
        <v>0</v>
      </c>
      <c r="AM118" s="549">
        <f t="shared" si="379"/>
        <v>0</v>
      </c>
      <c r="AN118" s="549">
        <f t="shared" si="379"/>
        <v>0</v>
      </c>
      <c r="AO118" s="549">
        <f t="shared" si="379"/>
        <v>0</v>
      </c>
      <c r="AP118" s="549">
        <f t="shared" si="379"/>
        <v>2</v>
      </c>
      <c r="AQ118" s="549">
        <f t="shared" si="379"/>
        <v>0</v>
      </c>
      <c r="AR118" s="347">
        <f t="shared" si="379"/>
        <v>2</v>
      </c>
      <c r="AS118" s="554">
        <f t="shared" si="379"/>
        <v>12790845</v>
      </c>
      <c r="AT118" s="548">
        <f t="shared" si="379"/>
        <v>9432894</v>
      </c>
      <c r="AU118" s="548">
        <f t="shared" si="379"/>
        <v>0</v>
      </c>
      <c r="AV118" s="548">
        <f t="shared" si="379"/>
        <v>3188318</v>
      </c>
      <c r="AW118" s="548">
        <f t="shared" si="379"/>
        <v>94329</v>
      </c>
      <c r="AX118" s="548">
        <f t="shared" si="379"/>
        <v>75304</v>
      </c>
      <c r="AY118" s="549">
        <f t="shared" si="379"/>
        <v>21.585499999999996</v>
      </c>
      <c r="AZ118" s="549">
        <f t="shared" si="379"/>
        <v>13.935499999999999</v>
      </c>
      <c r="BA118" s="347">
        <f t="shared" si="379"/>
        <v>7.65</v>
      </c>
    </row>
    <row r="119" spans="1:53" ht="12.75" customHeight="1" x14ac:dyDescent="0.25">
      <c r="A119" s="299">
        <v>22</v>
      </c>
      <c r="B119" s="340">
        <v>5422</v>
      </c>
      <c r="C119" s="341">
        <v>600099181</v>
      </c>
      <c r="D119" s="300">
        <v>854751</v>
      </c>
      <c r="E119" s="342" t="s">
        <v>409</v>
      </c>
      <c r="F119" s="300">
        <v>3113</v>
      </c>
      <c r="G119" s="342" t="s">
        <v>325</v>
      </c>
      <c r="H119" s="303" t="s">
        <v>277</v>
      </c>
      <c r="I119" s="462">
        <f t="shared" ref="I119:I123" si="380">SUM(J119:M119)</f>
        <v>38739339</v>
      </c>
      <c r="J119" s="457">
        <v>28140478</v>
      </c>
      <c r="K119" s="457">
        <f>ROUND(J119*33.8%,0)-1</f>
        <v>9511481</v>
      </c>
      <c r="L119" s="457">
        <f t="shared" ref="L119:L123" si="381">ROUND(J119*1%,0)</f>
        <v>281405</v>
      </c>
      <c r="M119" s="457">
        <v>805975</v>
      </c>
      <c r="N119" s="458">
        <f t="shared" ref="N119:N123" si="382">O119+P119</f>
        <v>47.274799999999999</v>
      </c>
      <c r="O119" s="459">
        <v>38.454799999999999</v>
      </c>
      <c r="P119" s="646">
        <v>8.82</v>
      </c>
      <c r="Q119" s="469">
        <f t="shared" ref="Q119:Q123" si="383">W119*-1</f>
        <v>-65000</v>
      </c>
      <c r="R119" s="460">
        <v>0</v>
      </c>
      <c r="S119" s="673">
        <v>0</v>
      </c>
      <c r="T119" s="460">
        <v>0</v>
      </c>
      <c r="U119" s="460">
        <v>0</v>
      </c>
      <c r="V119" s="460">
        <f>SUM(Q119:U119)</f>
        <v>-65000</v>
      </c>
      <c r="W119" s="460">
        <v>65000</v>
      </c>
      <c r="X119" s="460">
        <v>0</v>
      </c>
      <c r="Y119" s="460">
        <v>0</v>
      </c>
      <c r="Z119" s="460">
        <f t="shared" ref="Z119:Z123" si="384">SUM(W119:Y119)</f>
        <v>65000</v>
      </c>
      <c r="AA119" s="460">
        <f t="shared" ref="AA119:AA123" si="385">V119+Z119</f>
        <v>0</v>
      </c>
      <c r="AB119" s="69">
        <f t="shared" ref="AB119:AB123" si="386">ROUND((V119+W119+X119)*33.8%,0)</f>
        <v>0</v>
      </c>
      <c r="AC119" s="69">
        <f t="shared" ref="AC119:AC123" si="387">ROUND(V119*1%,0)</f>
        <v>-650</v>
      </c>
      <c r="AD119" s="460">
        <v>0</v>
      </c>
      <c r="AE119" s="460">
        <v>0</v>
      </c>
      <c r="AF119" s="460">
        <f t="shared" ref="AF119:AF123" si="388">SUM(AD119:AE119)</f>
        <v>0</v>
      </c>
      <c r="AG119" s="460">
        <f t="shared" ref="AG119:AG123" si="389">AA119+AB119+AC119+AF119</f>
        <v>-650</v>
      </c>
      <c r="AH119" s="461">
        <v>-0.02</v>
      </c>
      <c r="AI119" s="461">
        <v>0</v>
      </c>
      <c r="AJ119" s="461">
        <v>0</v>
      </c>
      <c r="AK119" s="461">
        <v>0</v>
      </c>
      <c r="AL119" s="674">
        <v>0</v>
      </c>
      <c r="AM119" s="461">
        <v>0</v>
      </c>
      <c r="AN119" s="461">
        <v>0</v>
      </c>
      <c r="AO119" s="461">
        <v>0</v>
      </c>
      <c r="AP119" s="461">
        <f>AH119+AJ119+AK119+AM119+AN119</f>
        <v>-0.02</v>
      </c>
      <c r="AQ119" s="461">
        <f>AI119+AL119+AO119</f>
        <v>0</v>
      </c>
      <c r="AR119" s="463">
        <f t="shared" ref="AR119:AR123" si="390">SUM(AP119:AQ119)</f>
        <v>-0.02</v>
      </c>
      <c r="AS119" s="469">
        <f>I119+AG119</f>
        <v>38738689</v>
      </c>
      <c r="AT119" s="460">
        <f>J119+V119</f>
        <v>28075478</v>
      </c>
      <c r="AU119" s="460">
        <f t="shared" ref="AU119:AU123" si="391">Z119</f>
        <v>65000</v>
      </c>
      <c r="AV119" s="460">
        <f t="shared" ref="AV119:AW123" si="392">K119+AB119</f>
        <v>9511481</v>
      </c>
      <c r="AW119" s="460">
        <f t="shared" si="392"/>
        <v>280755</v>
      </c>
      <c r="AX119" s="460">
        <f>M119+AF119</f>
        <v>805975</v>
      </c>
      <c r="AY119" s="461">
        <f>N119+AR119</f>
        <v>47.254799999999996</v>
      </c>
      <c r="AZ119" s="461">
        <f t="shared" ref="AZ119:BA123" si="393">O119+AP119</f>
        <v>38.434799999999996</v>
      </c>
      <c r="BA119" s="463">
        <f t="shared" si="393"/>
        <v>8.82</v>
      </c>
    </row>
    <row r="120" spans="1:53" ht="12.95" customHeight="1" x14ac:dyDescent="0.25">
      <c r="A120" s="299">
        <v>22</v>
      </c>
      <c r="B120" s="340">
        <v>5422</v>
      </c>
      <c r="C120" s="341">
        <v>600099181</v>
      </c>
      <c r="D120" s="300">
        <v>854751</v>
      </c>
      <c r="E120" s="342" t="s">
        <v>409</v>
      </c>
      <c r="F120" s="300">
        <v>3113</v>
      </c>
      <c r="G120" s="342" t="s">
        <v>315</v>
      </c>
      <c r="H120" s="303" t="s">
        <v>278</v>
      </c>
      <c r="I120" s="462">
        <f t="shared" si="380"/>
        <v>0</v>
      </c>
      <c r="J120" s="457">
        <v>0</v>
      </c>
      <c r="K120" s="457">
        <f t="shared" ref="K120:K123" si="394">ROUND(J120*33.8%,0)</f>
        <v>0</v>
      </c>
      <c r="L120" s="457">
        <f t="shared" si="381"/>
        <v>0</v>
      </c>
      <c r="M120" s="457">
        <v>0</v>
      </c>
      <c r="N120" s="458">
        <f t="shared" si="382"/>
        <v>0</v>
      </c>
      <c r="O120" s="459">
        <v>0</v>
      </c>
      <c r="P120" s="646">
        <v>0</v>
      </c>
      <c r="Q120" s="469">
        <f t="shared" si="383"/>
        <v>0</v>
      </c>
      <c r="R120" s="460">
        <f>3129918+21208</f>
        <v>3151126</v>
      </c>
      <c r="S120" s="673">
        <v>0</v>
      </c>
      <c r="T120" s="460">
        <v>0</v>
      </c>
      <c r="U120" s="460">
        <v>0</v>
      </c>
      <c r="V120" s="460">
        <f>SUM(Q120:U120)</f>
        <v>3151126</v>
      </c>
      <c r="W120" s="460">
        <v>0</v>
      </c>
      <c r="X120" s="460">
        <v>0</v>
      </c>
      <c r="Y120" s="460">
        <v>0</v>
      </c>
      <c r="Z120" s="460">
        <f t="shared" si="384"/>
        <v>0</v>
      </c>
      <c r="AA120" s="460">
        <f t="shared" si="385"/>
        <v>3151126</v>
      </c>
      <c r="AB120" s="69">
        <f t="shared" si="386"/>
        <v>1065081</v>
      </c>
      <c r="AC120" s="69">
        <f t="shared" si="387"/>
        <v>31511</v>
      </c>
      <c r="AD120" s="460">
        <v>2400</v>
      </c>
      <c r="AE120" s="460">
        <v>0</v>
      </c>
      <c r="AF120" s="460">
        <f t="shared" si="388"/>
        <v>2400</v>
      </c>
      <c r="AG120" s="460">
        <f t="shared" si="389"/>
        <v>4250118</v>
      </c>
      <c r="AH120" s="461">
        <v>0</v>
      </c>
      <c r="AI120" s="461">
        <v>0</v>
      </c>
      <c r="AJ120" s="461">
        <f>8.91+0.05</f>
        <v>8.9600000000000009</v>
      </c>
      <c r="AK120" s="461">
        <v>0</v>
      </c>
      <c r="AL120" s="674">
        <v>0</v>
      </c>
      <c r="AM120" s="461">
        <v>0</v>
      </c>
      <c r="AN120" s="461">
        <v>0</v>
      </c>
      <c r="AO120" s="461">
        <v>0</v>
      </c>
      <c r="AP120" s="461">
        <f>AH120+AJ120+AK120+AM120+AN120</f>
        <v>8.9600000000000009</v>
      </c>
      <c r="AQ120" s="461">
        <f>AI120+AL120+AO120</f>
        <v>0</v>
      </c>
      <c r="AR120" s="463">
        <f t="shared" si="390"/>
        <v>8.9600000000000009</v>
      </c>
      <c r="AS120" s="469">
        <f>I120+AG120</f>
        <v>4250118</v>
      </c>
      <c r="AT120" s="460">
        <f>J120+V120</f>
        <v>3151126</v>
      </c>
      <c r="AU120" s="460">
        <f t="shared" si="391"/>
        <v>0</v>
      </c>
      <c r="AV120" s="460">
        <f t="shared" si="392"/>
        <v>1065081</v>
      </c>
      <c r="AW120" s="460">
        <f t="shared" si="392"/>
        <v>31511</v>
      </c>
      <c r="AX120" s="460">
        <f>M120+AF120</f>
        <v>2400</v>
      </c>
      <c r="AY120" s="461">
        <f>N120+AR120</f>
        <v>8.9600000000000009</v>
      </c>
      <c r="AZ120" s="461">
        <f t="shared" si="393"/>
        <v>8.9600000000000009</v>
      </c>
      <c r="BA120" s="463">
        <f t="shared" si="393"/>
        <v>0</v>
      </c>
    </row>
    <row r="121" spans="1:53" ht="12.95" customHeight="1" x14ac:dyDescent="0.25">
      <c r="A121" s="299">
        <v>22</v>
      </c>
      <c r="B121" s="340">
        <v>5422</v>
      </c>
      <c r="C121" s="341">
        <v>600099181</v>
      </c>
      <c r="D121" s="300">
        <v>854751</v>
      </c>
      <c r="E121" s="342" t="s">
        <v>409</v>
      </c>
      <c r="F121" s="300">
        <v>3141</v>
      </c>
      <c r="G121" s="342" t="s">
        <v>311</v>
      </c>
      <c r="H121" s="303" t="s">
        <v>278</v>
      </c>
      <c r="I121" s="462">
        <f t="shared" si="380"/>
        <v>3571231</v>
      </c>
      <c r="J121" s="457">
        <v>2625055</v>
      </c>
      <c r="K121" s="457">
        <f t="shared" si="394"/>
        <v>887269</v>
      </c>
      <c r="L121" s="457">
        <f t="shared" si="381"/>
        <v>26251</v>
      </c>
      <c r="M121" s="457">
        <v>32656</v>
      </c>
      <c r="N121" s="458">
        <f t="shared" si="382"/>
        <v>8.44</v>
      </c>
      <c r="O121" s="459">
        <v>0</v>
      </c>
      <c r="P121" s="646">
        <v>8.44</v>
      </c>
      <c r="Q121" s="469">
        <f t="shared" si="383"/>
        <v>-13000</v>
      </c>
      <c r="R121" s="460">
        <v>0</v>
      </c>
      <c r="S121" s="673">
        <v>0</v>
      </c>
      <c r="T121" s="460">
        <v>0</v>
      </c>
      <c r="U121" s="460">
        <v>0</v>
      </c>
      <c r="V121" s="460">
        <f>SUM(Q121:U121)</f>
        <v>-13000</v>
      </c>
      <c r="W121" s="460">
        <v>13000</v>
      </c>
      <c r="X121" s="460">
        <v>0</v>
      </c>
      <c r="Y121" s="460">
        <v>0</v>
      </c>
      <c r="Z121" s="460">
        <f t="shared" si="384"/>
        <v>13000</v>
      </c>
      <c r="AA121" s="460">
        <f t="shared" si="385"/>
        <v>0</v>
      </c>
      <c r="AB121" s="69">
        <f t="shared" si="386"/>
        <v>0</v>
      </c>
      <c r="AC121" s="69">
        <f t="shared" si="387"/>
        <v>-130</v>
      </c>
      <c r="AD121" s="460">
        <v>0</v>
      </c>
      <c r="AE121" s="460">
        <v>0</v>
      </c>
      <c r="AF121" s="460">
        <f t="shared" si="388"/>
        <v>0</v>
      </c>
      <c r="AG121" s="460">
        <f t="shared" si="389"/>
        <v>-130</v>
      </c>
      <c r="AH121" s="461">
        <v>0</v>
      </c>
      <c r="AI121" s="461">
        <v>0</v>
      </c>
      <c r="AJ121" s="461">
        <v>0</v>
      </c>
      <c r="AK121" s="461">
        <v>0</v>
      </c>
      <c r="AL121" s="674">
        <v>0</v>
      </c>
      <c r="AM121" s="461">
        <v>0</v>
      </c>
      <c r="AN121" s="461">
        <v>0</v>
      </c>
      <c r="AO121" s="461">
        <v>0</v>
      </c>
      <c r="AP121" s="461">
        <f>AH121+AJ121+AK121+AM121+AN121</f>
        <v>0</v>
      </c>
      <c r="AQ121" s="461">
        <f>AI121+AL121+AO121</f>
        <v>0</v>
      </c>
      <c r="AR121" s="463">
        <f t="shared" si="390"/>
        <v>0</v>
      </c>
      <c r="AS121" s="469">
        <f>I121+AG121</f>
        <v>3571101</v>
      </c>
      <c r="AT121" s="460">
        <f>J121+V121</f>
        <v>2612055</v>
      </c>
      <c r="AU121" s="460">
        <f t="shared" si="391"/>
        <v>13000</v>
      </c>
      <c r="AV121" s="460">
        <f t="shared" si="392"/>
        <v>887269</v>
      </c>
      <c r="AW121" s="460">
        <f t="shared" si="392"/>
        <v>26121</v>
      </c>
      <c r="AX121" s="460">
        <f>M121+AF121</f>
        <v>32656</v>
      </c>
      <c r="AY121" s="461">
        <f>N121+AR121</f>
        <v>8.44</v>
      </c>
      <c r="AZ121" s="461">
        <f t="shared" si="393"/>
        <v>0</v>
      </c>
      <c r="BA121" s="463">
        <f t="shared" si="393"/>
        <v>8.44</v>
      </c>
    </row>
    <row r="122" spans="1:53" ht="12.95" customHeight="1" x14ac:dyDescent="0.25">
      <c r="A122" s="299">
        <v>22</v>
      </c>
      <c r="B122" s="340">
        <v>5422</v>
      </c>
      <c r="C122" s="341">
        <v>600099181</v>
      </c>
      <c r="D122" s="300">
        <v>854751</v>
      </c>
      <c r="E122" s="342" t="s">
        <v>409</v>
      </c>
      <c r="F122" s="300">
        <v>3143</v>
      </c>
      <c r="G122" s="342" t="s">
        <v>616</v>
      </c>
      <c r="H122" s="303" t="s">
        <v>277</v>
      </c>
      <c r="I122" s="462">
        <f t="shared" si="380"/>
        <v>2081080</v>
      </c>
      <c r="J122" s="457">
        <v>1543828</v>
      </c>
      <c r="K122" s="457">
        <f t="shared" si="394"/>
        <v>521814</v>
      </c>
      <c r="L122" s="457">
        <f t="shared" si="381"/>
        <v>15438</v>
      </c>
      <c r="M122" s="457">
        <v>0</v>
      </c>
      <c r="N122" s="458">
        <f t="shared" si="382"/>
        <v>3.3214999999999999</v>
      </c>
      <c r="O122" s="459">
        <v>3.3214999999999999</v>
      </c>
      <c r="P122" s="646">
        <v>0</v>
      </c>
      <c r="Q122" s="469">
        <f t="shared" si="383"/>
        <v>-26000</v>
      </c>
      <c r="R122" s="460">
        <v>0</v>
      </c>
      <c r="S122" s="673">
        <v>0</v>
      </c>
      <c r="T122" s="460">
        <v>0</v>
      </c>
      <c r="U122" s="460">
        <v>0</v>
      </c>
      <c r="V122" s="460">
        <f>SUM(Q122:U122)</f>
        <v>-26000</v>
      </c>
      <c r="W122" s="460">
        <v>26000</v>
      </c>
      <c r="X122" s="460">
        <v>0</v>
      </c>
      <c r="Y122" s="460">
        <v>0</v>
      </c>
      <c r="Z122" s="460">
        <f t="shared" si="384"/>
        <v>26000</v>
      </c>
      <c r="AA122" s="460">
        <f t="shared" si="385"/>
        <v>0</v>
      </c>
      <c r="AB122" s="69">
        <f t="shared" si="386"/>
        <v>0</v>
      </c>
      <c r="AC122" s="69">
        <f t="shared" si="387"/>
        <v>-260</v>
      </c>
      <c r="AD122" s="460">
        <v>0</v>
      </c>
      <c r="AE122" s="460">
        <v>0</v>
      </c>
      <c r="AF122" s="460">
        <f t="shared" si="388"/>
        <v>0</v>
      </c>
      <c r="AG122" s="460">
        <f t="shared" si="389"/>
        <v>-260</v>
      </c>
      <c r="AH122" s="461">
        <v>0</v>
      </c>
      <c r="AI122" s="461">
        <v>0</v>
      </c>
      <c r="AJ122" s="461">
        <v>0</v>
      </c>
      <c r="AK122" s="461">
        <v>0</v>
      </c>
      <c r="AL122" s="674">
        <v>0</v>
      </c>
      <c r="AM122" s="461">
        <v>0</v>
      </c>
      <c r="AN122" s="461">
        <v>0</v>
      </c>
      <c r="AO122" s="461">
        <v>0</v>
      </c>
      <c r="AP122" s="461">
        <f>AH122+AJ122+AK122+AM122+AN122</f>
        <v>0</v>
      </c>
      <c r="AQ122" s="461">
        <f>AI122+AL122+AO122</f>
        <v>0</v>
      </c>
      <c r="AR122" s="463">
        <f t="shared" si="390"/>
        <v>0</v>
      </c>
      <c r="AS122" s="469">
        <f>I122+AG122</f>
        <v>2080820</v>
      </c>
      <c r="AT122" s="460">
        <f>J122+V122</f>
        <v>1517828</v>
      </c>
      <c r="AU122" s="460">
        <f t="shared" si="391"/>
        <v>26000</v>
      </c>
      <c r="AV122" s="460">
        <f t="shared" si="392"/>
        <v>521814</v>
      </c>
      <c r="AW122" s="460">
        <f t="shared" si="392"/>
        <v>15178</v>
      </c>
      <c r="AX122" s="460">
        <f>M122+AF122</f>
        <v>0</v>
      </c>
      <c r="AY122" s="461">
        <f>N122+AR122</f>
        <v>3.3214999999999999</v>
      </c>
      <c r="AZ122" s="461">
        <f t="shared" si="393"/>
        <v>3.3214999999999999</v>
      </c>
      <c r="BA122" s="463">
        <f t="shared" si="393"/>
        <v>0</v>
      </c>
    </row>
    <row r="123" spans="1:53" ht="12.95" customHeight="1" x14ac:dyDescent="0.25">
      <c r="A123" s="299">
        <v>22</v>
      </c>
      <c r="B123" s="340">
        <v>5422</v>
      </c>
      <c r="C123" s="341">
        <v>600099181</v>
      </c>
      <c r="D123" s="300">
        <v>854751</v>
      </c>
      <c r="E123" s="342" t="s">
        <v>409</v>
      </c>
      <c r="F123" s="300">
        <v>3143</v>
      </c>
      <c r="G123" s="342" t="s">
        <v>617</v>
      </c>
      <c r="H123" s="303" t="s">
        <v>278</v>
      </c>
      <c r="I123" s="462">
        <f t="shared" si="380"/>
        <v>75498</v>
      </c>
      <c r="J123" s="457">
        <v>53945</v>
      </c>
      <c r="K123" s="457">
        <f t="shared" si="394"/>
        <v>18233</v>
      </c>
      <c r="L123" s="457">
        <f t="shared" si="381"/>
        <v>539</v>
      </c>
      <c r="M123" s="457">
        <v>2781</v>
      </c>
      <c r="N123" s="458">
        <f t="shared" si="382"/>
        <v>0.21</v>
      </c>
      <c r="O123" s="459">
        <v>0</v>
      </c>
      <c r="P123" s="646">
        <v>0.21</v>
      </c>
      <c r="Q123" s="469">
        <f t="shared" si="383"/>
        <v>0</v>
      </c>
      <c r="R123" s="460">
        <v>0</v>
      </c>
      <c r="S123" s="673">
        <v>0</v>
      </c>
      <c r="T123" s="460">
        <v>0</v>
      </c>
      <c r="U123" s="460">
        <v>0</v>
      </c>
      <c r="V123" s="460">
        <f>SUM(Q123:U123)</f>
        <v>0</v>
      </c>
      <c r="W123" s="460">
        <v>0</v>
      </c>
      <c r="X123" s="460">
        <v>0</v>
      </c>
      <c r="Y123" s="460">
        <v>0</v>
      </c>
      <c r="Z123" s="460">
        <f t="shared" si="384"/>
        <v>0</v>
      </c>
      <c r="AA123" s="460">
        <f t="shared" si="385"/>
        <v>0</v>
      </c>
      <c r="AB123" s="69">
        <f t="shared" si="386"/>
        <v>0</v>
      </c>
      <c r="AC123" s="69">
        <f t="shared" si="387"/>
        <v>0</v>
      </c>
      <c r="AD123" s="460">
        <v>0</v>
      </c>
      <c r="AE123" s="460">
        <v>0</v>
      </c>
      <c r="AF123" s="460">
        <f t="shared" si="388"/>
        <v>0</v>
      </c>
      <c r="AG123" s="460">
        <f t="shared" si="389"/>
        <v>0</v>
      </c>
      <c r="AH123" s="461">
        <v>0</v>
      </c>
      <c r="AI123" s="461">
        <v>0</v>
      </c>
      <c r="AJ123" s="461">
        <v>0</v>
      </c>
      <c r="AK123" s="461">
        <v>0</v>
      </c>
      <c r="AL123" s="674">
        <v>0</v>
      </c>
      <c r="AM123" s="461">
        <v>0</v>
      </c>
      <c r="AN123" s="461">
        <v>0</v>
      </c>
      <c r="AO123" s="461">
        <v>0</v>
      </c>
      <c r="AP123" s="461">
        <f>AH123+AJ123+AK123+AM123+AN123</f>
        <v>0</v>
      </c>
      <c r="AQ123" s="461">
        <f>AI123+AL123+AO123</f>
        <v>0</v>
      </c>
      <c r="AR123" s="463">
        <f t="shared" si="390"/>
        <v>0</v>
      </c>
      <c r="AS123" s="469">
        <f>I123+AG123</f>
        <v>75498</v>
      </c>
      <c r="AT123" s="460">
        <f>J123+V123</f>
        <v>53945</v>
      </c>
      <c r="AU123" s="460">
        <f t="shared" si="391"/>
        <v>0</v>
      </c>
      <c r="AV123" s="460">
        <f t="shared" si="392"/>
        <v>18233</v>
      </c>
      <c r="AW123" s="460">
        <f t="shared" si="392"/>
        <v>539</v>
      </c>
      <c r="AX123" s="460">
        <f>M123+AF123</f>
        <v>2781</v>
      </c>
      <c r="AY123" s="461">
        <f>N123+AR123</f>
        <v>0.21</v>
      </c>
      <c r="AZ123" s="461">
        <f t="shared" si="393"/>
        <v>0</v>
      </c>
      <c r="BA123" s="463">
        <f t="shared" si="393"/>
        <v>0.21</v>
      </c>
    </row>
    <row r="124" spans="1:53" ht="12.95" customHeight="1" x14ac:dyDescent="0.25">
      <c r="A124" s="343">
        <v>22</v>
      </c>
      <c r="B124" s="344">
        <v>5422</v>
      </c>
      <c r="C124" s="345">
        <v>600099181</v>
      </c>
      <c r="D124" s="344">
        <v>854751</v>
      </c>
      <c r="E124" s="346" t="s">
        <v>410</v>
      </c>
      <c r="F124" s="310"/>
      <c r="G124" s="348"/>
      <c r="H124" s="311"/>
      <c r="I124" s="552">
        <f t="shared" ref="I124:P124" si="395">SUM(I119:I123)</f>
        <v>44467148</v>
      </c>
      <c r="J124" s="548">
        <f t="shared" si="395"/>
        <v>32363306</v>
      </c>
      <c r="K124" s="548">
        <f t="shared" si="395"/>
        <v>10938797</v>
      </c>
      <c r="L124" s="548">
        <f t="shared" si="395"/>
        <v>323633</v>
      </c>
      <c r="M124" s="548">
        <f t="shared" si="395"/>
        <v>841412</v>
      </c>
      <c r="N124" s="549">
        <f t="shared" si="395"/>
        <v>59.246299999999998</v>
      </c>
      <c r="O124" s="549">
        <f t="shared" si="395"/>
        <v>41.776299999999999</v>
      </c>
      <c r="P124" s="347">
        <f t="shared" si="395"/>
        <v>17.47</v>
      </c>
      <c r="Q124" s="554">
        <f t="shared" ref="Q124:BA124" si="396">SUM(Q119:Q123)</f>
        <v>-104000</v>
      </c>
      <c r="R124" s="548">
        <f t="shared" si="396"/>
        <v>3151126</v>
      </c>
      <c r="S124" s="548">
        <f t="shared" si="396"/>
        <v>0</v>
      </c>
      <c r="T124" s="548">
        <f t="shared" si="396"/>
        <v>0</v>
      </c>
      <c r="U124" s="548">
        <f t="shared" si="396"/>
        <v>0</v>
      </c>
      <c r="V124" s="548">
        <f t="shared" si="396"/>
        <v>3047126</v>
      </c>
      <c r="W124" s="548">
        <f t="shared" si="396"/>
        <v>104000</v>
      </c>
      <c r="X124" s="548">
        <f t="shared" si="396"/>
        <v>0</v>
      </c>
      <c r="Y124" s="548">
        <f t="shared" si="396"/>
        <v>0</v>
      </c>
      <c r="Z124" s="548">
        <f t="shared" si="396"/>
        <v>104000</v>
      </c>
      <c r="AA124" s="548">
        <f t="shared" si="396"/>
        <v>3151126</v>
      </c>
      <c r="AB124" s="548">
        <f t="shared" si="396"/>
        <v>1065081</v>
      </c>
      <c r="AC124" s="548">
        <f t="shared" si="396"/>
        <v>30471</v>
      </c>
      <c r="AD124" s="548">
        <f t="shared" si="396"/>
        <v>2400</v>
      </c>
      <c r="AE124" s="548">
        <f t="shared" si="396"/>
        <v>0</v>
      </c>
      <c r="AF124" s="548">
        <f t="shared" si="396"/>
        <v>2400</v>
      </c>
      <c r="AG124" s="548">
        <f t="shared" si="396"/>
        <v>4249078</v>
      </c>
      <c r="AH124" s="549">
        <f t="shared" si="396"/>
        <v>-0.02</v>
      </c>
      <c r="AI124" s="549">
        <f t="shared" si="396"/>
        <v>0</v>
      </c>
      <c r="AJ124" s="549">
        <f t="shared" si="396"/>
        <v>8.9600000000000009</v>
      </c>
      <c r="AK124" s="549">
        <f t="shared" si="396"/>
        <v>0</v>
      </c>
      <c r="AL124" s="549">
        <f t="shared" si="396"/>
        <v>0</v>
      </c>
      <c r="AM124" s="549">
        <f t="shared" si="396"/>
        <v>0</v>
      </c>
      <c r="AN124" s="549">
        <f t="shared" si="396"/>
        <v>0</v>
      </c>
      <c r="AO124" s="549">
        <f t="shared" si="396"/>
        <v>0</v>
      </c>
      <c r="AP124" s="549">
        <f t="shared" si="396"/>
        <v>8.9400000000000013</v>
      </c>
      <c r="AQ124" s="549">
        <f t="shared" si="396"/>
        <v>0</v>
      </c>
      <c r="AR124" s="347">
        <f t="shared" si="396"/>
        <v>8.9400000000000013</v>
      </c>
      <c r="AS124" s="554">
        <f t="shared" si="396"/>
        <v>48716226</v>
      </c>
      <c r="AT124" s="548">
        <f t="shared" si="396"/>
        <v>35410432</v>
      </c>
      <c r="AU124" s="548">
        <f t="shared" si="396"/>
        <v>104000</v>
      </c>
      <c r="AV124" s="548">
        <f t="shared" si="396"/>
        <v>12003878</v>
      </c>
      <c r="AW124" s="548">
        <f t="shared" si="396"/>
        <v>354104</v>
      </c>
      <c r="AX124" s="548">
        <f t="shared" si="396"/>
        <v>843812</v>
      </c>
      <c r="AY124" s="549">
        <f t="shared" si="396"/>
        <v>68.186299999999989</v>
      </c>
      <c r="AZ124" s="549">
        <f t="shared" si="396"/>
        <v>50.716299999999997</v>
      </c>
      <c r="BA124" s="347">
        <f t="shared" si="396"/>
        <v>17.47</v>
      </c>
    </row>
    <row r="125" spans="1:53" ht="12.95" customHeight="1" x14ac:dyDescent="0.25">
      <c r="A125" s="299">
        <v>23</v>
      </c>
      <c r="B125" s="340">
        <v>5424</v>
      </c>
      <c r="C125" s="341">
        <v>600099431</v>
      </c>
      <c r="D125" s="300">
        <v>72742372</v>
      </c>
      <c r="E125" s="342" t="s">
        <v>411</v>
      </c>
      <c r="F125" s="300">
        <v>3114</v>
      </c>
      <c r="G125" s="350" t="s">
        <v>546</v>
      </c>
      <c r="H125" s="303" t="s">
        <v>277</v>
      </c>
      <c r="I125" s="462">
        <f t="shared" ref="I125:I126" si="397">SUM(J125:M125)</f>
        <v>5475843</v>
      </c>
      <c r="J125" s="457">
        <v>4029876</v>
      </c>
      <c r="K125" s="457">
        <f t="shared" ref="K125:K126" si="398">ROUND(J125*33.8%,0)</f>
        <v>1362098</v>
      </c>
      <c r="L125" s="457">
        <f t="shared" ref="L125:L126" si="399">ROUND(J125*1%,0)</f>
        <v>40299</v>
      </c>
      <c r="M125" s="457">
        <v>43570</v>
      </c>
      <c r="N125" s="458">
        <f t="shared" ref="N125:N126" si="400">O125+P125</f>
        <v>6.4718</v>
      </c>
      <c r="O125" s="459">
        <v>5.1818</v>
      </c>
      <c r="P125" s="646">
        <v>1.29</v>
      </c>
      <c r="Q125" s="469">
        <f t="shared" ref="Q125:Q126" si="401">W125*-1</f>
        <v>-9750</v>
      </c>
      <c r="R125" s="460">
        <v>0</v>
      </c>
      <c r="S125" s="673">
        <v>0</v>
      </c>
      <c r="T125" s="460">
        <v>0</v>
      </c>
      <c r="U125" s="460">
        <v>0</v>
      </c>
      <c r="V125" s="460">
        <f>SUM(Q125:U125)</f>
        <v>-9750</v>
      </c>
      <c r="W125" s="460">
        <v>9750</v>
      </c>
      <c r="X125" s="460">
        <v>0</v>
      </c>
      <c r="Y125" s="460">
        <v>0</v>
      </c>
      <c r="Z125" s="460">
        <f t="shared" ref="Z125:Z126" si="402">SUM(W125:Y125)</f>
        <v>9750</v>
      </c>
      <c r="AA125" s="460">
        <f t="shared" ref="AA125:AA126" si="403">V125+Z125</f>
        <v>0</v>
      </c>
      <c r="AB125" s="69">
        <f t="shared" ref="AB125:AB126" si="404">ROUND((V125+W125+X125)*33.8%,0)</f>
        <v>0</v>
      </c>
      <c r="AC125" s="69">
        <f t="shared" ref="AC125:AC126" si="405">ROUND(V125*1%,0)</f>
        <v>-98</v>
      </c>
      <c r="AD125" s="460">
        <v>0</v>
      </c>
      <c r="AE125" s="460">
        <v>0</v>
      </c>
      <c r="AF125" s="460">
        <f t="shared" ref="AF125:AF126" si="406">SUM(AD125:AE125)</f>
        <v>0</v>
      </c>
      <c r="AG125" s="460">
        <f t="shared" ref="AG125:AG126" si="407">AA125+AB125+AC125+AF125</f>
        <v>-98</v>
      </c>
      <c r="AH125" s="461">
        <v>0</v>
      </c>
      <c r="AI125" s="461">
        <v>-0.03</v>
      </c>
      <c r="AJ125" s="461">
        <v>0</v>
      </c>
      <c r="AK125" s="461">
        <v>0</v>
      </c>
      <c r="AL125" s="674">
        <v>0</v>
      </c>
      <c r="AM125" s="461">
        <v>0</v>
      </c>
      <c r="AN125" s="461">
        <v>0</v>
      </c>
      <c r="AO125" s="461">
        <v>0</v>
      </c>
      <c r="AP125" s="461">
        <f>AH125+AJ125+AK125+AM125+AN125</f>
        <v>0</v>
      </c>
      <c r="AQ125" s="461">
        <f>AI125+AL125+AO125</f>
        <v>-0.03</v>
      </c>
      <c r="AR125" s="463">
        <f t="shared" ref="AR125:AR126" si="408">SUM(AP125:AQ125)</f>
        <v>-0.03</v>
      </c>
      <c r="AS125" s="469">
        <f>I125+AG125</f>
        <v>5475745</v>
      </c>
      <c r="AT125" s="460">
        <f>J125+V125</f>
        <v>4020126</v>
      </c>
      <c r="AU125" s="460">
        <f t="shared" ref="AU125:AU126" si="409">Z125</f>
        <v>9750</v>
      </c>
      <c r="AV125" s="460">
        <f>K125+AB125</f>
        <v>1362098</v>
      </c>
      <c r="AW125" s="460">
        <f>L125+AC125</f>
        <v>40201</v>
      </c>
      <c r="AX125" s="460">
        <f>M125+AF125</f>
        <v>43570</v>
      </c>
      <c r="AY125" s="461">
        <f>N125+AR125</f>
        <v>6.4417999999999997</v>
      </c>
      <c r="AZ125" s="461">
        <f>O125+AP125</f>
        <v>5.1818</v>
      </c>
      <c r="BA125" s="463">
        <f>P125+AQ125</f>
        <v>1.26</v>
      </c>
    </row>
    <row r="126" spans="1:53" ht="12.95" customHeight="1" x14ac:dyDescent="0.25">
      <c r="A126" s="299">
        <v>23</v>
      </c>
      <c r="B126" s="340">
        <v>5424</v>
      </c>
      <c r="C126" s="341">
        <v>600099431</v>
      </c>
      <c r="D126" s="300">
        <v>72742372</v>
      </c>
      <c r="E126" s="342" t="s">
        <v>411</v>
      </c>
      <c r="F126" s="300">
        <v>3114</v>
      </c>
      <c r="G126" s="350" t="s">
        <v>309</v>
      </c>
      <c r="H126" s="303" t="s">
        <v>277</v>
      </c>
      <c r="I126" s="462">
        <f t="shared" si="397"/>
        <v>520560</v>
      </c>
      <c r="J126" s="457">
        <v>386172</v>
      </c>
      <c r="K126" s="457">
        <f t="shared" si="398"/>
        <v>130526</v>
      </c>
      <c r="L126" s="457">
        <f t="shared" si="399"/>
        <v>3862</v>
      </c>
      <c r="M126" s="457">
        <v>0</v>
      </c>
      <c r="N126" s="458">
        <f t="shared" si="400"/>
        <v>1</v>
      </c>
      <c r="O126" s="459">
        <v>1</v>
      </c>
      <c r="P126" s="646">
        <v>0</v>
      </c>
      <c r="Q126" s="469">
        <f t="shared" si="401"/>
        <v>0</v>
      </c>
      <c r="R126" s="460">
        <v>0</v>
      </c>
      <c r="S126" s="673">
        <v>0</v>
      </c>
      <c r="T126" s="460">
        <v>0</v>
      </c>
      <c r="U126" s="460">
        <v>0</v>
      </c>
      <c r="V126" s="460">
        <f>SUM(Q126:U126)</f>
        <v>0</v>
      </c>
      <c r="W126" s="460">
        <v>0</v>
      </c>
      <c r="X126" s="460">
        <v>0</v>
      </c>
      <c r="Y126" s="460">
        <v>0</v>
      </c>
      <c r="Z126" s="460">
        <f t="shared" si="402"/>
        <v>0</v>
      </c>
      <c r="AA126" s="460">
        <f t="shared" si="403"/>
        <v>0</v>
      </c>
      <c r="AB126" s="69">
        <f t="shared" si="404"/>
        <v>0</v>
      </c>
      <c r="AC126" s="69">
        <f t="shared" si="405"/>
        <v>0</v>
      </c>
      <c r="AD126" s="460">
        <v>0</v>
      </c>
      <c r="AE126" s="460">
        <v>0</v>
      </c>
      <c r="AF126" s="460">
        <f t="shared" si="406"/>
        <v>0</v>
      </c>
      <c r="AG126" s="460">
        <f t="shared" si="407"/>
        <v>0</v>
      </c>
      <c r="AH126" s="461">
        <v>0</v>
      </c>
      <c r="AI126" s="461">
        <v>0</v>
      </c>
      <c r="AJ126" s="461">
        <v>0</v>
      </c>
      <c r="AK126" s="461">
        <v>0</v>
      </c>
      <c r="AL126" s="674">
        <v>0</v>
      </c>
      <c r="AM126" s="461">
        <v>0</v>
      </c>
      <c r="AN126" s="461">
        <v>0</v>
      </c>
      <c r="AO126" s="461">
        <v>0</v>
      </c>
      <c r="AP126" s="461">
        <f>AH126+AJ126+AK126+AM126+AN126</f>
        <v>0</v>
      </c>
      <c r="AQ126" s="461">
        <f>AI126+AL126+AO126</f>
        <v>0</v>
      </c>
      <c r="AR126" s="463">
        <f t="shared" si="408"/>
        <v>0</v>
      </c>
      <c r="AS126" s="469">
        <f>I126+AG126</f>
        <v>520560</v>
      </c>
      <c r="AT126" s="460">
        <f>J126+V126</f>
        <v>386172</v>
      </c>
      <c r="AU126" s="460">
        <f t="shared" si="409"/>
        <v>0</v>
      </c>
      <c r="AV126" s="460">
        <f>K126+AB126</f>
        <v>130526</v>
      </c>
      <c r="AW126" s="460">
        <f>L126+AC126</f>
        <v>3862</v>
      </c>
      <c r="AX126" s="460">
        <f>M126+AF126</f>
        <v>0</v>
      </c>
      <c r="AY126" s="461">
        <f>N126+AR126</f>
        <v>1</v>
      </c>
      <c r="AZ126" s="461">
        <f>O126+AP126</f>
        <v>1</v>
      </c>
      <c r="BA126" s="463">
        <f>P126+AQ126</f>
        <v>0</v>
      </c>
    </row>
    <row r="127" spans="1:53" ht="12.95" customHeight="1" x14ac:dyDescent="0.25">
      <c r="A127" s="343">
        <v>23</v>
      </c>
      <c r="B127" s="344">
        <v>5424</v>
      </c>
      <c r="C127" s="345">
        <v>600099431</v>
      </c>
      <c r="D127" s="344">
        <v>72742372</v>
      </c>
      <c r="E127" s="346" t="s">
        <v>412</v>
      </c>
      <c r="F127" s="310"/>
      <c r="G127" s="348"/>
      <c r="H127" s="311"/>
      <c r="I127" s="552">
        <f t="shared" ref="I127:P127" si="410">SUM(I125:I126)</f>
        <v>5996403</v>
      </c>
      <c r="J127" s="548">
        <f t="shared" si="410"/>
        <v>4416048</v>
      </c>
      <c r="K127" s="548">
        <f t="shared" si="410"/>
        <v>1492624</v>
      </c>
      <c r="L127" s="548">
        <f t="shared" si="410"/>
        <v>44161</v>
      </c>
      <c r="M127" s="548">
        <f t="shared" si="410"/>
        <v>43570</v>
      </c>
      <c r="N127" s="549">
        <f t="shared" si="410"/>
        <v>7.4718</v>
      </c>
      <c r="O127" s="549">
        <f t="shared" si="410"/>
        <v>6.1818</v>
      </c>
      <c r="P127" s="347">
        <f t="shared" si="410"/>
        <v>1.29</v>
      </c>
      <c r="Q127" s="554">
        <f t="shared" ref="Q127:BA127" si="411">SUM(Q125:Q126)</f>
        <v>-9750</v>
      </c>
      <c r="R127" s="548">
        <f t="shared" si="411"/>
        <v>0</v>
      </c>
      <c r="S127" s="548">
        <f t="shared" si="411"/>
        <v>0</v>
      </c>
      <c r="T127" s="548">
        <f t="shared" si="411"/>
        <v>0</v>
      </c>
      <c r="U127" s="548">
        <f t="shared" si="411"/>
        <v>0</v>
      </c>
      <c r="V127" s="548">
        <f t="shared" si="411"/>
        <v>-9750</v>
      </c>
      <c r="W127" s="548">
        <f t="shared" si="411"/>
        <v>9750</v>
      </c>
      <c r="X127" s="548">
        <f t="shared" si="411"/>
        <v>0</v>
      </c>
      <c r="Y127" s="548">
        <f t="shared" si="411"/>
        <v>0</v>
      </c>
      <c r="Z127" s="548">
        <f t="shared" si="411"/>
        <v>9750</v>
      </c>
      <c r="AA127" s="548">
        <f t="shared" si="411"/>
        <v>0</v>
      </c>
      <c r="AB127" s="548">
        <f t="shared" si="411"/>
        <v>0</v>
      </c>
      <c r="AC127" s="548">
        <f t="shared" si="411"/>
        <v>-98</v>
      </c>
      <c r="AD127" s="548">
        <f t="shared" si="411"/>
        <v>0</v>
      </c>
      <c r="AE127" s="548">
        <f t="shared" si="411"/>
        <v>0</v>
      </c>
      <c r="AF127" s="548">
        <f t="shared" si="411"/>
        <v>0</v>
      </c>
      <c r="AG127" s="548">
        <f t="shared" si="411"/>
        <v>-98</v>
      </c>
      <c r="AH127" s="549">
        <f t="shared" si="411"/>
        <v>0</v>
      </c>
      <c r="AI127" s="549">
        <f t="shared" si="411"/>
        <v>-0.03</v>
      </c>
      <c r="AJ127" s="549">
        <f t="shared" si="411"/>
        <v>0</v>
      </c>
      <c r="AK127" s="549">
        <f t="shared" si="411"/>
        <v>0</v>
      </c>
      <c r="AL127" s="549">
        <f t="shared" si="411"/>
        <v>0</v>
      </c>
      <c r="AM127" s="549">
        <f t="shared" si="411"/>
        <v>0</v>
      </c>
      <c r="AN127" s="549">
        <f t="shared" si="411"/>
        <v>0</v>
      </c>
      <c r="AO127" s="549">
        <f t="shared" si="411"/>
        <v>0</v>
      </c>
      <c r="AP127" s="549">
        <f t="shared" si="411"/>
        <v>0</v>
      </c>
      <c r="AQ127" s="549">
        <f t="shared" si="411"/>
        <v>-0.03</v>
      </c>
      <c r="AR127" s="347">
        <f t="shared" si="411"/>
        <v>-0.03</v>
      </c>
      <c r="AS127" s="554">
        <f t="shared" si="411"/>
        <v>5996305</v>
      </c>
      <c r="AT127" s="548">
        <f t="shared" si="411"/>
        <v>4406298</v>
      </c>
      <c r="AU127" s="548">
        <f t="shared" si="411"/>
        <v>9750</v>
      </c>
      <c r="AV127" s="548">
        <f t="shared" si="411"/>
        <v>1492624</v>
      </c>
      <c r="AW127" s="548">
        <f t="shared" si="411"/>
        <v>44063</v>
      </c>
      <c r="AX127" s="548">
        <f t="shared" si="411"/>
        <v>43570</v>
      </c>
      <c r="AY127" s="549">
        <f t="shared" si="411"/>
        <v>7.4417999999999997</v>
      </c>
      <c r="AZ127" s="549">
        <f t="shared" si="411"/>
        <v>6.1818</v>
      </c>
      <c r="BA127" s="347">
        <f t="shared" si="411"/>
        <v>1.26</v>
      </c>
    </row>
    <row r="128" spans="1:53" ht="12.95" customHeight="1" x14ac:dyDescent="0.25">
      <c r="A128" s="299">
        <v>24</v>
      </c>
      <c r="B128" s="340">
        <v>5427</v>
      </c>
      <c r="C128" s="341">
        <v>600099407</v>
      </c>
      <c r="D128" s="300">
        <v>72742534</v>
      </c>
      <c r="E128" s="342" t="s">
        <v>413</v>
      </c>
      <c r="F128" s="300">
        <v>3231</v>
      </c>
      <c r="G128" s="342" t="s">
        <v>414</v>
      </c>
      <c r="H128" s="303" t="s">
        <v>277</v>
      </c>
      <c r="I128" s="462">
        <f t="shared" ref="I128:I129" si="412">SUM(J128:M128)</f>
        <v>11467915</v>
      </c>
      <c r="J128" s="457">
        <v>8488529</v>
      </c>
      <c r="K128" s="457">
        <f t="shared" ref="K128:K129" si="413">ROUND(J128*33.8%,0)</f>
        <v>2869123</v>
      </c>
      <c r="L128" s="457">
        <f t="shared" ref="L128:L129" si="414">ROUND(J128*1%,0)</f>
        <v>84885</v>
      </c>
      <c r="M128" s="457">
        <v>25378</v>
      </c>
      <c r="N128" s="458">
        <f t="shared" ref="N128:N129" si="415">O128+P128</f>
        <v>14.995200000000001</v>
      </c>
      <c r="O128" s="459">
        <v>13.502800000000001</v>
      </c>
      <c r="P128" s="646">
        <v>1.4923999999999999</v>
      </c>
      <c r="Q128" s="469">
        <f t="shared" ref="Q128:Q129" si="416">W128*-1</f>
        <v>0</v>
      </c>
      <c r="R128" s="460">
        <v>0</v>
      </c>
      <c r="S128" s="673">
        <v>0</v>
      </c>
      <c r="T128" s="460">
        <v>0</v>
      </c>
      <c r="U128" s="460">
        <v>0</v>
      </c>
      <c r="V128" s="460">
        <f>SUM(Q128:U128)</f>
        <v>0</v>
      </c>
      <c r="W128" s="460">
        <v>0</v>
      </c>
      <c r="X128" s="460">
        <v>0</v>
      </c>
      <c r="Y128" s="460">
        <v>0</v>
      </c>
      <c r="Z128" s="460">
        <f t="shared" ref="Z128:Z129" si="417">SUM(W128:Y128)</f>
        <v>0</v>
      </c>
      <c r="AA128" s="460">
        <f t="shared" ref="AA128:AA129" si="418">V128+Z128</f>
        <v>0</v>
      </c>
      <c r="AB128" s="69">
        <f t="shared" ref="AB128:AB129" si="419">ROUND((V128+W128+X128)*33.8%,0)</f>
        <v>0</v>
      </c>
      <c r="AC128" s="69">
        <f t="shared" ref="AC128:AC129" si="420">ROUND(V128*1%,0)</f>
        <v>0</v>
      </c>
      <c r="AD128" s="460">
        <v>0</v>
      </c>
      <c r="AE128" s="460">
        <v>0</v>
      </c>
      <c r="AF128" s="460">
        <f t="shared" ref="AF128:AF129" si="421">SUM(AD128:AE128)</f>
        <v>0</v>
      </c>
      <c r="AG128" s="460">
        <f t="shared" ref="AG128:AG129" si="422">AA128+AB128+AC128+AF128</f>
        <v>0</v>
      </c>
      <c r="AH128" s="461">
        <v>0</v>
      </c>
      <c r="AI128" s="461">
        <v>0</v>
      </c>
      <c r="AJ128" s="461">
        <v>0</v>
      </c>
      <c r="AK128" s="461">
        <v>0</v>
      </c>
      <c r="AL128" s="674">
        <v>0</v>
      </c>
      <c r="AM128" s="461">
        <v>0</v>
      </c>
      <c r="AN128" s="461">
        <v>0</v>
      </c>
      <c r="AO128" s="461">
        <v>0</v>
      </c>
      <c r="AP128" s="461">
        <f>AH128+AJ128+AK128+AM128+AN128</f>
        <v>0</v>
      </c>
      <c r="AQ128" s="461">
        <f>AI128+AL128+AO128</f>
        <v>0</v>
      </c>
      <c r="AR128" s="463">
        <f t="shared" ref="AR128:AR129" si="423">SUM(AP128:AQ128)</f>
        <v>0</v>
      </c>
      <c r="AS128" s="469">
        <f>I128+AG128</f>
        <v>11467915</v>
      </c>
      <c r="AT128" s="460">
        <f>J128+V128</f>
        <v>8488529</v>
      </c>
      <c r="AU128" s="460">
        <f t="shared" ref="AU128:AU129" si="424">Z128</f>
        <v>0</v>
      </c>
      <c r="AV128" s="460">
        <f>K128+AB128</f>
        <v>2869123</v>
      </c>
      <c r="AW128" s="460">
        <f>L128+AC128</f>
        <v>84885</v>
      </c>
      <c r="AX128" s="460">
        <f>M128+AF128</f>
        <v>25378</v>
      </c>
      <c r="AY128" s="461">
        <f>N128+AR128</f>
        <v>14.995200000000001</v>
      </c>
      <c r="AZ128" s="461">
        <f>O128+AP128</f>
        <v>13.502800000000001</v>
      </c>
      <c r="BA128" s="463">
        <f>P128+AQ128</f>
        <v>1.4923999999999999</v>
      </c>
    </row>
    <row r="129" spans="1:53" ht="12.95" customHeight="1" x14ac:dyDescent="0.25">
      <c r="A129" s="299">
        <v>24</v>
      </c>
      <c r="B129" s="340">
        <v>5427</v>
      </c>
      <c r="C129" s="341">
        <v>600099407</v>
      </c>
      <c r="D129" s="300">
        <v>72742534</v>
      </c>
      <c r="E129" s="342" t="s">
        <v>413</v>
      </c>
      <c r="F129" s="300">
        <v>3231</v>
      </c>
      <c r="G129" s="342" t="s">
        <v>315</v>
      </c>
      <c r="H129" s="303" t="s">
        <v>278</v>
      </c>
      <c r="I129" s="462">
        <f t="shared" si="412"/>
        <v>0</v>
      </c>
      <c r="J129" s="457">
        <v>0</v>
      </c>
      <c r="K129" s="457">
        <f t="shared" si="413"/>
        <v>0</v>
      </c>
      <c r="L129" s="457">
        <f t="shared" si="414"/>
        <v>0</v>
      </c>
      <c r="M129" s="457">
        <v>0</v>
      </c>
      <c r="N129" s="458">
        <f t="shared" si="415"/>
        <v>0</v>
      </c>
      <c r="O129" s="459">
        <v>0</v>
      </c>
      <c r="P129" s="646">
        <v>0</v>
      </c>
      <c r="Q129" s="469">
        <f t="shared" si="416"/>
        <v>0</v>
      </c>
      <c r="R129" s="460">
        <v>86612</v>
      </c>
      <c r="S129" s="673">
        <v>0</v>
      </c>
      <c r="T129" s="460">
        <v>0</v>
      </c>
      <c r="U129" s="460">
        <v>0</v>
      </c>
      <c r="V129" s="460">
        <f>SUM(Q129:U129)</f>
        <v>86612</v>
      </c>
      <c r="W129" s="460">
        <v>0</v>
      </c>
      <c r="X129" s="460">
        <v>0</v>
      </c>
      <c r="Y129" s="460">
        <v>0</v>
      </c>
      <c r="Z129" s="460">
        <f t="shared" si="417"/>
        <v>0</v>
      </c>
      <c r="AA129" s="460">
        <f t="shared" si="418"/>
        <v>86612</v>
      </c>
      <c r="AB129" s="69">
        <f t="shared" si="419"/>
        <v>29275</v>
      </c>
      <c r="AC129" s="69">
        <f t="shared" si="420"/>
        <v>866</v>
      </c>
      <c r="AD129" s="460">
        <v>0</v>
      </c>
      <c r="AE129" s="460">
        <v>0</v>
      </c>
      <c r="AF129" s="460">
        <f t="shared" si="421"/>
        <v>0</v>
      </c>
      <c r="AG129" s="460">
        <f t="shared" si="422"/>
        <v>116753</v>
      </c>
      <c r="AH129" s="461">
        <v>0</v>
      </c>
      <c r="AI129" s="461">
        <v>0</v>
      </c>
      <c r="AJ129" s="461">
        <v>0.25</v>
      </c>
      <c r="AK129" s="461">
        <v>0</v>
      </c>
      <c r="AL129" s="674">
        <v>0</v>
      </c>
      <c r="AM129" s="461">
        <v>0</v>
      </c>
      <c r="AN129" s="461">
        <v>0</v>
      </c>
      <c r="AO129" s="461">
        <v>0</v>
      </c>
      <c r="AP129" s="461">
        <f>AH129+AJ129+AK129+AM129+AN129</f>
        <v>0.25</v>
      </c>
      <c r="AQ129" s="461">
        <f>AI129+AL129+AO129</f>
        <v>0</v>
      </c>
      <c r="AR129" s="463">
        <f t="shared" si="423"/>
        <v>0.25</v>
      </c>
      <c r="AS129" s="469">
        <f>I129+AG129</f>
        <v>116753</v>
      </c>
      <c r="AT129" s="460">
        <f>J129+V129</f>
        <v>86612</v>
      </c>
      <c r="AU129" s="460">
        <f t="shared" si="424"/>
        <v>0</v>
      </c>
      <c r="AV129" s="460">
        <f>K129+AB129</f>
        <v>29275</v>
      </c>
      <c r="AW129" s="460">
        <f>L129+AC129</f>
        <v>866</v>
      </c>
      <c r="AX129" s="460">
        <f>M129+AF129</f>
        <v>0</v>
      </c>
      <c r="AY129" s="461">
        <f>N129+AR129</f>
        <v>0.25</v>
      </c>
      <c r="AZ129" s="461">
        <f>O129+AP129</f>
        <v>0.25</v>
      </c>
      <c r="BA129" s="463">
        <f>P129+AQ129</f>
        <v>0</v>
      </c>
    </row>
    <row r="130" spans="1:53" ht="12.95" customHeight="1" x14ac:dyDescent="0.25">
      <c r="A130" s="343">
        <v>24</v>
      </c>
      <c r="B130" s="344">
        <v>5427</v>
      </c>
      <c r="C130" s="345">
        <v>600099431</v>
      </c>
      <c r="D130" s="344">
        <v>72742534</v>
      </c>
      <c r="E130" s="346" t="s">
        <v>415</v>
      </c>
      <c r="F130" s="310"/>
      <c r="G130" s="348"/>
      <c r="H130" s="311"/>
      <c r="I130" s="552">
        <f t="shared" ref="I130:P130" si="425">SUM(I128:I129)</f>
        <v>11467915</v>
      </c>
      <c r="J130" s="548">
        <f t="shared" si="425"/>
        <v>8488529</v>
      </c>
      <c r="K130" s="548">
        <f t="shared" si="425"/>
        <v>2869123</v>
      </c>
      <c r="L130" s="548">
        <f t="shared" si="425"/>
        <v>84885</v>
      </c>
      <c r="M130" s="548">
        <f t="shared" si="425"/>
        <v>25378</v>
      </c>
      <c r="N130" s="549">
        <f t="shared" si="425"/>
        <v>14.995200000000001</v>
      </c>
      <c r="O130" s="549">
        <f t="shared" si="425"/>
        <v>13.502800000000001</v>
      </c>
      <c r="P130" s="347">
        <f t="shared" si="425"/>
        <v>1.4923999999999999</v>
      </c>
      <c r="Q130" s="554">
        <f t="shared" ref="Q130:BA130" si="426">SUM(Q128:Q129)</f>
        <v>0</v>
      </c>
      <c r="R130" s="548">
        <f t="shared" si="426"/>
        <v>86612</v>
      </c>
      <c r="S130" s="548">
        <f t="shared" si="426"/>
        <v>0</v>
      </c>
      <c r="T130" s="548">
        <f t="shared" si="426"/>
        <v>0</v>
      </c>
      <c r="U130" s="548">
        <f t="shared" si="426"/>
        <v>0</v>
      </c>
      <c r="V130" s="548">
        <f t="shared" si="426"/>
        <v>86612</v>
      </c>
      <c r="W130" s="548">
        <f t="shared" si="426"/>
        <v>0</v>
      </c>
      <c r="X130" s="548">
        <f t="shared" si="426"/>
        <v>0</v>
      </c>
      <c r="Y130" s="548">
        <f t="shared" si="426"/>
        <v>0</v>
      </c>
      <c r="Z130" s="548">
        <f t="shared" si="426"/>
        <v>0</v>
      </c>
      <c r="AA130" s="548">
        <f t="shared" si="426"/>
        <v>86612</v>
      </c>
      <c r="AB130" s="548">
        <f t="shared" si="426"/>
        <v>29275</v>
      </c>
      <c r="AC130" s="548">
        <f t="shared" si="426"/>
        <v>866</v>
      </c>
      <c r="AD130" s="548">
        <f t="shared" si="426"/>
        <v>0</v>
      </c>
      <c r="AE130" s="548">
        <f t="shared" si="426"/>
        <v>0</v>
      </c>
      <c r="AF130" s="548">
        <f t="shared" si="426"/>
        <v>0</v>
      </c>
      <c r="AG130" s="548">
        <f t="shared" si="426"/>
        <v>116753</v>
      </c>
      <c r="AH130" s="549">
        <f t="shared" si="426"/>
        <v>0</v>
      </c>
      <c r="AI130" s="549">
        <f t="shared" si="426"/>
        <v>0</v>
      </c>
      <c r="AJ130" s="549">
        <f t="shared" si="426"/>
        <v>0.25</v>
      </c>
      <c r="AK130" s="549">
        <f t="shared" si="426"/>
        <v>0</v>
      </c>
      <c r="AL130" s="549">
        <f t="shared" si="426"/>
        <v>0</v>
      </c>
      <c r="AM130" s="549">
        <f t="shared" si="426"/>
        <v>0</v>
      </c>
      <c r="AN130" s="549">
        <f t="shared" si="426"/>
        <v>0</v>
      </c>
      <c r="AO130" s="549">
        <f t="shared" si="426"/>
        <v>0</v>
      </c>
      <c r="AP130" s="549">
        <f t="shared" si="426"/>
        <v>0.25</v>
      </c>
      <c r="AQ130" s="549">
        <f t="shared" si="426"/>
        <v>0</v>
      </c>
      <c r="AR130" s="347">
        <f t="shared" si="426"/>
        <v>0.25</v>
      </c>
      <c r="AS130" s="554">
        <f t="shared" si="426"/>
        <v>11584668</v>
      </c>
      <c r="AT130" s="548">
        <f t="shared" si="426"/>
        <v>8575141</v>
      </c>
      <c r="AU130" s="548">
        <f t="shared" si="426"/>
        <v>0</v>
      </c>
      <c r="AV130" s="548">
        <f t="shared" si="426"/>
        <v>2898398</v>
      </c>
      <c r="AW130" s="548">
        <f t="shared" si="426"/>
        <v>85751</v>
      </c>
      <c r="AX130" s="548">
        <f t="shared" si="426"/>
        <v>25378</v>
      </c>
      <c r="AY130" s="549">
        <f t="shared" si="426"/>
        <v>15.245200000000001</v>
      </c>
      <c r="AZ130" s="549">
        <f t="shared" si="426"/>
        <v>13.752800000000001</v>
      </c>
      <c r="BA130" s="347">
        <f t="shared" si="426"/>
        <v>1.4923999999999999</v>
      </c>
    </row>
    <row r="131" spans="1:53" ht="12.95" customHeight="1" x14ac:dyDescent="0.25">
      <c r="A131" s="299">
        <v>25</v>
      </c>
      <c r="B131" s="340">
        <v>5432</v>
      </c>
      <c r="C131" s="341">
        <v>600099024</v>
      </c>
      <c r="D131" s="300">
        <v>71003819</v>
      </c>
      <c r="E131" s="342" t="s">
        <v>416</v>
      </c>
      <c r="F131" s="300">
        <v>3111</v>
      </c>
      <c r="G131" s="342" t="s">
        <v>321</v>
      </c>
      <c r="H131" s="303" t="s">
        <v>277</v>
      </c>
      <c r="I131" s="462">
        <f t="shared" ref="I131:I136" si="427">SUM(J131:M131)</f>
        <v>1666281</v>
      </c>
      <c r="J131" s="457">
        <v>1228992</v>
      </c>
      <c r="K131" s="457">
        <f t="shared" ref="K131:K136" si="428">ROUND(J131*33.8%,0)</f>
        <v>415399</v>
      </c>
      <c r="L131" s="457">
        <f t="shared" ref="L131:L136" si="429">ROUND(J131*1%,0)</f>
        <v>12290</v>
      </c>
      <c r="M131" s="457">
        <v>9600</v>
      </c>
      <c r="N131" s="458">
        <f t="shared" ref="N131:N136" si="430">O131+P131</f>
        <v>2.4</v>
      </c>
      <c r="O131" s="459">
        <v>2</v>
      </c>
      <c r="P131" s="646">
        <v>0.4</v>
      </c>
      <c r="Q131" s="469">
        <f t="shared" ref="Q131:Q136" si="431">W131*-1</f>
        <v>-10400</v>
      </c>
      <c r="R131" s="460">
        <v>0</v>
      </c>
      <c r="S131" s="673">
        <v>0</v>
      </c>
      <c r="T131" s="460">
        <v>0</v>
      </c>
      <c r="U131" s="460">
        <v>0</v>
      </c>
      <c r="V131" s="460">
        <f t="shared" ref="V131:V136" si="432">SUM(Q131:U131)</f>
        <v>-10400</v>
      </c>
      <c r="W131" s="460">
        <v>10400</v>
      </c>
      <c r="X131" s="460">
        <v>0</v>
      </c>
      <c r="Y131" s="460">
        <v>0</v>
      </c>
      <c r="Z131" s="460">
        <f t="shared" ref="Z131:Z136" si="433">SUM(W131:Y131)</f>
        <v>10400</v>
      </c>
      <c r="AA131" s="460">
        <f t="shared" ref="AA131:AA136" si="434">V131+Z131</f>
        <v>0</v>
      </c>
      <c r="AB131" s="69">
        <f t="shared" ref="AB131:AB136" si="435">ROUND((V131+W131+X131)*33.8%,0)</f>
        <v>0</v>
      </c>
      <c r="AC131" s="69">
        <f t="shared" ref="AC131:AC136" si="436">ROUND(V131*1%,0)</f>
        <v>-104</v>
      </c>
      <c r="AD131" s="460">
        <v>0</v>
      </c>
      <c r="AE131" s="460">
        <v>0</v>
      </c>
      <c r="AF131" s="460">
        <f t="shared" ref="AF131:AF136" si="437">SUM(AD131:AE131)</f>
        <v>0</v>
      </c>
      <c r="AG131" s="460">
        <f t="shared" ref="AG131:AG136" si="438">AA131+AB131+AC131+AF131</f>
        <v>-104</v>
      </c>
      <c r="AH131" s="461">
        <v>0</v>
      </c>
      <c r="AI131" s="461">
        <v>0</v>
      </c>
      <c r="AJ131" s="461">
        <v>0</v>
      </c>
      <c r="AK131" s="461">
        <v>0</v>
      </c>
      <c r="AL131" s="674">
        <v>0</v>
      </c>
      <c r="AM131" s="461">
        <v>0</v>
      </c>
      <c r="AN131" s="461">
        <v>0</v>
      </c>
      <c r="AO131" s="461">
        <v>0</v>
      </c>
      <c r="AP131" s="461">
        <f t="shared" ref="AP131:AP136" si="439">AH131+AJ131+AK131+AM131+AN131</f>
        <v>0</v>
      </c>
      <c r="AQ131" s="461">
        <f t="shared" ref="AQ131:AQ136" si="440">AI131+AL131+AO131</f>
        <v>0</v>
      </c>
      <c r="AR131" s="463">
        <f t="shared" ref="AR131:AR136" si="441">SUM(AP131:AQ131)</f>
        <v>0</v>
      </c>
      <c r="AS131" s="469">
        <f t="shared" ref="AS131:AS136" si="442">I131+AG131</f>
        <v>1666177</v>
      </c>
      <c r="AT131" s="460">
        <f t="shared" ref="AT131:AT136" si="443">J131+V131</f>
        <v>1218592</v>
      </c>
      <c r="AU131" s="460">
        <f t="shared" ref="AU131:AU136" si="444">Z131</f>
        <v>10400</v>
      </c>
      <c r="AV131" s="460">
        <f t="shared" ref="AV131:AW136" si="445">K131+AB131</f>
        <v>415399</v>
      </c>
      <c r="AW131" s="460">
        <f t="shared" si="445"/>
        <v>12186</v>
      </c>
      <c r="AX131" s="460">
        <f t="shared" ref="AX131:AX136" si="446">M131+AF131</f>
        <v>9600</v>
      </c>
      <c r="AY131" s="461">
        <f t="shared" ref="AY131:AY136" si="447">N131+AR131</f>
        <v>2.4</v>
      </c>
      <c r="AZ131" s="461">
        <f t="shared" ref="AZ131:BA136" si="448">O131+AP131</f>
        <v>2</v>
      </c>
      <c r="BA131" s="463">
        <f t="shared" si="448"/>
        <v>0.4</v>
      </c>
    </row>
    <row r="132" spans="1:53" ht="12.95" customHeight="1" x14ac:dyDescent="0.25">
      <c r="A132" s="299">
        <v>25</v>
      </c>
      <c r="B132" s="340">
        <v>5432</v>
      </c>
      <c r="C132" s="341">
        <v>600099024</v>
      </c>
      <c r="D132" s="300">
        <v>71003819</v>
      </c>
      <c r="E132" s="342" t="s">
        <v>416</v>
      </c>
      <c r="F132" s="300">
        <v>3117</v>
      </c>
      <c r="G132" s="342" t="s">
        <v>310</v>
      </c>
      <c r="H132" s="303" t="s">
        <v>277</v>
      </c>
      <c r="I132" s="462">
        <f t="shared" si="427"/>
        <v>3130997</v>
      </c>
      <c r="J132" s="457">
        <v>2282156</v>
      </c>
      <c r="K132" s="457">
        <f t="shared" si="428"/>
        <v>771369</v>
      </c>
      <c r="L132" s="457">
        <f t="shared" si="429"/>
        <v>22822</v>
      </c>
      <c r="M132" s="457">
        <v>54650</v>
      </c>
      <c r="N132" s="458">
        <f t="shared" si="430"/>
        <v>4.3895999999999997</v>
      </c>
      <c r="O132" s="459">
        <v>3.3182</v>
      </c>
      <c r="P132" s="646">
        <v>1.0713999999999999</v>
      </c>
      <c r="Q132" s="469">
        <f t="shared" si="431"/>
        <v>-14950</v>
      </c>
      <c r="R132" s="460">
        <v>0</v>
      </c>
      <c r="S132" s="673">
        <v>0</v>
      </c>
      <c r="T132" s="460">
        <v>0</v>
      </c>
      <c r="U132" s="460">
        <v>0</v>
      </c>
      <c r="V132" s="460">
        <f t="shared" si="432"/>
        <v>-14950</v>
      </c>
      <c r="W132" s="460">
        <v>14950</v>
      </c>
      <c r="X132" s="460">
        <v>49520</v>
      </c>
      <c r="Y132" s="460">
        <v>0</v>
      </c>
      <c r="Z132" s="460">
        <f t="shared" si="433"/>
        <v>64470</v>
      </c>
      <c r="AA132" s="460">
        <f t="shared" si="434"/>
        <v>49520</v>
      </c>
      <c r="AB132" s="69">
        <f t="shared" si="435"/>
        <v>16738</v>
      </c>
      <c r="AC132" s="69">
        <f t="shared" si="436"/>
        <v>-150</v>
      </c>
      <c r="AD132" s="460">
        <v>0</v>
      </c>
      <c r="AE132" s="460">
        <v>0</v>
      </c>
      <c r="AF132" s="460">
        <f t="shared" si="437"/>
        <v>0</v>
      </c>
      <c r="AG132" s="460">
        <f t="shared" si="438"/>
        <v>66108</v>
      </c>
      <c r="AH132" s="461">
        <v>-0.02</v>
      </c>
      <c r="AI132" s="461">
        <v>0</v>
      </c>
      <c r="AJ132" s="461">
        <v>0</v>
      </c>
      <c r="AK132" s="461">
        <v>0</v>
      </c>
      <c r="AL132" s="674">
        <v>0</v>
      </c>
      <c r="AM132" s="461">
        <v>0</v>
      </c>
      <c r="AN132" s="461">
        <v>0</v>
      </c>
      <c r="AO132" s="461">
        <v>0</v>
      </c>
      <c r="AP132" s="461">
        <f t="shared" si="439"/>
        <v>-0.02</v>
      </c>
      <c r="AQ132" s="461">
        <f t="shared" si="440"/>
        <v>0</v>
      </c>
      <c r="AR132" s="463">
        <f t="shared" si="441"/>
        <v>-0.02</v>
      </c>
      <c r="AS132" s="469">
        <f t="shared" si="442"/>
        <v>3197105</v>
      </c>
      <c r="AT132" s="460">
        <f t="shared" si="443"/>
        <v>2267206</v>
      </c>
      <c r="AU132" s="460">
        <f t="shared" si="444"/>
        <v>64470</v>
      </c>
      <c r="AV132" s="460">
        <f t="shared" si="445"/>
        <v>788107</v>
      </c>
      <c r="AW132" s="460">
        <f t="shared" si="445"/>
        <v>22672</v>
      </c>
      <c r="AX132" s="460">
        <f t="shared" si="446"/>
        <v>54650</v>
      </c>
      <c r="AY132" s="461">
        <f t="shared" si="447"/>
        <v>4.3696000000000002</v>
      </c>
      <c r="AZ132" s="461">
        <f t="shared" si="448"/>
        <v>3.2982</v>
      </c>
      <c r="BA132" s="463">
        <f t="shared" si="448"/>
        <v>1.0713999999999999</v>
      </c>
    </row>
    <row r="133" spans="1:53" ht="12.95" customHeight="1" x14ac:dyDescent="0.25">
      <c r="A133" s="299">
        <v>25</v>
      </c>
      <c r="B133" s="340">
        <v>5432</v>
      </c>
      <c r="C133" s="341">
        <v>600099024</v>
      </c>
      <c r="D133" s="300">
        <v>71003819</v>
      </c>
      <c r="E133" s="342" t="s">
        <v>416</v>
      </c>
      <c r="F133" s="300">
        <v>3117</v>
      </c>
      <c r="G133" s="342" t="s">
        <v>315</v>
      </c>
      <c r="H133" s="303" t="s">
        <v>278</v>
      </c>
      <c r="I133" s="462">
        <f t="shared" si="427"/>
        <v>0</v>
      </c>
      <c r="J133" s="457">
        <v>0</v>
      </c>
      <c r="K133" s="457">
        <f t="shared" si="428"/>
        <v>0</v>
      </c>
      <c r="L133" s="457">
        <f t="shared" si="429"/>
        <v>0</v>
      </c>
      <c r="M133" s="457">
        <v>0</v>
      </c>
      <c r="N133" s="458">
        <f t="shared" si="430"/>
        <v>0</v>
      </c>
      <c r="O133" s="459">
        <v>0</v>
      </c>
      <c r="P133" s="646">
        <v>0</v>
      </c>
      <c r="Q133" s="469">
        <f t="shared" si="431"/>
        <v>0</v>
      </c>
      <c r="R133" s="460">
        <v>221345</v>
      </c>
      <c r="S133" s="673">
        <v>0</v>
      </c>
      <c r="T133" s="460">
        <v>0</v>
      </c>
      <c r="U133" s="460">
        <v>0</v>
      </c>
      <c r="V133" s="460">
        <f t="shared" si="432"/>
        <v>221345</v>
      </c>
      <c r="W133" s="460">
        <v>0</v>
      </c>
      <c r="X133" s="460">
        <v>0</v>
      </c>
      <c r="Y133" s="460">
        <v>0</v>
      </c>
      <c r="Z133" s="460">
        <f t="shared" si="433"/>
        <v>0</v>
      </c>
      <c r="AA133" s="460">
        <f t="shared" si="434"/>
        <v>221345</v>
      </c>
      <c r="AB133" s="69">
        <f t="shared" si="435"/>
        <v>74815</v>
      </c>
      <c r="AC133" s="69">
        <f t="shared" si="436"/>
        <v>2213</v>
      </c>
      <c r="AD133" s="460">
        <v>0</v>
      </c>
      <c r="AE133" s="460">
        <v>0</v>
      </c>
      <c r="AF133" s="460">
        <f t="shared" si="437"/>
        <v>0</v>
      </c>
      <c r="AG133" s="460">
        <f t="shared" si="438"/>
        <v>298373</v>
      </c>
      <c r="AH133" s="461">
        <v>0</v>
      </c>
      <c r="AI133" s="461">
        <v>0</v>
      </c>
      <c r="AJ133" s="461">
        <v>0.64</v>
      </c>
      <c r="AK133" s="461">
        <v>0</v>
      </c>
      <c r="AL133" s="674">
        <v>0</v>
      </c>
      <c r="AM133" s="461">
        <v>0</v>
      </c>
      <c r="AN133" s="461">
        <v>0</v>
      </c>
      <c r="AO133" s="461">
        <v>0</v>
      </c>
      <c r="AP133" s="461">
        <f t="shared" si="439"/>
        <v>0.64</v>
      </c>
      <c r="AQ133" s="461">
        <f t="shared" si="440"/>
        <v>0</v>
      </c>
      <c r="AR133" s="463">
        <f t="shared" si="441"/>
        <v>0.64</v>
      </c>
      <c r="AS133" s="469">
        <f t="shared" si="442"/>
        <v>298373</v>
      </c>
      <c r="AT133" s="460">
        <f t="shared" si="443"/>
        <v>221345</v>
      </c>
      <c r="AU133" s="460">
        <f t="shared" si="444"/>
        <v>0</v>
      </c>
      <c r="AV133" s="460">
        <f t="shared" si="445"/>
        <v>74815</v>
      </c>
      <c r="AW133" s="460">
        <f t="shared" si="445"/>
        <v>2213</v>
      </c>
      <c r="AX133" s="460">
        <f t="shared" si="446"/>
        <v>0</v>
      </c>
      <c r="AY133" s="461">
        <f t="shared" si="447"/>
        <v>0.64</v>
      </c>
      <c r="AZ133" s="461">
        <f t="shared" si="448"/>
        <v>0.64</v>
      </c>
      <c r="BA133" s="463">
        <f t="shared" si="448"/>
        <v>0</v>
      </c>
    </row>
    <row r="134" spans="1:53" ht="12.95" customHeight="1" x14ac:dyDescent="0.25">
      <c r="A134" s="299">
        <v>25</v>
      </c>
      <c r="B134" s="340">
        <v>5432</v>
      </c>
      <c r="C134" s="341">
        <v>600099024</v>
      </c>
      <c r="D134" s="300">
        <v>71003819</v>
      </c>
      <c r="E134" s="342" t="s">
        <v>416</v>
      </c>
      <c r="F134" s="300">
        <v>3141</v>
      </c>
      <c r="G134" s="342" t="s">
        <v>311</v>
      </c>
      <c r="H134" s="303" t="s">
        <v>278</v>
      </c>
      <c r="I134" s="462">
        <f t="shared" si="427"/>
        <v>739878</v>
      </c>
      <c r="J134" s="457">
        <v>546711</v>
      </c>
      <c r="K134" s="457">
        <f t="shared" si="428"/>
        <v>184788</v>
      </c>
      <c r="L134" s="457">
        <f t="shared" si="429"/>
        <v>5467</v>
      </c>
      <c r="M134" s="457">
        <v>2912</v>
      </c>
      <c r="N134" s="458">
        <f t="shared" si="430"/>
        <v>1.76</v>
      </c>
      <c r="O134" s="459">
        <v>0</v>
      </c>
      <c r="P134" s="646">
        <v>1.76</v>
      </c>
      <c r="Q134" s="469">
        <f t="shared" si="431"/>
        <v>-1300</v>
      </c>
      <c r="R134" s="460">
        <v>0</v>
      </c>
      <c r="S134" s="673">
        <v>0</v>
      </c>
      <c r="T134" s="460">
        <v>0</v>
      </c>
      <c r="U134" s="460">
        <v>0</v>
      </c>
      <c r="V134" s="460">
        <f t="shared" si="432"/>
        <v>-1300</v>
      </c>
      <c r="W134" s="460">
        <v>1300</v>
      </c>
      <c r="X134" s="460">
        <v>0</v>
      </c>
      <c r="Y134" s="460">
        <v>0</v>
      </c>
      <c r="Z134" s="460">
        <f t="shared" si="433"/>
        <v>1300</v>
      </c>
      <c r="AA134" s="460">
        <f t="shared" si="434"/>
        <v>0</v>
      </c>
      <c r="AB134" s="69">
        <f t="shared" si="435"/>
        <v>0</v>
      </c>
      <c r="AC134" s="69">
        <f t="shared" si="436"/>
        <v>-13</v>
      </c>
      <c r="AD134" s="460">
        <v>0</v>
      </c>
      <c r="AE134" s="460">
        <v>0</v>
      </c>
      <c r="AF134" s="460">
        <f t="shared" si="437"/>
        <v>0</v>
      </c>
      <c r="AG134" s="460">
        <f t="shared" si="438"/>
        <v>-13</v>
      </c>
      <c r="AH134" s="461">
        <v>0</v>
      </c>
      <c r="AI134" s="461">
        <v>0</v>
      </c>
      <c r="AJ134" s="461">
        <v>0</v>
      </c>
      <c r="AK134" s="461">
        <v>0</v>
      </c>
      <c r="AL134" s="674">
        <v>0</v>
      </c>
      <c r="AM134" s="461">
        <v>0</v>
      </c>
      <c r="AN134" s="461">
        <v>0</v>
      </c>
      <c r="AO134" s="461">
        <v>0</v>
      </c>
      <c r="AP134" s="461">
        <f t="shared" si="439"/>
        <v>0</v>
      </c>
      <c r="AQ134" s="461">
        <f t="shared" si="440"/>
        <v>0</v>
      </c>
      <c r="AR134" s="463">
        <f t="shared" si="441"/>
        <v>0</v>
      </c>
      <c r="AS134" s="469">
        <f t="shared" si="442"/>
        <v>739865</v>
      </c>
      <c r="AT134" s="460">
        <f t="shared" si="443"/>
        <v>545411</v>
      </c>
      <c r="AU134" s="460">
        <f t="shared" si="444"/>
        <v>1300</v>
      </c>
      <c r="AV134" s="460">
        <f t="shared" si="445"/>
        <v>184788</v>
      </c>
      <c r="AW134" s="460">
        <f t="shared" si="445"/>
        <v>5454</v>
      </c>
      <c r="AX134" s="460">
        <f t="shared" si="446"/>
        <v>2912</v>
      </c>
      <c r="AY134" s="461">
        <f t="shared" si="447"/>
        <v>1.76</v>
      </c>
      <c r="AZ134" s="461">
        <f t="shared" si="448"/>
        <v>0</v>
      </c>
      <c r="BA134" s="463">
        <f t="shared" si="448"/>
        <v>1.76</v>
      </c>
    </row>
    <row r="135" spans="1:53" ht="12.95" customHeight="1" x14ac:dyDescent="0.25">
      <c r="A135" s="299">
        <v>25</v>
      </c>
      <c r="B135" s="340">
        <v>5432</v>
      </c>
      <c r="C135" s="341">
        <v>600099024</v>
      </c>
      <c r="D135" s="300">
        <v>71003819</v>
      </c>
      <c r="E135" s="342" t="s">
        <v>416</v>
      </c>
      <c r="F135" s="300">
        <v>3143</v>
      </c>
      <c r="G135" s="342" t="s">
        <v>616</v>
      </c>
      <c r="H135" s="303" t="s">
        <v>277</v>
      </c>
      <c r="I135" s="462">
        <f t="shared" si="427"/>
        <v>601441</v>
      </c>
      <c r="J135" s="457">
        <v>446173</v>
      </c>
      <c r="K135" s="457">
        <f t="shared" si="428"/>
        <v>150806</v>
      </c>
      <c r="L135" s="457">
        <f t="shared" si="429"/>
        <v>4462</v>
      </c>
      <c r="M135" s="457">
        <v>0</v>
      </c>
      <c r="N135" s="458">
        <f t="shared" si="430"/>
        <v>0.95</v>
      </c>
      <c r="O135" s="459">
        <v>0.95</v>
      </c>
      <c r="P135" s="646">
        <v>0</v>
      </c>
      <c r="Q135" s="469">
        <f t="shared" si="431"/>
        <v>-18200</v>
      </c>
      <c r="R135" s="460">
        <v>0</v>
      </c>
      <c r="S135" s="673">
        <v>0</v>
      </c>
      <c r="T135" s="460">
        <v>0</v>
      </c>
      <c r="U135" s="460">
        <v>0</v>
      </c>
      <c r="V135" s="460">
        <f t="shared" si="432"/>
        <v>-18200</v>
      </c>
      <c r="W135" s="460">
        <v>18200</v>
      </c>
      <c r="X135" s="460">
        <v>46340</v>
      </c>
      <c r="Y135" s="460">
        <v>0</v>
      </c>
      <c r="Z135" s="460">
        <f t="shared" si="433"/>
        <v>64540</v>
      </c>
      <c r="AA135" s="460">
        <f t="shared" si="434"/>
        <v>46340</v>
      </c>
      <c r="AB135" s="69">
        <f t="shared" si="435"/>
        <v>15663</v>
      </c>
      <c r="AC135" s="69">
        <f t="shared" si="436"/>
        <v>-182</v>
      </c>
      <c r="AD135" s="460">
        <v>0</v>
      </c>
      <c r="AE135" s="460">
        <v>0</v>
      </c>
      <c r="AF135" s="460">
        <f t="shared" si="437"/>
        <v>0</v>
      </c>
      <c r="AG135" s="460">
        <f t="shared" si="438"/>
        <v>61821</v>
      </c>
      <c r="AH135" s="461">
        <v>-0.03</v>
      </c>
      <c r="AI135" s="461">
        <v>0</v>
      </c>
      <c r="AJ135" s="461">
        <v>0</v>
      </c>
      <c r="AK135" s="461">
        <v>0</v>
      </c>
      <c r="AL135" s="674">
        <v>0</v>
      </c>
      <c r="AM135" s="461">
        <v>0</v>
      </c>
      <c r="AN135" s="461">
        <v>0</v>
      </c>
      <c r="AO135" s="461">
        <v>0</v>
      </c>
      <c r="AP135" s="461">
        <f t="shared" si="439"/>
        <v>-0.03</v>
      </c>
      <c r="AQ135" s="461">
        <f t="shared" si="440"/>
        <v>0</v>
      </c>
      <c r="AR135" s="463">
        <f t="shared" si="441"/>
        <v>-0.03</v>
      </c>
      <c r="AS135" s="469">
        <f t="shared" si="442"/>
        <v>663262</v>
      </c>
      <c r="AT135" s="460">
        <f t="shared" si="443"/>
        <v>427973</v>
      </c>
      <c r="AU135" s="460">
        <f t="shared" si="444"/>
        <v>64540</v>
      </c>
      <c r="AV135" s="460">
        <f t="shared" si="445"/>
        <v>166469</v>
      </c>
      <c r="AW135" s="460">
        <f t="shared" si="445"/>
        <v>4280</v>
      </c>
      <c r="AX135" s="460">
        <f t="shared" si="446"/>
        <v>0</v>
      </c>
      <c r="AY135" s="461">
        <f t="shared" si="447"/>
        <v>0.91999999999999993</v>
      </c>
      <c r="AZ135" s="461">
        <f t="shared" si="448"/>
        <v>0.91999999999999993</v>
      </c>
      <c r="BA135" s="463">
        <f t="shared" si="448"/>
        <v>0</v>
      </c>
    </row>
    <row r="136" spans="1:53" ht="12.95" customHeight="1" x14ac:dyDescent="0.25">
      <c r="A136" s="299">
        <v>25</v>
      </c>
      <c r="B136" s="340">
        <v>5432</v>
      </c>
      <c r="C136" s="341">
        <v>600099024</v>
      </c>
      <c r="D136" s="300">
        <v>71003819</v>
      </c>
      <c r="E136" s="342" t="s">
        <v>416</v>
      </c>
      <c r="F136" s="300">
        <v>3143</v>
      </c>
      <c r="G136" s="342" t="s">
        <v>617</v>
      </c>
      <c r="H136" s="303" t="s">
        <v>278</v>
      </c>
      <c r="I136" s="462">
        <f t="shared" si="427"/>
        <v>18324</v>
      </c>
      <c r="J136" s="457">
        <v>13093</v>
      </c>
      <c r="K136" s="457">
        <f t="shared" si="428"/>
        <v>4425</v>
      </c>
      <c r="L136" s="457">
        <f t="shared" si="429"/>
        <v>131</v>
      </c>
      <c r="M136" s="457">
        <v>675</v>
      </c>
      <c r="N136" s="458">
        <f t="shared" si="430"/>
        <v>0.05</v>
      </c>
      <c r="O136" s="459">
        <v>0</v>
      </c>
      <c r="P136" s="646">
        <v>0.05</v>
      </c>
      <c r="Q136" s="469">
        <f t="shared" si="431"/>
        <v>0</v>
      </c>
      <c r="R136" s="460">
        <v>0</v>
      </c>
      <c r="S136" s="673">
        <v>0</v>
      </c>
      <c r="T136" s="460">
        <v>0</v>
      </c>
      <c r="U136" s="460">
        <v>0</v>
      </c>
      <c r="V136" s="460">
        <f t="shared" si="432"/>
        <v>0</v>
      </c>
      <c r="W136" s="460">
        <v>0</v>
      </c>
      <c r="X136" s="460">
        <v>0</v>
      </c>
      <c r="Y136" s="460">
        <v>0</v>
      </c>
      <c r="Z136" s="460">
        <f t="shared" si="433"/>
        <v>0</v>
      </c>
      <c r="AA136" s="460">
        <f t="shared" si="434"/>
        <v>0</v>
      </c>
      <c r="AB136" s="69">
        <f t="shared" si="435"/>
        <v>0</v>
      </c>
      <c r="AC136" s="69">
        <f t="shared" si="436"/>
        <v>0</v>
      </c>
      <c r="AD136" s="460">
        <v>0</v>
      </c>
      <c r="AE136" s="460">
        <v>0</v>
      </c>
      <c r="AF136" s="460">
        <f t="shared" si="437"/>
        <v>0</v>
      </c>
      <c r="AG136" s="460">
        <f t="shared" si="438"/>
        <v>0</v>
      </c>
      <c r="AH136" s="461">
        <v>0</v>
      </c>
      <c r="AI136" s="461">
        <v>0</v>
      </c>
      <c r="AJ136" s="461">
        <v>0</v>
      </c>
      <c r="AK136" s="461">
        <v>0</v>
      </c>
      <c r="AL136" s="674">
        <v>0</v>
      </c>
      <c r="AM136" s="461">
        <v>0</v>
      </c>
      <c r="AN136" s="461">
        <v>0</v>
      </c>
      <c r="AO136" s="461">
        <v>0</v>
      </c>
      <c r="AP136" s="461">
        <f t="shared" si="439"/>
        <v>0</v>
      </c>
      <c r="AQ136" s="461">
        <f t="shared" si="440"/>
        <v>0</v>
      </c>
      <c r="AR136" s="463">
        <f t="shared" si="441"/>
        <v>0</v>
      </c>
      <c r="AS136" s="469">
        <f t="shared" si="442"/>
        <v>18324</v>
      </c>
      <c r="AT136" s="460">
        <f t="shared" si="443"/>
        <v>13093</v>
      </c>
      <c r="AU136" s="460">
        <f t="shared" si="444"/>
        <v>0</v>
      </c>
      <c r="AV136" s="460">
        <f t="shared" si="445"/>
        <v>4425</v>
      </c>
      <c r="AW136" s="460">
        <f t="shared" si="445"/>
        <v>131</v>
      </c>
      <c r="AX136" s="460">
        <f t="shared" si="446"/>
        <v>675</v>
      </c>
      <c r="AY136" s="461">
        <f t="shared" si="447"/>
        <v>0.05</v>
      </c>
      <c r="AZ136" s="461">
        <f t="shared" si="448"/>
        <v>0</v>
      </c>
      <c r="BA136" s="463">
        <f t="shared" si="448"/>
        <v>0.05</v>
      </c>
    </row>
    <row r="137" spans="1:53" ht="12.95" customHeight="1" x14ac:dyDescent="0.25">
      <c r="A137" s="343">
        <v>25</v>
      </c>
      <c r="B137" s="344">
        <v>5432</v>
      </c>
      <c r="C137" s="345">
        <v>600099024</v>
      </c>
      <c r="D137" s="344">
        <v>71003819</v>
      </c>
      <c r="E137" s="346" t="s">
        <v>417</v>
      </c>
      <c r="F137" s="310"/>
      <c r="G137" s="348"/>
      <c r="H137" s="311"/>
      <c r="I137" s="552">
        <f t="shared" ref="I137:BA137" si="449">SUM(I131:I136)</f>
        <v>6156921</v>
      </c>
      <c r="J137" s="548">
        <f t="shared" si="449"/>
        <v>4517125</v>
      </c>
      <c r="K137" s="548">
        <f t="shared" si="449"/>
        <v>1526787</v>
      </c>
      <c r="L137" s="548">
        <f t="shared" si="449"/>
        <v>45172</v>
      </c>
      <c r="M137" s="548">
        <f t="shared" si="449"/>
        <v>67837</v>
      </c>
      <c r="N137" s="549">
        <f t="shared" si="449"/>
        <v>9.5495999999999999</v>
      </c>
      <c r="O137" s="549">
        <f t="shared" si="449"/>
        <v>6.2682000000000002</v>
      </c>
      <c r="P137" s="347">
        <f t="shared" si="449"/>
        <v>3.2813999999999997</v>
      </c>
      <c r="Q137" s="554">
        <f t="shared" si="449"/>
        <v>-44850</v>
      </c>
      <c r="R137" s="548">
        <f t="shared" si="449"/>
        <v>221345</v>
      </c>
      <c r="S137" s="548">
        <f t="shared" si="449"/>
        <v>0</v>
      </c>
      <c r="T137" s="548">
        <f t="shared" si="449"/>
        <v>0</v>
      </c>
      <c r="U137" s="548">
        <f t="shared" si="449"/>
        <v>0</v>
      </c>
      <c r="V137" s="548">
        <f t="shared" si="449"/>
        <v>176495</v>
      </c>
      <c r="W137" s="548">
        <f t="shared" si="449"/>
        <v>44850</v>
      </c>
      <c r="X137" s="548">
        <f t="shared" si="449"/>
        <v>95860</v>
      </c>
      <c r="Y137" s="548">
        <f t="shared" si="449"/>
        <v>0</v>
      </c>
      <c r="Z137" s="548">
        <f t="shared" si="449"/>
        <v>140710</v>
      </c>
      <c r="AA137" s="548">
        <f t="shared" si="449"/>
        <v>317205</v>
      </c>
      <c r="AB137" s="548">
        <f t="shared" si="449"/>
        <v>107216</v>
      </c>
      <c r="AC137" s="548">
        <f t="shared" si="449"/>
        <v>1764</v>
      </c>
      <c r="AD137" s="548">
        <f t="shared" si="449"/>
        <v>0</v>
      </c>
      <c r="AE137" s="548">
        <f t="shared" si="449"/>
        <v>0</v>
      </c>
      <c r="AF137" s="548">
        <f t="shared" si="449"/>
        <v>0</v>
      </c>
      <c r="AG137" s="548">
        <f t="shared" si="449"/>
        <v>426185</v>
      </c>
      <c r="AH137" s="549">
        <f t="shared" si="449"/>
        <v>-0.05</v>
      </c>
      <c r="AI137" s="549">
        <f t="shared" si="449"/>
        <v>0</v>
      </c>
      <c r="AJ137" s="549">
        <f t="shared" si="449"/>
        <v>0.64</v>
      </c>
      <c r="AK137" s="549">
        <f t="shared" si="449"/>
        <v>0</v>
      </c>
      <c r="AL137" s="549">
        <f t="shared" si="449"/>
        <v>0</v>
      </c>
      <c r="AM137" s="549">
        <f t="shared" si="449"/>
        <v>0</v>
      </c>
      <c r="AN137" s="549">
        <f t="shared" si="449"/>
        <v>0</v>
      </c>
      <c r="AO137" s="549">
        <f t="shared" si="449"/>
        <v>0</v>
      </c>
      <c r="AP137" s="549">
        <f t="shared" si="449"/>
        <v>0.59</v>
      </c>
      <c r="AQ137" s="549">
        <f t="shared" si="449"/>
        <v>0</v>
      </c>
      <c r="AR137" s="347">
        <f t="shared" si="449"/>
        <v>0.59</v>
      </c>
      <c r="AS137" s="554">
        <f t="shared" si="449"/>
        <v>6583106</v>
      </c>
      <c r="AT137" s="548">
        <f t="shared" si="449"/>
        <v>4693620</v>
      </c>
      <c r="AU137" s="548">
        <f t="shared" si="449"/>
        <v>140710</v>
      </c>
      <c r="AV137" s="548">
        <f t="shared" si="449"/>
        <v>1634003</v>
      </c>
      <c r="AW137" s="548">
        <f t="shared" si="449"/>
        <v>46936</v>
      </c>
      <c r="AX137" s="548">
        <f t="shared" si="449"/>
        <v>67837</v>
      </c>
      <c r="AY137" s="549">
        <f t="shared" si="449"/>
        <v>10.139600000000002</v>
      </c>
      <c r="AZ137" s="549">
        <f t="shared" si="449"/>
        <v>6.8581999999999992</v>
      </c>
      <c r="BA137" s="347">
        <f t="shared" si="449"/>
        <v>3.2813999999999997</v>
      </c>
    </row>
    <row r="138" spans="1:53" ht="12.95" customHeight="1" x14ac:dyDescent="0.25">
      <c r="A138" s="299">
        <v>26</v>
      </c>
      <c r="B138" s="340">
        <v>5452</v>
      </c>
      <c r="C138" s="341">
        <v>600099245</v>
      </c>
      <c r="D138" s="300">
        <v>70188416</v>
      </c>
      <c r="E138" s="342" t="s">
        <v>418</v>
      </c>
      <c r="F138" s="300">
        <v>3111</v>
      </c>
      <c r="G138" s="342" t="s">
        <v>321</v>
      </c>
      <c r="H138" s="303" t="s">
        <v>277</v>
      </c>
      <c r="I138" s="462">
        <f t="shared" ref="I138:I143" si="450">SUM(J138:M138)</f>
        <v>1544708</v>
      </c>
      <c r="J138" s="457">
        <v>1139695</v>
      </c>
      <c r="K138" s="457">
        <f t="shared" ref="K138:K143" si="451">ROUND(J138*33.8%,0)</f>
        <v>385217</v>
      </c>
      <c r="L138" s="457">
        <f>ROUND(J138*1%,0)-1</f>
        <v>11396</v>
      </c>
      <c r="M138" s="457">
        <v>8400</v>
      </c>
      <c r="N138" s="458">
        <f t="shared" ref="N138:N143" si="452">O138+P138</f>
        <v>2.3353999999999999</v>
      </c>
      <c r="O138" s="459">
        <v>1.9354</v>
      </c>
      <c r="P138" s="646">
        <v>0.4</v>
      </c>
      <c r="Q138" s="469">
        <f t="shared" ref="Q138:Q143" si="453">W138*-1</f>
        <v>-9750</v>
      </c>
      <c r="R138" s="460">
        <v>0</v>
      </c>
      <c r="S138" s="673">
        <v>0</v>
      </c>
      <c r="T138" s="460">
        <v>0</v>
      </c>
      <c r="U138" s="460">
        <v>0</v>
      </c>
      <c r="V138" s="460">
        <f t="shared" ref="V138:V143" si="454">SUM(Q138:U138)</f>
        <v>-9750</v>
      </c>
      <c r="W138" s="460">
        <v>9750</v>
      </c>
      <c r="X138" s="460">
        <v>0</v>
      </c>
      <c r="Y138" s="460">
        <v>0</v>
      </c>
      <c r="Z138" s="460">
        <f t="shared" ref="Z138:Z143" si="455">SUM(W138:Y138)</f>
        <v>9750</v>
      </c>
      <c r="AA138" s="460">
        <f t="shared" ref="AA138:AA143" si="456">V138+Z138</f>
        <v>0</v>
      </c>
      <c r="AB138" s="69">
        <f t="shared" ref="AB138:AB143" si="457">ROUND((V138+W138+X138)*33.8%,0)</f>
        <v>0</v>
      </c>
      <c r="AC138" s="69">
        <f t="shared" ref="AC138:AC143" si="458">ROUND(V138*1%,0)</f>
        <v>-98</v>
      </c>
      <c r="AD138" s="460">
        <v>0</v>
      </c>
      <c r="AE138" s="460">
        <v>0</v>
      </c>
      <c r="AF138" s="460">
        <f t="shared" ref="AF138:AF143" si="459">SUM(AD138:AE138)</f>
        <v>0</v>
      </c>
      <c r="AG138" s="460">
        <f t="shared" ref="AG138:AG143" si="460">AA138+AB138+AC138+AF138</f>
        <v>-98</v>
      </c>
      <c r="AH138" s="461">
        <v>0</v>
      </c>
      <c r="AI138" s="461">
        <v>-0.02</v>
      </c>
      <c r="AJ138" s="461">
        <v>0</v>
      </c>
      <c r="AK138" s="461">
        <v>0</v>
      </c>
      <c r="AL138" s="674">
        <v>0</v>
      </c>
      <c r="AM138" s="461">
        <v>0</v>
      </c>
      <c r="AN138" s="461">
        <v>0</v>
      </c>
      <c r="AO138" s="461">
        <v>0</v>
      </c>
      <c r="AP138" s="461">
        <f t="shared" ref="AP138:AP143" si="461">AH138+AJ138+AK138+AM138+AN138</f>
        <v>0</v>
      </c>
      <c r="AQ138" s="461">
        <f t="shared" ref="AQ138:AQ143" si="462">AI138+AL138+AO138</f>
        <v>-0.02</v>
      </c>
      <c r="AR138" s="463">
        <f t="shared" ref="AR138:AR143" si="463">SUM(AP138:AQ138)</f>
        <v>-0.02</v>
      </c>
      <c r="AS138" s="469">
        <f t="shared" ref="AS138:AS143" si="464">I138+AG138</f>
        <v>1544610</v>
      </c>
      <c r="AT138" s="460">
        <f t="shared" ref="AT138:AT143" si="465">J138+V138</f>
        <v>1129945</v>
      </c>
      <c r="AU138" s="460">
        <f t="shared" ref="AU138:AU143" si="466">Z138</f>
        <v>9750</v>
      </c>
      <c r="AV138" s="460">
        <f t="shared" ref="AV138:AW143" si="467">K138+AB138</f>
        <v>385217</v>
      </c>
      <c r="AW138" s="460">
        <f t="shared" si="467"/>
        <v>11298</v>
      </c>
      <c r="AX138" s="460">
        <f t="shared" ref="AX138:AX143" si="468">M138+AF138</f>
        <v>8400</v>
      </c>
      <c r="AY138" s="461">
        <f t="shared" ref="AY138:AY143" si="469">N138+AR138</f>
        <v>2.3153999999999999</v>
      </c>
      <c r="AZ138" s="461">
        <f t="shared" ref="AZ138:BA143" si="470">O138+AP138</f>
        <v>1.9354</v>
      </c>
      <c r="BA138" s="463">
        <f t="shared" si="470"/>
        <v>0.38</v>
      </c>
    </row>
    <row r="139" spans="1:53" ht="12.95" customHeight="1" x14ac:dyDescent="0.25">
      <c r="A139" s="299">
        <v>26</v>
      </c>
      <c r="B139" s="340">
        <v>5452</v>
      </c>
      <c r="C139" s="341">
        <v>600099245</v>
      </c>
      <c r="D139" s="300">
        <v>70188416</v>
      </c>
      <c r="E139" s="342" t="s">
        <v>418</v>
      </c>
      <c r="F139" s="300">
        <v>3117</v>
      </c>
      <c r="G139" s="342" t="s">
        <v>310</v>
      </c>
      <c r="H139" s="303" t="s">
        <v>277</v>
      </c>
      <c r="I139" s="462">
        <f t="shared" si="450"/>
        <v>3607266</v>
      </c>
      <c r="J139" s="457">
        <v>2637660</v>
      </c>
      <c r="K139" s="457">
        <f t="shared" si="451"/>
        <v>891529</v>
      </c>
      <c r="L139" s="457">
        <f t="shared" ref="L139:L143" si="471">ROUND(J139*1%,0)</f>
        <v>26377</v>
      </c>
      <c r="M139" s="457">
        <v>51700</v>
      </c>
      <c r="N139" s="458">
        <f t="shared" si="452"/>
        <v>5.1055000000000001</v>
      </c>
      <c r="O139" s="459">
        <v>3.6412</v>
      </c>
      <c r="P139" s="646">
        <v>1.4643000000000002</v>
      </c>
      <c r="Q139" s="469">
        <f t="shared" si="453"/>
        <v>-3250</v>
      </c>
      <c r="R139" s="460">
        <v>0</v>
      </c>
      <c r="S139" s="673">
        <v>0</v>
      </c>
      <c r="T139" s="460">
        <v>0</v>
      </c>
      <c r="U139" s="460">
        <v>0</v>
      </c>
      <c r="V139" s="460">
        <f t="shared" si="454"/>
        <v>-3250</v>
      </c>
      <c r="W139" s="460">
        <v>3250</v>
      </c>
      <c r="X139" s="460">
        <v>0</v>
      </c>
      <c r="Y139" s="460">
        <v>0</v>
      </c>
      <c r="Z139" s="460">
        <f t="shared" si="455"/>
        <v>3250</v>
      </c>
      <c r="AA139" s="460">
        <f t="shared" si="456"/>
        <v>0</v>
      </c>
      <c r="AB139" s="69">
        <f t="shared" si="457"/>
        <v>0</v>
      </c>
      <c r="AC139" s="69">
        <f t="shared" si="458"/>
        <v>-33</v>
      </c>
      <c r="AD139" s="460">
        <v>0</v>
      </c>
      <c r="AE139" s="460">
        <v>0</v>
      </c>
      <c r="AF139" s="460">
        <f t="shared" si="459"/>
        <v>0</v>
      </c>
      <c r="AG139" s="460">
        <f t="shared" si="460"/>
        <v>-33</v>
      </c>
      <c r="AH139" s="461">
        <v>0</v>
      </c>
      <c r="AI139" s="461">
        <v>0</v>
      </c>
      <c r="AJ139" s="461">
        <v>0</v>
      </c>
      <c r="AK139" s="461">
        <v>0</v>
      </c>
      <c r="AL139" s="674">
        <v>0</v>
      </c>
      <c r="AM139" s="461">
        <v>0</v>
      </c>
      <c r="AN139" s="461">
        <v>0</v>
      </c>
      <c r="AO139" s="461">
        <v>0</v>
      </c>
      <c r="AP139" s="461">
        <f t="shared" si="461"/>
        <v>0</v>
      </c>
      <c r="AQ139" s="461">
        <f t="shared" si="462"/>
        <v>0</v>
      </c>
      <c r="AR139" s="463">
        <f t="shared" si="463"/>
        <v>0</v>
      </c>
      <c r="AS139" s="469">
        <f t="shared" si="464"/>
        <v>3607233</v>
      </c>
      <c r="AT139" s="460">
        <f t="shared" si="465"/>
        <v>2634410</v>
      </c>
      <c r="AU139" s="460">
        <f t="shared" si="466"/>
        <v>3250</v>
      </c>
      <c r="AV139" s="460">
        <f t="shared" si="467"/>
        <v>891529</v>
      </c>
      <c r="AW139" s="460">
        <f t="shared" si="467"/>
        <v>26344</v>
      </c>
      <c r="AX139" s="460">
        <f t="shared" si="468"/>
        <v>51700</v>
      </c>
      <c r="AY139" s="461">
        <f t="shared" si="469"/>
        <v>5.1055000000000001</v>
      </c>
      <c r="AZ139" s="461">
        <f t="shared" si="470"/>
        <v>3.6412</v>
      </c>
      <c r="BA139" s="463">
        <f t="shared" si="470"/>
        <v>1.4643000000000002</v>
      </c>
    </row>
    <row r="140" spans="1:53" ht="12.95" customHeight="1" x14ac:dyDescent="0.25">
      <c r="A140" s="299">
        <v>26</v>
      </c>
      <c r="B140" s="340">
        <v>5452</v>
      </c>
      <c r="C140" s="341">
        <v>600099245</v>
      </c>
      <c r="D140" s="300">
        <v>70188416</v>
      </c>
      <c r="E140" s="342" t="s">
        <v>418</v>
      </c>
      <c r="F140" s="300">
        <v>3117</v>
      </c>
      <c r="G140" s="342" t="s">
        <v>315</v>
      </c>
      <c r="H140" s="303" t="s">
        <v>278</v>
      </c>
      <c r="I140" s="462">
        <f t="shared" si="450"/>
        <v>0</v>
      </c>
      <c r="J140" s="457">
        <v>0</v>
      </c>
      <c r="K140" s="457">
        <f t="shared" si="451"/>
        <v>0</v>
      </c>
      <c r="L140" s="457">
        <f t="shared" si="471"/>
        <v>0</v>
      </c>
      <c r="M140" s="457">
        <v>0</v>
      </c>
      <c r="N140" s="458">
        <f t="shared" si="452"/>
        <v>0</v>
      </c>
      <c r="O140" s="459">
        <v>0</v>
      </c>
      <c r="P140" s="646">
        <v>0</v>
      </c>
      <c r="Q140" s="469">
        <f t="shared" si="453"/>
        <v>0</v>
      </c>
      <c r="R140" s="460">
        <v>702524</v>
      </c>
      <c r="S140" s="673">
        <v>0</v>
      </c>
      <c r="T140" s="460">
        <v>0</v>
      </c>
      <c r="U140" s="460">
        <v>0</v>
      </c>
      <c r="V140" s="460">
        <f t="shared" si="454"/>
        <v>702524</v>
      </c>
      <c r="W140" s="460">
        <v>0</v>
      </c>
      <c r="X140" s="460">
        <v>0</v>
      </c>
      <c r="Y140" s="460">
        <v>0</v>
      </c>
      <c r="Z140" s="460">
        <f t="shared" si="455"/>
        <v>0</v>
      </c>
      <c r="AA140" s="460">
        <f t="shared" si="456"/>
        <v>702524</v>
      </c>
      <c r="AB140" s="69">
        <f t="shared" si="457"/>
        <v>237453</v>
      </c>
      <c r="AC140" s="69">
        <f t="shared" si="458"/>
        <v>7025</v>
      </c>
      <c r="AD140" s="460">
        <v>0</v>
      </c>
      <c r="AE140" s="460">
        <v>0</v>
      </c>
      <c r="AF140" s="460">
        <f t="shared" si="459"/>
        <v>0</v>
      </c>
      <c r="AG140" s="460">
        <f t="shared" si="460"/>
        <v>947002</v>
      </c>
      <c r="AH140" s="461">
        <v>0</v>
      </c>
      <c r="AI140" s="461">
        <v>0</v>
      </c>
      <c r="AJ140" s="461">
        <v>2.0299999999999998</v>
      </c>
      <c r="AK140" s="461">
        <v>0</v>
      </c>
      <c r="AL140" s="674">
        <v>0</v>
      </c>
      <c r="AM140" s="461">
        <v>0</v>
      </c>
      <c r="AN140" s="461">
        <v>0</v>
      </c>
      <c r="AO140" s="461">
        <v>0</v>
      </c>
      <c r="AP140" s="461">
        <f t="shared" si="461"/>
        <v>2.0299999999999998</v>
      </c>
      <c r="AQ140" s="461">
        <f t="shared" si="462"/>
        <v>0</v>
      </c>
      <c r="AR140" s="463">
        <f t="shared" si="463"/>
        <v>2.0299999999999998</v>
      </c>
      <c r="AS140" s="469">
        <f t="shared" si="464"/>
        <v>947002</v>
      </c>
      <c r="AT140" s="460">
        <f t="shared" si="465"/>
        <v>702524</v>
      </c>
      <c r="AU140" s="460">
        <f t="shared" si="466"/>
        <v>0</v>
      </c>
      <c r="AV140" s="460">
        <f t="shared" si="467"/>
        <v>237453</v>
      </c>
      <c r="AW140" s="460">
        <f t="shared" si="467"/>
        <v>7025</v>
      </c>
      <c r="AX140" s="460">
        <f t="shared" si="468"/>
        <v>0</v>
      </c>
      <c r="AY140" s="461">
        <f t="shared" si="469"/>
        <v>2.0299999999999998</v>
      </c>
      <c r="AZ140" s="461">
        <f t="shared" si="470"/>
        <v>2.0299999999999998</v>
      </c>
      <c r="BA140" s="463">
        <f t="shared" si="470"/>
        <v>0</v>
      </c>
    </row>
    <row r="141" spans="1:53" ht="12.95" customHeight="1" x14ac:dyDescent="0.25">
      <c r="A141" s="299">
        <v>26</v>
      </c>
      <c r="B141" s="340">
        <v>5452</v>
      </c>
      <c r="C141" s="341">
        <v>600099245</v>
      </c>
      <c r="D141" s="300">
        <v>70188416</v>
      </c>
      <c r="E141" s="342" t="s">
        <v>418</v>
      </c>
      <c r="F141" s="300">
        <v>3141</v>
      </c>
      <c r="G141" s="342" t="s">
        <v>311</v>
      </c>
      <c r="H141" s="303" t="s">
        <v>278</v>
      </c>
      <c r="I141" s="462">
        <f t="shared" si="450"/>
        <v>706736</v>
      </c>
      <c r="J141" s="457">
        <v>522241</v>
      </c>
      <c r="K141" s="457">
        <f t="shared" si="451"/>
        <v>176517</v>
      </c>
      <c r="L141" s="457">
        <f t="shared" si="471"/>
        <v>5222</v>
      </c>
      <c r="M141" s="457">
        <v>2756</v>
      </c>
      <c r="N141" s="458">
        <f t="shared" si="452"/>
        <v>1.68</v>
      </c>
      <c r="O141" s="459">
        <v>0</v>
      </c>
      <c r="P141" s="646">
        <v>1.68</v>
      </c>
      <c r="Q141" s="469">
        <f t="shared" si="453"/>
        <v>-3250</v>
      </c>
      <c r="R141" s="460">
        <v>0</v>
      </c>
      <c r="S141" s="673">
        <v>0</v>
      </c>
      <c r="T141" s="460">
        <v>0</v>
      </c>
      <c r="U141" s="460">
        <v>0</v>
      </c>
      <c r="V141" s="460">
        <f t="shared" si="454"/>
        <v>-3250</v>
      </c>
      <c r="W141" s="460">
        <v>3250</v>
      </c>
      <c r="X141" s="460">
        <v>0</v>
      </c>
      <c r="Y141" s="460">
        <v>0</v>
      </c>
      <c r="Z141" s="460">
        <f t="shared" si="455"/>
        <v>3250</v>
      </c>
      <c r="AA141" s="460">
        <f t="shared" si="456"/>
        <v>0</v>
      </c>
      <c r="AB141" s="69">
        <f t="shared" si="457"/>
        <v>0</v>
      </c>
      <c r="AC141" s="69">
        <f t="shared" si="458"/>
        <v>-33</v>
      </c>
      <c r="AD141" s="460">
        <v>0</v>
      </c>
      <c r="AE141" s="460">
        <v>0</v>
      </c>
      <c r="AF141" s="460">
        <f t="shared" si="459"/>
        <v>0</v>
      </c>
      <c r="AG141" s="460">
        <f t="shared" si="460"/>
        <v>-33</v>
      </c>
      <c r="AH141" s="461">
        <v>0</v>
      </c>
      <c r="AI141" s="461">
        <v>0</v>
      </c>
      <c r="AJ141" s="461">
        <v>0</v>
      </c>
      <c r="AK141" s="461">
        <v>0</v>
      </c>
      <c r="AL141" s="674">
        <v>0</v>
      </c>
      <c r="AM141" s="461">
        <v>0</v>
      </c>
      <c r="AN141" s="461">
        <v>0</v>
      </c>
      <c r="AO141" s="461">
        <v>0</v>
      </c>
      <c r="AP141" s="461">
        <f t="shared" si="461"/>
        <v>0</v>
      </c>
      <c r="AQ141" s="461">
        <f t="shared" si="462"/>
        <v>0</v>
      </c>
      <c r="AR141" s="463">
        <f t="shared" si="463"/>
        <v>0</v>
      </c>
      <c r="AS141" s="469">
        <f t="shared" si="464"/>
        <v>706703</v>
      </c>
      <c r="AT141" s="460">
        <f t="shared" si="465"/>
        <v>518991</v>
      </c>
      <c r="AU141" s="460">
        <f t="shared" si="466"/>
        <v>3250</v>
      </c>
      <c r="AV141" s="460">
        <f t="shared" si="467"/>
        <v>176517</v>
      </c>
      <c r="AW141" s="460">
        <f t="shared" si="467"/>
        <v>5189</v>
      </c>
      <c r="AX141" s="460">
        <f t="shared" si="468"/>
        <v>2756</v>
      </c>
      <c r="AY141" s="461">
        <f t="shared" si="469"/>
        <v>1.68</v>
      </c>
      <c r="AZ141" s="461">
        <f t="shared" si="470"/>
        <v>0</v>
      </c>
      <c r="BA141" s="463">
        <f t="shared" si="470"/>
        <v>1.68</v>
      </c>
    </row>
    <row r="142" spans="1:53" ht="12.95" customHeight="1" x14ac:dyDescent="0.25">
      <c r="A142" s="299">
        <v>26</v>
      </c>
      <c r="B142" s="340">
        <v>5452</v>
      </c>
      <c r="C142" s="341">
        <v>600099245</v>
      </c>
      <c r="D142" s="300">
        <v>70188416</v>
      </c>
      <c r="E142" s="342" t="s">
        <v>418</v>
      </c>
      <c r="F142" s="300">
        <v>3143</v>
      </c>
      <c r="G142" s="342" t="s">
        <v>616</v>
      </c>
      <c r="H142" s="303" t="s">
        <v>277</v>
      </c>
      <c r="I142" s="462">
        <f t="shared" si="450"/>
        <v>553862</v>
      </c>
      <c r="J142" s="457">
        <v>410877</v>
      </c>
      <c r="K142" s="457">
        <f t="shared" si="451"/>
        <v>138876</v>
      </c>
      <c r="L142" s="457">
        <f t="shared" si="471"/>
        <v>4109</v>
      </c>
      <c r="M142" s="457">
        <v>0</v>
      </c>
      <c r="N142" s="458">
        <f t="shared" si="452"/>
        <v>0.89639999999999997</v>
      </c>
      <c r="O142" s="459">
        <v>0.89639999999999997</v>
      </c>
      <c r="P142" s="646">
        <v>0</v>
      </c>
      <c r="Q142" s="469">
        <f t="shared" si="453"/>
        <v>-3250</v>
      </c>
      <c r="R142" s="460">
        <v>0</v>
      </c>
      <c r="S142" s="673">
        <v>0</v>
      </c>
      <c r="T142" s="460">
        <v>0</v>
      </c>
      <c r="U142" s="460">
        <v>0</v>
      </c>
      <c r="V142" s="460">
        <f t="shared" si="454"/>
        <v>-3250</v>
      </c>
      <c r="W142" s="460">
        <v>3250</v>
      </c>
      <c r="X142" s="460">
        <v>0</v>
      </c>
      <c r="Y142" s="460">
        <v>0</v>
      </c>
      <c r="Z142" s="460">
        <f t="shared" si="455"/>
        <v>3250</v>
      </c>
      <c r="AA142" s="460">
        <f t="shared" si="456"/>
        <v>0</v>
      </c>
      <c r="AB142" s="69">
        <f t="shared" si="457"/>
        <v>0</v>
      </c>
      <c r="AC142" s="69">
        <f t="shared" si="458"/>
        <v>-33</v>
      </c>
      <c r="AD142" s="460">
        <v>0</v>
      </c>
      <c r="AE142" s="460">
        <v>0</v>
      </c>
      <c r="AF142" s="460">
        <f t="shared" si="459"/>
        <v>0</v>
      </c>
      <c r="AG142" s="460">
        <f t="shared" si="460"/>
        <v>-33</v>
      </c>
      <c r="AH142" s="461">
        <v>0</v>
      </c>
      <c r="AI142" s="461">
        <v>0</v>
      </c>
      <c r="AJ142" s="461">
        <v>0</v>
      </c>
      <c r="AK142" s="461">
        <v>0</v>
      </c>
      <c r="AL142" s="674">
        <v>0</v>
      </c>
      <c r="AM142" s="461">
        <v>0</v>
      </c>
      <c r="AN142" s="461">
        <v>0</v>
      </c>
      <c r="AO142" s="461">
        <v>0</v>
      </c>
      <c r="AP142" s="461">
        <f t="shared" si="461"/>
        <v>0</v>
      </c>
      <c r="AQ142" s="461">
        <f t="shared" si="462"/>
        <v>0</v>
      </c>
      <c r="AR142" s="463">
        <f t="shared" si="463"/>
        <v>0</v>
      </c>
      <c r="AS142" s="469">
        <f t="shared" si="464"/>
        <v>553829</v>
      </c>
      <c r="AT142" s="460">
        <f t="shared" si="465"/>
        <v>407627</v>
      </c>
      <c r="AU142" s="460">
        <f t="shared" si="466"/>
        <v>3250</v>
      </c>
      <c r="AV142" s="460">
        <f t="shared" si="467"/>
        <v>138876</v>
      </c>
      <c r="AW142" s="460">
        <f t="shared" si="467"/>
        <v>4076</v>
      </c>
      <c r="AX142" s="460">
        <f t="shared" si="468"/>
        <v>0</v>
      </c>
      <c r="AY142" s="461">
        <f t="shared" si="469"/>
        <v>0.89639999999999997</v>
      </c>
      <c r="AZ142" s="461">
        <f t="shared" si="470"/>
        <v>0.89639999999999997</v>
      </c>
      <c r="BA142" s="463">
        <f t="shared" si="470"/>
        <v>0</v>
      </c>
    </row>
    <row r="143" spans="1:53" ht="12.95" customHeight="1" x14ac:dyDescent="0.25">
      <c r="A143" s="299">
        <v>26</v>
      </c>
      <c r="B143" s="340">
        <v>5452</v>
      </c>
      <c r="C143" s="341">
        <v>600099245</v>
      </c>
      <c r="D143" s="300">
        <v>70188416</v>
      </c>
      <c r="E143" s="597" t="s">
        <v>418</v>
      </c>
      <c r="F143" s="300">
        <v>3143</v>
      </c>
      <c r="G143" s="342" t="s">
        <v>617</v>
      </c>
      <c r="H143" s="303" t="s">
        <v>278</v>
      </c>
      <c r="I143" s="462">
        <f t="shared" si="450"/>
        <v>16859</v>
      </c>
      <c r="J143" s="457">
        <v>12046</v>
      </c>
      <c r="K143" s="457">
        <f t="shared" si="451"/>
        <v>4072</v>
      </c>
      <c r="L143" s="457">
        <f t="shared" si="471"/>
        <v>120</v>
      </c>
      <c r="M143" s="457">
        <v>621</v>
      </c>
      <c r="N143" s="458">
        <f t="shared" si="452"/>
        <v>0.05</v>
      </c>
      <c r="O143" s="459">
        <v>0</v>
      </c>
      <c r="P143" s="646">
        <v>0.05</v>
      </c>
      <c r="Q143" s="469">
        <f t="shared" si="453"/>
        <v>0</v>
      </c>
      <c r="R143" s="460">
        <v>0</v>
      </c>
      <c r="S143" s="673">
        <v>0</v>
      </c>
      <c r="T143" s="460">
        <v>0</v>
      </c>
      <c r="U143" s="460">
        <v>0</v>
      </c>
      <c r="V143" s="460">
        <f t="shared" si="454"/>
        <v>0</v>
      </c>
      <c r="W143" s="460">
        <v>0</v>
      </c>
      <c r="X143" s="460">
        <v>0</v>
      </c>
      <c r="Y143" s="460">
        <v>0</v>
      </c>
      <c r="Z143" s="460">
        <f t="shared" si="455"/>
        <v>0</v>
      </c>
      <c r="AA143" s="460">
        <f t="shared" si="456"/>
        <v>0</v>
      </c>
      <c r="AB143" s="69">
        <f t="shared" si="457"/>
        <v>0</v>
      </c>
      <c r="AC143" s="69">
        <f t="shared" si="458"/>
        <v>0</v>
      </c>
      <c r="AD143" s="460">
        <v>0</v>
      </c>
      <c r="AE143" s="460">
        <v>0</v>
      </c>
      <c r="AF143" s="460">
        <f t="shared" si="459"/>
        <v>0</v>
      </c>
      <c r="AG143" s="460">
        <f t="shared" si="460"/>
        <v>0</v>
      </c>
      <c r="AH143" s="461">
        <v>0</v>
      </c>
      <c r="AI143" s="461">
        <v>0</v>
      </c>
      <c r="AJ143" s="461">
        <v>0</v>
      </c>
      <c r="AK143" s="461">
        <v>0</v>
      </c>
      <c r="AL143" s="674">
        <v>0</v>
      </c>
      <c r="AM143" s="461">
        <v>0</v>
      </c>
      <c r="AN143" s="461">
        <v>0</v>
      </c>
      <c r="AO143" s="461">
        <v>0</v>
      </c>
      <c r="AP143" s="461">
        <f t="shared" si="461"/>
        <v>0</v>
      </c>
      <c r="AQ143" s="461">
        <f t="shared" si="462"/>
        <v>0</v>
      </c>
      <c r="AR143" s="463">
        <f t="shared" si="463"/>
        <v>0</v>
      </c>
      <c r="AS143" s="469">
        <f t="shared" si="464"/>
        <v>16859</v>
      </c>
      <c r="AT143" s="460">
        <f t="shared" si="465"/>
        <v>12046</v>
      </c>
      <c r="AU143" s="460">
        <f t="shared" si="466"/>
        <v>0</v>
      </c>
      <c r="AV143" s="460">
        <f t="shared" si="467"/>
        <v>4072</v>
      </c>
      <c r="AW143" s="460">
        <f t="shared" si="467"/>
        <v>120</v>
      </c>
      <c r="AX143" s="460">
        <f t="shared" si="468"/>
        <v>621</v>
      </c>
      <c r="AY143" s="461">
        <f t="shared" si="469"/>
        <v>0.05</v>
      </c>
      <c r="AZ143" s="461">
        <f t="shared" si="470"/>
        <v>0</v>
      </c>
      <c r="BA143" s="463">
        <f t="shared" si="470"/>
        <v>0.05</v>
      </c>
    </row>
    <row r="144" spans="1:53" ht="12.95" customHeight="1" x14ac:dyDescent="0.25">
      <c r="A144" s="343">
        <v>26</v>
      </c>
      <c r="B144" s="344">
        <v>5452</v>
      </c>
      <c r="C144" s="345">
        <v>600099245</v>
      </c>
      <c r="D144" s="344">
        <v>70188416</v>
      </c>
      <c r="E144" s="346" t="s">
        <v>419</v>
      </c>
      <c r="F144" s="310"/>
      <c r="G144" s="348"/>
      <c r="H144" s="311"/>
      <c r="I144" s="552">
        <f t="shared" ref="I144:P144" si="472">SUM(I138:I143)</f>
        <v>6429431</v>
      </c>
      <c r="J144" s="548">
        <f t="shared" si="472"/>
        <v>4722519</v>
      </c>
      <c r="K144" s="548">
        <f t="shared" si="472"/>
        <v>1596211</v>
      </c>
      <c r="L144" s="548">
        <f t="shared" si="472"/>
        <v>47224</v>
      </c>
      <c r="M144" s="548">
        <f t="shared" si="472"/>
        <v>63477</v>
      </c>
      <c r="N144" s="549">
        <f t="shared" si="472"/>
        <v>10.067300000000001</v>
      </c>
      <c r="O144" s="549">
        <f t="shared" si="472"/>
        <v>6.4729999999999999</v>
      </c>
      <c r="P144" s="347">
        <f t="shared" si="472"/>
        <v>3.5942999999999996</v>
      </c>
      <c r="Q144" s="554">
        <f t="shared" ref="Q144:BA144" si="473">SUM(Q138:Q143)</f>
        <v>-19500</v>
      </c>
      <c r="R144" s="548">
        <f t="shared" si="473"/>
        <v>702524</v>
      </c>
      <c r="S144" s="548">
        <f t="shared" si="473"/>
        <v>0</v>
      </c>
      <c r="T144" s="548">
        <f t="shared" si="473"/>
        <v>0</v>
      </c>
      <c r="U144" s="548">
        <f t="shared" si="473"/>
        <v>0</v>
      </c>
      <c r="V144" s="548">
        <f t="shared" si="473"/>
        <v>683024</v>
      </c>
      <c r="W144" s="548">
        <f t="shared" si="473"/>
        <v>19500</v>
      </c>
      <c r="X144" s="548">
        <f t="shared" si="473"/>
        <v>0</v>
      </c>
      <c r="Y144" s="548">
        <f t="shared" si="473"/>
        <v>0</v>
      </c>
      <c r="Z144" s="548">
        <f t="shared" si="473"/>
        <v>19500</v>
      </c>
      <c r="AA144" s="548">
        <f t="shared" si="473"/>
        <v>702524</v>
      </c>
      <c r="AB144" s="548">
        <f t="shared" si="473"/>
        <v>237453</v>
      </c>
      <c r="AC144" s="548">
        <f t="shared" si="473"/>
        <v>6828</v>
      </c>
      <c r="AD144" s="548">
        <f t="shared" si="473"/>
        <v>0</v>
      </c>
      <c r="AE144" s="548">
        <f t="shared" si="473"/>
        <v>0</v>
      </c>
      <c r="AF144" s="548">
        <f t="shared" si="473"/>
        <v>0</v>
      </c>
      <c r="AG144" s="548">
        <f t="shared" si="473"/>
        <v>946805</v>
      </c>
      <c r="AH144" s="549">
        <f t="shared" si="473"/>
        <v>0</v>
      </c>
      <c r="AI144" s="549">
        <f t="shared" si="473"/>
        <v>-0.02</v>
      </c>
      <c r="AJ144" s="549">
        <f t="shared" si="473"/>
        <v>2.0299999999999998</v>
      </c>
      <c r="AK144" s="549">
        <f t="shared" si="473"/>
        <v>0</v>
      </c>
      <c r="AL144" s="549">
        <f t="shared" si="473"/>
        <v>0</v>
      </c>
      <c r="AM144" s="549">
        <f t="shared" si="473"/>
        <v>0</v>
      </c>
      <c r="AN144" s="549">
        <f t="shared" si="473"/>
        <v>0</v>
      </c>
      <c r="AO144" s="549">
        <f t="shared" si="473"/>
        <v>0</v>
      </c>
      <c r="AP144" s="549">
        <f t="shared" si="473"/>
        <v>2.0299999999999998</v>
      </c>
      <c r="AQ144" s="549">
        <f t="shared" si="473"/>
        <v>-0.02</v>
      </c>
      <c r="AR144" s="347">
        <f t="shared" si="473"/>
        <v>2.0099999999999998</v>
      </c>
      <c r="AS144" s="554">
        <f t="shared" si="473"/>
        <v>7376236</v>
      </c>
      <c r="AT144" s="548">
        <f t="shared" si="473"/>
        <v>5405543</v>
      </c>
      <c r="AU144" s="548">
        <f t="shared" si="473"/>
        <v>19500</v>
      </c>
      <c r="AV144" s="548">
        <f t="shared" si="473"/>
        <v>1833664</v>
      </c>
      <c r="AW144" s="548">
        <f t="shared" si="473"/>
        <v>54052</v>
      </c>
      <c r="AX144" s="548">
        <f t="shared" si="473"/>
        <v>63477</v>
      </c>
      <c r="AY144" s="549">
        <f t="shared" si="473"/>
        <v>12.077299999999999</v>
      </c>
      <c r="AZ144" s="549">
        <f t="shared" si="473"/>
        <v>8.5030000000000001</v>
      </c>
      <c r="BA144" s="347">
        <f t="shared" si="473"/>
        <v>3.5743</v>
      </c>
    </row>
    <row r="145" spans="1:53" ht="12.95" customHeight="1" x14ac:dyDescent="0.25">
      <c r="A145" s="299">
        <v>27</v>
      </c>
      <c r="B145" s="340">
        <v>5428</v>
      </c>
      <c r="C145" s="341">
        <v>600099059</v>
      </c>
      <c r="D145" s="300">
        <v>70985740</v>
      </c>
      <c r="E145" s="342" t="s">
        <v>420</v>
      </c>
      <c r="F145" s="300">
        <v>3111</v>
      </c>
      <c r="G145" s="342" t="s">
        <v>321</v>
      </c>
      <c r="H145" s="303" t="s">
        <v>277</v>
      </c>
      <c r="I145" s="462">
        <f t="shared" ref="I145:I150" si="474">SUM(J145:M145)</f>
        <v>1501397</v>
      </c>
      <c r="J145" s="457">
        <v>1107565</v>
      </c>
      <c r="K145" s="457">
        <f t="shared" ref="K145:K150" si="475">ROUND(J145*33.8%,0)</f>
        <v>374357</v>
      </c>
      <c r="L145" s="457">
        <f>ROUND(J145*1%,0)-1</f>
        <v>11075</v>
      </c>
      <c r="M145" s="457">
        <v>8400</v>
      </c>
      <c r="N145" s="458">
        <f t="shared" ref="N145:N150" si="476">O145+P145</f>
        <v>2.3355000000000001</v>
      </c>
      <c r="O145" s="459">
        <v>1.9355</v>
      </c>
      <c r="P145" s="646">
        <v>0.4</v>
      </c>
      <c r="Q145" s="469">
        <f t="shared" ref="Q145:Q150" si="477">W145*-1</f>
        <v>-7800</v>
      </c>
      <c r="R145" s="460">
        <v>0</v>
      </c>
      <c r="S145" s="673">
        <v>0</v>
      </c>
      <c r="T145" s="460">
        <v>0</v>
      </c>
      <c r="U145" s="460">
        <v>0</v>
      </c>
      <c r="V145" s="460">
        <f t="shared" ref="V145:V150" si="478">SUM(Q145:U145)</f>
        <v>-7800</v>
      </c>
      <c r="W145" s="460">
        <v>7800</v>
      </c>
      <c r="X145" s="460">
        <v>0</v>
      </c>
      <c r="Y145" s="460">
        <v>0</v>
      </c>
      <c r="Z145" s="460">
        <f t="shared" ref="Z145:Z150" si="479">SUM(W145:Y145)</f>
        <v>7800</v>
      </c>
      <c r="AA145" s="460">
        <f t="shared" ref="AA145:AA150" si="480">V145+Z145</f>
        <v>0</v>
      </c>
      <c r="AB145" s="69">
        <f t="shared" ref="AB145:AB150" si="481">ROUND((V145+W145+X145)*33.8%,0)</f>
        <v>0</v>
      </c>
      <c r="AC145" s="69">
        <f t="shared" ref="AC145:AC150" si="482">ROUND(V145*1%,0)</f>
        <v>-78</v>
      </c>
      <c r="AD145" s="460">
        <v>0</v>
      </c>
      <c r="AE145" s="460">
        <v>0</v>
      </c>
      <c r="AF145" s="460">
        <f t="shared" ref="AF145:AF150" si="483">SUM(AD145:AE145)</f>
        <v>0</v>
      </c>
      <c r="AG145" s="460">
        <f t="shared" ref="AG145:AG150" si="484">AA145+AB145+AC145+AF145</f>
        <v>-78</v>
      </c>
      <c r="AH145" s="461">
        <v>0</v>
      </c>
      <c r="AI145" s="461">
        <v>0</v>
      </c>
      <c r="AJ145" s="461">
        <v>0</v>
      </c>
      <c r="AK145" s="461">
        <v>0</v>
      </c>
      <c r="AL145" s="674">
        <v>0</v>
      </c>
      <c r="AM145" s="461">
        <v>0</v>
      </c>
      <c r="AN145" s="461">
        <v>0</v>
      </c>
      <c r="AO145" s="461">
        <v>0</v>
      </c>
      <c r="AP145" s="461">
        <f t="shared" ref="AP145:AP150" si="485">AH145+AJ145+AK145+AM145+AN145</f>
        <v>0</v>
      </c>
      <c r="AQ145" s="461">
        <f t="shared" ref="AQ145:AQ150" si="486">AI145+AL145+AO145</f>
        <v>0</v>
      </c>
      <c r="AR145" s="463">
        <f t="shared" ref="AR145:AR150" si="487">SUM(AP145:AQ145)</f>
        <v>0</v>
      </c>
      <c r="AS145" s="469">
        <f t="shared" ref="AS145:AS150" si="488">I145+AG145</f>
        <v>1501319</v>
      </c>
      <c r="AT145" s="460">
        <f t="shared" ref="AT145:AT150" si="489">J145+V145</f>
        <v>1099765</v>
      </c>
      <c r="AU145" s="460">
        <f t="shared" ref="AU145:AU150" si="490">Z145</f>
        <v>7800</v>
      </c>
      <c r="AV145" s="460">
        <f t="shared" ref="AV145:AW150" si="491">K145+AB145</f>
        <v>374357</v>
      </c>
      <c r="AW145" s="460">
        <f t="shared" si="491"/>
        <v>10997</v>
      </c>
      <c r="AX145" s="460">
        <f t="shared" ref="AX145:AX150" si="492">M145+AF145</f>
        <v>8400</v>
      </c>
      <c r="AY145" s="461">
        <f t="shared" ref="AY145:AY150" si="493">N145+AR145</f>
        <v>2.3355000000000001</v>
      </c>
      <c r="AZ145" s="461">
        <f t="shared" ref="AZ145:BA150" si="494">O145+AP145</f>
        <v>1.9355</v>
      </c>
      <c r="BA145" s="463">
        <f t="shared" si="494"/>
        <v>0.4</v>
      </c>
    </row>
    <row r="146" spans="1:53" ht="12.95" customHeight="1" x14ac:dyDescent="0.25">
      <c r="A146" s="299">
        <v>27</v>
      </c>
      <c r="B146" s="340">
        <v>5428</v>
      </c>
      <c r="C146" s="341">
        <v>600099059</v>
      </c>
      <c r="D146" s="300">
        <v>70985740</v>
      </c>
      <c r="E146" s="342" t="s">
        <v>420</v>
      </c>
      <c r="F146" s="300">
        <v>3117</v>
      </c>
      <c r="G146" s="342" t="s">
        <v>310</v>
      </c>
      <c r="H146" s="303" t="s">
        <v>277</v>
      </c>
      <c r="I146" s="462">
        <f t="shared" si="474"/>
        <v>1639495</v>
      </c>
      <c r="J146" s="457">
        <v>1207489</v>
      </c>
      <c r="K146" s="457">
        <f t="shared" si="475"/>
        <v>408131</v>
      </c>
      <c r="L146" s="457">
        <f t="shared" ref="L146:L150" si="495">ROUND(J146*1%,0)</f>
        <v>12075</v>
      </c>
      <c r="M146" s="457">
        <v>11800</v>
      </c>
      <c r="N146" s="458">
        <f t="shared" si="476"/>
        <v>2.3241999999999998</v>
      </c>
      <c r="O146" s="459">
        <v>1.5909</v>
      </c>
      <c r="P146" s="646">
        <v>0.73329999999999995</v>
      </c>
      <c r="Q146" s="469">
        <f t="shared" si="477"/>
        <v>-5200</v>
      </c>
      <c r="R146" s="460">
        <v>0</v>
      </c>
      <c r="S146" s="673">
        <v>0</v>
      </c>
      <c r="T146" s="460">
        <v>0</v>
      </c>
      <c r="U146" s="460">
        <v>0</v>
      </c>
      <c r="V146" s="460">
        <f t="shared" si="478"/>
        <v>-5200</v>
      </c>
      <c r="W146" s="460">
        <v>5200</v>
      </c>
      <c r="X146" s="460">
        <v>0</v>
      </c>
      <c r="Y146" s="460">
        <v>0</v>
      </c>
      <c r="Z146" s="460">
        <f t="shared" si="479"/>
        <v>5200</v>
      </c>
      <c r="AA146" s="460">
        <f t="shared" si="480"/>
        <v>0</v>
      </c>
      <c r="AB146" s="69">
        <f t="shared" si="481"/>
        <v>0</v>
      </c>
      <c r="AC146" s="69">
        <f t="shared" si="482"/>
        <v>-52</v>
      </c>
      <c r="AD146" s="460">
        <v>0</v>
      </c>
      <c r="AE146" s="460">
        <v>0</v>
      </c>
      <c r="AF146" s="460">
        <f t="shared" si="483"/>
        <v>0</v>
      </c>
      <c r="AG146" s="460">
        <f t="shared" si="484"/>
        <v>-52</v>
      </c>
      <c r="AH146" s="461">
        <v>0</v>
      </c>
      <c r="AI146" s="461">
        <v>0</v>
      </c>
      <c r="AJ146" s="461">
        <v>0</v>
      </c>
      <c r="AK146" s="461">
        <v>0</v>
      </c>
      <c r="AL146" s="674">
        <v>0</v>
      </c>
      <c r="AM146" s="461">
        <v>0</v>
      </c>
      <c r="AN146" s="461">
        <v>0</v>
      </c>
      <c r="AO146" s="461">
        <v>0</v>
      </c>
      <c r="AP146" s="461">
        <f t="shared" si="485"/>
        <v>0</v>
      </c>
      <c r="AQ146" s="461">
        <f t="shared" si="486"/>
        <v>0</v>
      </c>
      <c r="AR146" s="463">
        <f t="shared" si="487"/>
        <v>0</v>
      </c>
      <c r="AS146" s="469">
        <f t="shared" si="488"/>
        <v>1639443</v>
      </c>
      <c r="AT146" s="460">
        <f t="shared" si="489"/>
        <v>1202289</v>
      </c>
      <c r="AU146" s="460">
        <f t="shared" si="490"/>
        <v>5200</v>
      </c>
      <c r="AV146" s="460">
        <f t="shared" si="491"/>
        <v>408131</v>
      </c>
      <c r="AW146" s="460">
        <f t="shared" si="491"/>
        <v>12023</v>
      </c>
      <c r="AX146" s="460">
        <f t="shared" si="492"/>
        <v>11800</v>
      </c>
      <c r="AY146" s="461">
        <f t="shared" si="493"/>
        <v>2.3241999999999998</v>
      </c>
      <c r="AZ146" s="461">
        <f t="shared" si="494"/>
        <v>1.5909</v>
      </c>
      <c r="BA146" s="463">
        <f t="shared" si="494"/>
        <v>0.73329999999999995</v>
      </c>
    </row>
    <row r="147" spans="1:53" ht="12.95" customHeight="1" x14ac:dyDescent="0.25">
      <c r="A147" s="299">
        <v>27</v>
      </c>
      <c r="B147" s="340">
        <v>5428</v>
      </c>
      <c r="C147" s="341">
        <v>600099059</v>
      </c>
      <c r="D147" s="300">
        <v>70985740</v>
      </c>
      <c r="E147" s="342" t="s">
        <v>420</v>
      </c>
      <c r="F147" s="300">
        <v>3117</v>
      </c>
      <c r="G147" s="342" t="s">
        <v>315</v>
      </c>
      <c r="H147" s="303" t="s">
        <v>278</v>
      </c>
      <c r="I147" s="462">
        <f t="shared" si="474"/>
        <v>0</v>
      </c>
      <c r="J147" s="457">
        <v>0</v>
      </c>
      <c r="K147" s="457">
        <f t="shared" si="475"/>
        <v>0</v>
      </c>
      <c r="L147" s="457">
        <f t="shared" si="495"/>
        <v>0</v>
      </c>
      <c r="M147" s="457">
        <v>0</v>
      </c>
      <c r="N147" s="458">
        <f t="shared" si="476"/>
        <v>0</v>
      </c>
      <c r="O147" s="459">
        <v>0</v>
      </c>
      <c r="P147" s="646">
        <v>0</v>
      </c>
      <c r="Q147" s="469">
        <f t="shared" si="477"/>
        <v>0</v>
      </c>
      <c r="R147" s="460">
        <v>0</v>
      </c>
      <c r="S147" s="673">
        <v>0</v>
      </c>
      <c r="T147" s="460">
        <v>0</v>
      </c>
      <c r="U147" s="460">
        <v>0</v>
      </c>
      <c r="V147" s="460">
        <f t="shared" si="478"/>
        <v>0</v>
      </c>
      <c r="W147" s="460">
        <v>0</v>
      </c>
      <c r="X147" s="460">
        <v>0</v>
      </c>
      <c r="Y147" s="460">
        <v>0</v>
      </c>
      <c r="Z147" s="460">
        <f t="shared" si="479"/>
        <v>0</v>
      </c>
      <c r="AA147" s="460">
        <f t="shared" si="480"/>
        <v>0</v>
      </c>
      <c r="AB147" s="69">
        <f t="shared" si="481"/>
        <v>0</v>
      </c>
      <c r="AC147" s="69">
        <f t="shared" si="482"/>
        <v>0</v>
      </c>
      <c r="AD147" s="460">
        <v>0</v>
      </c>
      <c r="AE147" s="460">
        <v>0</v>
      </c>
      <c r="AF147" s="460">
        <f t="shared" si="483"/>
        <v>0</v>
      </c>
      <c r="AG147" s="460">
        <f t="shared" si="484"/>
        <v>0</v>
      </c>
      <c r="AH147" s="461">
        <v>0</v>
      </c>
      <c r="AI147" s="461">
        <v>0</v>
      </c>
      <c r="AJ147" s="461">
        <v>0</v>
      </c>
      <c r="AK147" s="461">
        <v>0</v>
      </c>
      <c r="AL147" s="674">
        <v>0</v>
      </c>
      <c r="AM147" s="461">
        <v>0</v>
      </c>
      <c r="AN147" s="461">
        <v>0</v>
      </c>
      <c r="AO147" s="461">
        <v>0</v>
      </c>
      <c r="AP147" s="461">
        <f t="shared" si="485"/>
        <v>0</v>
      </c>
      <c r="AQ147" s="461">
        <f t="shared" si="486"/>
        <v>0</v>
      </c>
      <c r="AR147" s="463">
        <f t="shared" si="487"/>
        <v>0</v>
      </c>
      <c r="AS147" s="469">
        <f t="shared" si="488"/>
        <v>0</v>
      </c>
      <c r="AT147" s="460">
        <f t="shared" si="489"/>
        <v>0</v>
      </c>
      <c r="AU147" s="460">
        <f t="shared" si="490"/>
        <v>0</v>
      </c>
      <c r="AV147" s="460">
        <f t="shared" si="491"/>
        <v>0</v>
      </c>
      <c r="AW147" s="460">
        <f t="shared" si="491"/>
        <v>0</v>
      </c>
      <c r="AX147" s="460">
        <f t="shared" si="492"/>
        <v>0</v>
      </c>
      <c r="AY147" s="461">
        <f t="shared" si="493"/>
        <v>0</v>
      </c>
      <c r="AZ147" s="461">
        <f t="shared" si="494"/>
        <v>0</v>
      </c>
      <c r="BA147" s="463">
        <f t="shared" si="494"/>
        <v>0</v>
      </c>
    </row>
    <row r="148" spans="1:53" ht="12.95" customHeight="1" x14ac:dyDescent="0.25">
      <c r="A148" s="299">
        <v>27</v>
      </c>
      <c r="B148" s="340">
        <v>5428</v>
      </c>
      <c r="C148" s="341">
        <v>600099059</v>
      </c>
      <c r="D148" s="300">
        <v>70985740</v>
      </c>
      <c r="E148" s="342" t="s">
        <v>420</v>
      </c>
      <c r="F148" s="300">
        <v>3141</v>
      </c>
      <c r="G148" s="342" t="s">
        <v>311</v>
      </c>
      <c r="H148" s="303" t="s">
        <v>278</v>
      </c>
      <c r="I148" s="462">
        <f t="shared" si="474"/>
        <v>435959</v>
      </c>
      <c r="J148" s="457">
        <v>322293</v>
      </c>
      <c r="K148" s="457">
        <f t="shared" si="475"/>
        <v>108935</v>
      </c>
      <c r="L148" s="457">
        <f t="shared" si="495"/>
        <v>3223</v>
      </c>
      <c r="M148" s="457">
        <v>1508</v>
      </c>
      <c r="N148" s="458">
        <f t="shared" si="476"/>
        <v>1.04</v>
      </c>
      <c r="O148" s="459">
        <v>0</v>
      </c>
      <c r="P148" s="646">
        <v>1.04</v>
      </c>
      <c r="Q148" s="469">
        <f t="shared" si="477"/>
        <v>-1950</v>
      </c>
      <c r="R148" s="460">
        <v>0</v>
      </c>
      <c r="S148" s="673">
        <v>0</v>
      </c>
      <c r="T148" s="460">
        <v>0</v>
      </c>
      <c r="U148" s="460">
        <v>0</v>
      </c>
      <c r="V148" s="460">
        <f t="shared" si="478"/>
        <v>-1950</v>
      </c>
      <c r="W148" s="460">
        <v>1950</v>
      </c>
      <c r="X148" s="460">
        <v>0</v>
      </c>
      <c r="Y148" s="460">
        <v>0</v>
      </c>
      <c r="Z148" s="460">
        <f t="shared" si="479"/>
        <v>1950</v>
      </c>
      <c r="AA148" s="460">
        <f t="shared" si="480"/>
        <v>0</v>
      </c>
      <c r="AB148" s="69">
        <f t="shared" si="481"/>
        <v>0</v>
      </c>
      <c r="AC148" s="69">
        <f t="shared" si="482"/>
        <v>-20</v>
      </c>
      <c r="AD148" s="460">
        <v>0</v>
      </c>
      <c r="AE148" s="460">
        <v>0</v>
      </c>
      <c r="AF148" s="460">
        <f t="shared" si="483"/>
        <v>0</v>
      </c>
      <c r="AG148" s="460">
        <f t="shared" si="484"/>
        <v>-20</v>
      </c>
      <c r="AH148" s="461">
        <v>0</v>
      </c>
      <c r="AI148" s="461">
        <v>0</v>
      </c>
      <c r="AJ148" s="461">
        <v>0</v>
      </c>
      <c r="AK148" s="461">
        <v>0</v>
      </c>
      <c r="AL148" s="674">
        <v>0</v>
      </c>
      <c r="AM148" s="461">
        <v>0</v>
      </c>
      <c r="AN148" s="461">
        <v>0</v>
      </c>
      <c r="AO148" s="461">
        <v>0</v>
      </c>
      <c r="AP148" s="461">
        <f t="shared" si="485"/>
        <v>0</v>
      </c>
      <c r="AQ148" s="461">
        <f t="shared" si="486"/>
        <v>0</v>
      </c>
      <c r="AR148" s="463">
        <f t="shared" si="487"/>
        <v>0</v>
      </c>
      <c r="AS148" s="469">
        <f t="shared" si="488"/>
        <v>435939</v>
      </c>
      <c r="AT148" s="460">
        <f t="shared" si="489"/>
        <v>320343</v>
      </c>
      <c r="AU148" s="460">
        <f t="shared" si="490"/>
        <v>1950</v>
      </c>
      <c r="AV148" s="460">
        <f t="shared" si="491"/>
        <v>108935</v>
      </c>
      <c r="AW148" s="460">
        <f t="shared" si="491"/>
        <v>3203</v>
      </c>
      <c r="AX148" s="460">
        <f t="shared" si="492"/>
        <v>1508</v>
      </c>
      <c r="AY148" s="461">
        <f t="shared" si="493"/>
        <v>1.04</v>
      </c>
      <c r="AZ148" s="461">
        <f t="shared" si="494"/>
        <v>0</v>
      </c>
      <c r="BA148" s="463">
        <f t="shared" si="494"/>
        <v>1.04</v>
      </c>
    </row>
    <row r="149" spans="1:53" ht="12.95" customHeight="1" x14ac:dyDescent="0.25">
      <c r="A149" s="299">
        <v>27</v>
      </c>
      <c r="B149" s="340">
        <v>5428</v>
      </c>
      <c r="C149" s="341">
        <v>600099059</v>
      </c>
      <c r="D149" s="300">
        <v>70985740</v>
      </c>
      <c r="E149" s="342" t="s">
        <v>420</v>
      </c>
      <c r="F149" s="300">
        <v>3143</v>
      </c>
      <c r="G149" s="342" t="s">
        <v>616</v>
      </c>
      <c r="H149" s="303" t="s">
        <v>277</v>
      </c>
      <c r="I149" s="462">
        <f t="shared" si="474"/>
        <v>357040</v>
      </c>
      <c r="J149" s="457">
        <v>264866</v>
      </c>
      <c r="K149" s="457">
        <f t="shared" si="475"/>
        <v>89525</v>
      </c>
      <c r="L149" s="457">
        <f t="shared" si="495"/>
        <v>2649</v>
      </c>
      <c r="M149" s="457">
        <v>0</v>
      </c>
      <c r="N149" s="458">
        <f t="shared" si="476"/>
        <v>0.57779999999999998</v>
      </c>
      <c r="O149" s="459">
        <v>0.57779999999999998</v>
      </c>
      <c r="P149" s="646">
        <v>0</v>
      </c>
      <c r="Q149" s="469">
        <f t="shared" si="477"/>
        <v>-2600</v>
      </c>
      <c r="R149" s="460">
        <v>0</v>
      </c>
      <c r="S149" s="673">
        <v>0</v>
      </c>
      <c r="T149" s="460">
        <v>0</v>
      </c>
      <c r="U149" s="460">
        <v>0</v>
      </c>
      <c r="V149" s="460">
        <f t="shared" si="478"/>
        <v>-2600</v>
      </c>
      <c r="W149" s="460">
        <v>2600</v>
      </c>
      <c r="X149" s="460">
        <v>0</v>
      </c>
      <c r="Y149" s="460">
        <v>0</v>
      </c>
      <c r="Z149" s="460">
        <f t="shared" si="479"/>
        <v>2600</v>
      </c>
      <c r="AA149" s="460">
        <f t="shared" si="480"/>
        <v>0</v>
      </c>
      <c r="AB149" s="69">
        <f t="shared" si="481"/>
        <v>0</v>
      </c>
      <c r="AC149" s="69">
        <f t="shared" si="482"/>
        <v>-26</v>
      </c>
      <c r="AD149" s="460">
        <v>0</v>
      </c>
      <c r="AE149" s="460">
        <v>0</v>
      </c>
      <c r="AF149" s="460">
        <f t="shared" si="483"/>
        <v>0</v>
      </c>
      <c r="AG149" s="460">
        <f t="shared" si="484"/>
        <v>-26</v>
      </c>
      <c r="AH149" s="461">
        <v>0</v>
      </c>
      <c r="AI149" s="461">
        <v>0</v>
      </c>
      <c r="AJ149" s="461">
        <v>0</v>
      </c>
      <c r="AK149" s="461">
        <v>0</v>
      </c>
      <c r="AL149" s="674">
        <v>0</v>
      </c>
      <c r="AM149" s="461">
        <v>0</v>
      </c>
      <c r="AN149" s="461">
        <v>0</v>
      </c>
      <c r="AO149" s="461">
        <v>0</v>
      </c>
      <c r="AP149" s="461">
        <f t="shared" si="485"/>
        <v>0</v>
      </c>
      <c r="AQ149" s="461">
        <f t="shared" si="486"/>
        <v>0</v>
      </c>
      <c r="AR149" s="463">
        <f t="shared" si="487"/>
        <v>0</v>
      </c>
      <c r="AS149" s="469">
        <f t="shared" si="488"/>
        <v>357014</v>
      </c>
      <c r="AT149" s="460">
        <f t="shared" si="489"/>
        <v>262266</v>
      </c>
      <c r="AU149" s="460">
        <f t="shared" si="490"/>
        <v>2600</v>
      </c>
      <c r="AV149" s="460">
        <f t="shared" si="491"/>
        <v>89525</v>
      </c>
      <c r="AW149" s="460">
        <f t="shared" si="491"/>
        <v>2623</v>
      </c>
      <c r="AX149" s="460">
        <f t="shared" si="492"/>
        <v>0</v>
      </c>
      <c r="AY149" s="461">
        <f t="shared" si="493"/>
        <v>0.57779999999999998</v>
      </c>
      <c r="AZ149" s="461">
        <f t="shared" si="494"/>
        <v>0.57779999999999998</v>
      </c>
      <c r="BA149" s="463">
        <f t="shared" si="494"/>
        <v>0</v>
      </c>
    </row>
    <row r="150" spans="1:53" ht="12.95" customHeight="1" x14ac:dyDescent="0.25">
      <c r="A150" s="299">
        <v>27</v>
      </c>
      <c r="B150" s="340">
        <v>5428</v>
      </c>
      <c r="C150" s="341">
        <v>600099059</v>
      </c>
      <c r="D150" s="300">
        <v>70985740</v>
      </c>
      <c r="E150" s="342" t="s">
        <v>420</v>
      </c>
      <c r="F150" s="300">
        <v>3143</v>
      </c>
      <c r="G150" s="342" t="s">
        <v>617</v>
      </c>
      <c r="H150" s="303" t="s">
        <v>278</v>
      </c>
      <c r="I150" s="462">
        <f t="shared" si="474"/>
        <v>5864</v>
      </c>
      <c r="J150" s="457">
        <v>4190</v>
      </c>
      <c r="K150" s="457">
        <f t="shared" si="475"/>
        <v>1416</v>
      </c>
      <c r="L150" s="457">
        <f t="shared" si="495"/>
        <v>42</v>
      </c>
      <c r="M150" s="457">
        <v>216</v>
      </c>
      <c r="N150" s="458">
        <f t="shared" si="476"/>
        <v>0.02</v>
      </c>
      <c r="O150" s="459">
        <v>0</v>
      </c>
      <c r="P150" s="646">
        <v>0.02</v>
      </c>
      <c r="Q150" s="469">
        <f t="shared" si="477"/>
        <v>0</v>
      </c>
      <c r="R150" s="460">
        <v>0</v>
      </c>
      <c r="S150" s="673">
        <v>0</v>
      </c>
      <c r="T150" s="460">
        <v>0</v>
      </c>
      <c r="U150" s="460">
        <v>0</v>
      </c>
      <c r="V150" s="460">
        <f t="shared" si="478"/>
        <v>0</v>
      </c>
      <c r="W150" s="460">
        <v>0</v>
      </c>
      <c r="X150" s="460">
        <v>0</v>
      </c>
      <c r="Y150" s="460">
        <v>0</v>
      </c>
      <c r="Z150" s="460">
        <f t="shared" si="479"/>
        <v>0</v>
      </c>
      <c r="AA150" s="460">
        <f t="shared" si="480"/>
        <v>0</v>
      </c>
      <c r="AB150" s="69">
        <f t="shared" si="481"/>
        <v>0</v>
      </c>
      <c r="AC150" s="69">
        <f t="shared" si="482"/>
        <v>0</v>
      </c>
      <c r="AD150" s="460">
        <v>0</v>
      </c>
      <c r="AE150" s="460">
        <v>0</v>
      </c>
      <c r="AF150" s="460">
        <f t="shared" si="483"/>
        <v>0</v>
      </c>
      <c r="AG150" s="460">
        <f t="shared" si="484"/>
        <v>0</v>
      </c>
      <c r="AH150" s="461">
        <v>0</v>
      </c>
      <c r="AI150" s="461">
        <v>0</v>
      </c>
      <c r="AJ150" s="461">
        <v>0</v>
      </c>
      <c r="AK150" s="461">
        <v>0</v>
      </c>
      <c r="AL150" s="674">
        <v>0</v>
      </c>
      <c r="AM150" s="461">
        <v>0</v>
      </c>
      <c r="AN150" s="461">
        <v>0</v>
      </c>
      <c r="AO150" s="461">
        <v>0</v>
      </c>
      <c r="AP150" s="461">
        <f t="shared" si="485"/>
        <v>0</v>
      </c>
      <c r="AQ150" s="461">
        <f t="shared" si="486"/>
        <v>0</v>
      </c>
      <c r="AR150" s="463">
        <f t="shared" si="487"/>
        <v>0</v>
      </c>
      <c r="AS150" s="469">
        <f t="shared" si="488"/>
        <v>5864</v>
      </c>
      <c r="AT150" s="460">
        <f t="shared" si="489"/>
        <v>4190</v>
      </c>
      <c r="AU150" s="460">
        <f t="shared" si="490"/>
        <v>0</v>
      </c>
      <c r="AV150" s="460">
        <f t="shared" si="491"/>
        <v>1416</v>
      </c>
      <c r="AW150" s="460">
        <f t="shared" si="491"/>
        <v>42</v>
      </c>
      <c r="AX150" s="460">
        <f t="shared" si="492"/>
        <v>216</v>
      </c>
      <c r="AY150" s="461">
        <f t="shared" si="493"/>
        <v>0.02</v>
      </c>
      <c r="AZ150" s="461">
        <f t="shared" si="494"/>
        <v>0</v>
      </c>
      <c r="BA150" s="463">
        <f t="shared" si="494"/>
        <v>0.02</v>
      </c>
    </row>
    <row r="151" spans="1:53" ht="12.95" customHeight="1" x14ac:dyDescent="0.25">
      <c r="A151" s="343">
        <v>27</v>
      </c>
      <c r="B151" s="344">
        <v>5428</v>
      </c>
      <c r="C151" s="345">
        <v>600099059</v>
      </c>
      <c r="D151" s="344">
        <v>70985740</v>
      </c>
      <c r="E151" s="346" t="s">
        <v>421</v>
      </c>
      <c r="F151" s="310"/>
      <c r="G151" s="348"/>
      <c r="H151" s="311"/>
      <c r="I151" s="552">
        <f t="shared" ref="I151:P151" si="496">SUM(I145:I150)</f>
        <v>3939755</v>
      </c>
      <c r="J151" s="548">
        <f t="shared" si="496"/>
        <v>2906403</v>
      </c>
      <c r="K151" s="548">
        <f t="shared" si="496"/>
        <v>982364</v>
      </c>
      <c r="L151" s="548">
        <f t="shared" si="496"/>
        <v>29064</v>
      </c>
      <c r="M151" s="548">
        <f t="shared" si="496"/>
        <v>21924</v>
      </c>
      <c r="N151" s="549">
        <f t="shared" si="496"/>
        <v>6.2974999999999994</v>
      </c>
      <c r="O151" s="549">
        <f t="shared" si="496"/>
        <v>4.1041999999999996</v>
      </c>
      <c r="P151" s="347">
        <f t="shared" si="496"/>
        <v>2.1933000000000002</v>
      </c>
      <c r="Q151" s="554">
        <f t="shared" ref="Q151:BA151" si="497">SUM(Q145:Q150)</f>
        <v>-17550</v>
      </c>
      <c r="R151" s="548">
        <f t="shared" si="497"/>
        <v>0</v>
      </c>
      <c r="S151" s="548">
        <f t="shared" si="497"/>
        <v>0</v>
      </c>
      <c r="T151" s="548">
        <f t="shared" si="497"/>
        <v>0</v>
      </c>
      <c r="U151" s="548">
        <f t="shared" si="497"/>
        <v>0</v>
      </c>
      <c r="V151" s="548">
        <f t="shared" si="497"/>
        <v>-17550</v>
      </c>
      <c r="W151" s="548">
        <f t="shared" si="497"/>
        <v>17550</v>
      </c>
      <c r="X151" s="548">
        <f t="shared" si="497"/>
        <v>0</v>
      </c>
      <c r="Y151" s="548">
        <f t="shared" si="497"/>
        <v>0</v>
      </c>
      <c r="Z151" s="548">
        <f t="shared" si="497"/>
        <v>17550</v>
      </c>
      <c r="AA151" s="548">
        <f t="shared" si="497"/>
        <v>0</v>
      </c>
      <c r="AB151" s="548">
        <f t="shared" si="497"/>
        <v>0</v>
      </c>
      <c r="AC151" s="548">
        <f t="shared" si="497"/>
        <v>-176</v>
      </c>
      <c r="AD151" s="548">
        <f t="shared" si="497"/>
        <v>0</v>
      </c>
      <c r="AE151" s="548">
        <f t="shared" si="497"/>
        <v>0</v>
      </c>
      <c r="AF151" s="548">
        <f t="shared" si="497"/>
        <v>0</v>
      </c>
      <c r="AG151" s="548">
        <f t="shared" si="497"/>
        <v>-176</v>
      </c>
      <c r="AH151" s="549">
        <f t="shared" si="497"/>
        <v>0</v>
      </c>
      <c r="AI151" s="549">
        <f t="shared" si="497"/>
        <v>0</v>
      </c>
      <c r="AJ151" s="549">
        <f t="shared" si="497"/>
        <v>0</v>
      </c>
      <c r="AK151" s="549">
        <f t="shared" si="497"/>
        <v>0</v>
      </c>
      <c r="AL151" s="549">
        <f t="shared" si="497"/>
        <v>0</v>
      </c>
      <c r="AM151" s="549">
        <f t="shared" si="497"/>
        <v>0</v>
      </c>
      <c r="AN151" s="549">
        <f t="shared" si="497"/>
        <v>0</v>
      </c>
      <c r="AO151" s="549">
        <f t="shared" si="497"/>
        <v>0</v>
      </c>
      <c r="AP151" s="549">
        <f t="shared" si="497"/>
        <v>0</v>
      </c>
      <c r="AQ151" s="549">
        <f t="shared" si="497"/>
        <v>0</v>
      </c>
      <c r="AR151" s="347">
        <f t="shared" si="497"/>
        <v>0</v>
      </c>
      <c r="AS151" s="554">
        <f t="shared" si="497"/>
        <v>3939579</v>
      </c>
      <c r="AT151" s="548">
        <f t="shared" si="497"/>
        <v>2888853</v>
      </c>
      <c r="AU151" s="548">
        <f t="shared" si="497"/>
        <v>17550</v>
      </c>
      <c r="AV151" s="548">
        <f t="shared" si="497"/>
        <v>982364</v>
      </c>
      <c r="AW151" s="548">
        <f t="shared" si="497"/>
        <v>28888</v>
      </c>
      <c r="AX151" s="548">
        <f t="shared" si="497"/>
        <v>21924</v>
      </c>
      <c r="AY151" s="549">
        <f t="shared" si="497"/>
        <v>6.2974999999999994</v>
      </c>
      <c r="AZ151" s="549">
        <f t="shared" si="497"/>
        <v>4.1041999999999996</v>
      </c>
      <c r="BA151" s="347">
        <f t="shared" si="497"/>
        <v>2.1933000000000002</v>
      </c>
    </row>
    <row r="152" spans="1:53" ht="12.95" customHeight="1" x14ac:dyDescent="0.25">
      <c r="A152" s="299">
        <v>28</v>
      </c>
      <c r="B152" s="340">
        <v>5472</v>
      </c>
      <c r="C152" s="341">
        <v>600098672</v>
      </c>
      <c r="D152" s="300">
        <v>72743565</v>
      </c>
      <c r="E152" s="342" t="s">
        <v>422</v>
      </c>
      <c r="F152" s="300">
        <v>3111</v>
      </c>
      <c r="G152" s="342" t="s">
        <v>321</v>
      </c>
      <c r="H152" s="303" t="s">
        <v>277</v>
      </c>
      <c r="I152" s="462">
        <f t="shared" ref="I152:I153" si="498">SUM(J152:M152)</f>
        <v>3588938</v>
      </c>
      <c r="J152" s="457">
        <v>2647877</v>
      </c>
      <c r="K152" s="457">
        <f t="shared" ref="K152:K153" si="499">ROUND(J152*33.8%,0)</f>
        <v>894982</v>
      </c>
      <c r="L152" s="457">
        <f t="shared" ref="L152:L153" si="500">ROUND(J152*1%,0)</f>
        <v>26479</v>
      </c>
      <c r="M152" s="457">
        <v>19600</v>
      </c>
      <c r="N152" s="458">
        <f t="shared" ref="N152:N153" si="501">O152+P152</f>
        <v>5.2</v>
      </c>
      <c r="O152" s="459">
        <v>4</v>
      </c>
      <c r="P152" s="646">
        <v>1.2000000000000002</v>
      </c>
      <c r="Q152" s="469">
        <f t="shared" ref="Q152:Q153" si="502">W152*-1</f>
        <v>0</v>
      </c>
      <c r="R152" s="460">
        <v>0</v>
      </c>
      <c r="S152" s="673">
        <v>0</v>
      </c>
      <c r="T152" s="460">
        <v>0</v>
      </c>
      <c r="U152" s="460">
        <v>0</v>
      </c>
      <c r="V152" s="460">
        <f>SUM(Q152:U152)</f>
        <v>0</v>
      </c>
      <c r="W152" s="460">
        <v>0</v>
      </c>
      <c r="X152" s="460">
        <v>0</v>
      </c>
      <c r="Y152" s="460">
        <v>0</v>
      </c>
      <c r="Z152" s="460">
        <f t="shared" ref="Z152:Z153" si="503">SUM(W152:Y152)</f>
        <v>0</v>
      </c>
      <c r="AA152" s="460">
        <f t="shared" ref="AA152:AA153" si="504">V152+Z152</f>
        <v>0</v>
      </c>
      <c r="AB152" s="69">
        <f t="shared" ref="AB152:AB153" si="505">ROUND((V152+W152+X152)*33.8%,0)</f>
        <v>0</v>
      </c>
      <c r="AC152" s="69">
        <f t="shared" ref="AC152:AC153" si="506">ROUND(V152*1%,0)</f>
        <v>0</v>
      </c>
      <c r="AD152" s="460">
        <v>0</v>
      </c>
      <c r="AE152" s="460">
        <v>0</v>
      </c>
      <c r="AF152" s="460">
        <f t="shared" ref="AF152:AF153" si="507">SUM(AD152:AE152)</f>
        <v>0</v>
      </c>
      <c r="AG152" s="460">
        <f t="shared" ref="AG152:AG153" si="508">AA152+AB152+AC152+AF152</f>
        <v>0</v>
      </c>
      <c r="AH152" s="461">
        <v>0</v>
      </c>
      <c r="AI152" s="461">
        <v>0</v>
      </c>
      <c r="AJ152" s="461">
        <v>0</v>
      </c>
      <c r="AK152" s="461">
        <v>0</v>
      </c>
      <c r="AL152" s="674">
        <v>0</v>
      </c>
      <c r="AM152" s="461">
        <v>0</v>
      </c>
      <c r="AN152" s="461">
        <v>0</v>
      </c>
      <c r="AO152" s="461">
        <v>0</v>
      </c>
      <c r="AP152" s="461">
        <f>AH152+AJ152+AK152+AM152+AN152</f>
        <v>0</v>
      </c>
      <c r="AQ152" s="461">
        <f>AI152+AL152+AO152</f>
        <v>0</v>
      </c>
      <c r="AR152" s="463">
        <f t="shared" ref="AR152:AR153" si="509">SUM(AP152:AQ152)</f>
        <v>0</v>
      </c>
      <c r="AS152" s="469">
        <f>I152+AG152</f>
        <v>3588938</v>
      </c>
      <c r="AT152" s="460">
        <f>J152+V152</f>
        <v>2647877</v>
      </c>
      <c r="AU152" s="460">
        <f t="shared" ref="AU152:AU153" si="510">Z152</f>
        <v>0</v>
      </c>
      <c r="AV152" s="460">
        <f>K152+AB152</f>
        <v>894982</v>
      </c>
      <c r="AW152" s="460">
        <f>L152+AC152</f>
        <v>26479</v>
      </c>
      <c r="AX152" s="460">
        <f>M152+AF152</f>
        <v>19600</v>
      </c>
      <c r="AY152" s="461">
        <f>N152+AR152</f>
        <v>5.2</v>
      </c>
      <c r="AZ152" s="461">
        <f>O152+AP152</f>
        <v>4</v>
      </c>
      <c r="BA152" s="463">
        <f>P152+AQ152</f>
        <v>1.2000000000000002</v>
      </c>
    </row>
    <row r="153" spans="1:53" ht="12.95" customHeight="1" x14ac:dyDescent="0.25">
      <c r="A153" s="299">
        <v>28</v>
      </c>
      <c r="B153" s="340">
        <v>5472</v>
      </c>
      <c r="C153" s="341">
        <v>600098672</v>
      </c>
      <c r="D153" s="300">
        <v>72743565</v>
      </c>
      <c r="E153" s="342" t="s">
        <v>422</v>
      </c>
      <c r="F153" s="300">
        <v>3141</v>
      </c>
      <c r="G153" s="342" t="s">
        <v>311</v>
      </c>
      <c r="H153" s="303" t="s">
        <v>278</v>
      </c>
      <c r="I153" s="462">
        <f t="shared" si="498"/>
        <v>640468</v>
      </c>
      <c r="J153" s="457">
        <v>473235</v>
      </c>
      <c r="K153" s="457">
        <f t="shared" si="499"/>
        <v>159953</v>
      </c>
      <c r="L153" s="457">
        <f t="shared" si="500"/>
        <v>4732</v>
      </c>
      <c r="M153" s="457">
        <v>2548</v>
      </c>
      <c r="N153" s="458">
        <f t="shared" si="501"/>
        <v>1.52</v>
      </c>
      <c r="O153" s="459">
        <v>0</v>
      </c>
      <c r="P153" s="646">
        <v>1.52</v>
      </c>
      <c r="Q153" s="469">
        <f t="shared" si="502"/>
        <v>0</v>
      </c>
      <c r="R153" s="460">
        <v>0</v>
      </c>
      <c r="S153" s="673">
        <v>0</v>
      </c>
      <c r="T153" s="460">
        <v>0</v>
      </c>
      <c r="U153" s="460">
        <v>0</v>
      </c>
      <c r="V153" s="460">
        <f>SUM(Q153:U153)</f>
        <v>0</v>
      </c>
      <c r="W153" s="460">
        <v>0</v>
      </c>
      <c r="X153" s="460">
        <v>0</v>
      </c>
      <c r="Y153" s="460">
        <v>0</v>
      </c>
      <c r="Z153" s="460">
        <f t="shared" si="503"/>
        <v>0</v>
      </c>
      <c r="AA153" s="460">
        <f t="shared" si="504"/>
        <v>0</v>
      </c>
      <c r="AB153" s="69">
        <f t="shared" si="505"/>
        <v>0</v>
      </c>
      <c r="AC153" s="69">
        <f t="shared" si="506"/>
        <v>0</v>
      </c>
      <c r="AD153" s="460">
        <v>0</v>
      </c>
      <c r="AE153" s="460">
        <v>0</v>
      </c>
      <c r="AF153" s="460">
        <f t="shared" si="507"/>
        <v>0</v>
      </c>
      <c r="AG153" s="460">
        <f t="shared" si="508"/>
        <v>0</v>
      </c>
      <c r="AH153" s="461">
        <v>0</v>
      </c>
      <c r="AI153" s="461">
        <v>0</v>
      </c>
      <c r="AJ153" s="461">
        <v>0</v>
      </c>
      <c r="AK153" s="461">
        <v>0</v>
      </c>
      <c r="AL153" s="674">
        <v>0</v>
      </c>
      <c r="AM153" s="461">
        <v>0</v>
      </c>
      <c r="AN153" s="461">
        <v>0</v>
      </c>
      <c r="AO153" s="461">
        <v>0</v>
      </c>
      <c r="AP153" s="461">
        <f>AH153+AJ153+AK153+AM153+AN153</f>
        <v>0</v>
      </c>
      <c r="AQ153" s="461">
        <f>AI153+AL153+AO153</f>
        <v>0</v>
      </c>
      <c r="AR153" s="463">
        <f t="shared" si="509"/>
        <v>0</v>
      </c>
      <c r="AS153" s="469">
        <f>I153+AG153</f>
        <v>640468</v>
      </c>
      <c r="AT153" s="460">
        <f>J153+V153</f>
        <v>473235</v>
      </c>
      <c r="AU153" s="460">
        <f t="shared" si="510"/>
        <v>0</v>
      </c>
      <c r="AV153" s="460">
        <f>K153+AB153</f>
        <v>159953</v>
      </c>
      <c r="AW153" s="460">
        <f>L153+AC153</f>
        <v>4732</v>
      </c>
      <c r="AX153" s="460">
        <f>M153+AF153</f>
        <v>2548</v>
      </c>
      <c r="AY153" s="461">
        <f>N153+AR153</f>
        <v>1.52</v>
      </c>
      <c r="AZ153" s="461">
        <f>O153+AP153</f>
        <v>0</v>
      </c>
      <c r="BA153" s="463">
        <f>P153+AQ153</f>
        <v>1.52</v>
      </c>
    </row>
    <row r="154" spans="1:53" ht="12.95" customHeight="1" x14ac:dyDescent="0.25">
      <c r="A154" s="343">
        <v>28</v>
      </c>
      <c r="B154" s="344">
        <v>5472</v>
      </c>
      <c r="C154" s="345">
        <v>600098672</v>
      </c>
      <c r="D154" s="344">
        <v>72743565</v>
      </c>
      <c r="E154" s="346" t="s">
        <v>423</v>
      </c>
      <c r="F154" s="310"/>
      <c r="G154" s="348"/>
      <c r="H154" s="311"/>
      <c r="I154" s="537">
        <f t="shared" ref="I154:P154" si="511">SUM(I152:I153)</f>
        <v>4229406</v>
      </c>
      <c r="J154" s="534">
        <f t="shared" si="511"/>
        <v>3121112</v>
      </c>
      <c r="K154" s="534">
        <f t="shared" si="511"/>
        <v>1054935</v>
      </c>
      <c r="L154" s="534">
        <f t="shared" si="511"/>
        <v>31211</v>
      </c>
      <c r="M154" s="534">
        <f t="shared" si="511"/>
        <v>22148</v>
      </c>
      <c r="N154" s="535">
        <f t="shared" si="511"/>
        <v>6.7200000000000006</v>
      </c>
      <c r="O154" s="535">
        <f t="shared" si="511"/>
        <v>4</v>
      </c>
      <c r="P154" s="309">
        <f t="shared" si="511"/>
        <v>2.72</v>
      </c>
      <c r="Q154" s="539">
        <f t="shared" ref="Q154:BA154" si="512">SUM(Q152:Q153)</f>
        <v>0</v>
      </c>
      <c r="R154" s="534">
        <f t="shared" si="512"/>
        <v>0</v>
      </c>
      <c r="S154" s="534">
        <f t="shared" si="512"/>
        <v>0</v>
      </c>
      <c r="T154" s="534">
        <f t="shared" si="512"/>
        <v>0</v>
      </c>
      <c r="U154" s="534">
        <f t="shared" si="512"/>
        <v>0</v>
      </c>
      <c r="V154" s="534">
        <f t="shared" si="512"/>
        <v>0</v>
      </c>
      <c r="W154" s="534">
        <f t="shared" si="512"/>
        <v>0</v>
      </c>
      <c r="X154" s="534">
        <f t="shared" si="512"/>
        <v>0</v>
      </c>
      <c r="Y154" s="534">
        <f t="shared" si="512"/>
        <v>0</v>
      </c>
      <c r="Z154" s="534">
        <f t="shared" si="512"/>
        <v>0</v>
      </c>
      <c r="AA154" s="534">
        <f t="shared" si="512"/>
        <v>0</v>
      </c>
      <c r="AB154" s="534">
        <f t="shared" si="512"/>
        <v>0</v>
      </c>
      <c r="AC154" s="534">
        <f t="shared" si="512"/>
        <v>0</v>
      </c>
      <c r="AD154" s="534">
        <f t="shared" si="512"/>
        <v>0</v>
      </c>
      <c r="AE154" s="534">
        <f t="shared" si="512"/>
        <v>0</v>
      </c>
      <c r="AF154" s="534">
        <f t="shared" si="512"/>
        <v>0</v>
      </c>
      <c r="AG154" s="534">
        <f t="shared" si="512"/>
        <v>0</v>
      </c>
      <c r="AH154" s="535">
        <f t="shared" si="512"/>
        <v>0</v>
      </c>
      <c r="AI154" s="535">
        <f t="shared" si="512"/>
        <v>0</v>
      </c>
      <c r="AJ154" s="535">
        <f t="shared" si="512"/>
        <v>0</v>
      </c>
      <c r="AK154" s="535">
        <f t="shared" si="512"/>
        <v>0</v>
      </c>
      <c r="AL154" s="535">
        <f t="shared" si="512"/>
        <v>0</v>
      </c>
      <c r="AM154" s="535">
        <f t="shared" si="512"/>
        <v>0</v>
      </c>
      <c r="AN154" s="535">
        <f t="shared" si="512"/>
        <v>0</v>
      </c>
      <c r="AO154" s="535">
        <f t="shared" si="512"/>
        <v>0</v>
      </c>
      <c r="AP154" s="535">
        <f t="shared" si="512"/>
        <v>0</v>
      </c>
      <c r="AQ154" s="535">
        <f t="shared" si="512"/>
        <v>0</v>
      </c>
      <c r="AR154" s="309">
        <f t="shared" si="512"/>
        <v>0</v>
      </c>
      <c r="AS154" s="539">
        <f t="shared" si="512"/>
        <v>4229406</v>
      </c>
      <c r="AT154" s="534">
        <f t="shared" si="512"/>
        <v>3121112</v>
      </c>
      <c r="AU154" s="534">
        <f t="shared" si="512"/>
        <v>0</v>
      </c>
      <c r="AV154" s="534">
        <f t="shared" si="512"/>
        <v>1054935</v>
      </c>
      <c r="AW154" s="534">
        <f t="shared" si="512"/>
        <v>31211</v>
      </c>
      <c r="AX154" s="534">
        <f t="shared" si="512"/>
        <v>22148</v>
      </c>
      <c r="AY154" s="535">
        <f t="shared" si="512"/>
        <v>6.7200000000000006</v>
      </c>
      <c r="AZ154" s="535">
        <f t="shared" si="512"/>
        <v>4</v>
      </c>
      <c r="BA154" s="309">
        <f t="shared" si="512"/>
        <v>2.72</v>
      </c>
    </row>
    <row r="155" spans="1:53" ht="12.95" customHeight="1" x14ac:dyDescent="0.25">
      <c r="A155" s="299">
        <v>29</v>
      </c>
      <c r="B155" s="340">
        <v>5471</v>
      </c>
      <c r="C155" s="341">
        <v>600099229</v>
      </c>
      <c r="D155" s="300">
        <v>72743646</v>
      </c>
      <c r="E155" s="342" t="s">
        <v>424</v>
      </c>
      <c r="F155" s="300">
        <v>3113</v>
      </c>
      <c r="G155" s="342" t="s">
        <v>325</v>
      </c>
      <c r="H155" s="303" t="s">
        <v>277</v>
      </c>
      <c r="I155" s="462">
        <f t="shared" ref="I155:I159" si="513">SUM(J155:M155)</f>
        <v>13764313</v>
      </c>
      <c r="J155" s="457">
        <v>10034817</v>
      </c>
      <c r="K155" s="457">
        <f t="shared" ref="K155:K159" si="514">ROUND(J155*33.8%,0)</f>
        <v>3391768</v>
      </c>
      <c r="L155" s="457">
        <f t="shared" ref="L155:L159" si="515">ROUND(J155*1%,0)</f>
        <v>100348</v>
      </c>
      <c r="M155" s="457">
        <v>237380</v>
      </c>
      <c r="N155" s="458">
        <f t="shared" ref="N155:N159" si="516">O155+P155</f>
        <v>17.21</v>
      </c>
      <c r="O155" s="459">
        <v>13.5</v>
      </c>
      <c r="P155" s="646">
        <v>3.71</v>
      </c>
      <c r="Q155" s="469">
        <f t="shared" ref="Q155:Q159" si="517">W155*-1</f>
        <v>-11700</v>
      </c>
      <c r="R155" s="460">
        <v>0</v>
      </c>
      <c r="S155" s="673">
        <v>0</v>
      </c>
      <c r="T155" s="460">
        <v>0</v>
      </c>
      <c r="U155" s="460">
        <v>0</v>
      </c>
      <c r="V155" s="460">
        <f>SUM(Q155:U155)</f>
        <v>-11700</v>
      </c>
      <c r="W155" s="460">
        <v>11700</v>
      </c>
      <c r="X155" s="460">
        <v>24760</v>
      </c>
      <c r="Y155" s="460">
        <v>0</v>
      </c>
      <c r="Z155" s="460">
        <f t="shared" ref="Z155:Z159" si="518">SUM(W155:Y155)</f>
        <v>36460</v>
      </c>
      <c r="AA155" s="460">
        <f t="shared" ref="AA155:AA159" si="519">V155+Z155</f>
        <v>24760</v>
      </c>
      <c r="AB155" s="69">
        <f t="shared" ref="AB155:AB159" si="520">ROUND((V155+W155+X155)*33.8%,0)</f>
        <v>8369</v>
      </c>
      <c r="AC155" s="69">
        <f t="shared" ref="AC155:AC159" si="521">ROUND(V155*1%,0)</f>
        <v>-117</v>
      </c>
      <c r="AD155" s="460">
        <v>0</v>
      </c>
      <c r="AE155" s="460">
        <v>0</v>
      </c>
      <c r="AF155" s="460">
        <f t="shared" ref="AF155:AF159" si="522">SUM(AD155:AE155)</f>
        <v>0</v>
      </c>
      <c r="AG155" s="460">
        <f t="shared" ref="AG155:AG159" si="523">AA155+AB155+AC155+AF155</f>
        <v>33012</v>
      </c>
      <c r="AH155" s="461">
        <v>0</v>
      </c>
      <c r="AI155" s="461">
        <v>0</v>
      </c>
      <c r="AJ155" s="461">
        <v>0</v>
      </c>
      <c r="AK155" s="461">
        <v>0</v>
      </c>
      <c r="AL155" s="674">
        <v>0</v>
      </c>
      <c r="AM155" s="461">
        <v>0</v>
      </c>
      <c r="AN155" s="461">
        <v>0</v>
      </c>
      <c r="AO155" s="461">
        <v>0</v>
      </c>
      <c r="AP155" s="461">
        <f>AH155+AJ155+AK155+AM155+AN155</f>
        <v>0</v>
      </c>
      <c r="AQ155" s="461">
        <f>AI155+AL155+AO155</f>
        <v>0</v>
      </c>
      <c r="AR155" s="463">
        <f t="shared" ref="AR155:AR159" si="524">SUM(AP155:AQ155)</f>
        <v>0</v>
      </c>
      <c r="AS155" s="469">
        <f>I155+AG155</f>
        <v>13797325</v>
      </c>
      <c r="AT155" s="460">
        <f>J155+V155</f>
        <v>10023117</v>
      </c>
      <c r="AU155" s="460">
        <f t="shared" ref="AU155:AU159" si="525">Z155</f>
        <v>36460</v>
      </c>
      <c r="AV155" s="460">
        <f t="shared" ref="AV155:AW159" si="526">K155+AB155</f>
        <v>3400137</v>
      </c>
      <c r="AW155" s="460">
        <f t="shared" si="526"/>
        <v>100231</v>
      </c>
      <c r="AX155" s="460">
        <f>M155+AF155</f>
        <v>237380</v>
      </c>
      <c r="AY155" s="461">
        <f>N155+AR155</f>
        <v>17.21</v>
      </c>
      <c r="AZ155" s="461">
        <f t="shared" ref="AZ155:BA159" si="527">O155+AP155</f>
        <v>13.5</v>
      </c>
      <c r="BA155" s="463">
        <f t="shared" si="527"/>
        <v>3.71</v>
      </c>
    </row>
    <row r="156" spans="1:53" ht="12.95" customHeight="1" x14ac:dyDescent="0.25">
      <c r="A156" s="299">
        <v>29</v>
      </c>
      <c r="B156" s="340">
        <v>5471</v>
      </c>
      <c r="C156" s="341">
        <v>600099229</v>
      </c>
      <c r="D156" s="300">
        <v>72743646</v>
      </c>
      <c r="E156" s="342" t="s">
        <v>424</v>
      </c>
      <c r="F156" s="300">
        <v>3113</v>
      </c>
      <c r="G156" s="342" t="s">
        <v>315</v>
      </c>
      <c r="H156" s="303" t="s">
        <v>278</v>
      </c>
      <c r="I156" s="462">
        <f t="shared" si="513"/>
        <v>0</v>
      </c>
      <c r="J156" s="457">
        <v>0</v>
      </c>
      <c r="K156" s="457">
        <f t="shared" si="514"/>
        <v>0</v>
      </c>
      <c r="L156" s="457">
        <f t="shared" si="515"/>
        <v>0</v>
      </c>
      <c r="M156" s="457">
        <v>0</v>
      </c>
      <c r="N156" s="458">
        <f t="shared" si="516"/>
        <v>0</v>
      </c>
      <c r="O156" s="459">
        <v>0</v>
      </c>
      <c r="P156" s="646">
        <v>0</v>
      </c>
      <c r="Q156" s="469">
        <f t="shared" si="517"/>
        <v>0</v>
      </c>
      <c r="R156" s="460">
        <v>527452</v>
      </c>
      <c r="S156" s="673">
        <v>0</v>
      </c>
      <c r="T156" s="460">
        <v>0</v>
      </c>
      <c r="U156" s="460">
        <v>0</v>
      </c>
      <c r="V156" s="460">
        <f>SUM(Q156:U156)</f>
        <v>527452</v>
      </c>
      <c r="W156" s="460">
        <v>0</v>
      </c>
      <c r="X156" s="460">
        <v>0</v>
      </c>
      <c r="Y156" s="460">
        <v>0</v>
      </c>
      <c r="Z156" s="460">
        <f t="shared" si="518"/>
        <v>0</v>
      </c>
      <c r="AA156" s="460">
        <f t="shared" si="519"/>
        <v>527452</v>
      </c>
      <c r="AB156" s="69">
        <f t="shared" si="520"/>
        <v>178279</v>
      </c>
      <c r="AC156" s="69">
        <f t="shared" si="521"/>
        <v>5275</v>
      </c>
      <c r="AD156" s="460">
        <v>0</v>
      </c>
      <c r="AE156" s="460">
        <v>0</v>
      </c>
      <c r="AF156" s="460">
        <f t="shared" si="522"/>
        <v>0</v>
      </c>
      <c r="AG156" s="460">
        <f t="shared" si="523"/>
        <v>711006</v>
      </c>
      <c r="AH156" s="461">
        <v>0</v>
      </c>
      <c r="AI156" s="461">
        <v>0</v>
      </c>
      <c r="AJ156" s="461">
        <v>1.49</v>
      </c>
      <c r="AK156" s="461">
        <v>0</v>
      </c>
      <c r="AL156" s="674">
        <v>0</v>
      </c>
      <c r="AM156" s="461">
        <v>0</v>
      </c>
      <c r="AN156" s="461">
        <v>0</v>
      </c>
      <c r="AO156" s="461">
        <v>0</v>
      </c>
      <c r="AP156" s="461">
        <f>AH156+AJ156+AK156+AM156+AN156</f>
        <v>1.49</v>
      </c>
      <c r="AQ156" s="461">
        <f>AI156+AL156+AO156</f>
        <v>0</v>
      </c>
      <c r="AR156" s="463">
        <f t="shared" si="524"/>
        <v>1.49</v>
      </c>
      <c r="AS156" s="469">
        <f>I156+AG156</f>
        <v>711006</v>
      </c>
      <c r="AT156" s="460">
        <f>J156+V156</f>
        <v>527452</v>
      </c>
      <c r="AU156" s="460">
        <f t="shared" si="525"/>
        <v>0</v>
      </c>
      <c r="AV156" s="460">
        <f t="shared" si="526"/>
        <v>178279</v>
      </c>
      <c r="AW156" s="460">
        <f t="shared" si="526"/>
        <v>5275</v>
      </c>
      <c r="AX156" s="460">
        <f>M156+AF156</f>
        <v>0</v>
      </c>
      <c r="AY156" s="461">
        <f>N156+AR156</f>
        <v>1.49</v>
      </c>
      <c r="AZ156" s="461">
        <f t="shared" si="527"/>
        <v>1.49</v>
      </c>
      <c r="BA156" s="463">
        <f t="shared" si="527"/>
        <v>0</v>
      </c>
    </row>
    <row r="157" spans="1:53" ht="12.95" customHeight="1" x14ac:dyDescent="0.25">
      <c r="A157" s="299">
        <v>29</v>
      </c>
      <c r="B157" s="340">
        <v>5471</v>
      </c>
      <c r="C157" s="341">
        <v>600099229</v>
      </c>
      <c r="D157" s="300">
        <v>72743646</v>
      </c>
      <c r="E157" s="342" t="s">
        <v>424</v>
      </c>
      <c r="F157" s="300">
        <v>3141</v>
      </c>
      <c r="G157" s="342" t="s">
        <v>311</v>
      </c>
      <c r="H157" s="303" t="s">
        <v>278</v>
      </c>
      <c r="I157" s="462">
        <f t="shared" si="513"/>
        <v>1258241</v>
      </c>
      <c r="J157" s="457">
        <v>926855</v>
      </c>
      <c r="K157" s="457">
        <f t="shared" si="514"/>
        <v>313277</v>
      </c>
      <c r="L157" s="457">
        <f t="shared" si="515"/>
        <v>9269</v>
      </c>
      <c r="M157" s="457">
        <v>8840</v>
      </c>
      <c r="N157" s="458">
        <f t="shared" si="516"/>
        <v>2.98</v>
      </c>
      <c r="O157" s="459">
        <v>0</v>
      </c>
      <c r="P157" s="646">
        <v>2.98</v>
      </c>
      <c r="Q157" s="469">
        <f t="shared" si="517"/>
        <v>0</v>
      </c>
      <c r="R157" s="460">
        <v>0</v>
      </c>
      <c r="S157" s="673">
        <v>0</v>
      </c>
      <c r="T157" s="460">
        <v>0</v>
      </c>
      <c r="U157" s="460">
        <v>0</v>
      </c>
      <c r="V157" s="460">
        <f>SUM(Q157:U157)</f>
        <v>0</v>
      </c>
      <c r="W157" s="460">
        <v>0</v>
      </c>
      <c r="X157" s="460">
        <v>0</v>
      </c>
      <c r="Y157" s="460">
        <v>0</v>
      </c>
      <c r="Z157" s="460">
        <f t="shared" si="518"/>
        <v>0</v>
      </c>
      <c r="AA157" s="460">
        <f t="shared" si="519"/>
        <v>0</v>
      </c>
      <c r="AB157" s="69">
        <f t="shared" si="520"/>
        <v>0</v>
      </c>
      <c r="AC157" s="69">
        <f t="shared" si="521"/>
        <v>0</v>
      </c>
      <c r="AD157" s="460">
        <v>0</v>
      </c>
      <c r="AE157" s="460">
        <v>0</v>
      </c>
      <c r="AF157" s="460">
        <f t="shared" si="522"/>
        <v>0</v>
      </c>
      <c r="AG157" s="460">
        <f t="shared" si="523"/>
        <v>0</v>
      </c>
      <c r="AH157" s="461">
        <v>0</v>
      </c>
      <c r="AI157" s="461">
        <v>0</v>
      </c>
      <c r="AJ157" s="461">
        <v>0</v>
      </c>
      <c r="AK157" s="461">
        <v>0</v>
      </c>
      <c r="AL157" s="674">
        <v>0</v>
      </c>
      <c r="AM157" s="461">
        <v>0</v>
      </c>
      <c r="AN157" s="461">
        <v>0</v>
      </c>
      <c r="AO157" s="461">
        <v>0</v>
      </c>
      <c r="AP157" s="461">
        <f>AH157+AJ157+AK157+AM157+AN157</f>
        <v>0</v>
      </c>
      <c r="AQ157" s="461">
        <f>AI157+AL157+AO157</f>
        <v>0</v>
      </c>
      <c r="AR157" s="463">
        <f t="shared" si="524"/>
        <v>0</v>
      </c>
      <c r="AS157" s="469">
        <f>I157+AG157</f>
        <v>1258241</v>
      </c>
      <c r="AT157" s="460">
        <f>J157+V157</f>
        <v>926855</v>
      </c>
      <c r="AU157" s="460">
        <f t="shared" si="525"/>
        <v>0</v>
      </c>
      <c r="AV157" s="460">
        <f t="shared" si="526"/>
        <v>313277</v>
      </c>
      <c r="AW157" s="460">
        <f t="shared" si="526"/>
        <v>9269</v>
      </c>
      <c r="AX157" s="460">
        <f>M157+AF157</f>
        <v>8840</v>
      </c>
      <c r="AY157" s="461">
        <f>N157+AR157</f>
        <v>2.98</v>
      </c>
      <c r="AZ157" s="461">
        <f t="shared" si="527"/>
        <v>0</v>
      </c>
      <c r="BA157" s="463">
        <f t="shared" si="527"/>
        <v>2.98</v>
      </c>
    </row>
    <row r="158" spans="1:53" ht="12.95" customHeight="1" x14ac:dyDescent="0.25">
      <c r="A158" s="299">
        <v>29</v>
      </c>
      <c r="B158" s="340">
        <v>5471</v>
      </c>
      <c r="C158" s="341">
        <v>600099229</v>
      </c>
      <c r="D158" s="300">
        <v>72743646</v>
      </c>
      <c r="E158" s="342" t="s">
        <v>424</v>
      </c>
      <c r="F158" s="300">
        <v>3143</v>
      </c>
      <c r="G158" s="342" t="s">
        <v>616</v>
      </c>
      <c r="H158" s="303" t="s">
        <v>277</v>
      </c>
      <c r="I158" s="462">
        <f t="shared" si="513"/>
        <v>584825</v>
      </c>
      <c r="J158" s="457">
        <v>433847</v>
      </c>
      <c r="K158" s="457">
        <f t="shared" si="514"/>
        <v>146640</v>
      </c>
      <c r="L158" s="457">
        <f t="shared" si="515"/>
        <v>4338</v>
      </c>
      <c r="M158" s="457">
        <v>0</v>
      </c>
      <c r="N158" s="458">
        <f t="shared" si="516"/>
        <v>0.88</v>
      </c>
      <c r="O158" s="459">
        <v>0.88</v>
      </c>
      <c r="P158" s="646">
        <v>0</v>
      </c>
      <c r="Q158" s="469">
        <f t="shared" si="517"/>
        <v>-11700</v>
      </c>
      <c r="R158" s="460">
        <v>0</v>
      </c>
      <c r="S158" s="673">
        <v>0</v>
      </c>
      <c r="T158" s="460">
        <v>0</v>
      </c>
      <c r="U158" s="460">
        <v>0</v>
      </c>
      <c r="V158" s="460">
        <f>SUM(Q158:U158)</f>
        <v>-11700</v>
      </c>
      <c r="W158" s="460">
        <v>11700</v>
      </c>
      <c r="X158" s="460">
        <v>66200</v>
      </c>
      <c r="Y158" s="460">
        <v>0</v>
      </c>
      <c r="Z158" s="460">
        <f t="shared" si="518"/>
        <v>77900</v>
      </c>
      <c r="AA158" s="460">
        <f t="shared" si="519"/>
        <v>66200</v>
      </c>
      <c r="AB158" s="69">
        <f t="shared" si="520"/>
        <v>22376</v>
      </c>
      <c r="AC158" s="69">
        <f t="shared" si="521"/>
        <v>-117</v>
      </c>
      <c r="AD158" s="460">
        <v>0</v>
      </c>
      <c r="AE158" s="460">
        <v>0</v>
      </c>
      <c r="AF158" s="460">
        <f t="shared" si="522"/>
        <v>0</v>
      </c>
      <c r="AG158" s="460">
        <f t="shared" si="523"/>
        <v>88459</v>
      </c>
      <c r="AH158" s="461">
        <v>0</v>
      </c>
      <c r="AI158" s="461">
        <v>0</v>
      </c>
      <c r="AJ158" s="461">
        <v>0</v>
      </c>
      <c r="AK158" s="461">
        <v>0</v>
      </c>
      <c r="AL158" s="674">
        <v>0</v>
      </c>
      <c r="AM158" s="461">
        <v>0</v>
      </c>
      <c r="AN158" s="461">
        <v>0</v>
      </c>
      <c r="AO158" s="461">
        <v>0</v>
      </c>
      <c r="AP158" s="461">
        <f>AH158+AJ158+AK158+AM158+AN158</f>
        <v>0</v>
      </c>
      <c r="AQ158" s="461">
        <f>AI158+AL158+AO158</f>
        <v>0</v>
      </c>
      <c r="AR158" s="463">
        <f t="shared" si="524"/>
        <v>0</v>
      </c>
      <c r="AS158" s="469">
        <f>I158+AG158</f>
        <v>673284</v>
      </c>
      <c r="AT158" s="460">
        <f>J158+V158</f>
        <v>422147</v>
      </c>
      <c r="AU158" s="460">
        <f t="shared" si="525"/>
        <v>77900</v>
      </c>
      <c r="AV158" s="460">
        <f t="shared" si="526"/>
        <v>169016</v>
      </c>
      <c r="AW158" s="460">
        <f t="shared" si="526"/>
        <v>4221</v>
      </c>
      <c r="AX158" s="460">
        <f>M158+AF158</f>
        <v>0</v>
      </c>
      <c r="AY158" s="461">
        <f>N158+AR158</f>
        <v>0.88</v>
      </c>
      <c r="AZ158" s="461">
        <f t="shared" si="527"/>
        <v>0.88</v>
      </c>
      <c r="BA158" s="463">
        <f t="shared" si="527"/>
        <v>0</v>
      </c>
    </row>
    <row r="159" spans="1:53" ht="12.95" customHeight="1" x14ac:dyDescent="0.25">
      <c r="A159" s="299">
        <v>29</v>
      </c>
      <c r="B159" s="340">
        <v>5471</v>
      </c>
      <c r="C159" s="341">
        <v>600099229</v>
      </c>
      <c r="D159" s="300">
        <v>72743646</v>
      </c>
      <c r="E159" s="342" t="s">
        <v>424</v>
      </c>
      <c r="F159" s="300">
        <v>3143</v>
      </c>
      <c r="G159" s="342" t="s">
        <v>617</v>
      </c>
      <c r="H159" s="303" t="s">
        <v>278</v>
      </c>
      <c r="I159" s="462">
        <f t="shared" si="513"/>
        <v>32985</v>
      </c>
      <c r="J159" s="457">
        <v>23568</v>
      </c>
      <c r="K159" s="457">
        <f t="shared" si="514"/>
        <v>7966</v>
      </c>
      <c r="L159" s="457">
        <f t="shared" si="515"/>
        <v>236</v>
      </c>
      <c r="M159" s="457">
        <v>1215</v>
      </c>
      <c r="N159" s="458">
        <f t="shared" si="516"/>
        <v>0.09</v>
      </c>
      <c r="O159" s="459">
        <v>0</v>
      </c>
      <c r="P159" s="646">
        <v>0.09</v>
      </c>
      <c r="Q159" s="469">
        <f t="shared" si="517"/>
        <v>0</v>
      </c>
      <c r="R159" s="460">
        <v>0</v>
      </c>
      <c r="S159" s="673">
        <v>0</v>
      </c>
      <c r="T159" s="460">
        <v>0</v>
      </c>
      <c r="U159" s="460">
        <v>0</v>
      </c>
      <c r="V159" s="460">
        <f>SUM(Q159:U159)</f>
        <v>0</v>
      </c>
      <c r="W159" s="460">
        <v>0</v>
      </c>
      <c r="X159" s="460">
        <v>0</v>
      </c>
      <c r="Y159" s="460">
        <v>0</v>
      </c>
      <c r="Z159" s="460">
        <f t="shared" si="518"/>
        <v>0</v>
      </c>
      <c r="AA159" s="460">
        <f t="shared" si="519"/>
        <v>0</v>
      </c>
      <c r="AB159" s="69">
        <f t="shared" si="520"/>
        <v>0</v>
      </c>
      <c r="AC159" s="69">
        <f t="shared" si="521"/>
        <v>0</v>
      </c>
      <c r="AD159" s="460">
        <v>0</v>
      </c>
      <c r="AE159" s="460">
        <v>0</v>
      </c>
      <c r="AF159" s="460">
        <f t="shared" si="522"/>
        <v>0</v>
      </c>
      <c r="AG159" s="460">
        <f t="shared" si="523"/>
        <v>0</v>
      </c>
      <c r="AH159" s="461">
        <v>0</v>
      </c>
      <c r="AI159" s="461">
        <v>0</v>
      </c>
      <c r="AJ159" s="461">
        <v>0</v>
      </c>
      <c r="AK159" s="461">
        <v>0</v>
      </c>
      <c r="AL159" s="674">
        <v>0</v>
      </c>
      <c r="AM159" s="461">
        <v>0</v>
      </c>
      <c r="AN159" s="461">
        <v>0</v>
      </c>
      <c r="AO159" s="461">
        <v>0</v>
      </c>
      <c r="AP159" s="461">
        <f>AH159+AJ159+AK159+AM159+AN159</f>
        <v>0</v>
      </c>
      <c r="AQ159" s="461">
        <f>AI159+AL159+AO159</f>
        <v>0</v>
      </c>
      <c r="AR159" s="463">
        <f t="shared" si="524"/>
        <v>0</v>
      </c>
      <c r="AS159" s="469">
        <f>I159+AG159</f>
        <v>32985</v>
      </c>
      <c r="AT159" s="460">
        <f>J159+V159</f>
        <v>23568</v>
      </c>
      <c r="AU159" s="460">
        <f t="shared" si="525"/>
        <v>0</v>
      </c>
      <c r="AV159" s="460">
        <f t="shared" si="526"/>
        <v>7966</v>
      </c>
      <c r="AW159" s="460">
        <f t="shared" si="526"/>
        <v>236</v>
      </c>
      <c r="AX159" s="460">
        <f>M159+AF159</f>
        <v>1215</v>
      </c>
      <c r="AY159" s="461">
        <f>N159+AR159</f>
        <v>0.09</v>
      </c>
      <c r="AZ159" s="461">
        <f t="shared" si="527"/>
        <v>0</v>
      </c>
      <c r="BA159" s="463">
        <f t="shared" si="527"/>
        <v>0.09</v>
      </c>
    </row>
    <row r="160" spans="1:53" ht="12.95" customHeight="1" x14ac:dyDescent="0.25">
      <c r="A160" s="343">
        <v>29</v>
      </c>
      <c r="B160" s="344">
        <v>5471</v>
      </c>
      <c r="C160" s="345">
        <v>600099229</v>
      </c>
      <c r="D160" s="344">
        <v>72743646</v>
      </c>
      <c r="E160" s="346" t="s">
        <v>425</v>
      </c>
      <c r="F160" s="310"/>
      <c r="G160" s="348"/>
      <c r="H160" s="311"/>
      <c r="I160" s="537">
        <f t="shared" ref="I160:P160" si="528">SUM(I155:I159)</f>
        <v>15640364</v>
      </c>
      <c r="J160" s="534">
        <f t="shared" si="528"/>
        <v>11419087</v>
      </c>
      <c r="K160" s="534">
        <f t="shared" si="528"/>
        <v>3859651</v>
      </c>
      <c r="L160" s="534">
        <f t="shared" si="528"/>
        <v>114191</v>
      </c>
      <c r="M160" s="534">
        <f t="shared" si="528"/>
        <v>247435</v>
      </c>
      <c r="N160" s="535">
        <f t="shared" si="528"/>
        <v>21.16</v>
      </c>
      <c r="O160" s="535">
        <f t="shared" si="528"/>
        <v>14.38</v>
      </c>
      <c r="P160" s="309">
        <f t="shared" si="528"/>
        <v>6.7799999999999994</v>
      </c>
      <c r="Q160" s="539">
        <f t="shared" ref="Q160:BA160" si="529">SUM(Q155:Q159)</f>
        <v>-23400</v>
      </c>
      <c r="R160" s="534">
        <f t="shared" si="529"/>
        <v>527452</v>
      </c>
      <c r="S160" s="534">
        <f t="shared" si="529"/>
        <v>0</v>
      </c>
      <c r="T160" s="534">
        <f t="shared" si="529"/>
        <v>0</v>
      </c>
      <c r="U160" s="534">
        <f t="shared" si="529"/>
        <v>0</v>
      </c>
      <c r="V160" s="534">
        <f t="shared" si="529"/>
        <v>504052</v>
      </c>
      <c r="W160" s="534">
        <f t="shared" si="529"/>
        <v>23400</v>
      </c>
      <c r="X160" s="534">
        <f t="shared" si="529"/>
        <v>90960</v>
      </c>
      <c r="Y160" s="534">
        <f t="shared" si="529"/>
        <v>0</v>
      </c>
      <c r="Z160" s="534">
        <f t="shared" si="529"/>
        <v>114360</v>
      </c>
      <c r="AA160" s="534">
        <f t="shared" si="529"/>
        <v>618412</v>
      </c>
      <c r="AB160" s="534">
        <f t="shared" si="529"/>
        <v>209024</v>
      </c>
      <c r="AC160" s="534">
        <f t="shared" si="529"/>
        <v>5041</v>
      </c>
      <c r="AD160" s="534">
        <f t="shared" si="529"/>
        <v>0</v>
      </c>
      <c r="AE160" s="534">
        <f t="shared" si="529"/>
        <v>0</v>
      </c>
      <c r="AF160" s="534">
        <f t="shared" si="529"/>
        <v>0</v>
      </c>
      <c r="AG160" s="534">
        <f t="shared" si="529"/>
        <v>832477</v>
      </c>
      <c r="AH160" s="535">
        <f t="shared" si="529"/>
        <v>0</v>
      </c>
      <c r="AI160" s="535">
        <f t="shared" si="529"/>
        <v>0</v>
      </c>
      <c r="AJ160" s="535">
        <f t="shared" si="529"/>
        <v>1.49</v>
      </c>
      <c r="AK160" s="535">
        <f t="shared" si="529"/>
        <v>0</v>
      </c>
      <c r="AL160" s="535">
        <f t="shared" si="529"/>
        <v>0</v>
      </c>
      <c r="AM160" s="535">
        <f t="shared" si="529"/>
        <v>0</v>
      </c>
      <c r="AN160" s="535">
        <f t="shared" si="529"/>
        <v>0</v>
      </c>
      <c r="AO160" s="535">
        <f t="shared" si="529"/>
        <v>0</v>
      </c>
      <c r="AP160" s="535">
        <f t="shared" si="529"/>
        <v>1.49</v>
      </c>
      <c r="AQ160" s="535">
        <f t="shared" si="529"/>
        <v>0</v>
      </c>
      <c r="AR160" s="309">
        <f t="shared" si="529"/>
        <v>1.49</v>
      </c>
      <c r="AS160" s="539">
        <f t="shared" si="529"/>
        <v>16472841</v>
      </c>
      <c r="AT160" s="534">
        <f t="shared" si="529"/>
        <v>11923139</v>
      </c>
      <c r="AU160" s="534">
        <f t="shared" si="529"/>
        <v>114360</v>
      </c>
      <c r="AV160" s="534">
        <f t="shared" si="529"/>
        <v>4068675</v>
      </c>
      <c r="AW160" s="534">
        <f t="shared" si="529"/>
        <v>119232</v>
      </c>
      <c r="AX160" s="534">
        <f t="shared" si="529"/>
        <v>247435</v>
      </c>
      <c r="AY160" s="535">
        <f t="shared" si="529"/>
        <v>22.65</v>
      </c>
      <c r="AZ160" s="535">
        <f t="shared" si="529"/>
        <v>15.870000000000001</v>
      </c>
      <c r="BA160" s="309">
        <f t="shared" si="529"/>
        <v>6.7799999999999994</v>
      </c>
    </row>
    <row r="161" spans="1:53" ht="12.95" customHeight="1" x14ac:dyDescent="0.25">
      <c r="A161" s="299">
        <v>30</v>
      </c>
      <c r="B161" s="340">
        <v>5473</v>
      </c>
      <c r="C161" s="341">
        <v>600098583</v>
      </c>
      <c r="D161" s="300">
        <v>75016320</v>
      </c>
      <c r="E161" s="342" t="s">
        <v>426</v>
      </c>
      <c r="F161" s="300">
        <v>3111</v>
      </c>
      <c r="G161" s="342" t="s">
        <v>321</v>
      </c>
      <c r="H161" s="303" t="s">
        <v>277</v>
      </c>
      <c r="I161" s="462">
        <f t="shared" ref="I161:I163" si="530">SUM(J161:M161)</f>
        <v>2054621</v>
      </c>
      <c r="J161" s="457">
        <v>1516484</v>
      </c>
      <c r="K161" s="457">
        <f t="shared" ref="K161:K163" si="531">ROUND(J161*33.8%,0)</f>
        <v>512572</v>
      </c>
      <c r="L161" s="457">
        <f t="shared" ref="L161:L163" si="532">ROUND(J161*1%,0)</f>
        <v>15165</v>
      </c>
      <c r="M161" s="457">
        <v>10400</v>
      </c>
      <c r="N161" s="458">
        <f t="shared" ref="N161:N163" si="533">O161+P161</f>
        <v>2.9548000000000001</v>
      </c>
      <c r="O161" s="459">
        <v>2.3548</v>
      </c>
      <c r="P161" s="646">
        <v>0.60000000000000009</v>
      </c>
      <c r="Q161" s="469">
        <f t="shared" ref="Q161:Q163" si="534">W161*-1</f>
        <v>0</v>
      </c>
      <c r="R161" s="460">
        <v>0</v>
      </c>
      <c r="S161" s="673">
        <v>0</v>
      </c>
      <c r="T161" s="460">
        <v>0</v>
      </c>
      <c r="U161" s="460">
        <v>0</v>
      </c>
      <c r="V161" s="460">
        <f>SUM(Q161:U161)</f>
        <v>0</v>
      </c>
      <c r="W161" s="460">
        <v>0</v>
      </c>
      <c r="X161" s="460">
        <v>0</v>
      </c>
      <c r="Y161" s="460">
        <v>0</v>
      </c>
      <c r="Z161" s="460">
        <f t="shared" ref="Z161:Z163" si="535">SUM(W161:Y161)</f>
        <v>0</v>
      </c>
      <c r="AA161" s="460">
        <f t="shared" ref="AA161:AA163" si="536">V161+Z161</f>
        <v>0</v>
      </c>
      <c r="AB161" s="69">
        <f t="shared" ref="AB161:AB163" si="537">ROUND((V161+W161+X161)*33.8%,0)</f>
        <v>0</v>
      </c>
      <c r="AC161" s="69">
        <f t="shared" ref="AC161:AC163" si="538">ROUND(V161*1%,0)</f>
        <v>0</v>
      </c>
      <c r="AD161" s="460">
        <v>0</v>
      </c>
      <c r="AE161" s="460">
        <v>0</v>
      </c>
      <c r="AF161" s="460">
        <f t="shared" ref="AF161:AF163" si="539">SUM(AD161:AE161)</f>
        <v>0</v>
      </c>
      <c r="AG161" s="460">
        <f t="shared" ref="AG161:AG163" si="540">AA161+AB161+AC161+AF161</f>
        <v>0</v>
      </c>
      <c r="AH161" s="461">
        <v>0</v>
      </c>
      <c r="AI161" s="461">
        <v>0</v>
      </c>
      <c r="AJ161" s="461">
        <v>0</v>
      </c>
      <c r="AK161" s="461">
        <v>0</v>
      </c>
      <c r="AL161" s="674">
        <v>0</v>
      </c>
      <c r="AM161" s="461">
        <v>0</v>
      </c>
      <c r="AN161" s="461">
        <v>0</v>
      </c>
      <c r="AO161" s="461">
        <v>0</v>
      </c>
      <c r="AP161" s="461">
        <f>AH161+AJ161+AK161+AM161+AN161</f>
        <v>0</v>
      </c>
      <c r="AQ161" s="461">
        <f>AI161+AL161+AO161</f>
        <v>0</v>
      </c>
      <c r="AR161" s="463">
        <f t="shared" ref="AR161:AR163" si="541">SUM(AP161:AQ161)</f>
        <v>0</v>
      </c>
      <c r="AS161" s="469">
        <f>I161+AG161</f>
        <v>2054621</v>
      </c>
      <c r="AT161" s="460">
        <f>J161+V161</f>
        <v>1516484</v>
      </c>
      <c r="AU161" s="460">
        <f t="shared" ref="AU161:AU163" si="542">Z161</f>
        <v>0</v>
      </c>
      <c r="AV161" s="460">
        <f t="shared" ref="AV161:AW163" si="543">K161+AB161</f>
        <v>512572</v>
      </c>
      <c r="AW161" s="460">
        <f t="shared" si="543"/>
        <v>15165</v>
      </c>
      <c r="AX161" s="460">
        <f>M161+AF161</f>
        <v>10400</v>
      </c>
      <c r="AY161" s="461">
        <f>N161+AR161</f>
        <v>2.9548000000000001</v>
      </c>
      <c r="AZ161" s="461">
        <f t="shared" ref="AZ161:BA163" si="544">O161+AP161</f>
        <v>2.3548</v>
      </c>
      <c r="BA161" s="463">
        <f t="shared" si="544"/>
        <v>0.60000000000000009</v>
      </c>
    </row>
    <row r="162" spans="1:53" ht="12.95" customHeight="1" x14ac:dyDescent="0.25">
      <c r="A162" s="299">
        <v>30</v>
      </c>
      <c r="B162" s="340">
        <v>5473</v>
      </c>
      <c r="C162" s="341">
        <v>600098583</v>
      </c>
      <c r="D162" s="300">
        <v>75016320</v>
      </c>
      <c r="E162" s="342" t="s">
        <v>426</v>
      </c>
      <c r="F162" s="300">
        <v>3111</v>
      </c>
      <c r="G162" s="342" t="s">
        <v>315</v>
      </c>
      <c r="H162" s="303" t="s">
        <v>278</v>
      </c>
      <c r="I162" s="462">
        <f t="shared" si="530"/>
        <v>0</v>
      </c>
      <c r="J162" s="457">
        <v>0</v>
      </c>
      <c r="K162" s="457">
        <f t="shared" si="531"/>
        <v>0</v>
      </c>
      <c r="L162" s="457">
        <f t="shared" si="532"/>
        <v>0</v>
      </c>
      <c r="M162" s="457">
        <v>0</v>
      </c>
      <c r="N162" s="458">
        <f t="shared" si="533"/>
        <v>0</v>
      </c>
      <c r="O162" s="459">
        <v>0</v>
      </c>
      <c r="P162" s="646">
        <v>0</v>
      </c>
      <c r="Q162" s="469">
        <f t="shared" si="534"/>
        <v>0</v>
      </c>
      <c r="R162" s="460">
        <v>0</v>
      </c>
      <c r="S162" s="673">
        <v>0</v>
      </c>
      <c r="T162" s="460">
        <v>0</v>
      </c>
      <c r="U162" s="460">
        <v>0</v>
      </c>
      <c r="V162" s="460">
        <f>SUM(Q162:U162)</f>
        <v>0</v>
      </c>
      <c r="W162" s="460">
        <v>0</v>
      </c>
      <c r="X162" s="460">
        <v>0</v>
      </c>
      <c r="Y162" s="460">
        <v>0</v>
      </c>
      <c r="Z162" s="460">
        <f t="shared" si="535"/>
        <v>0</v>
      </c>
      <c r="AA162" s="460">
        <f t="shared" si="536"/>
        <v>0</v>
      </c>
      <c r="AB162" s="69">
        <f t="shared" si="537"/>
        <v>0</v>
      </c>
      <c r="AC162" s="69">
        <f t="shared" si="538"/>
        <v>0</v>
      </c>
      <c r="AD162" s="460">
        <v>0</v>
      </c>
      <c r="AE162" s="460">
        <v>0</v>
      </c>
      <c r="AF162" s="460">
        <f t="shared" si="539"/>
        <v>0</v>
      </c>
      <c r="AG162" s="460">
        <f t="shared" si="540"/>
        <v>0</v>
      </c>
      <c r="AH162" s="461">
        <v>0</v>
      </c>
      <c r="AI162" s="461">
        <v>0</v>
      </c>
      <c r="AJ162" s="461">
        <v>0</v>
      </c>
      <c r="AK162" s="461">
        <v>0</v>
      </c>
      <c r="AL162" s="674">
        <v>0</v>
      </c>
      <c r="AM162" s="461">
        <v>0</v>
      </c>
      <c r="AN162" s="461">
        <v>0</v>
      </c>
      <c r="AO162" s="461">
        <v>0</v>
      </c>
      <c r="AP162" s="461">
        <f>AH162+AJ162+AK162+AM162+AN162</f>
        <v>0</v>
      </c>
      <c r="AQ162" s="461">
        <f>AI162+AL162+AO162</f>
        <v>0</v>
      </c>
      <c r="AR162" s="463">
        <f t="shared" si="541"/>
        <v>0</v>
      </c>
      <c r="AS162" s="469">
        <f>I162+AG162</f>
        <v>0</v>
      </c>
      <c r="AT162" s="460">
        <f>J162+V162</f>
        <v>0</v>
      </c>
      <c r="AU162" s="460">
        <f t="shared" si="542"/>
        <v>0</v>
      </c>
      <c r="AV162" s="460">
        <f t="shared" si="543"/>
        <v>0</v>
      </c>
      <c r="AW162" s="460">
        <f t="shared" si="543"/>
        <v>0</v>
      </c>
      <c r="AX162" s="460">
        <f>M162+AF162</f>
        <v>0</v>
      </c>
      <c r="AY162" s="461">
        <f>N162+AR162</f>
        <v>0</v>
      </c>
      <c r="AZ162" s="461">
        <f t="shared" si="544"/>
        <v>0</v>
      </c>
      <c r="BA162" s="463">
        <f t="shared" si="544"/>
        <v>0</v>
      </c>
    </row>
    <row r="163" spans="1:53" ht="13.5" customHeight="1" x14ac:dyDescent="0.25">
      <c r="A163" s="299">
        <v>30</v>
      </c>
      <c r="B163" s="340">
        <v>5473</v>
      </c>
      <c r="C163" s="341">
        <v>600098583</v>
      </c>
      <c r="D163" s="300">
        <v>75016320</v>
      </c>
      <c r="E163" s="342" t="s">
        <v>426</v>
      </c>
      <c r="F163" s="300">
        <v>3141</v>
      </c>
      <c r="G163" s="342" t="s">
        <v>311</v>
      </c>
      <c r="H163" s="303" t="s">
        <v>278</v>
      </c>
      <c r="I163" s="462">
        <f t="shared" si="530"/>
        <v>406289</v>
      </c>
      <c r="J163" s="457">
        <v>300398</v>
      </c>
      <c r="K163" s="457">
        <f t="shared" si="531"/>
        <v>101535</v>
      </c>
      <c r="L163" s="457">
        <f t="shared" si="532"/>
        <v>3004</v>
      </c>
      <c r="M163" s="457">
        <v>1352</v>
      </c>
      <c r="N163" s="458">
        <f t="shared" si="533"/>
        <v>0.97</v>
      </c>
      <c r="O163" s="459">
        <v>0</v>
      </c>
      <c r="P163" s="646">
        <v>0.97</v>
      </c>
      <c r="Q163" s="469">
        <f t="shared" si="534"/>
        <v>0</v>
      </c>
      <c r="R163" s="460">
        <v>0</v>
      </c>
      <c r="S163" s="673">
        <v>0</v>
      </c>
      <c r="T163" s="460">
        <v>0</v>
      </c>
      <c r="U163" s="460">
        <v>0</v>
      </c>
      <c r="V163" s="460">
        <f>SUM(Q163:U163)</f>
        <v>0</v>
      </c>
      <c r="W163" s="460">
        <v>0</v>
      </c>
      <c r="X163" s="460">
        <v>0</v>
      </c>
      <c r="Y163" s="460">
        <v>0</v>
      </c>
      <c r="Z163" s="460">
        <f t="shared" si="535"/>
        <v>0</v>
      </c>
      <c r="AA163" s="460">
        <f t="shared" si="536"/>
        <v>0</v>
      </c>
      <c r="AB163" s="69">
        <f t="shared" si="537"/>
        <v>0</v>
      </c>
      <c r="AC163" s="69">
        <f t="shared" si="538"/>
        <v>0</v>
      </c>
      <c r="AD163" s="460">
        <v>0</v>
      </c>
      <c r="AE163" s="460">
        <v>0</v>
      </c>
      <c r="AF163" s="460">
        <f t="shared" si="539"/>
        <v>0</v>
      </c>
      <c r="AG163" s="460">
        <f t="shared" si="540"/>
        <v>0</v>
      </c>
      <c r="AH163" s="461">
        <v>0</v>
      </c>
      <c r="AI163" s="461">
        <v>0</v>
      </c>
      <c r="AJ163" s="461">
        <v>0</v>
      </c>
      <c r="AK163" s="461">
        <v>0</v>
      </c>
      <c r="AL163" s="674">
        <v>0</v>
      </c>
      <c r="AM163" s="461">
        <v>0</v>
      </c>
      <c r="AN163" s="461">
        <v>0</v>
      </c>
      <c r="AO163" s="461">
        <v>0</v>
      </c>
      <c r="AP163" s="461">
        <f>AH163+AJ163+AK163+AM163+AN163</f>
        <v>0</v>
      </c>
      <c r="AQ163" s="461">
        <f>AI163+AL163+AO163</f>
        <v>0</v>
      </c>
      <c r="AR163" s="463">
        <f t="shared" si="541"/>
        <v>0</v>
      </c>
      <c r="AS163" s="469">
        <f>I163+AG163</f>
        <v>406289</v>
      </c>
      <c r="AT163" s="460">
        <f>J163+V163</f>
        <v>300398</v>
      </c>
      <c r="AU163" s="460">
        <f t="shared" si="542"/>
        <v>0</v>
      </c>
      <c r="AV163" s="460">
        <f t="shared" si="543"/>
        <v>101535</v>
      </c>
      <c r="AW163" s="460">
        <f t="shared" si="543"/>
        <v>3004</v>
      </c>
      <c r="AX163" s="460">
        <f>M163+AF163</f>
        <v>1352</v>
      </c>
      <c r="AY163" s="461">
        <f>N163+AR163</f>
        <v>0.97</v>
      </c>
      <c r="AZ163" s="461">
        <f t="shared" si="544"/>
        <v>0</v>
      </c>
      <c r="BA163" s="463">
        <f t="shared" si="544"/>
        <v>0.97</v>
      </c>
    </row>
    <row r="164" spans="1:53" ht="12.75" customHeight="1" thickBot="1" x14ac:dyDescent="0.3">
      <c r="A164" s="354">
        <v>30</v>
      </c>
      <c r="B164" s="355">
        <v>5473</v>
      </c>
      <c r="C164" s="356">
        <v>600098583</v>
      </c>
      <c r="D164" s="355">
        <v>75016320</v>
      </c>
      <c r="E164" s="357" t="s">
        <v>427</v>
      </c>
      <c r="F164" s="314"/>
      <c r="G164" s="358"/>
      <c r="H164" s="315"/>
      <c r="I164" s="602">
        <f t="shared" ref="I164:P164" si="545">SUM(I161:I163)</f>
        <v>2460910</v>
      </c>
      <c r="J164" s="603">
        <f t="shared" si="545"/>
        <v>1816882</v>
      </c>
      <c r="K164" s="603">
        <f t="shared" si="545"/>
        <v>614107</v>
      </c>
      <c r="L164" s="603">
        <f t="shared" si="545"/>
        <v>18169</v>
      </c>
      <c r="M164" s="603">
        <f t="shared" si="545"/>
        <v>11752</v>
      </c>
      <c r="N164" s="604">
        <f t="shared" si="545"/>
        <v>3.9248000000000003</v>
      </c>
      <c r="O164" s="604">
        <f t="shared" si="545"/>
        <v>2.3548</v>
      </c>
      <c r="P164" s="664">
        <f t="shared" si="545"/>
        <v>1.57</v>
      </c>
      <c r="Q164" s="755">
        <f t="shared" ref="Q164:BA164" si="546">SUM(Q161:Q163)</f>
        <v>0</v>
      </c>
      <c r="R164" s="603">
        <f t="shared" si="546"/>
        <v>0</v>
      </c>
      <c r="S164" s="603">
        <f t="shared" si="546"/>
        <v>0</v>
      </c>
      <c r="T164" s="603">
        <f t="shared" si="546"/>
        <v>0</v>
      </c>
      <c r="U164" s="603">
        <f t="shared" si="546"/>
        <v>0</v>
      </c>
      <c r="V164" s="603">
        <f t="shared" si="546"/>
        <v>0</v>
      </c>
      <c r="W164" s="603">
        <f t="shared" si="546"/>
        <v>0</v>
      </c>
      <c r="X164" s="603">
        <f t="shared" si="546"/>
        <v>0</v>
      </c>
      <c r="Y164" s="603">
        <f t="shared" si="546"/>
        <v>0</v>
      </c>
      <c r="Z164" s="603">
        <f t="shared" si="546"/>
        <v>0</v>
      </c>
      <c r="AA164" s="603">
        <f t="shared" si="546"/>
        <v>0</v>
      </c>
      <c r="AB164" s="603">
        <f t="shared" si="546"/>
        <v>0</v>
      </c>
      <c r="AC164" s="603">
        <f t="shared" si="546"/>
        <v>0</v>
      </c>
      <c r="AD164" s="603">
        <f t="shared" si="546"/>
        <v>0</v>
      </c>
      <c r="AE164" s="603">
        <f t="shared" si="546"/>
        <v>0</v>
      </c>
      <c r="AF164" s="603">
        <f t="shared" si="546"/>
        <v>0</v>
      </c>
      <c r="AG164" s="603">
        <f t="shared" si="546"/>
        <v>0</v>
      </c>
      <c r="AH164" s="604">
        <f t="shared" si="546"/>
        <v>0</v>
      </c>
      <c r="AI164" s="604">
        <f t="shared" si="546"/>
        <v>0</v>
      </c>
      <c r="AJ164" s="604">
        <f t="shared" si="546"/>
        <v>0</v>
      </c>
      <c r="AK164" s="604">
        <f t="shared" si="546"/>
        <v>0</v>
      </c>
      <c r="AL164" s="604">
        <f t="shared" si="546"/>
        <v>0</v>
      </c>
      <c r="AM164" s="604">
        <f t="shared" si="546"/>
        <v>0</v>
      </c>
      <c r="AN164" s="604">
        <f t="shared" si="546"/>
        <v>0</v>
      </c>
      <c r="AO164" s="604">
        <f t="shared" si="546"/>
        <v>0</v>
      </c>
      <c r="AP164" s="604">
        <f t="shared" si="546"/>
        <v>0</v>
      </c>
      <c r="AQ164" s="604">
        <f t="shared" si="546"/>
        <v>0</v>
      </c>
      <c r="AR164" s="664">
        <f t="shared" si="546"/>
        <v>0</v>
      </c>
      <c r="AS164" s="543">
        <f t="shared" si="546"/>
        <v>2460910</v>
      </c>
      <c r="AT164" s="540">
        <f t="shared" si="546"/>
        <v>1816882</v>
      </c>
      <c r="AU164" s="540">
        <f t="shared" si="546"/>
        <v>0</v>
      </c>
      <c r="AV164" s="540">
        <f t="shared" si="546"/>
        <v>614107</v>
      </c>
      <c r="AW164" s="540">
        <f t="shared" si="546"/>
        <v>18169</v>
      </c>
      <c r="AX164" s="540">
        <f t="shared" si="546"/>
        <v>11752</v>
      </c>
      <c r="AY164" s="541">
        <f t="shared" si="546"/>
        <v>3.9248000000000003</v>
      </c>
      <c r="AZ164" s="541">
        <f t="shared" si="546"/>
        <v>2.3548</v>
      </c>
      <c r="BA164" s="542">
        <f t="shared" si="546"/>
        <v>1.57</v>
      </c>
    </row>
    <row r="165" spans="1:53" ht="12.75" customHeight="1" thickBot="1" x14ac:dyDescent="0.3">
      <c r="A165" s="359"/>
      <c r="B165" s="322"/>
      <c r="C165" s="360"/>
      <c r="D165" s="322"/>
      <c r="E165" s="324" t="s">
        <v>780</v>
      </c>
      <c r="F165" s="322"/>
      <c r="G165" s="322"/>
      <c r="H165" s="325"/>
      <c r="I165" s="598">
        <f t="shared" ref="I165:BA165" si="547">I164+I160+I154+I151+I144+I137+I130+I127+I124+I118+I114+I110+I108+I102+I98+I92+I88+I81+I74+I67+I60+I53+I51+I44+I38+I32+I25+I23+I19+I15</f>
        <v>338078907</v>
      </c>
      <c r="J165" s="599">
        <f t="shared" si="547"/>
        <v>247931878</v>
      </c>
      <c r="K165" s="599">
        <f t="shared" si="547"/>
        <v>83800976</v>
      </c>
      <c r="L165" s="599">
        <f t="shared" si="547"/>
        <v>2479317</v>
      </c>
      <c r="M165" s="599">
        <f t="shared" si="547"/>
        <v>3866736</v>
      </c>
      <c r="N165" s="600">
        <f t="shared" si="547"/>
        <v>483.35340000000002</v>
      </c>
      <c r="O165" s="600">
        <f t="shared" si="547"/>
        <v>337.78269999999992</v>
      </c>
      <c r="P165" s="601">
        <f t="shared" si="547"/>
        <v>145.57070000000002</v>
      </c>
      <c r="Q165" s="598">
        <f t="shared" si="547"/>
        <v>-892060</v>
      </c>
      <c r="R165" s="599">
        <f t="shared" si="547"/>
        <v>11848784</v>
      </c>
      <c r="S165" s="599">
        <f t="shared" si="547"/>
        <v>0</v>
      </c>
      <c r="T165" s="599">
        <f t="shared" si="547"/>
        <v>0</v>
      </c>
      <c r="U165" s="599">
        <f t="shared" si="547"/>
        <v>0</v>
      </c>
      <c r="V165" s="599">
        <f t="shared" si="547"/>
        <v>10956724</v>
      </c>
      <c r="W165" s="599">
        <f t="shared" si="547"/>
        <v>892060</v>
      </c>
      <c r="X165" s="599">
        <f t="shared" si="547"/>
        <v>622540</v>
      </c>
      <c r="Y165" s="599">
        <f t="shared" si="547"/>
        <v>0</v>
      </c>
      <c r="Z165" s="599">
        <f t="shared" si="547"/>
        <v>1514600</v>
      </c>
      <c r="AA165" s="599">
        <f t="shared" si="547"/>
        <v>12471324</v>
      </c>
      <c r="AB165" s="599">
        <f t="shared" si="547"/>
        <v>4215308</v>
      </c>
      <c r="AC165" s="599">
        <f t="shared" si="547"/>
        <v>109558</v>
      </c>
      <c r="AD165" s="599">
        <f t="shared" si="547"/>
        <v>5700</v>
      </c>
      <c r="AE165" s="599">
        <f t="shared" si="547"/>
        <v>0</v>
      </c>
      <c r="AF165" s="599">
        <f t="shared" si="547"/>
        <v>5700</v>
      </c>
      <c r="AG165" s="599">
        <f t="shared" si="547"/>
        <v>16801890</v>
      </c>
      <c r="AH165" s="600">
        <f t="shared" si="547"/>
        <v>-0.4</v>
      </c>
      <c r="AI165" s="600">
        <f t="shared" si="547"/>
        <v>-0.62000000000000011</v>
      </c>
      <c r="AJ165" s="600">
        <f t="shared" si="547"/>
        <v>33.210000000000008</v>
      </c>
      <c r="AK165" s="600">
        <f t="shared" si="547"/>
        <v>0</v>
      </c>
      <c r="AL165" s="600">
        <f t="shared" si="547"/>
        <v>0</v>
      </c>
      <c r="AM165" s="600">
        <f t="shared" si="547"/>
        <v>0</v>
      </c>
      <c r="AN165" s="600">
        <f t="shared" si="547"/>
        <v>0</v>
      </c>
      <c r="AO165" s="600">
        <f t="shared" si="547"/>
        <v>0</v>
      </c>
      <c r="AP165" s="600">
        <f t="shared" si="547"/>
        <v>32.809999999999995</v>
      </c>
      <c r="AQ165" s="600">
        <f t="shared" si="547"/>
        <v>-0.62000000000000011</v>
      </c>
      <c r="AR165" s="663">
        <f t="shared" si="547"/>
        <v>32.19</v>
      </c>
      <c r="AS165" s="547">
        <f t="shared" si="547"/>
        <v>354880797</v>
      </c>
      <c r="AT165" s="544">
        <f t="shared" si="547"/>
        <v>258888602</v>
      </c>
      <c r="AU165" s="544">
        <f t="shared" si="547"/>
        <v>1514600</v>
      </c>
      <c r="AV165" s="544">
        <f t="shared" si="547"/>
        <v>88016284</v>
      </c>
      <c r="AW165" s="544">
        <f t="shared" si="547"/>
        <v>2588875</v>
      </c>
      <c r="AX165" s="544">
        <f t="shared" si="547"/>
        <v>3872436</v>
      </c>
      <c r="AY165" s="545">
        <f t="shared" si="547"/>
        <v>515.54340000000002</v>
      </c>
      <c r="AZ165" s="545">
        <f t="shared" si="547"/>
        <v>370.59270000000004</v>
      </c>
      <c r="BA165" s="546">
        <f t="shared" si="547"/>
        <v>144.95070000000001</v>
      </c>
    </row>
    <row r="166" spans="1:53" ht="12.75" customHeight="1" x14ac:dyDescent="0.25">
      <c r="B166" s="328"/>
      <c r="D166" s="328"/>
      <c r="E166" s="329"/>
      <c r="F166" s="328"/>
      <c r="I166" s="474">
        <f>SUM(J165:M165)</f>
        <v>338078907</v>
      </c>
      <c r="J166" s="474"/>
      <c r="K166" s="474"/>
      <c r="L166" s="474"/>
      <c r="M166" s="474"/>
      <c r="N166" s="475">
        <f>SUM(O165:P165)</f>
        <v>483.35339999999997</v>
      </c>
      <c r="O166" s="475"/>
      <c r="P166" s="475"/>
      <c r="Q166" s="474">
        <f>W165</f>
        <v>892060</v>
      </c>
      <c r="R166" s="475"/>
      <c r="S166" s="475"/>
      <c r="T166" s="475"/>
      <c r="U166" s="475"/>
      <c r="V166" s="481">
        <f>SUM(Q165:U165)</f>
        <v>10956724</v>
      </c>
      <c r="W166" s="481">
        <f>Q165</f>
        <v>-892060</v>
      </c>
      <c r="X166" s="482"/>
      <c r="Y166" s="482"/>
      <c r="Z166" s="481">
        <f>SUM(W165:Y165)</f>
        <v>1514600</v>
      </c>
      <c r="AA166" s="481">
        <f>V165+Z165</f>
        <v>12471324</v>
      </c>
      <c r="AB166" s="483"/>
      <c r="AC166" s="483"/>
      <c r="AD166" s="482"/>
      <c r="AE166" s="482"/>
      <c r="AF166" s="481">
        <f>SUM(AD165:AE165)</f>
        <v>5700</v>
      </c>
      <c r="AG166" s="481">
        <f>AA165+AB165+AC165+AF165</f>
        <v>16801890</v>
      </c>
      <c r="AH166" s="484"/>
      <c r="AI166" s="484"/>
      <c r="AJ166" s="484"/>
      <c r="AK166" s="484"/>
      <c r="AL166" s="484"/>
      <c r="AM166" s="484"/>
      <c r="AN166" s="484"/>
      <c r="AO166" s="484"/>
      <c r="AP166" s="636">
        <f>AH165+AJ165+AK165+AM165+AN165</f>
        <v>32.810000000000009</v>
      </c>
      <c r="AQ166" s="636">
        <f>AI165+AL165+AO165</f>
        <v>-0.62000000000000011</v>
      </c>
      <c r="AR166" s="636">
        <f>SUM(AP165:AQ165)</f>
        <v>32.19</v>
      </c>
      <c r="AS166" s="474">
        <f>SUM(AT165:AX165)</f>
        <v>354880797</v>
      </c>
      <c r="AT166" s="54"/>
      <c r="AU166" s="54"/>
      <c r="AV166" s="54"/>
      <c r="AW166" s="54"/>
      <c r="AX166" s="54"/>
      <c r="AY166" s="475">
        <f>SUM(AZ165:BA165)</f>
        <v>515.54340000000002</v>
      </c>
      <c r="AZ166" s="89"/>
      <c r="BA166" s="89"/>
    </row>
    <row r="167" spans="1:53" ht="12.95" customHeight="1" thickBot="1" x14ac:dyDescent="0.3">
      <c r="B167" s="328"/>
      <c r="D167" s="328"/>
      <c r="F167" s="328"/>
      <c r="I167" s="87">
        <f>SUM(J168:M168)</f>
        <v>338078907</v>
      </c>
      <c r="J167" s="52"/>
      <c r="K167" s="480"/>
      <c r="L167" s="480"/>
      <c r="M167" s="52"/>
      <c r="N167" s="88">
        <f>SUM(O168:P168)</f>
        <v>483.35339999999991</v>
      </c>
      <c r="O167" s="179"/>
      <c r="P167" s="179"/>
      <c r="Q167" s="475"/>
      <c r="R167" s="475"/>
      <c r="S167" s="475"/>
      <c r="T167" s="475"/>
      <c r="U167" s="475"/>
      <c r="V167" s="481">
        <f>SUM(Q168:U168)</f>
        <v>10956724</v>
      </c>
      <c r="W167" s="482"/>
      <c r="X167" s="482"/>
      <c r="Y167" s="482"/>
      <c r="Z167" s="481">
        <f>SUM(W168:Y168)</f>
        <v>1514600</v>
      </c>
      <c r="AA167" s="481">
        <f>V168+Z168</f>
        <v>12471324</v>
      </c>
      <c r="AB167" s="483"/>
      <c r="AC167" s="483"/>
      <c r="AD167" s="482"/>
      <c r="AE167" s="482"/>
      <c r="AF167" s="481">
        <f>SUM(AD168:AE168)</f>
        <v>5700</v>
      </c>
      <c r="AG167" s="481">
        <f>AA168+AB168+AC168+AF168</f>
        <v>16801890</v>
      </c>
      <c r="AH167" s="484"/>
      <c r="AI167" s="484"/>
      <c r="AJ167" s="484"/>
      <c r="AK167" s="484"/>
      <c r="AL167" s="484"/>
      <c r="AM167" s="484"/>
      <c r="AN167" s="484"/>
      <c r="AO167" s="484"/>
      <c r="AP167" s="606">
        <f>AH168+AJ168+AK168+AM168+AN168</f>
        <v>32.81</v>
      </c>
      <c r="AQ167" s="606">
        <f>AI168+AL168+AO168</f>
        <v>-0.62000000000000011</v>
      </c>
      <c r="AR167" s="606">
        <f>SUM(AP168:AQ168)</f>
        <v>32.19</v>
      </c>
      <c r="AS167" s="474">
        <f>SUM(AT168:AX168)</f>
        <v>354880797</v>
      </c>
      <c r="AT167" s="54"/>
      <c r="AU167" s="54"/>
      <c r="AV167" s="54"/>
      <c r="AW167" s="54"/>
      <c r="AX167" s="54"/>
      <c r="AY167" s="475">
        <f>SUM(AZ168:BA168)</f>
        <v>515.54340000000002</v>
      </c>
      <c r="AZ167" s="89"/>
      <c r="BA167" s="89"/>
    </row>
    <row r="168" spans="1:53" s="91" customFormat="1" ht="12.95" customHeight="1" thickBot="1" x14ac:dyDescent="0.3">
      <c r="D168" s="330"/>
      <c r="E168" s="331"/>
      <c r="F168" s="330"/>
      <c r="G168" s="332"/>
      <c r="H168" s="557" t="s">
        <v>0</v>
      </c>
      <c r="I168" s="142">
        <f t="shared" ref="I168:BA168" si="548">SUM(I169:I178)</f>
        <v>338078907</v>
      </c>
      <c r="J168" s="34">
        <f t="shared" si="548"/>
        <v>247931878</v>
      </c>
      <c r="K168" s="34">
        <f t="shared" si="548"/>
        <v>83800976</v>
      </c>
      <c r="L168" s="34">
        <f t="shared" si="548"/>
        <v>2479317</v>
      </c>
      <c r="M168" s="34">
        <f t="shared" si="548"/>
        <v>3866736</v>
      </c>
      <c r="N168" s="35">
        <f t="shared" si="548"/>
        <v>483.35340000000002</v>
      </c>
      <c r="O168" s="35">
        <f t="shared" si="548"/>
        <v>337.78269999999992</v>
      </c>
      <c r="P168" s="36">
        <f t="shared" si="548"/>
        <v>145.57069999999999</v>
      </c>
      <c r="Q168" s="152">
        <f t="shared" si="548"/>
        <v>-892060</v>
      </c>
      <c r="R168" s="34">
        <f t="shared" si="548"/>
        <v>11848784</v>
      </c>
      <c r="S168" s="34">
        <f t="shared" si="548"/>
        <v>0</v>
      </c>
      <c r="T168" s="34">
        <f t="shared" si="548"/>
        <v>0</v>
      </c>
      <c r="U168" s="34">
        <f t="shared" si="548"/>
        <v>0</v>
      </c>
      <c r="V168" s="34">
        <f t="shared" si="548"/>
        <v>10956724</v>
      </c>
      <c r="W168" s="34">
        <f t="shared" si="548"/>
        <v>892060</v>
      </c>
      <c r="X168" s="34">
        <f t="shared" si="548"/>
        <v>622540</v>
      </c>
      <c r="Y168" s="34">
        <f t="shared" si="548"/>
        <v>0</v>
      </c>
      <c r="Z168" s="34">
        <f t="shared" si="548"/>
        <v>1514600</v>
      </c>
      <c r="AA168" s="34">
        <f t="shared" si="548"/>
        <v>12471324</v>
      </c>
      <c r="AB168" s="34">
        <f t="shared" si="548"/>
        <v>4215308</v>
      </c>
      <c r="AC168" s="34">
        <f t="shared" si="548"/>
        <v>109558</v>
      </c>
      <c r="AD168" s="34">
        <f t="shared" si="548"/>
        <v>5700</v>
      </c>
      <c r="AE168" s="34">
        <f t="shared" si="548"/>
        <v>0</v>
      </c>
      <c r="AF168" s="34">
        <f t="shared" si="548"/>
        <v>5700</v>
      </c>
      <c r="AG168" s="34">
        <f t="shared" si="548"/>
        <v>16801890</v>
      </c>
      <c r="AH168" s="35">
        <f t="shared" si="548"/>
        <v>-0.4</v>
      </c>
      <c r="AI168" s="35">
        <f t="shared" si="548"/>
        <v>-0.62000000000000011</v>
      </c>
      <c r="AJ168" s="35">
        <f t="shared" si="548"/>
        <v>33.21</v>
      </c>
      <c r="AK168" s="35">
        <f t="shared" si="548"/>
        <v>0</v>
      </c>
      <c r="AL168" s="35">
        <f t="shared" si="548"/>
        <v>0</v>
      </c>
      <c r="AM168" s="35">
        <f t="shared" si="548"/>
        <v>0</v>
      </c>
      <c r="AN168" s="35">
        <f t="shared" si="548"/>
        <v>0</v>
      </c>
      <c r="AO168" s="35">
        <f t="shared" si="548"/>
        <v>0</v>
      </c>
      <c r="AP168" s="35">
        <f t="shared" si="548"/>
        <v>32.809999999999995</v>
      </c>
      <c r="AQ168" s="35">
        <f t="shared" si="548"/>
        <v>-0.62000000000000011</v>
      </c>
      <c r="AR168" s="35">
        <f t="shared" si="548"/>
        <v>32.189999999999991</v>
      </c>
      <c r="AS168" s="142">
        <f t="shared" si="548"/>
        <v>354880797</v>
      </c>
      <c r="AT168" s="34">
        <f t="shared" si="548"/>
        <v>258888602</v>
      </c>
      <c r="AU168" s="34">
        <f t="shared" si="548"/>
        <v>1514600</v>
      </c>
      <c r="AV168" s="34">
        <f t="shared" si="548"/>
        <v>88016284</v>
      </c>
      <c r="AW168" s="34">
        <f t="shared" si="548"/>
        <v>2588875</v>
      </c>
      <c r="AX168" s="34">
        <f t="shared" si="548"/>
        <v>3872436</v>
      </c>
      <c r="AY168" s="35">
        <f t="shared" si="548"/>
        <v>515.54340000000002</v>
      </c>
      <c r="AZ168" s="35">
        <f t="shared" si="548"/>
        <v>370.59270000000004</v>
      </c>
      <c r="BA168" s="36">
        <f t="shared" si="548"/>
        <v>144.95069999999996</v>
      </c>
    </row>
    <row r="169" spans="1:53" s="91" customFormat="1" ht="12.95" customHeight="1" x14ac:dyDescent="0.25">
      <c r="D169" s="330"/>
      <c r="E169" s="331"/>
      <c r="F169" s="330"/>
      <c r="G169" s="332"/>
      <c r="H169" s="556">
        <v>3111</v>
      </c>
      <c r="I169" s="580">
        <f t="shared" ref="I169:BA169" si="549">SUMIF($F$12:$F$462,"=3111",I$12:I$462)</f>
        <v>68755822</v>
      </c>
      <c r="J169" s="581">
        <f t="shared" si="549"/>
        <v>50727718</v>
      </c>
      <c r="K169" s="581">
        <f t="shared" si="549"/>
        <v>17145968</v>
      </c>
      <c r="L169" s="581">
        <f t="shared" si="549"/>
        <v>507276</v>
      </c>
      <c r="M169" s="581">
        <f t="shared" si="549"/>
        <v>374860</v>
      </c>
      <c r="N169" s="584">
        <f t="shared" si="549"/>
        <v>105.0228</v>
      </c>
      <c r="O169" s="584">
        <f t="shared" si="549"/>
        <v>82.482799999999997</v>
      </c>
      <c r="P169" s="587">
        <f t="shared" si="549"/>
        <v>22.539999999999996</v>
      </c>
      <c r="Q169" s="582">
        <f t="shared" si="549"/>
        <v>-119600</v>
      </c>
      <c r="R169" s="581">
        <f t="shared" si="549"/>
        <v>2048891</v>
      </c>
      <c r="S169" s="581">
        <f t="shared" si="549"/>
        <v>0</v>
      </c>
      <c r="T169" s="581">
        <f t="shared" si="549"/>
        <v>0</v>
      </c>
      <c r="U169" s="581">
        <f t="shared" si="549"/>
        <v>0</v>
      </c>
      <c r="V169" s="581">
        <f t="shared" si="549"/>
        <v>1929291</v>
      </c>
      <c r="W169" s="581">
        <f t="shared" si="549"/>
        <v>119600</v>
      </c>
      <c r="X169" s="581">
        <f t="shared" si="549"/>
        <v>43920</v>
      </c>
      <c r="Y169" s="581">
        <f t="shared" si="549"/>
        <v>0</v>
      </c>
      <c r="Z169" s="581">
        <f t="shared" si="549"/>
        <v>163520</v>
      </c>
      <c r="AA169" s="581">
        <f t="shared" si="549"/>
        <v>2092811</v>
      </c>
      <c r="AB169" s="581">
        <f t="shared" si="549"/>
        <v>707370</v>
      </c>
      <c r="AC169" s="581">
        <f t="shared" si="549"/>
        <v>19292</v>
      </c>
      <c r="AD169" s="581">
        <f t="shared" si="549"/>
        <v>500</v>
      </c>
      <c r="AE169" s="581">
        <f t="shared" si="549"/>
        <v>0</v>
      </c>
      <c r="AF169" s="581">
        <f t="shared" si="549"/>
        <v>500</v>
      </c>
      <c r="AG169" s="581">
        <f t="shared" si="549"/>
        <v>2819973</v>
      </c>
      <c r="AH169" s="584">
        <f t="shared" si="549"/>
        <v>-0.06</v>
      </c>
      <c r="AI169" s="584">
        <f t="shared" si="549"/>
        <v>-0.11</v>
      </c>
      <c r="AJ169" s="584">
        <f t="shared" si="549"/>
        <v>5.9</v>
      </c>
      <c r="AK169" s="584">
        <f t="shared" si="549"/>
        <v>0</v>
      </c>
      <c r="AL169" s="584">
        <f t="shared" si="549"/>
        <v>0</v>
      </c>
      <c r="AM169" s="584">
        <f t="shared" si="549"/>
        <v>0</v>
      </c>
      <c r="AN169" s="584">
        <f t="shared" si="549"/>
        <v>0</v>
      </c>
      <c r="AO169" s="584">
        <f t="shared" si="549"/>
        <v>0</v>
      </c>
      <c r="AP169" s="584">
        <f t="shared" si="549"/>
        <v>5.84</v>
      </c>
      <c r="AQ169" s="584">
        <f t="shared" si="549"/>
        <v>-0.11</v>
      </c>
      <c r="AR169" s="584">
        <f t="shared" si="549"/>
        <v>5.73</v>
      </c>
      <c r="AS169" s="580">
        <f t="shared" si="549"/>
        <v>71575795</v>
      </c>
      <c r="AT169" s="581">
        <f t="shared" si="549"/>
        <v>52657009</v>
      </c>
      <c r="AU169" s="581">
        <f t="shared" si="549"/>
        <v>163520</v>
      </c>
      <c r="AV169" s="581">
        <f t="shared" si="549"/>
        <v>17853338</v>
      </c>
      <c r="AW169" s="581">
        <f t="shared" si="549"/>
        <v>526568</v>
      </c>
      <c r="AX169" s="581">
        <f t="shared" si="549"/>
        <v>375360</v>
      </c>
      <c r="AY169" s="584">
        <f t="shared" si="549"/>
        <v>110.75279999999999</v>
      </c>
      <c r="AZ169" s="584">
        <f t="shared" si="549"/>
        <v>88.322800000000001</v>
      </c>
      <c r="BA169" s="587">
        <f t="shared" si="549"/>
        <v>22.43</v>
      </c>
    </row>
    <row r="170" spans="1:53" s="91" customFormat="1" ht="12.95" customHeight="1" x14ac:dyDescent="0.25">
      <c r="D170" s="330"/>
      <c r="E170" s="331"/>
      <c r="F170" s="330"/>
      <c r="G170" s="332"/>
      <c r="H170" s="19">
        <v>3113</v>
      </c>
      <c r="I170" s="170">
        <f t="shared" ref="I170:BA170" si="550">SUMIF($F$12:$F$462,"=3113",I$12:I$462)</f>
        <v>137287923</v>
      </c>
      <c r="J170" s="16">
        <f t="shared" si="550"/>
        <v>99932695</v>
      </c>
      <c r="K170" s="16">
        <f t="shared" si="550"/>
        <v>33777252</v>
      </c>
      <c r="L170" s="16">
        <f t="shared" si="550"/>
        <v>999326</v>
      </c>
      <c r="M170" s="16">
        <f t="shared" si="550"/>
        <v>2578650</v>
      </c>
      <c r="N170" s="13">
        <f t="shared" si="550"/>
        <v>172.7073</v>
      </c>
      <c r="O170" s="13">
        <f t="shared" si="550"/>
        <v>135.98059999999998</v>
      </c>
      <c r="P170" s="17">
        <f t="shared" si="550"/>
        <v>36.726700000000001</v>
      </c>
      <c r="Q170" s="171">
        <f t="shared" si="550"/>
        <v>-278200</v>
      </c>
      <c r="R170" s="16">
        <f t="shared" si="550"/>
        <v>8346722</v>
      </c>
      <c r="S170" s="16">
        <f t="shared" si="550"/>
        <v>0</v>
      </c>
      <c r="T170" s="16">
        <f t="shared" si="550"/>
        <v>0</v>
      </c>
      <c r="U170" s="16">
        <f t="shared" si="550"/>
        <v>0</v>
      </c>
      <c r="V170" s="16">
        <f t="shared" si="550"/>
        <v>8068522</v>
      </c>
      <c r="W170" s="16">
        <f t="shared" si="550"/>
        <v>278200</v>
      </c>
      <c r="X170" s="16">
        <f t="shared" si="550"/>
        <v>198080</v>
      </c>
      <c r="Y170" s="16">
        <f t="shared" si="550"/>
        <v>0</v>
      </c>
      <c r="Z170" s="16">
        <f t="shared" si="550"/>
        <v>476280</v>
      </c>
      <c r="AA170" s="16">
        <f t="shared" si="550"/>
        <v>8544802</v>
      </c>
      <c r="AB170" s="16">
        <f t="shared" si="550"/>
        <v>2888143</v>
      </c>
      <c r="AC170" s="16">
        <f t="shared" si="550"/>
        <v>80685</v>
      </c>
      <c r="AD170" s="16">
        <f t="shared" si="550"/>
        <v>5200</v>
      </c>
      <c r="AE170" s="16">
        <f t="shared" si="550"/>
        <v>0</v>
      </c>
      <c r="AF170" s="16">
        <f t="shared" si="550"/>
        <v>5200</v>
      </c>
      <c r="AG170" s="16">
        <f t="shared" si="550"/>
        <v>11518830</v>
      </c>
      <c r="AH170" s="13">
        <f t="shared" si="550"/>
        <v>-9.0000000000000011E-2</v>
      </c>
      <c r="AI170" s="13">
        <f t="shared" si="550"/>
        <v>-0.14000000000000001</v>
      </c>
      <c r="AJ170" s="13">
        <f t="shared" si="550"/>
        <v>23.11</v>
      </c>
      <c r="AK170" s="13">
        <f t="shared" si="550"/>
        <v>0</v>
      </c>
      <c r="AL170" s="13">
        <f t="shared" si="550"/>
        <v>0</v>
      </c>
      <c r="AM170" s="13">
        <f t="shared" si="550"/>
        <v>0</v>
      </c>
      <c r="AN170" s="13">
        <f t="shared" si="550"/>
        <v>0</v>
      </c>
      <c r="AO170" s="13">
        <f t="shared" si="550"/>
        <v>0</v>
      </c>
      <c r="AP170" s="13">
        <f t="shared" si="550"/>
        <v>23.02</v>
      </c>
      <c r="AQ170" s="13">
        <f t="shared" si="550"/>
        <v>-0.14000000000000001</v>
      </c>
      <c r="AR170" s="13">
        <f t="shared" si="550"/>
        <v>22.88</v>
      </c>
      <c r="AS170" s="170">
        <f t="shared" si="550"/>
        <v>148806753</v>
      </c>
      <c r="AT170" s="16">
        <f t="shared" si="550"/>
        <v>108001217</v>
      </c>
      <c r="AU170" s="16">
        <f t="shared" si="550"/>
        <v>476280</v>
      </c>
      <c r="AV170" s="16">
        <f t="shared" si="550"/>
        <v>36665395</v>
      </c>
      <c r="AW170" s="16">
        <f t="shared" si="550"/>
        <v>1080011</v>
      </c>
      <c r="AX170" s="16">
        <f t="shared" si="550"/>
        <v>2583850</v>
      </c>
      <c r="AY170" s="13">
        <f t="shared" si="550"/>
        <v>195.58730000000003</v>
      </c>
      <c r="AZ170" s="13">
        <f t="shared" si="550"/>
        <v>159.00060000000002</v>
      </c>
      <c r="BA170" s="17">
        <f t="shared" si="550"/>
        <v>36.5867</v>
      </c>
    </row>
    <row r="171" spans="1:53" s="91" customFormat="1" ht="12.95" customHeight="1" x14ac:dyDescent="0.25">
      <c r="D171" s="330"/>
      <c r="E171" s="331"/>
      <c r="F171" s="330"/>
      <c r="G171" s="332"/>
      <c r="H171" s="19">
        <v>3114</v>
      </c>
      <c r="I171" s="170">
        <f t="shared" ref="I171:BA171" si="551">SUMIF($F$12:$F$462,"=3114",I$12:I$462)</f>
        <v>18505439</v>
      </c>
      <c r="J171" s="16">
        <f t="shared" si="551"/>
        <v>13624083</v>
      </c>
      <c r="K171" s="16">
        <f t="shared" si="551"/>
        <v>4604939</v>
      </c>
      <c r="L171" s="16">
        <f t="shared" si="551"/>
        <v>136242</v>
      </c>
      <c r="M171" s="16">
        <f t="shared" si="551"/>
        <v>140175</v>
      </c>
      <c r="N171" s="13">
        <f t="shared" si="551"/>
        <v>22.759499999999999</v>
      </c>
      <c r="O171" s="13">
        <f t="shared" si="551"/>
        <v>18.459499999999998</v>
      </c>
      <c r="P171" s="17">
        <f t="shared" si="551"/>
        <v>4.3</v>
      </c>
      <c r="Q171" s="171">
        <f t="shared" si="551"/>
        <v>-48750</v>
      </c>
      <c r="R171" s="16">
        <f t="shared" si="551"/>
        <v>0</v>
      </c>
      <c r="S171" s="16">
        <f t="shared" si="551"/>
        <v>0</v>
      </c>
      <c r="T171" s="16">
        <f t="shared" si="551"/>
        <v>0</v>
      </c>
      <c r="U171" s="16">
        <f t="shared" si="551"/>
        <v>0</v>
      </c>
      <c r="V171" s="16">
        <f t="shared" si="551"/>
        <v>-48750</v>
      </c>
      <c r="W171" s="16">
        <f t="shared" si="551"/>
        <v>48750</v>
      </c>
      <c r="X171" s="16">
        <f t="shared" si="551"/>
        <v>0</v>
      </c>
      <c r="Y171" s="16">
        <f t="shared" si="551"/>
        <v>0</v>
      </c>
      <c r="Z171" s="16">
        <f t="shared" si="551"/>
        <v>48750</v>
      </c>
      <c r="AA171" s="16">
        <f t="shared" si="551"/>
        <v>0</v>
      </c>
      <c r="AB171" s="16">
        <f t="shared" si="551"/>
        <v>0</v>
      </c>
      <c r="AC171" s="16">
        <f t="shared" si="551"/>
        <v>-488</v>
      </c>
      <c r="AD171" s="16">
        <f t="shared" si="551"/>
        <v>0</v>
      </c>
      <c r="AE171" s="16">
        <f t="shared" si="551"/>
        <v>0</v>
      </c>
      <c r="AF171" s="16">
        <f t="shared" si="551"/>
        <v>0</v>
      </c>
      <c r="AG171" s="16">
        <f t="shared" si="551"/>
        <v>-488</v>
      </c>
      <c r="AH171" s="13">
        <f t="shared" si="551"/>
        <v>0</v>
      </c>
      <c r="AI171" s="13">
        <f t="shared" si="551"/>
        <v>-0.15</v>
      </c>
      <c r="AJ171" s="13">
        <f t="shared" si="551"/>
        <v>0</v>
      </c>
      <c r="AK171" s="13">
        <f t="shared" si="551"/>
        <v>0</v>
      </c>
      <c r="AL171" s="13">
        <f t="shared" si="551"/>
        <v>0</v>
      </c>
      <c r="AM171" s="13">
        <f t="shared" si="551"/>
        <v>0</v>
      </c>
      <c r="AN171" s="13">
        <f t="shared" si="551"/>
        <v>0</v>
      </c>
      <c r="AO171" s="13">
        <f t="shared" si="551"/>
        <v>0</v>
      </c>
      <c r="AP171" s="13">
        <f t="shared" si="551"/>
        <v>0</v>
      </c>
      <c r="AQ171" s="13">
        <f t="shared" si="551"/>
        <v>-0.15</v>
      </c>
      <c r="AR171" s="13">
        <f t="shared" si="551"/>
        <v>-0.15</v>
      </c>
      <c r="AS171" s="170">
        <f t="shared" si="551"/>
        <v>18504951</v>
      </c>
      <c r="AT171" s="16">
        <f t="shared" si="551"/>
        <v>13575333</v>
      </c>
      <c r="AU171" s="16">
        <f t="shared" si="551"/>
        <v>48750</v>
      </c>
      <c r="AV171" s="16">
        <f t="shared" si="551"/>
        <v>4604939</v>
      </c>
      <c r="AW171" s="16">
        <f t="shared" si="551"/>
        <v>135754</v>
      </c>
      <c r="AX171" s="16">
        <f t="shared" si="551"/>
        <v>140175</v>
      </c>
      <c r="AY171" s="13">
        <f t="shared" si="551"/>
        <v>22.609500000000001</v>
      </c>
      <c r="AZ171" s="13">
        <f t="shared" si="551"/>
        <v>18.459499999999998</v>
      </c>
      <c r="BA171" s="17">
        <f t="shared" si="551"/>
        <v>4.1499999999999995</v>
      </c>
    </row>
    <row r="172" spans="1:53" s="91" customFormat="1" ht="12.95" customHeight="1" x14ac:dyDescent="0.25">
      <c r="D172" s="330"/>
      <c r="E172" s="331"/>
      <c r="F172" s="330"/>
      <c r="G172" s="332"/>
      <c r="H172" s="19">
        <v>3117</v>
      </c>
      <c r="I172" s="170">
        <f t="shared" ref="I172:BA172" si="552">SUMIF($F$12:$F$462,"=3117",I$12:I$462)</f>
        <v>25493358</v>
      </c>
      <c r="J172" s="16">
        <f t="shared" si="552"/>
        <v>18594496</v>
      </c>
      <c r="K172" s="16">
        <f t="shared" si="552"/>
        <v>6284941</v>
      </c>
      <c r="L172" s="16">
        <f t="shared" si="552"/>
        <v>185946</v>
      </c>
      <c r="M172" s="16">
        <f t="shared" si="552"/>
        <v>427975</v>
      </c>
      <c r="N172" s="13">
        <f t="shared" si="552"/>
        <v>34.963199999999993</v>
      </c>
      <c r="O172" s="13">
        <f t="shared" si="552"/>
        <v>25.277500000000003</v>
      </c>
      <c r="P172" s="17">
        <f t="shared" si="552"/>
        <v>9.6857000000000006</v>
      </c>
      <c r="Q172" s="171">
        <f t="shared" si="552"/>
        <v>-86450</v>
      </c>
      <c r="R172" s="16">
        <f t="shared" si="552"/>
        <v>1366559</v>
      </c>
      <c r="S172" s="16">
        <f t="shared" si="552"/>
        <v>0</v>
      </c>
      <c r="T172" s="16">
        <f t="shared" si="552"/>
        <v>0</v>
      </c>
      <c r="U172" s="16">
        <f t="shared" si="552"/>
        <v>0</v>
      </c>
      <c r="V172" s="16">
        <f t="shared" si="552"/>
        <v>1280109</v>
      </c>
      <c r="W172" s="16">
        <f t="shared" si="552"/>
        <v>86450</v>
      </c>
      <c r="X172" s="16">
        <f t="shared" si="552"/>
        <v>49520</v>
      </c>
      <c r="Y172" s="16">
        <f t="shared" si="552"/>
        <v>0</v>
      </c>
      <c r="Z172" s="16">
        <f t="shared" si="552"/>
        <v>135970</v>
      </c>
      <c r="AA172" s="16">
        <f t="shared" si="552"/>
        <v>1416079</v>
      </c>
      <c r="AB172" s="16">
        <f t="shared" si="552"/>
        <v>478635</v>
      </c>
      <c r="AC172" s="16">
        <f t="shared" si="552"/>
        <v>12799</v>
      </c>
      <c r="AD172" s="16">
        <f t="shared" si="552"/>
        <v>0</v>
      </c>
      <c r="AE172" s="16">
        <f t="shared" si="552"/>
        <v>0</v>
      </c>
      <c r="AF172" s="16">
        <f t="shared" si="552"/>
        <v>0</v>
      </c>
      <c r="AG172" s="16">
        <f t="shared" si="552"/>
        <v>1907513</v>
      </c>
      <c r="AH172" s="13">
        <f t="shared" si="552"/>
        <v>-0.02</v>
      </c>
      <c r="AI172" s="13">
        <f t="shared" si="552"/>
        <v>-0.02</v>
      </c>
      <c r="AJ172" s="13">
        <f t="shared" si="552"/>
        <v>3.9499999999999997</v>
      </c>
      <c r="AK172" s="13">
        <f t="shared" si="552"/>
        <v>0</v>
      </c>
      <c r="AL172" s="13">
        <f t="shared" si="552"/>
        <v>0</v>
      </c>
      <c r="AM172" s="13">
        <f t="shared" si="552"/>
        <v>0</v>
      </c>
      <c r="AN172" s="13">
        <f t="shared" si="552"/>
        <v>0</v>
      </c>
      <c r="AO172" s="13">
        <f t="shared" si="552"/>
        <v>0</v>
      </c>
      <c r="AP172" s="13">
        <f t="shared" si="552"/>
        <v>3.9299999999999997</v>
      </c>
      <c r="AQ172" s="13">
        <f t="shared" si="552"/>
        <v>-0.02</v>
      </c>
      <c r="AR172" s="13">
        <f t="shared" si="552"/>
        <v>3.9099999999999997</v>
      </c>
      <c r="AS172" s="170">
        <f t="shared" si="552"/>
        <v>27400871</v>
      </c>
      <c r="AT172" s="16">
        <f t="shared" si="552"/>
        <v>19874605</v>
      </c>
      <c r="AU172" s="16">
        <f t="shared" si="552"/>
        <v>135970</v>
      </c>
      <c r="AV172" s="16">
        <f t="shared" si="552"/>
        <v>6763576</v>
      </c>
      <c r="AW172" s="16">
        <f t="shared" si="552"/>
        <v>198745</v>
      </c>
      <c r="AX172" s="16">
        <f t="shared" si="552"/>
        <v>427975</v>
      </c>
      <c r="AY172" s="13">
        <f t="shared" si="552"/>
        <v>38.873199999999997</v>
      </c>
      <c r="AZ172" s="13">
        <f t="shared" si="552"/>
        <v>29.207500000000007</v>
      </c>
      <c r="BA172" s="17">
        <f t="shared" si="552"/>
        <v>9.6656999999999993</v>
      </c>
    </row>
    <row r="173" spans="1:53" s="91" customFormat="1" ht="12.95" customHeight="1" x14ac:dyDescent="0.25">
      <c r="D173" s="330"/>
      <c r="E173" s="331"/>
      <c r="F173" s="330"/>
      <c r="G173" s="332"/>
      <c r="H173" s="19">
        <v>3122</v>
      </c>
      <c r="I173" s="170">
        <f t="shared" ref="I173:BA173" si="553">SUMIF($F$12:$F$462,"=3122",I$12:I$462)</f>
        <v>9424830</v>
      </c>
      <c r="J173" s="16">
        <f t="shared" si="553"/>
        <v>6926172</v>
      </c>
      <c r="K173" s="16">
        <f t="shared" si="553"/>
        <v>2341046</v>
      </c>
      <c r="L173" s="16">
        <f t="shared" si="553"/>
        <v>69262</v>
      </c>
      <c r="M173" s="16">
        <f t="shared" si="553"/>
        <v>88350</v>
      </c>
      <c r="N173" s="13">
        <f t="shared" si="553"/>
        <v>10.754200000000001</v>
      </c>
      <c r="O173" s="13">
        <f t="shared" si="553"/>
        <v>9.7141999999999999</v>
      </c>
      <c r="P173" s="17">
        <f t="shared" si="553"/>
        <v>1.04</v>
      </c>
      <c r="Q173" s="171">
        <f t="shared" si="553"/>
        <v>-39000</v>
      </c>
      <c r="R173" s="16">
        <f t="shared" si="553"/>
        <v>0</v>
      </c>
      <c r="S173" s="16">
        <f t="shared" si="553"/>
        <v>0</v>
      </c>
      <c r="T173" s="16">
        <f t="shared" si="553"/>
        <v>0</v>
      </c>
      <c r="U173" s="16">
        <f t="shared" si="553"/>
        <v>0</v>
      </c>
      <c r="V173" s="16">
        <f t="shared" si="553"/>
        <v>-39000</v>
      </c>
      <c r="W173" s="16">
        <f t="shared" si="553"/>
        <v>39000</v>
      </c>
      <c r="X173" s="16">
        <f t="shared" si="553"/>
        <v>125800</v>
      </c>
      <c r="Y173" s="16">
        <f t="shared" si="553"/>
        <v>0</v>
      </c>
      <c r="Z173" s="16">
        <f t="shared" si="553"/>
        <v>164800</v>
      </c>
      <c r="AA173" s="16">
        <f t="shared" si="553"/>
        <v>125800</v>
      </c>
      <c r="AB173" s="16">
        <f t="shared" si="553"/>
        <v>42520</v>
      </c>
      <c r="AC173" s="16">
        <f t="shared" si="553"/>
        <v>-390</v>
      </c>
      <c r="AD173" s="16">
        <f t="shared" si="553"/>
        <v>0</v>
      </c>
      <c r="AE173" s="16">
        <f t="shared" si="553"/>
        <v>0</v>
      </c>
      <c r="AF173" s="16">
        <f t="shared" si="553"/>
        <v>0</v>
      </c>
      <c r="AG173" s="16">
        <f t="shared" si="553"/>
        <v>167930</v>
      </c>
      <c r="AH173" s="13">
        <f t="shared" si="553"/>
        <v>-0.03</v>
      </c>
      <c r="AI173" s="13">
        <f t="shared" si="553"/>
        <v>0</v>
      </c>
      <c r="AJ173" s="13">
        <f t="shared" si="553"/>
        <v>0</v>
      </c>
      <c r="AK173" s="13">
        <f t="shared" si="553"/>
        <v>0</v>
      </c>
      <c r="AL173" s="13">
        <f t="shared" si="553"/>
        <v>0</v>
      </c>
      <c r="AM173" s="13">
        <f t="shared" si="553"/>
        <v>0</v>
      </c>
      <c r="AN173" s="13">
        <f t="shared" si="553"/>
        <v>0</v>
      </c>
      <c r="AO173" s="13">
        <f t="shared" si="553"/>
        <v>0</v>
      </c>
      <c r="AP173" s="13">
        <f t="shared" si="553"/>
        <v>-0.03</v>
      </c>
      <c r="AQ173" s="13">
        <f t="shared" si="553"/>
        <v>0</v>
      </c>
      <c r="AR173" s="13">
        <f t="shared" si="553"/>
        <v>-0.03</v>
      </c>
      <c r="AS173" s="170">
        <f t="shared" si="553"/>
        <v>9592760</v>
      </c>
      <c r="AT173" s="16">
        <f t="shared" si="553"/>
        <v>6887172</v>
      </c>
      <c r="AU173" s="16">
        <f t="shared" si="553"/>
        <v>164800</v>
      </c>
      <c r="AV173" s="16">
        <f t="shared" si="553"/>
        <v>2383566</v>
      </c>
      <c r="AW173" s="16">
        <f t="shared" si="553"/>
        <v>68872</v>
      </c>
      <c r="AX173" s="16">
        <f t="shared" si="553"/>
        <v>88350</v>
      </c>
      <c r="AY173" s="13">
        <f t="shared" si="553"/>
        <v>10.724200000000002</v>
      </c>
      <c r="AZ173" s="13">
        <f t="shared" si="553"/>
        <v>9.6842000000000006</v>
      </c>
      <c r="BA173" s="17">
        <f t="shared" si="553"/>
        <v>1.04</v>
      </c>
    </row>
    <row r="174" spans="1:53" s="91" customFormat="1" ht="12.95" customHeight="1" x14ac:dyDescent="0.25">
      <c r="D174" s="330"/>
      <c r="E174" s="331"/>
      <c r="F174" s="330"/>
      <c r="G174" s="332"/>
      <c r="H174" s="19">
        <v>3124</v>
      </c>
      <c r="I174" s="170">
        <f t="shared" ref="I174:BA174" si="554">SUMIF($F$12:$F$462,"=3124",I$12:I$462)</f>
        <v>0</v>
      </c>
      <c r="J174" s="16">
        <f t="shared" si="554"/>
        <v>0</v>
      </c>
      <c r="K174" s="16">
        <f t="shared" si="554"/>
        <v>0</v>
      </c>
      <c r="L174" s="16">
        <f t="shared" si="554"/>
        <v>0</v>
      </c>
      <c r="M174" s="16">
        <f t="shared" si="554"/>
        <v>0</v>
      </c>
      <c r="N174" s="13">
        <f t="shared" si="554"/>
        <v>0</v>
      </c>
      <c r="O174" s="13">
        <f t="shared" si="554"/>
        <v>0</v>
      </c>
      <c r="P174" s="17">
        <f t="shared" si="554"/>
        <v>0</v>
      </c>
      <c r="Q174" s="171">
        <f t="shared" si="554"/>
        <v>0</v>
      </c>
      <c r="R174" s="16">
        <f t="shared" si="554"/>
        <v>0</v>
      </c>
      <c r="S174" s="16">
        <f t="shared" si="554"/>
        <v>0</v>
      </c>
      <c r="T174" s="16">
        <f t="shared" si="554"/>
        <v>0</v>
      </c>
      <c r="U174" s="16">
        <f t="shared" si="554"/>
        <v>0</v>
      </c>
      <c r="V174" s="16">
        <f t="shared" si="554"/>
        <v>0</v>
      </c>
      <c r="W174" s="16">
        <f t="shared" si="554"/>
        <v>0</v>
      </c>
      <c r="X174" s="16">
        <f t="shared" si="554"/>
        <v>0</v>
      </c>
      <c r="Y174" s="16">
        <f t="shared" si="554"/>
        <v>0</v>
      </c>
      <c r="Z174" s="16">
        <f t="shared" si="554"/>
        <v>0</v>
      </c>
      <c r="AA174" s="16">
        <f t="shared" si="554"/>
        <v>0</v>
      </c>
      <c r="AB174" s="16">
        <f t="shared" si="554"/>
        <v>0</v>
      </c>
      <c r="AC174" s="16">
        <f t="shared" si="554"/>
        <v>0</v>
      </c>
      <c r="AD174" s="16">
        <f t="shared" si="554"/>
        <v>0</v>
      </c>
      <c r="AE174" s="16">
        <f t="shared" si="554"/>
        <v>0</v>
      </c>
      <c r="AF174" s="16">
        <f t="shared" si="554"/>
        <v>0</v>
      </c>
      <c r="AG174" s="16">
        <f t="shared" si="554"/>
        <v>0</v>
      </c>
      <c r="AH174" s="13">
        <f t="shared" si="554"/>
        <v>0</v>
      </c>
      <c r="AI174" s="13">
        <f t="shared" si="554"/>
        <v>0</v>
      </c>
      <c r="AJ174" s="13">
        <f t="shared" si="554"/>
        <v>0</v>
      </c>
      <c r="AK174" s="13">
        <f t="shared" si="554"/>
        <v>0</v>
      </c>
      <c r="AL174" s="13">
        <f t="shared" si="554"/>
        <v>0</v>
      </c>
      <c r="AM174" s="13">
        <f t="shared" si="554"/>
        <v>0</v>
      </c>
      <c r="AN174" s="13">
        <f t="shared" si="554"/>
        <v>0</v>
      </c>
      <c r="AO174" s="13">
        <f t="shared" si="554"/>
        <v>0</v>
      </c>
      <c r="AP174" s="13">
        <f t="shared" si="554"/>
        <v>0</v>
      </c>
      <c r="AQ174" s="13">
        <f t="shared" si="554"/>
        <v>0</v>
      </c>
      <c r="AR174" s="13">
        <f t="shared" si="554"/>
        <v>0</v>
      </c>
      <c r="AS174" s="170">
        <f t="shared" si="554"/>
        <v>0</v>
      </c>
      <c r="AT174" s="16">
        <f t="shared" si="554"/>
        <v>0</v>
      </c>
      <c r="AU174" s="16">
        <f t="shared" si="554"/>
        <v>0</v>
      </c>
      <c r="AV174" s="16">
        <f t="shared" si="554"/>
        <v>0</v>
      </c>
      <c r="AW174" s="16">
        <f t="shared" si="554"/>
        <v>0</v>
      </c>
      <c r="AX174" s="16">
        <f t="shared" si="554"/>
        <v>0</v>
      </c>
      <c r="AY174" s="13">
        <f t="shared" si="554"/>
        <v>0</v>
      </c>
      <c r="AZ174" s="13">
        <f t="shared" si="554"/>
        <v>0</v>
      </c>
      <c r="BA174" s="17">
        <f t="shared" si="554"/>
        <v>0</v>
      </c>
    </row>
    <row r="175" spans="1:53" s="91" customFormat="1" ht="12.95" customHeight="1" x14ac:dyDescent="0.25">
      <c r="D175" s="330"/>
      <c r="E175" s="331"/>
      <c r="F175" s="330"/>
      <c r="G175" s="332"/>
      <c r="H175" s="19">
        <v>3141</v>
      </c>
      <c r="I175" s="170">
        <f t="shared" ref="I175:BA175" si="555">SUMIF($F$12:$F$462,"=3141",I$12:I$462)</f>
        <v>26288393</v>
      </c>
      <c r="J175" s="16">
        <f t="shared" si="555"/>
        <v>19382098</v>
      </c>
      <c r="K175" s="16">
        <f t="shared" si="555"/>
        <v>6551150</v>
      </c>
      <c r="L175" s="16">
        <f t="shared" si="555"/>
        <v>193821</v>
      </c>
      <c r="M175" s="16">
        <f t="shared" si="555"/>
        <v>161324</v>
      </c>
      <c r="N175" s="13">
        <f t="shared" si="555"/>
        <v>62.309999999999988</v>
      </c>
      <c r="O175" s="13">
        <f t="shared" si="555"/>
        <v>0</v>
      </c>
      <c r="P175" s="17">
        <f t="shared" si="555"/>
        <v>62.309999999999988</v>
      </c>
      <c r="Q175" s="171">
        <f t="shared" si="555"/>
        <v>-103350</v>
      </c>
      <c r="R175" s="16">
        <f t="shared" si="555"/>
        <v>0</v>
      </c>
      <c r="S175" s="16">
        <f t="shared" si="555"/>
        <v>0</v>
      </c>
      <c r="T175" s="16">
        <f t="shared" si="555"/>
        <v>0</v>
      </c>
      <c r="U175" s="16">
        <f t="shared" si="555"/>
        <v>0</v>
      </c>
      <c r="V175" s="16">
        <f t="shared" si="555"/>
        <v>-103350</v>
      </c>
      <c r="W175" s="16">
        <f t="shared" si="555"/>
        <v>103350</v>
      </c>
      <c r="X175" s="16">
        <f t="shared" si="555"/>
        <v>0</v>
      </c>
      <c r="Y175" s="16">
        <f t="shared" si="555"/>
        <v>0</v>
      </c>
      <c r="Z175" s="16">
        <f t="shared" si="555"/>
        <v>103350</v>
      </c>
      <c r="AA175" s="16">
        <f t="shared" si="555"/>
        <v>0</v>
      </c>
      <c r="AB175" s="16">
        <f t="shared" si="555"/>
        <v>0</v>
      </c>
      <c r="AC175" s="16">
        <f t="shared" si="555"/>
        <v>-1036</v>
      </c>
      <c r="AD175" s="16">
        <f t="shared" si="555"/>
        <v>0</v>
      </c>
      <c r="AE175" s="16">
        <f t="shared" si="555"/>
        <v>0</v>
      </c>
      <c r="AF175" s="16">
        <f t="shared" si="555"/>
        <v>0</v>
      </c>
      <c r="AG175" s="16">
        <f t="shared" si="555"/>
        <v>-1036</v>
      </c>
      <c r="AH175" s="13">
        <f t="shared" si="555"/>
        <v>0</v>
      </c>
      <c r="AI175" s="13">
        <f t="shared" si="555"/>
        <v>-0.14000000000000001</v>
      </c>
      <c r="AJ175" s="13">
        <f t="shared" si="555"/>
        <v>0</v>
      </c>
      <c r="AK175" s="13">
        <f t="shared" si="555"/>
        <v>0</v>
      </c>
      <c r="AL175" s="13">
        <f t="shared" si="555"/>
        <v>0</v>
      </c>
      <c r="AM175" s="13">
        <f t="shared" si="555"/>
        <v>0</v>
      </c>
      <c r="AN175" s="13">
        <f t="shared" si="555"/>
        <v>0</v>
      </c>
      <c r="AO175" s="13">
        <f t="shared" si="555"/>
        <v>0</v>
      </c>
      <c r="AP175" s="13">
        <f t="shared" si="555"/>
        <v>0</v>
      </c>
      <c r="AQ175" s="13">
        <f t="shared" si="555"/>
        <v>-0.14000000000000001</v>
      </c>
      <c r="AR175" s="13">
        <f t="shared" si="555"/>
        <v>-0.14000000000000001</v>
      </c>
      <c r="AS175" s="170">
        <f t="shared" si="555"/>
        <v>26287357</v>
      </c>
      <c r="AT175" s="16">
        <f t="shared" si="555"/>
        <v>19278748</v>
      </c>
      <c r="AU175" s="16">
        <f t="shared" si="555"/>
        <v>103350</v>
      </c>
      <c r="AV175" s="16">
        <f t="shared" si="555"/>
        <v>6551150</v>
      </c>
      <c r="AW175" s="16">
        <f t="shared" si="555"/>
        <v>192785</v>
      </c>
      <c r="AX175" s="16">
        <f t="shared" si="555"/>
        <v>161324</v>
      </c>
      <c r="AY175" s="13">
        <f t="shared" si="555"/>
        <v>62.169999999999987</v>
      </c>
      <c r="AZ175" s="13">
        <f t="shared" si="555"/>
        <v>0</v>
      </c>
      <c r="BA175" s="17">
        <f t="shared" si="555"/>
        <v>62.169999999999987</v>
      </c>
    </row>
    <row r="176" spans="1:53" s="91" customFormat="1" ht="12.95" customHeight="1" x14ac:dyDescent="0.25">
      <c r="D176" s="330"/>
      <c r="E176" s="331"/>
      <c r="F176" s="330"/>
      <c r="G176" s="332"/>
      <c r="H176" s="19">
        <v>3143</v>
      </c>
      <c r="I176" s="170">
        <f t="shared" ref="I176:BA176" si="556">SUMIF($F$12:$F$462,"=3143",I$12:I$462)</f>
        <v>13653695</v>
      </c>
      <c r="J176" s="16">
        <f t="shared" si="556"/>
        <v>10116190</v>
      </c>
      <c r="K176" s="16">
        <f t="shared" si="556"/>
        <v>3419271</v>
      </c>
      <c r="L176" s="16">
        <f t="shared" si="556"/>
        <v>101161</v>
      </c>
      <c r="M176" s="16">
        <f t="shared" si="556"/>
        <v>17073</v>
      </c>
      <c r="N176" s="13">
        <f t="shared" si="556"/>
        <v>22.269400000000001</v>
      </c>
      <c r="O176" s="13">
        <f t="shared" si="556"/>
        <v>20.919399999999996</v>
      </c>
      <c r="P176" s="17">
        <f t="shared" si="556"/>
        <v>1.3500000000000003</v>
      </c>
      <c r="Q176" s="171">
        <f t="shared" si="556"/>
        <v>-149110</v>
      </c>
      <c r="R176" s="16">
        <f t="shared" si="556"/>
        <v>0</v>
      </c>
      <c r="S176" s="16">
        <f t="shared" si="556"/>
        <v>0</v>
      </c>
      <c r="T176" s="16">
        <f t="shared" si="556"/>
        <v>0</v>
      </c>
      <c r="U176" s="16">
        <f t="shared" si="556"/>
        <v>0</v>
      </c>
      <c r="V176" s="16">
        <f t="shared" si="556"/>
        <v>-149110</v>
      </c>
      <c r="W176" s="16">
        <f t="shared" si="556"/>
        <v>149110</v>
      </c>
      <c r="X176" s="16">
        <f t="shared" si="556"/>
        <v>205220</v>
      </c>
      <c r="Y176" s="16">
        <f t="shared" si="556"/>
        <v>0</v>
      </c>
      <c r="Z176" s="16">
        <f t="shared" si="556"/>
        <v>354330</v>
      </c>
      <c r="AA176" s="16">
        <f t="shared" si="556"/>
        <v>205220</v>
      </c>
      <c r="AB176" s="16">
        <f t="shared" si="556"/>
        <v>69365</v>
      </c>
      <c r="AC176" s="16">
        <f t="shared" si="556"/>
        <v>-1494</v>
      </c>
      <c r="AD176" s="16">
        <f t="shared" si="556"/>
        <v>0</v>
      </c>
      <c r="AE176" s="16">
        <f t="shared" si="556"/>
        <v>0</v>
      </c>
      <c r="AF176" s="16">
        <f t="shared" si="556"/>
        <v>0</v>
      </c>
      <c r="AG176" s="16">
        <f t="shared" si="556"/>
        <v>273091</v>
      </c>
      <c r="AH176" s="13">
        <f t="shared" si="556"/>
        <v>-0.13</v>
      </c>
      <c r="AI176" s="13">
        <f t="shared" si="556"/>
        <v>0</v>
      </c>
      <c r="AJ176" s="13">
        <f t="shared" si="556"/>
        <v>0</v>
      </c>
      <c r="AK176" s="13">
        <f t="shared" si="556"/>
        <v>0</v>
      </c>
      <c r="AL176" s="13">
        <f t="shared" si="556"/>
        <v>0</v>
      </c>
      <c r="AM176" s="13">
        <f t="shared" si="556"/>
        <v>0</v>
      </c>
      <c r="AN176" s="13">
        <f t="shared" si="556"/>
        <v>0</v>
      </c>
      <c r="AO176" s="13">
        <f t="shared" si="556"/>
        <v>0</v>
      </c>
      <c r="AP176" s="13">
        <f t="shared" si="556"/>
        <v>-0.13</v>
      </c>
      <c r="AQ176" s="13">
        <f t="shared" si="556"/>
        <v>0</v>
      </c>
      <c r="AR176" s="13">
        <f t="shared" si="556"/>
        <v>-0.13</v>
      </c>
      <c r="AS176" s="170">
        <f t="shared" si="556"/>
        <v>13926786</v>
      </c>
      <c r="AT176" s="16">
        <f t="shared" si="556"/>
        <v>9967080</v>
      </c>
      <c r="AU176" s="16">
        <f t="shared" si="556"/>
        <v>354330</v>
      </c>
      <c r="AV176" s="16">
        <f t="shared" si="556"/>
        <v>3488636</v>
      </c>
      <c r="AW176" s="16">
        <f t="shared" si="556"/>
        <v>99667</v>
      </c>
      <c r="AX176" s="16">
        <f t="shared" si="556"/>
        <v>17073</v>
      </c>
      <c r="AY176" s="13">
        <f t="shared" si="556"/>
        <v>22.139400000000002</v>
      </c>
      <c r="AZ176" s="13">
        <f t="shared" si="556"/>
        <v>20.789399999999993</v>
      </c>
      <c r="BA176" s="17">
        <f t="shared" si="556"/>
        <v>1.3500000000000003</v>
      </c>
    </row>
    <row r="177" spans="1:53" s="91" customFormat="1" ht="12.95" customHeight="1" x14ac:dyDescent="0.25">
      <c r="D177" s="330"/>
      <c r="E177" s="331"/>
      <c r="F177" s="330"/>
      <c r="G177" s="332"/>
      <c r="H177" s="19">
        <v>3231</v>
      </c>
      <c r="I177" s="170">
        <f t="shared" ref="I177:BA177" si="557">SUMIF($F$12:$F$462,"=3231",I$12:I$462)</f>
        <v>33126923</v>
      </c>
      <c r="J177" s="16">
        <f t="shared" si="557"/>
        <v>24521975</v>
      </c>
      <c r="K177" s="16">
        <f t="shared" si="557"/>
        <v>8288428</v>
      </c>
      <c r="L177" s="16">
        <f t="shared" si="557"/>
        <v>245219</v>
      </c>
      <c r="M177" s="16">
        <f t="shared" si="557"/>
        <v>71301</v>
      </c>
      <c r="N177" s="13">
        <f t="shared" si="557"/>
        <v>43.277000000000001</v>
      </c>
      <c r="O177" s="13">
        <f t="shared" si="557"/>
        <v>39.058700000000002</v>
      </c>
      <c r="P177" s="17">
        <f t="shared" si="557"/>
        <v>4.2183000000000002</v>
      </c>
      <c r="Q177" s="171">
        <f t="shared" si="557"/>
        <v>-54600</v>
      </c>
      <c r="R177" s="16">
        <f t="shared" si="557"/>
        <v>86612</v>
      </c>
      <c r="S177" s="16">
        <f t="shared" si="557"/>
        <v>0</v>
      </c>
      <c r="T177" s="16">
        <f t="shared" si="557"/>
        <v>0</v>
      </c>
      <c r="U177" s="16">
        <f t="shared" si="557"/>
        <v>0</v>
      </c>
      <c r="V177" s="16">
        <f t="shared" si="557"/>
        <v>32012</v>
      </c>
      <c r="W177" s="16">
        <f t="shared" si="557"/>
        <v>54600</v>
      </c>
      <c r="X177" s="16">
        <f t="shared" si="557"/>
        <v>0</v>
      </c>
      <c r="Y177" s="16">
        <f t="shared" si="557"/>
        <v>0</v>
      </c>
      <c r="Z177" s="16">
        <f t="shared" si="557"/>
        <v>54600</v>
      </c>
      <c r="AA177" s="16">
        <f t="shared" si="557"/>
        <v>86612</v>
      </c>
      <c r="AB177" s="16">
        <f t="shared" si="557"/>
        <v>29275</v>
      </c>
      <c r="AC177" s="16">
        <f t="shared" si="557"/>
        <v>320</v>
      </c>
      <c r="AD177" s="16">
        <f t="shared" si="557"/>
        <v>0</v>
      </c>
      <c r="AE177" s="16">
        <f t="shared" si="557"/>
        <v>0</v>
      </c>
      <c r="AF177" s="16">
        <f t="shared" si="557"/>
        <v>0</v>
      </c>
      <c r="AG177" s="16">
        <f t="shared" si="557"/>
        <v>116207</v>
      </c>
      <c r="AH177" s="13">
        <f t="shared" si="557"/>
        <v>-0.05</v>
      </c>
      <c r="AI177" s="13">
        <f t="shared" si="557"/>
        <v>-0.05</v>
      </c>
      <c r="AJ177" s="13">
        <f t="shared" si="557"/>
        <v>0.25</v>
      </c>
      <c r="AK177" s="13">
        <f t="shared" si="557"/>
        <v>0</v>
      </c>
      <c r="AL177" s="13">
        <f t="shared" si="557"/>
        <v>0</v>
      </c>
      <c r="AM177" s="13">
        <f t="shared" si="557"/>
        <v>0</v>
      </c>
      <c r="AN177" s="13">
        <f t="shared" si="557"/>
        <v>0</v>
      </c>
      <c r="AO177" s="13">
        <f t="shared" si="557"/>
        <v>0</v>
      </c>
      <c r="AP177" s="13">
        <f t="shared" si="557"/>
        <v>0.2</v>
      </c>
      <c r="AQ177" s="13">
        <f t="shared" si="557"/>
        <v>-0.05</v>
      </c>
      <c r="AR177" s="13">
        <f t="shared" si="557"/>
        <v>0.15</v>
      </c>
      <c r="AS177" s="170">
        <f t="shared" si="557"/>
        <v>33243130</v>
      </c>
      <c r="AT177" s="16">
        <f t="shared" si="557"/>
        <v>24553987</v>
      </c>
      <c r="AU177" s="16">
        <f t="shared" si="557"/>
        <v>54600</v>
      </c>
      <c r="AV177" s="16">
        <f t="shared" si="557"/>
        <v>8317703</v>
      </c>
      <c r="AW177" s="16">
        <f t="shared" si="557"/>
        <v>245539</v>
      </c>
      <c r="AX177" s="16">
        <f t="shared" si="557"/>
        <v>71301</v>
      </c>
      <c r="AY177" s="13">
        <f t="shared" si="557"/>
        <v>43.427</v>
      </c>
      <c r="AZ177" s="13">
        <f t="shared" si="557"/>
        <v>39.258700000000005</v>
      </c>
      <c r="BA177" s="17">
        <f t="shared" si="557"/>
        <v>4.1683000000000003</v>
      </c>
    </row>
    <row r="178" spans="1:53" s="91" customFormat="1" ht="15.75" thickBot="1" x14ac:dyDescent="0.3">
      <c r="D178" s="330"/>
      <c r="E178" s="331"/>
      <c r="F178" s="330"/>
      <c r="G178" s="332"/>
      <c r="H178" s="141">
        <v>3233</v>
      </c>
      <c r="I178" s="173">
        <f t="shared" ref="I178:BA178" si="558">SUMIF($F$12:$F$462,"=3233",I$12:I$462)</f>
        <v>5542524</v>
      </c>
      <c r="J178" s="174">
        <f t="shared" si="558"/>
        <v>4106451</v>
      </c>
      <c r="K178" s="174">
        <f t="shared" si="558"/>
        <v>1387981</v>
      </c>
      <c r="L178" s="174">
        <f t="shared" si="558"/>
        <v>41064</v>
      </c>
      <c r="M178" s="174">
        <f t="shared" si="558"/>
        <v>7028</v>
      </c>
      <c r="N178" s="175">
        <f t="shared" si="558"/>
        <v>9.2900000000000009</v>
      </c>
      <c r="O178" s="175">
        <f t="shared" si="558"/>
        <v>5.8900000000000006</v>
      </c>
      <c r="P178" s="176">
        <f t="shared" si="558"/>
        <v>3.4000000000000004</v>
      </c>
      <c r="Q178" s="177">
        <f t="shared" si="558"/>
        <v>-13000</v>
      </c>
      <c r="R178" s="174">
        <f t="shared" si="558"/>
        <v>0</v>
      </c>
      <c r="S178" s="174">
        <f t="shared" si="558"/>
        <v>0</v>
      </c>
      <c r="T178" s="174">
        <f t="shared" si="558"/>
        <v>0</v>
      </c>
      <c r="U178" s="174">
        <f t="shared" si="558"/>
        <v>0</v>
      </c>
      <c r="V178" s="174">
        <f t="shared" si="558"/>
        <v>-13000</v>
      </c>
      <c r="W178" s="174">
        <f t="shared" si="558"/>
        <v>13000</v>
      </c>
      <c r="X178" s="174">
        <f t="shared" si="558"/>
        <v>0</v>
      </c>
      <c r="Y178" s="174">
        <f t="shared" si="558"/>
        <v>0</v>
      </c>
      <c r="Z178" s="174">
        <f t="shared" si="558"/>
        <v>13000</v>
      </c>
      <c r="AA178" s="174">
        <f t="shared" si="558"/>
        <v>0</v>
      </c>
      <c r="AB178" s="174">
        <f t="shared" si="558"/>
        <v>0</v>
      </c>
      <c r="AC178" s="174">
        <f t="shared" si="558"/>
        <v>-130</v>
      </c>
      <c r="AD178" s="174">
        <f t="shared" si="558"/>
        <v>0</v>
      </c>
      <c r="AE178" s="174">
        <f t="shared" si="558"/>
        <v>0</v>
      </c>
      <c r="AF178" s="174">
        <f t="shared" si="558"/>
        <v>0</v>
      </c>
      <c r="AG178" s="174">
        <f t="shared" si="558"/>
        <v>-130</v>
      </c>
      <c r="AH178" s="175">
        <f t="shared" si="558"/>
        <v>-0.02</v>
      </c>
      <c r="AI178" s="175">
        <f t="shared" si="558"/>
        <v>-0.01</v>
      </c>
      <c r="AJ178" s="175">
        <f t="shared" si="558"/>
        <v>0</v>
      </c>
      <c r="AK178" s="175">
        <f t="shared" si="558"/>
        <v>0</v>
      </c>
      <c r="AL178" s="175">
        <f t="shared" si="558"/>
        <v>0</v>
      </c>
      <c r="AM178" s="175">
        <f t="shared" si="558"/>
        <v>0</v>
      </c>
      <c r="AN178" s="175">
        <f t="shared" si="558"/>
        <v>0</v>
      </c>
      <c r="AO178" s="175">
        <f t="shared" si="558"/>
        <v>0</v>
      </c>
      <c r="AP178" s="175">
        <f t="shared" si="558"/>
        <v>-0.02</v>
      </c>
      <c r="AQ178" s="175">
        <f t="shared" si="558"/>
        <v>-0.01</v>
      </c>
      <c r="AR178" s="175">
        <f t="shared" si="558"/>
        <v>-0.03</v>
      </c>
      <c r="AS178" s="173">
        <f t="shared" si="558"/>
        <v>5542394</v>
      </c>
      <c r="AT178" s="174">
        <f t="shared" si="558"/>
        <v>4093451</v>
      </c>
      <c r="AU178" s="174">
        <f t="shared" si="558"/>
        <v>13000</v>
      </c>
      <c r="AV178" s="174">
        <f t="shared" si="558"/>
        <v>1387981</v>
      </c>
      <c r="AW178" s="174">
        <f t="shared" si="558"/>
        <v>40934</v>
      </c>
      <c r="AX178" s="174">
        <f t="shared" si="558"/>
        <v>7028</v>
      </c>
      <c r="AY178" s="175">
        <f t="shared" si="558"/>
        <v>9.2600000000000016</v>
      </c>
      <c r="AZ178" s="175">
        <f t="shared" si="558"/>
        <v>5.87</v>
      </c>
      <c r="BA178" s="176">
        <f t="shared" si="558"/>
        <v>3.39</v>
      </c>
    </row>
    <row r="180" spans="1:53" s="333" customFormat="1" x14ac:dyDescent="0.25">
      <c r="A180" s="327"/>
      <c r="B180" s="269"/>
      <c r="C180" s="361"/>
      <c r="D180" s="269"/>
      <c r="E180" s="269"/>
      <c r="F180" s="269"/>
      <c r="G180" s="269"/>
      <c r="H180" s="269"/>
      <c r="N180" s="334"/>
      <c r="O180" s="334"/>
      <c r="P180" s="334"/>
      <c r="AH180" s="334"/>
      <c r="AI180" s="334"/>
      <c r="AJ180" s="334"/>
      <c r="AK180" s="334"/>
      <c r="AL180" s="334"/>
      <c r="AM180" s="334"/>
      <c r="AN180" s="334"/>
      <c r="AO180" s="334"/>
      <c r="AP180" s="334"/>
      <c r="AQ180" s="334"/>
      <c r="AR180" s="334"/>
      <c r="AY180" s="334"/>
      <c r="AZ180" s="334"/>
      <c r="BA180" s="334"/>
    </row>
    <row r="183" spans="1:53" x14ac:dyDescent="0.25">
      <c r="N183" s="333"/>
    </row>
  </sheetData>
  <mergeCells count="26">
    <mergeCell ref="AS6:BA7"/>
    <mergeCell ref="Q7:V9"/>
    <mergeCell ref="W7:Z9"/>
    <mergeCell ref="AA7:AA10"/>
    <mergeCell ref="AB7:AB10"/>
    <mergeCell ref="AD7:AF9"/>
    <mergeCell ref="AS8:AS10"/>
    <mergeCell ref="AT8:AX9"/>
    <mergeCell ref="AY8:AY10"/>
    <mergeCell ref="AZ8:BA9"/>
    <mergeCell ref="AK8:AL8"/>
    <mergeCell ref="AM8:AM9"/>
    <mergeCell ref="A3:E3"/>
    <mergeCell ref="AC7:AC10"/>
    <mergeCell ref="I6:P7"/>
    <mergeCell ref="I8:I10"/>
    <mergeCell ref="J8:M9"/>
    <mergeCell ref="N8:N10"/>
    <mergeCell ref="O8:P9"/>
    <mergeCell ref="Q6:AR6"/>
    <mergeCell ref="AH7:AR7"/>
    <mergeCell ref="AN8:AO9"/>
    <mergeCell ref="AP8:AR9"/>
    <mergeCell ref="AG7:AG10"/>
    <mergeCell ref="AH8:AI9"/>
    <mergeCell ref="AJ8:AJ9"/>
  </mergeCells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3</vt:i4>
      </vt:variant>
    </vt:vector>
  </HeadingPairs>
  <TitlesOfParts>
    <vt:vector size="15" baseType="lpstr">
      <vt:lpstr>komentář</vt:lpstr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FR!Názvy_tisku</vt:lpstr>
      <vt:lpstr>LB!Názvy_tisku</vt:lpstr>
      <vt:lpstr>FR!Oblast_tisku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Parmová Kateřina</cp:lastModifiedBy>
  <cp:lastPrinted>2024-03-20T08:50:52Z</cp:lastPrinted>
  <dcterms:created xsi:type="dcterms:W3CDTF">2009-03-06T07:28:09Z</dcterms:created>
  <dcterms:modified xsi:type="dcterms:W3CDTF">2024-03-20T12:28:06Z</dcterms:modified>
</cp:coreProperties>
</file>